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live\Downloads\"/>
    </mc:Choice>
  </mc:AlternateContent>
  <bookViews>
    <workbookView xWindow="0" yWindow="600" windowWidth="18300" windowHeight="5970" activeTab="3"/>
  </bookViews>
  <sheets>
    <sheet name="Dhan" sheetId="1" r:id="rId1"/>
    <sheet name="Zerodha" sheetId="2" r:id="rId2"/>
    <sheet name="Kotak" sheetId="3" r:id="rId3"/>
    <sheet name="Trade" sheetId="4" r:id="rId4"/>
    <sheet name="Old Transactions" sheetId="5" state="hidden" r:id="rId5"/>
    <sheet name="Holding" sheetId="6" r:id="rId6"/>
    <sheet name="P&amp;L Sunita" sheetId="7" r:id="rId7"/>
    <sheet name="Avg Rate" sheetId="8" r:id="rId8"/>
    <sheet name="Options" sheetId="9" r:id="rId9"/>
    <sheet name="Master Data" sheetId="10" state="hidden" r:id="rId10"/>
    <sheet name="RECO" sheetId="11" r:id="rId11"/>
    <sheet name="FNO Lots" sheetId="12" r:id="rId12"/>
  </sheets>
  <calcPr calcId="152511"/>
  <extLst>
    <ext uri="GoogleSheetsCustomDataVersion1">
      <go:sheetsCustomData xmlns:go="http://customooxmlschemas.google.com/" r:id="rId16" roundtripDataSignature="AMtx7mh8O7s862uXEFtFNXMaWRRbjoxaNQ=="/>
    </ext>
  </extLst>
</workbook>
</file>

<file path=xl/calcChain.xml><?xml version="1.0" encoding="utf-8"?>
<calcChain xmlns="http://schemas.openxmlformats.org/spreadsheetml/2006/main">
  <c r="H14" i="11" l="1"/>
  <c r="E14" i="11"/>
  <c r="H13" i="11"/>
  <c r="E13" i="11"/>
  <c r="H12" i="11"/>
  <c r="E12" i="11"/>
  <c r="H11" i="11"/>
  <c r="E11" i="11"/>
  <c r="H10" i="11"/>
  <c r="E10" i="11"/>
  <c r="H9" i="11"/>
  <c r="E9" i="11"/>
  <c r="H8" i="11"/>
  <c r="E8" i="11"/>
  <c r="H7" i="11"/>
  <c r="E7" i="11"/>
  <c r="H6" i="11"/>
  <c r="E6" i="11"/>
  <c r="H5" i="11"/>
  <c r="E5" i="11"/>
  <c r="H4" i="11"/>
  <c r="E4" i="11"/>
  <c r="H3" i="11"/>
  <c r="E3" i="11"/>
  <c r="H2" i="11"/>
  <c r="E2" i="11"/>
  <c r="E20" i="11" s="1"/>
  <c r="A115" i="10"/>
  <c r="A79" i="10"/>
  <c r="A43" i="10"/>
  <c r="A7" i="10"/>
  <c r="A2" i="10" a="1"/>
  <c r="A432" i="10" s="1"/>
  <c r="AG160" i="9"/>
  <c r="AF160" i="9"/>
  <c r="AD160" i="9"/>
  <c r="G160" i="9" s="1"/>
  <c r="AC160" i="9"/>
  <c r="AE160" i="9" s="1"/>
  <c r="AA160" i="9"/>
  <c r="C160" i="9" s="1"/>
  <c r="Z160" i="9"/>
  <c r="Y160" i="9"/>
  <c r="J160" i="9" s="1"/>
  <c r="F160" i="9"/>
  <c r="E160" i="9"/>
  <c r="AH159" i="9"/>
  <c r="B159" i="9" s="1"/>
  <c r="AG159" i="9"/>
  <c r="AF159" i="9"/>
  <c r="AD159" i="9"/>
  <c r="G159" i="9" s="1"/>
  <c r="AC159" i="9"/>
  <c r="AB159" i="9"/>
  <c r="D159" i="9" s="1"/>
  <c r="AA159" i="9"/>
  <c r="C159" i="9" s="1"/>
  <c r="Z159" i="9"/>
  <c r="Y159" i="9"/>
  <c r="H159" i="9"/>
  <c r="E159" i="9"/>
  <c r="AH153" i="9"/>
  <c r="AG153" i="9"/>
  <c r="AF153" i="9"/>
  <c r="B153" i="9" s="1"/>
  <c r="AE153" i="9"/>
  <c r="A153" i="9" s="1"/>
  <c r="AD153" i="9"/>
  <c r="AC153" i="9"/>
  <c r="AB153" i="9"/>
  <c r="D153" i="9" s="1"/>
  <c r="Z153" i="9"/>
  <c r="AA153" i="9" s="1"/>
  <c r="C153" i="9" s="1"/>
  <c r="Y153" i="9"/>
  <c r="H153" i="9" s="1"/>
  <c r="M153" i="9"/>
  <c r="F153" i="9"/>
  <c r="AH152" i="9"/>
  <c r="AG152" i="9"/>
  <c r="AF152" i="9"/>
  <c r="B152" i="9" s="1"/>
  <c r="AD152" i="9"/>
  <c r="AC152" i="9"/>
  <c r="AE152" i="9" s="1"/>
  <c r="AB152" i="9"/>
  <c r="D152" i="9" s="1"/>
  <c r="Z152" i="9"/>
  <c r="AA152" i="9" s="1"/>
  <c r="C152" i="9" s="1"/>
  <c r="Y152" i="9"/>
  <c r="H152" i="9" s="1"/>
  <c r="M152" i="9"/>
  <c r="J152" i="9"/>
  <c r="I152" i="9"/>
  <c r="G152" i="9"/>
  <c r="F152" i="9"/>
  <c r="A152" i="9"/>
  <c r="AG151" i="9"/>
  <c r="AF151" i="9"/>
  <c r="AE151" i="9"/>
  <c r="AD151" i="9"/>
  <c r="AC151" i="9"/>
  <c r="A151" i="9" s="1"/>
  <c r="Z151" i="9"/>
  <c r="AA151" i="9" s="1"/>
  <c r="C151" i="9" s="1"/>
  <c r="Y151" i="9"/>
  <c r="M151" i="9"/>
  <c r="F151" i="9"/>
  <c r="AH150" i="9"/>
  <c r="AG150" i="9"/>
  <c r="AF150" i="9"/>
  <c r="AD150" i="9"/>
  <c r="AC150" i="9"/>
  <c r="AE150" i="9" s="1"/>
  <c r="A150" i="9" s="1"/>
  <c r="AB150" i="9"/>
  <c r="D150" i="9" s="1"/>
  <c r="Z150" i="9"/>
  <c r="AA150" i="9" s="1"/>
  <c r="Y150" i="9"/>
  <c r="H150" i="9" s="1"/>
  <c r="M150" i="9"/>
  <c r="J150" i="9"/>
  <c r="I150" i="9"/>
  <c r="G150" i="9"/>
  <c r="C150" i="9"/>
  <c r="AG149" i="9"/>
  <c r="AF149" i="9"/>
  <c r="AE149" i="9"/>
  <c r="AD149" i="9"/>
  <c r="AC149" i="9"/>
  <c r="A149" i="9" s="1"/>
  <c r="Z149" i="9"/>
  <c r="AA149" i="9" s="1"/>
  <c r="C149" i="9" s="1"/>
  <c r="Y149" i="9"/>
  <c r="M149" i="9"/>
  <c r="F149" i="9"/>
  <c r="AH148" i="9"/>
  <c r="AG148" i="9"/>
  <c r="AF148" i="9"/>
  <c r="B148" i="9" s="1"/>
  <c r="AD148" i="9"/>
  <c r="AC148" i="9"/>
  <c r="AE148" i="9" s="1"/>
  <c r="AB148" i="9"/>
  <c r="D148" i="9" s="1"/>
  <c r="Z148" i="9"/>
  <c r="AA148" i="9" s="1"/>
  <c r="Y148" i="9"/>
  <c r="H148" i="9" s="1"/>
  <c r="M148" i="9"/>
  <c r="J148" i="9"/>
  <c r="I148" i="9"/>
  <c r="G148" i="9"/>
  <c r="C148" i="9"/>
  <c r="A148" i="9"/>
  <c r="AG147" i="9"/>
  <c r="AF147" i="9"/>
  <c r="AE147" i="9"/>
  <c r="AD147" i="9"/>
  <c r="AC147" i="9"/>
  <c r="Z147" i="9"/>
  <c r="Y147" i="9"/>
  <c r="M147" i="9"/>
  <c r="F147" i="9"/>
  <c r="AH146" i="9"/>
  <c r="AG146" i="9"/>
  <c r="AF146" i="9"/>
  <c r="AD146" i="9"/>
  <c r="AC146" i="9"/>
  <c r="AE146" i="9" s="1"/>
  <c r="Z146" i="9"/>
  <c r="AA146" i="9" s="1"/>
  <c r="Y146" i="9"/>
  <c r="H146" i="9" s="1"/>
  <c r="M146" i="9"/>
  <c r="J146" i="9"/>
  <c r="I146" i="9"/>
  <c r="G146" i="9"/>
  <c r="C146" i="9"/>
  <c r="A146" i="9"/>
  <c r="AG145" i="9"/>
  <c r="AF145" i="9"/>
  <c r="AD145" i="9"/>
  <c r="AC145" i="9"/>
  <c r="Z145" i="9"/>
  <c r="AA145" i="9" s="1"/>
  <c r="C145" i="9" s="1"/>
  <c r="Y145" i="9"/>
  <c r="M145" i="9"/>
  <c r="F145" i="9"/>
  <c r="AH144" i="9"/>
  <c r="AG144" i="9"/>
  <c r="AF144" i="9"/>
  <c r="AD144" i="9"/>
  <c r="AC144" i="9"/>
  <c r="AE144" i="9" s="1"/>
  <c r="AB144" i="9"/>
  <c r="D144" i="9" s="1"/>
  <c r="Z144" i="9"/>
  <c r="AA144" i="9" s="1"/>
  <c r="C144" i="9" s="1"/>
  <c r="Y144" i="9"/>
  <c r="H144" i="9" s="1"/>
  <c r="M144" i="9"/>
  <c r="J144" i="9"/>
  <c r="I144" i="9"/>
  <c r="G144" i="9"/>
  <c r="A144" i="9"/>
  <c r="AG143" i="9"/>
  <c r="AF143" i="9"/>
  <c r="AH143" i="9" s="1"/>
  <c r="AE143" i="9"/>
  <c r="AD143" i="9"/>
  <c r="AC143" i="9"/>
  <c r="AB143" i="9" s="1"/>
  <c r="AA143" i="9"/>
  <c r="C143" i="9" s="1"/>
  <c r="Z143" i="9"/>
  <c r="Y143" i="9"/>
  <c r="I143" i="9" s="1"/>
  <c r="M143" i="9"/>
  <c r="J143" i="9"/>
  <c r="G143" i="9"/>
  <c r="F143" i="9"/>
  <c r="D143" i="9"/>
  <c r="B143" i="9"/>
  <c r="A143" i="9"/>
  <c r="E143" i="9" s="1"/>
  <c r="AH142" i="9"/>
  <c r="AG142" i="9"/>
  <c r="AF142" i="9"/>
  <c r="AD142" i="9"/>
  <c r="AC142" i="9"/>
  <c r="AB142" i="9" s="1"/>
  <c r="D142" i="9" s="1"/>
  <c r="Z142" i="9"/>
  <c r="AA142" i="9" s="1"/>
  <c r="C142" i="9" s="1"/>
  <c r="Y142" i="9"/>
  <c r="H142" i="9" s="1"/>
  <c r="M142" i="9"/>
  <c r="J142" i="9"/>
  <c r="I142" i="9"/>
  <c r="G142" i="9"/>
  <c r="AG141" i="9"/>
  <c r="AF141" i="9"/>
  <c r="F141" i="9" s="1"/>
  <c r="AE141" i="9"/>
  <c r="AD141" i="9"/>
  <c r="AC141" i="9"/>
  <c r="Z141" i="9"/>
  <c r="Y141" i="9"/>
  <c r="M141" i="9"/>
  <c r="A141" i="9"/>
  <c r="AG140" i="9"/>
  <c r="AF140" i="9"/>
  <c r="AD140" i="9"/>
  <c r="AC140" i="9"/>
  <c r="AB140" i="9"/>
  <c r="D140" i="9" s="1"/>
  <c r="Z140" i="9"/>
  <c r="AA140" i="9" s="1"/>
  <c r="Y140" i="9"/>
  <c r="H140" i="9" s="1"/>
  <c r="M140" i="9"/>
  <c r="J140" i="9"/>
  <c r="C140" i="9"/>
  <c r="AG139" i="9"/>
  <c r="AF139" i="9"/>
  <c r="AH139" i="9" s="1"/>
  <c r="AD139" i="9"/>
  <c r="AC139" i="9"/>
  <c r="AA139" i="9"/>
  <c r="C139" i="9" s="1"/>
  <c r="Z139" i="9"/>
  <c r="Y139" i="9"/>
  <c r="I139" i="9" s="1"/>
  <c r="M139" i="9"/>
  <c r="H139" i="9"/>
  <c r="G139" i="9"/>
  <c r="AH138" i="9"/>
  <c r="AG138" i="9"/>
  <c r="AF138" i="9"/>
  <c r="AD138" i="9"/>
  <c r="I138" i="9" s="1"/>
  <c r="AC138" i="9"/>
  <c r="Z138" i="9"/>
  <c r="Y138" i="9"/>
  <c r="H138" i="9" s="1"/>
  <c r="M138" i="9"/>
  <c r="J138" i="9"/>
  <c r="AG137" i="9"/>
  <c r="AF137" i="9"/>
  <c r="AH137" i="9" s="1"/>
  <c r="AE137" i="9"/>
  <c r="A137" i="9" s="1"/>
  <c r="E137" i="9" s="1"/>
  <c r="AD137" i="9"/>
  <c r="AC137" i="9"/>
  <c r="AB137" i="9" s="1"/>
  <c r="D137" i="9" s="1"/>
  <c r="AA137" i="9"/>
  <c r="C137" i="9" s="1"/>
  <c r="Z137" i="9"/>
  <c r="Y137" i="9"/>
  <c r="I137" i="9" s="1"/>
  <c r="M137" i="9"/>
  <c r="J137" i="9"/>
  <c r="H137" i="9"/>
  <c r="G137" i="9"/>
  <c r="B137" i="9"/>
  <c r="AH136" i="9"/>
  <c r="AG136" i="9"/>
  <c r="AF136" i="9"/>
  <c r="AD136" i="9"/>
  <c r="AC136" i="9"/>
  <c r="Z136" i="9"/>
  <c r="AA136" i="9" s="1"/>
  <c r="C136" i="9" s="1"/>
  <c r="Y136" i="9"/>
  <c r="H136" i="9" s="1"/>
  <c r="M136" i="9"/>
  <c r="J136" i="9"/>
  <c r="I136" i="9"/>
  <c r="G136" i="9"/>
  <c r="AG135" i="9"/>
  <c r="F135" i="9" s="1"/>
  <c r="AF135" i="9"/>
  <c r="AE135" i="9"/>
  <c r="AD135" i="9"/>
  <c r="AC135" i="9"/>
  <c r="Z135" i="9"/>
  <c r="Y135" i="9"/>
  <c r="M135" i="9"/>
  <c r="A135" i="9"/>
  <c r="AG134" i="9"/>
  <c r="AF134" i="9"/>
  <c r="AD134" i="9"/>
  <c r="AC134" i="9"/>
  <c r="AB134" i="9"/>
  <c r="D134" i="9" s="1"/>
  <c r="Z134" i="9"/>
  <c r="AA134" i="9" s="1"/>
  <c r="Y134" i="9"/>
  <c r="H134" i="9" s="1"/>
  <c r="M134" i="9"/>
  <c r="J134" i="9"/>
  <c r="C134" i="9"/>
  <c r="A134" i="9"/>
  <c r="AG133" i="9"/>
  <c r="AF133" i="9"/>
  <c r="AH133" i="9" s="1"/>
  <c r="AD133" i="9"/>
  <c r="AC133" i="9"/>
  <c r="AA133" i="9"/>
  <c r="C133" i="9" s="1"/>
  <c r="Z133" i="9"/>
  <c r="Y133" i="9"/>
  <c r="I133" i="9" s="1"/>
  <c r="M133" i="9"/>
  <c r="H133" i="9"/>
  <c r="G133" i="9"/>
  <c r="AH132" i="9"/>
  <c r="AG132" i="9"/>
  <c r="AF132" i="9"/>
  <c r="AD132" i="9"/>
  <c r="I132" i="9" s="1"/>
  <c r="AC132" i="9"/>
  <c r="Z132" i="9"/>
  <c r="Y132" i="9"/>
  <c r="H132" i="9" s="1"/>
  <c r="M132" i="9"/>
  <c r="J132" i="9"/>
  <c r="AG131" i="9"/>
  <c r="AF131" i="9"/>
  <c r="AH131" i="9" s="1"/>
  <c r="AE131" i="9"/>
  <c r="A131" i="9" s="1"/>
  <c r="AD131" i="9"/>
  <c r="AC131" i="9"/>
  <c r="AB131" i="9" s="1"/>
  <c r="AA131" i="9"/>
  <c r="Z131" i="9"/>
  <c r="Y131" i="9"/>
  <c r="G131" i="9" s="1"/>
  <c r="M131" i="9"/>
  <c r="J131" i="9"/>
  <c r="I131" i="9"/>
  <c r="H131" i="9"/>
  <c r="F131" i="9"/>
  <c r="D131" i="9"/>
  <c r="C131" i="9"/>
  <c r="B131" i="9"/>
  <c r="AG130" i="9"/>
  <c r="AF130" i="9"/>
  <c r="AE130" i="9"/>
  <c r="AD130" i="9"/>
  <c r="AC130" i="9"/>
  <c r="AB130" i="9" s="1"/>
  <c r="D130" i="9" s="1"/>
  <c r="Z130" i="9"/>
  <c r="AA130" i="9" s="1"/>
  <c r="C130" i="9" s="1"/>
  <c r="Y130" i="9"/>
  <c r="M130" i="9"/>
  <c r="A130" i="9"/>
  <c r="AH129" i="9"/>
  <c r="AG129" i="9"/>
  <c r="AF129" i="9"/>
  <c r="F129" i="9" s="1"/>
  <c r="AD129" i="9"/>
  <c r="AC129" i="9"/>
  <c r="AE129" i="9" s="1"/>
  <c r="AB129" i="9"/>
  <c r="D129" i="9" s="1"/>
  <c r="Z129" i="9"/>
  <c r="AA129" i="9" s="1"/>
  <c r="C129" i="9" s="1"/>
  <c r="Y129" i="9"/>
  <c r="M129" i="9"/>
  <c r="J129" i="9"/>
  <c r="I129" i="9"/>
  <c r="H129" i="9"/>
  <c r="G129" i="9"/>
  <c r="AG128" i="9"/>
  <c r="AF128" i="9"/>
  <c r="AE128" i="9"/>
  <c r="AD128" i="9"/>
  <c r="AC128" i="9"/>
  <c r="AB128" i="9" s="1"/>
  <c r="D128" i="9" s="1"/>
  <c r="Z128" i="9"/>
  <c r="Y128" i="9"/>
  <c r="H128" i="9" s="1"/>
  <c r="M128" i="9"/>
  <c r="J128" i="9"/>
  <c r="AH127" i="9"/>
  <c r="AG127" i="9"/>
  <c r="AF127" i="9"/>
  <c r="AD127" i="9"/>
  <c r="AC127" i="9"/>
  <c r="AE127" i="9" s="1"/>
  <c r="Z127" i="9"/>
  <c r="Y127" i="9"/>
  <c r="M127" i="9"/>
  <c r="J127" i="9"/>
  <c r="I127" i="9"/>
  <c r="H127" i="9"/>
  <c r="G127" i="9"/>
  <c r="A127" i="9"/>
  <c r="AG126" i="9"/>
  <c r="AF126" i="9"/>
  <c r="F126" i="9" s="1"/>
  <c r="AE126" i="9"/>
  <c r="A126" i="9" s="1"/>
  <c r="AD126" i="9"/>
  <c r="I126" i="9" s="1"/>
  <c r="AC126" i="9"/>
  <c r="Z126" i="9"/>
  <c r="AA126" i="9" s="1"/>
  <c r="C126" i="9" s="1"/>
  <c r="Y126" i="9"/>
  <c r="H126" i="9" s="1"/>
  <c r="M126" i="9"/>
  <c r="J126" i="9"/>
  <c r="G126" i="9"/>
  <c r="AG125" i="9"/>
  <c r="AF125" i="9"/>
  <c r="AD125" i="9"/>
  <c r="AC125" i="9"/>
  <c r="AE125" i="9" s="1"/>
  <c r="Z125" i="9"/>
  <c r="AA125" i="9" s="1"/>
  <c r="Y125" i="9"/>
  <c r="M125" i="9"/>
  <c r="J125" i="9"/>
  <c r="I125" i="9"/>
  <c r="H125" i="9"/>
  <c r="G125" i="9"/>
  <c r="C125" i="9"/>
  <c r="AG124" i="9"/>
  <c r="AF124" i="9"/>
  <c r="AD124" i="9"/>
  <c r="I124" i="9" s="1"/>
  <c r="AC124" i="9"/>
  <c r="Z124" i="9"/>
  <c r="Y124" i="9"/>
  <c r="H124" i="9" s="1"/>
  <c r="M124" i="9"/>
  <c r="G124" i="9"/>
  <c r="F124" i="9"/>
  <c r="AG123" i="9"/>
  <c r="AF123" i="9"/>
  <c r="AD123" i="9"/>
  <c r="AC123" i="9"/>
  <c r="AE123" i="9" s="1"/>
  <c r="AB123" i="9"/>
  <c r="Z123" i="9"/>
  <c r="AA123" i="9" s="1"/>
  <c r="C123" i="9" s="1"/>
  <c r="Y123" i="9"/>
  <c r="M123" i="9"/>
  <c r="J123" i="9"/>
  <c r="I123" i="9"/>
  <c r="H123" i="9"/>
  <c r="G123" i="9"/>
  <c r="D123" i="9"/>
  <c r="A123" i="9"/>
  <c r="AG122" i="9"/>
  <c r="AF122" i="9"/>
  <c r="F122" i="9" s="1"/>
  <c r="AE122" i="9"/>
  <c r="AD122" i="9"/>
  <c r="AC122" i="9"/>
  <c r="Z122" i="9"/>
  <c r="AA122" i="9" s="1"/>
  <c r="C122" i="9" s="1"/>
  <c r="Y122" i="9"/>
  <c r="H122" i="9" s="1"/>
  <c r="M122" i="9"/>
  <c r="J122" i="9"/>
  <c r="G122" i="9"/>
  <c r="AG121" i="9"/>
  <c r="AF121" i="9"/>
  <c r="AD121" i="9"/>
  <c r="AC121" i="9"/>
  <c r="AE121" i="9" s="1"/>
  <c r="AA121" i="9"/>
  <c r="C121" i="9" s="1"/>
  <c r="Z121" i="9"/>
  <c r="AB121" i="9" s="1"/>
  <c r="D121" i="9" s="1"/>
  <c r="Y121" i="9"/>
  <c r="M121" i="9"/>
  <c r="I121" i="9"/>
  <c r="G121" i="9"/>
  <c r="A121" i="9"/>
  <c r="AG120" i="9"/>
  <c r="AF120" i="9"/>
  <c r="AD120" i="9"/>
  <c r="AC120" i="9"/>
  <c r="Z120" i="9"/>
  <c r="Y120" i="9"/>
  <c r="M120" i="9"/>
  <c r="AG119" i="9"/>
  <c r="H119" i="9" s="1"/>
  <c r="AF119" i="9"/>
  <c r="AH119" i="9" s="1"/>
  <c r="B119" i="9" s="1"/>
  <c r="AD119" i="9"/>
  <c r="AC119" i="9"/>
  <c r="AE119" i="9" s="1"/>
  <c r="AB119" i="9"/>
  <c r="D119" i="9" s="1"/>
  <c r="Z119" i="9"/>
  <c r="AA119" i="9" s="1"/>
  <c r="Y119" i="9"/>
  <c r="M119" i="9"/>
  <c r="A119" i="9" s="1"/>
  <c r="E119" i="9" s="1"/>
  <c r="I119" i="9"/>
  <c r="G119" i="9"/>
  <c r="C119" i="9"/>
  <c r="AG118" i="9"/>
  <c r="AF118" i="9"/>
  <c r="AD118" i="9"/>
  <c r="AC118" i="9"/>
  <c r="Z118" i="9"/>
  <c r="AA118" i="9" s="1"/>
  <c r="C118" i="9" s="1"/>
  <c r="Y118" i="9"/>
  <c r="M118" i="9"/>
  <c r="AG117" i="9"/>
  <c r="AF117" i="9"/>
  <c r="AD117" i="9"/>
  <c r="AC117" i="9"/>
  <c r="AE117" i="9" s="1"/>
  <c r="Z117" i="9"/>
  <c r="AA117" i="9" s="1"/>
  <c r="Y117" i="9"/>
  <c r="M117" i="9"/>
  <c r="I117" i="9"/>
  <c r="G117" i="9"/>
  <c r="C117" i="9"/>
  <c r="AG116" i="9"/>
  <c r="AF116" i="9"/>
  <c r="AD116" i="9"/>
  <c r="AC116" i="9"/>
  <c r="Z116" i="9"/>
  <c r="AA116" i="9" s="1"/>
  <c r="C116" i="9" s="1"/>
  <c r="Y116" i="9"/>
  <c r="M116" i="9"/>
  <c r="J116" i="9"/>
  <c r="H116" i="9"/>
  <c r="F116" i="9"/>
  <c r="A116" i="9"/>
  <c r="AG115" i="9"/>
  <c r="H115" i="9" s="1"/>
  <c r="AF115" i="9"/>
  <c r="AH115" i="9" s="1"/>
  <c r="B115" i="9" s="1"/>
  <c r="AD115" i="9"/>
  <c r="AC115" i="9"/>
  <c r="AE115" i="9" s="1"/>
  <c r="Z115" i="9"/>
  <c r="AA115" i="9" s="1"/>
  <c r="Y115" i="9"/>
  <c r="M115" i="9"/>
  <c r="A115" i="9" s="1"/>
  <c r="J115" i="9"/>
  <c r="I115" i="9"/>
  <c r="G115" i="9"/>
  <c r="C115" i="9"/>
  <c r="AG114" i="9"/>
  <c r="H114" i="9" s="1"/>
  <c r="AF114" i="9"/>
  <c r="AD114" i="9"/>
  <c r="AC114" i="9"/>
  <c r="Z114" i="9"/>
  <c r="AA114" i="9" s="1"/>
  <c r="C114" i="9" s="1"/>
  <c r="Y114" i="9"/>
  <c r="M114" i="9"/>
  <c r="J114" i="9"/>
  <c r="AG113" i="9"/>
  <c r="H113" i="9" s="1"/>
  <c r="AF113" i="9"/>
  <c r="AH113" i="9" s="1"/>
  <c r="B113" i="9" s="1"/>
  <c r="AD113" i="9"/>
  <c r="AC113" i="9"/>
  <c r="AE113" i="9" s="1"/>
  <c r="AB113" i="9"/>
  <c r="D113" i="9" s="1"/>
  <c r="Z113" i="9"/>
  <c r="AA113" i="9" s="1"/>
  <c r="Y113" i="9"/>
  <c r="M113" i="9"/>
  <c r="A113" i="9" s="1"/>
  <c r="I113" i="9"/>
  <c r="G113" i="9"/>
  <c r="C113" i="9"/>
  <c r="AG112" i="9"/>
  <c r="AF112" i="9"/>
  <c r="AD112" i="9"/>
  <c r="AC112" i="9"/>
  <c r="Z112" i="9"/>
  <c r="AA112" i="9" s="1"/>
  <c r="C112" i="9" s="1"/>
  <c r="Y112" i="9"/>
  <c r="M112" i="9"/>
  <c r="F112" i="9"/>
  <c r="AG111" i="9"/>
  <c r="H111" i="9" s="1"/>
  <c r="AF111" i="9"/>
  <c r="AD111" i="9"/>
  <c r="AC111" i="9"/>
  <c r="Z111" i="9"/>
  <c r="AA111" i="9" s="1"/>
  <c r="Y111" i="9"/>
  <c r="M111" i="9"/>
  <c r="I111" i="9"/>
  <c r="G111" i="9"/>
  <c r="C111" i="9"/>
  <c r="AG110" i="9"/>
  <c r="F110" i="9" s="1"/>
  <c r="AF110" i="9"/>
  <c r="AD110" i="9"/>
  <c r="AC110" i="9"/>
  <c r="Z110" i="9"/>
  <c r="AA110" i="9" s="1"/>
  <c r="Y110" i="9"/>
  <c r="H110" i="9" s="1"/>
  <c r="M110" i="9"/>
  <c r="C110" i="9"/>
  <c r="AG109" i="9"/>
  <c r="AF109" i="9"/>
  <c r="AD109" i="9"/>
  <c r="AC109" i="9"/>
  <c r="AB109" i="9" s="1"/>
  <c r="D109" i="9" s="1"/>
  <c r="Z109" i="9"/>
  <c r="AA109" i="9" s="1"/>
  <c r="C109" i="9" s="1"/>
  <c r="Y109" i="9"/>
  <c r="M109" i="9"/>
  <c r="G109" i="9"/>
  <c r="AH108" i="9"/>
  <c r="AG108" i="9"/>
  <c r="AF108" i="9"/>
  <c r="AD108" i="9"/>
  <c r="AC108" i="9"/>
  <c r="AE108" i="9" s="1"/>
  <c r="Z108" i="9"/>
  <c r="AA108" i="9" s="1"/>
  <c r="C108" i="9" s="1"/>
  <c r="Y108" i="9"/>
  <c r="H108" i="9" s="1"/>
  <c r="M108" i="9"/>
  <c r="J108" i="9"/>
  <c r="I108" i="9"/>
  <c r="G108" i="9"/>
  <c r="A108" i="9"/>
  <c r="AG107" i="9"/>
  <c r="AF107" i="9"/>
  <c r="AE107" i="9"/>
  <c r="AD107" i="9"/>
  <c r="AC107" i="9"/>
  <c r="Z107" i="9"/>
  <c r="Y107" i="9"/>
  <c r="J107" i="9" s="1"/>
  <c r="M107" i="9"/>
  <c r="G107" i="9"/>
  <c r="A107" i="9"/>
  <c r="AG106" i="9"/>
  <c r="AF106" i="9"/>
  <c r="AD106" i="9"/>
  <c r="AC106" i="9"/>
  <c r="AE106" i="9" s="1"/>
  <c r="AB106" i="9"/>
  <c r="D106" i="9" s="1"/>
  <c r="Z106" i="9"/>
  <c r="AA106" i="9" s="1"/>
  <c r="C106" i="9" s="1"/>
  <c r="Y106" i="9"/>
  <c r="H106" i="9" s="1"/>
  <c r="M106" i="9"/>
  <c r="J106" i="9"/>
  <c r="I106" i="9"/>
  <c r="G106" i="9"/>
  <c r="A106" i="9"/>
  <c r="AG105" i="9"/>
  <c r="AF105" i="9"/>
  <c r="F105" i="9" s="1"/>
  <c r="AE105" i="9"/>
  <c r="AD105" i="9"/>
  <c r="AC105" i="9"/>
  <c r="Z105" i="9"/>
  <c r="AA105" i="9" s="1"/>
  <c r="C105" i="9" s="1"/>
  <c r="Y105" i="9"/>
  <c r="M105" i="9"/>
  <c r="J105" i="9"/>
  <c r="G105" i="9"/>
  <c r="AH104" i="9"/>
  <c r="AG104" i="9"/>
  <c r="AF104" i="9"/>
  <c r="AD104" i="9"/>
  <c r="AC104" i="9"/>
  <c r="Z104" i="9"/>
  <c r="AA104" i="9" s="1"/>
  <c r="Y104" i="9"/>
  <c r="H104" i="9" s="1"/>
  <c r="M104" i="9"/>
  <c r="J104" i="9"/>
  <c r="I104" i="9"/>
  <c r="G104" i="9"/>
  <c r="C104" i="9"/>
  <c r="AG103" i="9"/>
  <c r="AF103" i="9"/>
  <c r="AD103" i="9"/>
  <c r="AC103" i="9"/>
  <c r="AB103" i="9" s="1"/>
  <c r="D103" i="9" s="1"/>
  <c r="Z103" i="9"/>
  <c r="AA103" i="9" s="1"/>
  <c r="C103" i="9" s="1"/>
  <c r="Y103" i="9"/>
  <c r="M103" i="9"/>
  <c r="G103" i="9"/>
  <c r="AH102" i="9"/>
  <c r="AG102" i="9"/>
  <c r="AF102" i="9"/>
  <c r="AD102" i="9"/>
  <c r="AC102" i="9"/>
  <c r="AE102" i="9" s="1"/>
  <c r="Z102" i="9"/>
  <c r="AA102" i="9" s="1"/>
  <c r="C102" i="9" s="1"/>
  <c r="Y102" i="9"/>
  <c r="H102" i="9" s="1"/>
  <c r="M102" i="9"/>
  <c r="J102" i="9"/>
  <c r="I102" i="9"/>
  <c r="G102" i="9"/>
  <c r="A102" i="9"/>
  <c r="AG101" i="9"/>
  <c r="AF101" i="9"/>
  <c r="AE101" i="9"/>
  <c r="AD101" i="9"/>
  <c r="AC101" i="9"/>
  <c r="Z101" i="9"/>
  <c r="Y101" i="9"/>
  <c r="J101" i="9" s="1"/>
  <c r="M101" i="9"/>
  <c r="G101" i="9"/>
  <c r="A101" i="9"/>
  <c r="AG100" i="9"/>
  <c r="AF100" i="9"/>
  <c r="AD100" i="9"/>
  <c r="AC100" i="9"/>
  <c r="AE100" i="9" s="1"/>
  <c r="AB100" i="9"/>
  <c r="D100" i="9" s="1"/>
  <c r="Z100" i="9"/>
  <c r="AA100" i="9" s="1"/>
  <c r="C100" i="9" s="1"/>
  <c r="Y100" i="9"/>
  <c r="H100" i="9" s="1"/>
  <c r="M100" i="9"/>
  <c r="J100" i="9"/>
  <c r="I100" i="9"/>
  <c r="G100" i="9"/>
  <c r="A100" i="9"/>
  <c r="AG99" i="9"/>
  <c r="AF99" i="9"/>
  <c r="F99" i="9" s="1"/>
  <c r="AE99" i="9"/>
  <c r="AD99" i="9"/>
  <c r="AC99" i="9"/>
  <c r="Z99" i="9"/>
  <c r="AA99" i="9" s="1"/>
  <c r="C99" i="9" s="1"/>
  <c r="Y99" i="9"/>
  <c r="M99" i="9"/>
  <c r="J99" i="9"/>
  <c r="G99" i="9"/>
  <c r="AH98" i="9"/>
  <c r="AG98" i="9"/>
  <c r="AF98" i="9"/>
  <c r="AD98" i="9"/>
  <c r="AC98" i="9"/>
  <c r="Z98" i="9"/>
  <c r="AA98" i="9" s="1"/>
  <c r="Y98" i="9"/>
  <c r="H98" i="9" s="1"/>
  <c r="M98" i="9"/>
  <c r="J98" i="9"/>
  <c r="I98" i="9"/>
  <c r="G98" i="9"/>
  <c r="C98" i="9"/>
  <c r="AG97" i="9"/>
  <c r="AF97" i="9"/>
  <c r="AD97" i="9"/>
  <c r="AC97" i="9"/>
  <c r="AB97" i="9" s="1"/>
  <c r="D97" i="9" s="1"/>
  <c r="Z97" i="9"/>
  <c r="AA97" i="9" s="1"/>
  <c r="C97" i="9" s="1"/>
  <c r="Y97" i="9"/>
  <c r="M97" i="9"/>
  <c r="G97" i="9"/>
  <c r="AH96" i="9"/>
  <c r="AG96" i="9"/>
  <c r="AF96" i="9"/>
  <c r="AD96" i="9"/>
  <c r="AC96" i="9"/>
  <c r="AE96" i="9" s="1"/>
  <c r="Z96" i="9"/>
  <c r="AA96" i="9" s="1"/>
  <c r="C96" i="9" s="1"/>
  <c r="Y96" i="9"/>
  <c r="H96" i="9" s="1"/>
  <c r="M96" i="9"/>
  <c r="J96" i="9"/>
  <c r="I96" i="9"/>
  <c r="G96" i="9"/>
  <c r="A96" i="9"/>
  <c r="AG95" i="9"/>
  <c r="AF95" i="9"/>
  <c r="AE95" i="9"/>
  <c r="AD95" i="9"/>
  <c r="AC95" i="9"/>
  <c r="Z95" i="9"/>
  <c r="Y95" i="9"/>
  <c r="J95" i="9" s="1"/>
  <c r="M95" i="9"/>
  <c r="G95" i="9"/>
  <c r="A95" i="9"/>
  <c r="AG94" i="9"/>
  <c r="AF94" i="9"/>
  <c r="AD94" i="9"/>
  <c r="AC94" i="9"/>
  <c r="AE94" i="9" s="1"/>
  <c r="AB94" i="9"/>
  <c r="D94" i="9" s="1"/>
  <c r="Z94" i="9"/>
  <c r="AA94" i="9" s="1"/>
  <c r="C94" i="9" s="1"/>
  <c r="Y94" i="9"/>
  <c r="H94" i="9" s="1"/>
  <c r="M94" i="9"/>
  <c r="J94" i="9"/>
  <c r="I94" i="9"/>
  <c r="G94" i="9"/>
  <c r="A94" i="9"/>
  <c r="AG93" i="9"/>
  <c r="AF93" i="9"/>
  <c r="AD93" i="9"/>
  <c r="AC93" i="9"/>
  <c r="Z93" i="9"/>
  <c r="Y93" i="9"/>
  <c r="H93" i="9" s="1"/>
  <c r="M93" i="9"/>
  <c r="I93" i="9"/>
  <c r="AH92" i="9"/>
  <c r="AG92" i="9"/>
  <c r="AF92" i="9"/>
  <c r="AE92" i="9"/>
  <c r="A92" i="9" s="1"/>
  <c r="AD92" i="9"/>
  <c r="AC92" i="9"/>
  <c r="AB92" i="9"/>
  <c r="D92" i="9" s="1"/>
  <c r="Z92" i="9"/>
  <c r="Y92" i="9"/>
  <c r="H92" i="9" s="1"/>
  <c r="M92" i="9"/>
  <c r="G92" i="9"/>
  <c r="AH91" i="9"/>
  <c r="AG91" i="9"/>
  <c r="AF91" i="9"/>
  <c r="B91" i="9" s="1"/>
  <c r="AE91" i="9"/>
  <c r="AD91" i="9"/>
  <c r="AC91" i="9"/>
  <c r="AB91" i="9" s="1"/>
  <c r="D91" i="9" s="1"/>
  <c r="Z91" i="9"/>
  <c r="AA91" i="9" s="1"/>
  <c r="C91" i="9" s="1"/>
  <c r="Y91" i="9"/>
  <c r="H91" i="9" s="1"/>
  <c r="M91" i="9"/>
  <c r="J91" i="9"/>
  <c r="I91" i="9"/>
  <c r="G91" i="9"/>
  <c r="F91" i="9"/>
  <c r="A91" i="9"/>
  <c r="AG90" i="9"/>
  <c r="AF90" i="9"/>
  <c r="AD90" i="9"/>
  <c r="AC90" i="9"/>
  <c r="AE90" i="9" s="1"/>
  <c r="Z90" i="9"/>
  <c r="Y90" i="9"/>
  <c r="M90" i="9"/>
  <c r="AH89" i="9"/>
  <c r="AG89" i="9"/>
  <c r="AF89" i="9"/>
  <c r="AE89" i="9"/>
  <c r="AD89" i="9"/>
  <c r="AC89" i="9"/>
  <c r="AB89" i="9"/>
  <c r="D89" i="9" s="1"/>
  <c r="Z89" i="9"/>
  <c r="AA89" i="9" s="1"/>
  <c r="Y89" i="9"/>
  <c r="H89" i="9" s="1"/>
  <c r="M89" i="9"/>
  <c r="I89" i="9"/>
  <c r="G89" i="9"/>
  <c r="F89" i="9"/>
  <c r="C89" i="9"/>
  <c r="AH88" i="9"/>
  <c r="AG88" i="9"/>
  <c r="AF88" i="9"/>
  <c r="B88" i="9" s="1"/>
  <c r="AE88" i="9"/>
  <c r="AD88" i="9"/>
  <c r="AC88" i="9"/>
  <c r="Z88" i="9"/>
  <c r="AA88" i="9" s="1"/>
  <c r="C88" i="9" s="1"/>
  <c r="Y88" i="9"/>
  <c r="H88" i="9" s="1"/>
  <c r="M88" i="9"/>
  <c r="J88" i="9"/>
  <c r="G88" i="9"/>
  <c r="F88" i="9"/>
  <c r="A88" i="9"/>
  <c r="AG87" i="9"/>
  <c r="AF87" i="9"/>
  <c r="AD87" i="9"/>
  <c r="AC87" i="9"/>
  <c r="Z87" i="9"/>
  <c r="Y87" i="9"/>
  <c r="H87" i="9" s="1"/>
  <c r="M87" i="9"/>
  <c r="I87" i="9"/>
  <c r="AH86" i="9"/>
  <c r="AG86" i="9"/>
  <c r="AF86" i="9"/>
  <c r="AE86" i="9"/>
  <c r="A86" i="9" s="1"/>
  <c r="AD86" i="9"/>
  <c r="AC86" i="9"/>
  <c r="AB86" i="9"/>
  <c r="D86" i="9" s="1"/>
  <c r="Z86" i="9"/>
  <c r="Y86" i="9"/>
  <c r="H86" i="9" s="1"/>
  <c r="M86" i="9"/>
  <c r="G86" i="9"/>
  <c r="AH85" i="9"/>
  <c r="AG85" i="9"/>
  <c r="AF85" i="9"/>
  <c r="AE85" i="9"/>
  <c r="AD85" i="9"/>
  <c r="AC85" i="9"/>
  <c r="AB85" i="9" s="1"/>
  <c r="D85" i="9" s="1"/>
  <c r="Z85" i="9"/>
  <c r="AA85" i="9" s="1"/>
  <c r="C85" i="9" s="1"/>
  <c r="Y85" i="9"/>
  <c r="H85" i="9" s="1"/>
  <c r="M85" i="9"/>
  <c r="J85" i="9"/>
  <c r="I85" i="9"/>
  <c r="G85" i="9"/>
  <c r="F85" i="9"/>
  <c r="A85" i="9"/>
  <c r="AG84" i="9"/>
  <c r="AF84" i="9"/>
  <c r="AD84" i="9"/>
  <c r="AC84" i="9"/>
  <c r="AE84" i="9" s="1"/>
  <c r="Z84" i="9"/>
  <c r="Y84" i="9"/>
  <c r="M84" i="9"/>
  <c r="I84" i="9"/>
  <c r="AH83" i="9"/>
  <c r="B83" i="9" s="1"/>
  <c r="AG83" i="9"/>
  <c r="AF83" i="9"/>
  <c r="AE83" i="9"/>
  <c r="AD83" i="9"/>
  <c r="AC83" i="9"/>
  <c r="AB83" i="9"/>
  <c r="D83" i="9" s="1"/>
  <c r="Z83" i="9"/>
  <c r="AA83" i="9" s="1"/>
  <c r="C83" i="9" s="1"/>
  <c r="Y83" i="9"/>
  <c r="J83" i="9" s="1"/>
  <c r="M83" i="9"/>
  <c r="I83" i="9"/>
  <c r="H83" i="9"/>
  <c r="G83" i="9"/>
  <c r="F83" i="9"/>
  <c r="A83" i="9"/>
  <c r="AG82" i="9"/>
  <c r="AF82" i="9"/>
  <c r="AD82" i="9"/>
  <c r="G82" i="9" s="1"/>
  <c r="AC82" i="9"/>
  <c r="Z82" i="9"/>
  <c r="Y82" i="9"/>
  <c r="I82" i="9" s="1"/>
  <c r="M82" i="9"/>
  <c r="AG81" i="9"/>
  <c r="AF81" i="9"/>
  <c r="AD81" i="9"/>
  <c r="AC81" i="9"/>
  <c r="Z81" i="9"/>
  <c r="AA81" i="9" s="1"/>
  <c r="C81" i="9" s="1"/>
  <c r="Y81" i="9"/>
  <c r="M81" i="9"/>
  <c r="J81" i="9"/>
  <c r="I81" i="9"/>
  <c r="H81" i="9"/>
  <c r="G81" i="9"/>
  <c r="AH80" i="9"/>
  <c r="AG80" i="9"/>
  <c r="AF80" i="9"/>
  <c r="B80" i="9" s="1"/>
  <c r="AE80" i="9"/>
  <c r="AD80" i="9"/>
  <c r="I80" i="9" s="1"/>
  <c r="AC80" i="9"/>
  <c r="AB80" i="9"/>
  <c r="Z80" i="9"/>
  <c r="Y80" i="9"/>
  <c r="M80" i="9"/>
  <c r="A80" i="9" s="1"/>
  <c r="G80" i="9"/>
  <c r="D80" i="9"/>
  <c r="AH79" i="9"/>
  <c r="AG79" i="9"/>
  <c r="AF79" i="9"/>
  <c r="AE79" i="9"/>
  <c r="AD79" i="9"/>
  <c r="AC79" i="9"/>
  <c r="Z79" i="9"/>
  <c r="AA79" i="9" s="1"/>
  <c r="C79" i="9" s="1"/>
  <c r="Y79" i="9"/>
  <c r="M79" i="9"/>
  <c r="F79" i="9"/>
  <c r="B79" i="9"/>
  <c r="AH78" i="9"/>
  <c r="AG78" i="9"/>
  <c r="AF78" i="9"/>
  <c r="AD78" i="9"/>
  <c r="AC78" i="9"/>
  <c r="AB78" i="9"/>
  <c r="D78" i="9" s="1"/>
  <c r="Z78" i="9"/>
  <c r="AA78" i="9" s="1"/>
  <c r="Y78" i="9"/>
  <c r="H78" i="9" s="1"/>
  <c r="M78" i="9"/>
  <c r="J78" i="9"/>
  <c r="G78" i="9"/>
  <c r="F78" i="9"/>
  <c r="C78" i="9"/>
  <c r="AH77" i="9"/>
  <c r="B77" i="9" s="1"/>
  <c r="AG77" i="9"/>
  <c r="AF77" i="9"/>
  <c r="F77" i="9" s="1"/>
  <c r="AE77" i="9"/>
  <c r="AD77" i="9"/>
  <c r="AC77" i="9"/>
  <c r="AB77" i="9"/>
  <c r="D77" i="9" s="1"/>
  <c r="AA77" i="9"/>
  <c r="Z77" i="9"/>
  <c r="Y77" i="9"/>
  <c r="J77" i="9" s="1"/>
  <c r="M77" i="9"/>
  <c r="A77" i="9" s="1"/>
  <c r="E77" i="9" s="1"/>
  <c r="I77" i="9"/>
  <c r="H77" i="9"/>
  <c r="G77" i="9"/>
  <c r="C77" i="9"/>
  <c r="AG76" i="9"/>
  <c r="AH76" i="9" s="1"/>
  <c r="AF76" i="9"/>
  <c r="AD76" i="9"/>
  <c r="AC76" i="9"/>
  <c r="AB76" i="9" s="1"/>
  <c r="D76" i="9" s="1"/>
  <c r="Z76" i="9"/>
  <c r="Y76" i="9"/>
  <c r="J76" i="9" s="1"/>
  <c r="M76" i="9"/>
  <c r="F76" i="9"/>
  <c r="B76" i="9"/>
  <c r="AH75" i="9"/>
  <c r="B75" i="9" s="1"/>
  <c r="AG75" i="9"/>
  <c r="AF75" i="9"/>
  <c r="F75" i="9" s="1"/>
  <c r="AD75" i="9"/>
  <c r="AC75" i="9"/>
  <c r="AB75" i="9"/>
  <c r="D75" i="9" s="1"/>
  <c r="AA75" i="9"/>
  <c r="C75" i="9" s="1"/>
  <c r="Z75" i="9"/>
  <c r="Y75" i="9"/>
  <c r="J75" i="9" s="1"/>
  <c r="M75" i="9"/>
  <c r="I75" i="9"/>
  <c r="H75" i="9"/>
  <c r="AG74" i="9"/>
  <c r="AH74" i="9" s="1"/>
  <c r="AF74" i="9"/>
  <c r="AD74" i="9"/>
  <c r="AC74" i="9"/>
  <c r="AB74" i="9" s="1"/>
  <c r="D74" i="9" s="1"/>
  <c r="Z74" i="9"/>
  <c r="Y74" i="9"/>
  <c r="J74" i="9" s="1"/>
  <c r="M74" i="9"/>
  <c r="H74" i="9"/>
  <c r="B74" i="9"/>
  <c r="AH73" i="9"/>
  <c r="AG73" i="9"/>
  <c r="AF73" i="9"/>
  <c r="F73" i="9" s="1"/>
  <c r="AD73" i="9"/>
  <c r="AC73" i="9"/>
  <c r="AB73" i="9"/>
  <c r="D73" i="9" s="1"/>
  <c r="AA73" i="9"/>
  <c r="C73" i="9" s="1"/>
  <c r="Z73" i="9"/>
  <c r="Y73" i="9"/>
  <c r="J73" i="9" s="1"/>
  <c r="M73" i="9"/>
  <c r="I73" i="9"/>
  <c r="H73" i="9"/>
  <c r="B73" i="9"/>
  <c r="AG72" i="9"/>
  <c r="AH72" i="9" s="1"/>
  <c r="AF72" i="9"/>
  <c r="AD72" i="9"/>
  <c r="AC72" i="9"/>
  <c r="AB72" i="9" s="1"/>
  <c r="D72" i="9" s="1"/>
  <c r="AA72" i="9"/>
  <c r="C72" i="9" s="1"/>
  <c r="Z72" i="9"/>
  <c r="Y72" i="9"/>
  <c r="J72" i="9" s="1"/>
  <c r="M72" i="9"/>
  <c r="H72" i="9"/>
  <c r="F72" i="9"/>
  <c r="B72" i="9"/>
  <c r="AG71" i="9"/>
  <c r="H71" i="9" s="1"/>
  <c r="AF71" i="9"/>
  <c r="F71" i="9" s="1"/>
  <c r="AD71" i="9"/>
  <c r="AC71" i="9"/>
  <c r="AB71" i="9"/>
  <c r="D71" i="9" s="1"/>
  <c r="AA71" i="9"/>
  <c r="Z71" i="9"/>
  <c r="Y71" i="9"/>
  <c r="J71" i="9" s="1"/>
  <c r="M71" i="9"/>
  <c r="I71" i="9"/>
  <c r="C71" i="9"/>
  <c r="B71" i="9"/>
  <c r="AG70" i="9"/>
  <c r="AH70" i="9" s="1"/>
  <c r="AF70" i="9"/>
  <c r="AD70" i="9"/>
  <c r="AC70" i="9"/>
  <c r="AB70" i="9" s="1"/>
  <c r="D70" i="9" s="1"/>
  <c r="Z70" i="9"/>
  <c r="Y70" i="9"/>
  <c r="M70" i="9"/>
  <c r="F70" i="9"/>
  <c r="B70" i="9"/>
  <c r="AH69" i="9"/>
  <c r="B69" i="9" s="1"/>
  <c r="AG69" i="9"/>
  <c r="AF69" i="9"/>
  <c r="F69" i="9" s="1"/>
  <c r="AD69" i="9"/>
  <c r="AC69" i="9"/>
  <c r="AB69" i="9"/>
  <c r="D69" i="9" s="1"/>
  <c r="AA69" i="9"/>
  <c r="C69" i="9" s="1"/>
  <c r="Z69" i="9"/>
  <c r="Y69" i="9"/>
  <c r="J69" i="9" s="1"/>
  <c r="M69" i="9"/>
  <c r="I69" i="9"/>
  <c r="H69" i="9"/>
  <c r="AG68" i="9"/>
  <c r="AF68" i="9"/>
  <c r="AD68" i="9"/>
  <c r="AC68" i="9"/>
  <c r="AB68" i="9" s="1"/>
  <c r="Z68" i="9"/>
  <c r="Y68" i="9"/>
  <c r="H68" i="9" s="1"/>
  <c r="G68" i="9"/>
  <c r="D68" i="9"/>
  <c r="AG67" i="9"/>
  <c r="AF67" i="9"/>
  <c r="AD67" i="9"/>
  <c r="AC67" i="9"/>
  <c r="Z67" i="9"/>
  <c r="AA67" i="9" s="1"/>
  <c r="C67" i="9" s="1"/>
  <c r="Y67" i="9"/>
  <c r="H67" i="9" s="1"/>
  <c r="I67" i="9"/>
  <c r="G67" i="9"/>
  <c r="AH66" i="9"/>
  <c r="B66" i="9" s="1"/>
  <c r="AG66" i="9"/>
  <c r="F66" i="9" s="1"/>
  <c r="AF66" i="9"/>
  <c r="AD66" i="9"/>
  <c r="AC66" i="9"/>
  <c r="AB66" i="9"/>
  <c r="D66" i="9" s="1"/>
  <c r="Z66" i="9"/>
  <c r="Y66" i="9"/>
  <c r="AG65" i="9"/>
  <c r="AF65" i="9"/>
  <c r="AD65" i="9"/>
  <c r="I65" i="9" s="1"/>
  <c r="AC65" i="9"/>
  <c r="AB65" i="9" s="1"/>
  <c r="D65" i="9" s="1"/>
  <c r="AA65" i="9"/>
  <c r="C65" i="9" s="1"/>
  <c r="Z65" i="9"/>
  <c r="Y65" i="9"/>
  <c r="G65" i="9"/>
  <c r="AG64" i="9"/>
  <c r="AF64" i="9"/>
  <c r="AD64" i="9"/>
  <c r="AC64" i="9"/>
  <c r="Z64" i="9"/>
  <c r="AA64" i="9" s="1"/>
  <c r="C64" i="9" s="1"/>
  <c r="Y64" i="9"/>
  <c r="H64" i="9" s="1"/>
  <c r="I64" i="9"/>
  <c r="G64" i="9"/>
  <c r="F64" i="9"/>
  <c r="AH63" i="9"/>
  <c r="AG63" i="9"/>
  <c r="F63" i="9" s="1"/>
  <c r="AF63" i="9"/>
  <c r="AD63" i="9"/>
  <c r="AC63" i="9"/>
  <c r="Z63" i="9"/>
  <c r="Y63" i="9"/>
  <c r="H63" i="9" s="1"/>
  <c r="I63" i="9"/>
  <c r="B63" i="9"/>
  <c r="AG62" i="9"/>
  <c r="AF62" i="9"/>
  <c r="AD62" i="9"/>
  <c r="AC62" i="9"/>
  <c r="AB62" i="9" s="1"/>
  <c r="Z62" i="9"/>
  <c r="Y62" i="9"/>
  <c r="H62" i="9" s="1"/>
  <c r="G62" i="9"/>
  <c r="D62" i="9"/>
  <c r="AG61" i="9"/>
  <c r="AF61" i="9"/>
  <c r="AE61" i="9"/>
  <c r="A61" i="9" s="1"/>
  <c r="AD61" i="9"/>
  <c r="AC61" i="9"/>
  <c r="Z61" i="9"/>
  <c r="AA61" i="9" s="1"/>
  <c r="C61" i="9" s="1"/>
  <c r="Y61" i="9"/>
  <c r="I61" i="9"/>
  <c r="AH60" i="9"/>
  <c r="B60" i="9" s="1"/>
  <c r="AG60" i="9"/>
  <c r="F60" i="9" s="1"/>
  <c r="AF60" i="9"/>
  <c r="AE60" i="9"/>
  <c r="AD60" i="9"/>
  <c r="AC60" i="9"/>
  <c r="AB60" i="9"/>
  <c r="D60" i="9" s="1"/>
  <c r="Z60" i="9"/>
  <c r="Y60" i="9"/>
  <c r="J60" i="9" s="1"/>
  <c r="I60" i="9"/>
  <c r="G60" i="9"/>
  <c r="A60" i="9"/>
  <c r="AG59" i="9"/>
  <c r="AF59" i="9"/>
  <c r="AD59" i="9"/>
  <c r="AC59" i="9"/>
  <c r="AB59" i="9" s="1"/>
  <c r="D59" i="9" s="1"/>
  <c r="Z59" i="9"/>
  <c r="Y59" i="9"/>
  <c r="AG58" i="9"/>
  <c r="AF58" i="9"/>
  <c r="AD58" i="9"/>
  <c r="AC58" i="9"/>
  <c r="Z58" i="9"/>
  <c r="AA58" i="9" s="1"/>
  <c r="C58" i="9" s="1"/>
  <c r="Y58" i="9"/>
  <c r="G58" i="9" s="1"/>
  <c r="I58" i="9"/>
  <c r="F58" i="9"/>
  <c r="AH57" i="9"/>
  <c r="AG57" i="9"/>
  <c r="F57" i="9" s="1"/>
  <c r="AF57" i="9"/>
  <c r="AD57" i="9"/>
  <c r="AC57" i="9"/>
  <c r="AE57" i="9" s="1"/>
  <c r="AB57" i="9"/>
  <c r="D57" i="9" s="1"/>
  <c r="AA57" i="9"/>
  <c r="Z57" i="9"/>
  <c r="Y57" i="9"/>
  <c r="I57" i="9"/>
  <c r="H57" i="9"/>
  <c r="G57" i="9"/>
  <c r="C57" i="9"/>
  <c r="AG56" i="9"/>
  <c r="AF56" i="9"/>
  <c r="AD56" i="9"/>
  <c r="AC56" i="9"/>
  <c r="AB56" i="9" s="1"/>
  <c r="Z56" i="9"/>
  <c r="Y56" i="9"/>
  <c r="H56" i="9" s="1"/>
  <c r="D56" i="9"/>
  <c r="AG55" i="9"/>
  <c r="F55" i="9" s="1"/>
  <c r="AF55" i="9"/>
  <c r="AD55" i="9"/>
  <c r="AC55" i="9"/>
  <c r="Z55" i="9"/>
  <c r="AA55" i="9" s="1"/>
  <c r="Y55" i="9"/>
  <c r="I55" i="9"/>
  <c r="G55" i="9"/>
  <c r="C55" i="9"/>
  <c r="AG54" i="9"/>
  <c r="F54" i="9" s="1"/>
  <c r="AF54" i="9"/>
  <c r="AE54" i="9"/>
  <c r="AD54" i="9"/>
  <c r="AC54" i="9"/>
  <c r="AB54" i="9"/>
  <c r="D54" i="9" s="1"/>
  <c r="AA54" i="9"/>
  <c r="Z54" i="9"/>
  <c r="Y54" i="9"/>
  <c r="I54" i="9"/>
  <c r="C54" i="9"/>
  <c r="A54" i="9"/>
  <c r="AG53" i="9"/>
  <c r="AF53" i="9"/>
  <c r="AD53" i="9"/>
  <c r="AE53" i="9" s="1"/>
  <c r="AC53" i="9"/>
  <c r="AB53" i="9" s="1"/>
  <c r="D53" i="9" s="1"/>
  <c r="AA53" i="9"/>
  <c r="C53" i="9" s="1"/>
  <c r="Z53" i="9"/>
  <c r="Y53" i="9"/>
  <c r="H53" i="9" s="1"/>
  <c r="J53" i="9"/>
  <c r="I53" i="9"/>
  <c r="AG52" i="9"/>
  <c r="AF52" i="9"/>
  <c r="AE52" i="9"/>
  <c r="A52" i="9" s="1"/>
  <c r="AD52" i="9"/>
  <c r="AC52" i="9"/>
  <c r="Z52" i="9"/>
  <c r="AA52" i="9" s="1"/>
  <c r="Y52" i="9"/>
  <c r="I52" i="9"/>
  <c r="C52" i="9"/>
  <c r="AH51" i="9"/>
  <c r="AG51" i="9"/>
  <c r="AF51" i="9"/>
  <c r="AE51" i="9"/>
  <c r="AD51" i="9"/>
  <c r="AC51" i="9"/>
  <c r="AB51" i="9"/>
  <c r="D51" i="9" s="1"/>
  <c r="Z51" i="9"/>
  <c r="Y51" i="9"/>
  <c r="J51" i="9" s="1"/>
  <c r="I51" i="9"/>
  <c r="G51" i="9"/>
  <c r="F51" i="9"/>
  <c r="B51" i="9"/>
  <c r="A51" i="9"/>
  <c r="AH50" i="9"/>
  <c r="B50" i="9" s="1"/>
  <c r="AG50" i="9"/>
  <c r="F50" i="9" s="1"/>
  <c r="AF50" i="9"/>
  <c r="AD50" i="9"/>
  <c r="AC50" i="9"/>
  <c r="AB50" i="9"/>
  <c r="D50" i="9" s="1"/>
  <c r="Z50" i="9"/>
  <c r="Y50" i="9"/>
  <c r="AA50" i="9" s="1"/>
  <c r="J50" i="9"/>
  <c r="H50" i="9"/>
  <c r="C50" i="9"/>
  <c r="AG49" i="9"/>
  <c r="AF49" i="9"/>
  <c r="AD49" i="9"/>
  <c r="AC49" i="9"/>
  <c r="AB49" i="9" s="1"/>
  <c r="D49" i="9" s="1"/>
  <c r="AA49" i="9"/>
  <c r="C49" i="9" s="1"/>
  <c r="Z49" i="9"/>
  <c r="Y49" i="9"/>
  <c r="H49" i="9" s="1"/>
  <c r="J49" i="9"/>
  <c r="I49" i="9"/>
  <c r="F49" i="9"/>
  <c r="AG48" i="9"/>
  <c r="H48" i="9" s="1"/>
  <c r="AF48" i="9"/>
  <c r="AD48" i="9"/>
  <c r="AC48" i="9"/>
  <c r="AA48" i="9"/>
  <c r="C48" i="9" s="1"/>
  <c r="Z48" i="9"/>
  <c r="Y48" i="9"/>
  <c r="I48" i="9"/>
  <c r="G48" i="9"/>
  <c r="F48" i="9"/>
  <c r="AG47" i="9"/>
  <c r="AF47" i="9"/>
  <c r="AD47" i="9"/>
  <c r="AC47" i="9"/>
  <c r="AA47" i="9"/>
  <c r="C47" i="9" s="1"/>
  <c r="Z47" i="9"/>
  <c r="Y47" i="9"/>
  <c r="I47" i="9"/>
  <c r="G47" i="9"/>
  <c r="AG46" i="9"/>
  <c r="AF46" i="9"/>
  <c r="AD46" i="9"/>
  <c r="AC46" i="9"/>
  <c r="Z46" i="9"/>
  <c r="AA46" i="9" s="1"/>
  <c r="C46" i="9" s="1"/>
  <c r="Y46" i="9"/>
  <c r="I46" i="9"/>
  <c r="G46" i="9"/>
  <c r="AG45" i="9"/>
  <c r="AF45" i="9"/>
  <c r="AD45" i="9"/>
  <c r="AC45" i="9"/>
  <c r="AE45" i="9" s="1"/>
  <c r="A45" i="9" s="1"/>
  <c r="Z45" i="9"/>
  <c r="AA45" i="9" s="1"/>
  <c r="C45" i="9" s="1"/>
  <c r="Y45" i="9"/>
  <c r="I45" i="9"/>
  <c r="H45" i="9"/>
  <c r="G45" i="9"/>
  <c r="AH44" i="9"/>
  <c r="B44" i="9" s="1"/>
  <c r="AG44" i="9"/>
  <c r="F44" i="9" s="1"/>
  <c r="AF44" i="9"/>
  <c r="AD44" i="9"/>
  <c r="AC44" i="9"/>
  <c r="AE44" i="9" s="1"/>
  <c r="A44" i="9" s="1"/>
  <c r="E44" i="9" s="1"/>
  <c r="AB44" i="9"/>
  <c r="D44" i="9" s="1"/>
  <c r="AA44" i="9"/>
  <c r="C44" i="9" s="1"/>
  <c r="Z44" i="9"/>
  <c r="Y44" i="9"/>
  <c r="I44" i="9"/>
  <c r="H44" i="9"/>
  <c r="G44" i="9"/>
  <c r="AG43" i="9"/>
  <c r="AF43" i="9"/>
  <c r="AD43" i="9"/>
  <c r="AC43" i="9"/>
  <c r="AB43" i="9" s="1"/>
  <c r="Z43" i="9"/>
  <c r="Y43" i="9"/>
  <c r="D43" i="9"/>
  <c r="A43" i="9"/>
  <c r="AG42" i="9"/>
  <c r="AH42" i="9" s="1"/>
  <c r="AF42" i="9"/>
  <c r="AE42" i="9"/>
  <c r="A42" i="9" s="1"/>
  <c r="AD42" i="9"/>
  <c r="AC42" i="9"/>
  <c r="AB42" i="9"/>
  <c r="D42" i="9" s="1"/>
  <c r="Z42" i="9"/>
  <c r="Y42" i="9"/>
  <c r="F42" i="9"/>
  <c r="AG41" i="9"/>
  <c r="AF41" i="9"/>
  <c r="AE41" i="9"/>
  <c r="AD41" i="9"/>
  <c r="AC41" i="9"/>
  <c r="AB41" i="9"/>
  <c r="AA41" i="9"/>
  <c r="C41" i="9" s="1"/>
  <c r="Z41" i="9"/>
  <c r="Y41" i="9"/>
  <c r="L41" i="9"/>
  <c r="H41" i="9"/>
  <c r="D41" i="9"/>
  <c r="AG40" i="9"/>
  <c r="AF40" i="9"/>
  <c r="AE40" i="9"/>
  <c r="A40" i="9" s="1"/>
  <c r="AD40" i="9"/>
  <c r="AC40" i="9"/>
  <c r="AB40" i="9"/>
  <c r="D40" i="9" s="1"/>
  <c r="Z40" i="9"/>
  <c r="Y40" i="9"/>
  <c r="G40" i="9" s="1"/>
  <c r="AG39" i="9"/>
  <c r="AF39" i="9"/>
  <c r="AD39" i="9"/>
  <c r="AC39" i="9"/>
  <c r="AB39" i="9"/>
  <c r="AA39" i="9"/>
  <c r="C39" i="9" s="1"/>
  <c r="Z39" i="9"/>
  <c r="Y39" i="9"/>
  <c r="J39" i="9"/>
  <c r="H39" i="9"/>
  <c r="D39" i="9"/>
  <c r="AH38" i="9"/>
  <c r="AG38" i="9"/>
  <c r="AF38" i="9"/>
  <c r="B38" i="9" s="1"/>
  <c r="AE38" i="9"/>
  <c r="AD38" i="9"/>
  <c r="AC38" i="9"/>
  <c r="A38" i="9" s="1"/>
  <c r="AB38" i="9"/>
  <c r="D38" i="9" s="1"/>
  <c r="Z38" i="9"/>
  <c r="Y38" i="9"/>
  <c r="J38" i="9"/>
  <c r="F38" i="9"/>
  <c r="AH37" i="9"/>
  <c r="B37" i="9" s="1"/>
  <c r="AG37" i="9"/>
  <c r="F37" i="9" s="1"/>
  <c r="AF37" i="9"/>
  <c r="AE37" i="9"/>
  <c r="A37" i="9" s="1"/>
  <c r="AD37" i="9"/>
  <c r="AC37" i="9"/>
  <c r="AB37" i="9"/>
  <c r="D37" i="9" s="1"/>
  <c r="Z37" i="9"/>
  <c r="Y37" i="9"/>
  <c r="AA37" i="9" s="1"/>
  <c r="C37" i="9" s="1"/>
  <c r="H37" i="9"/>
  <c r="G37" i="9"/>
  <c r="AG36" i="9"/>
  <c r="H36" i="9" s="1"/>
  <c r="AF36" i="9"/>
  <c r="AD36" i="9"/>
  <c r="AC36" i="9"/>
  <c r="AA36" i="9"/>
  <c r="Z36" i="9"/>
  <c r="Y36" i="9"/>
  <c r="I36" i="9"/>
  <c r="G36" i="9"/>
  <c r="C36" i="9"/>
  <c r="AG35" i="9"/>
  <c r="AF35" i="9"/>
  <c r="AH35" i="9" s="1"/>
  <c r="B35" i="9" s="1"/>
  <c r="AD35" i="9"/>
  <c r="G35" i="9" s="1"/>
  <c r="AC35" i="9"/>
  <c r="Z35" i="9"/>
  <c r="Y35" i="9"/>
  <c r="J35" i="9" s="1"/>
  <c r="H35" i="9"/>
  <c r="F35" i="9"/>
  <c r="AG34" i="9"/>
  <c r="AF34" i="9"/>
  <c r="AD34" i="9"/>
  <c r="I34" i="9" s="1"/>
  <c r="AC34" i="9"/>
  <c r="AB34" i="9"/>
  <c r="AA34" i="9"/>
  <c r="C34" i="9" s="1"/>
  <c r="Z34" i="9"/>
  <c r="Y34" i="9"/>
  <c r="D34" i="9"/>
  <c r="AG33" i="9"/>
  <c r="H33" i="9" s="1"/>
  <c r="AF33" i="9"/>
  <c r="AD33" i="9"/>
  <c r="G33" i="9" s="1"/>
  <c r="AC33" i="9"/>
  <c r="Z33" i="9"/>
  <c r="AA33" i="9" s="1"/>
  <c r="C33" i="9" s="1"/>
  <c r="Y33" i="9"/>
  <c r="I33" i="9"/>
  <c r="AH32" i="9"/>
  <c r="B32" i="9" s="1"/>
  <c r="AG32" i="9"/>
  <c r="AF32" i="9"/>
  <c r="F32" i="9" s="1"/>
  <c r="AE32" i="9"/>
  <c r="AD32" i="9"/>
  <c r="G32" i="9" s="1"/>
  <c r="AC32" i="9"/>
  <c r="Z32" i="9"/>
  <c r="AA32" i="9" s="1"/>
  <c r="C32" i="9" s="1"/>
  <c r="Y32" i="9"/>
  <c r="J32" i="9" s="1"/>
  <c r="I32" i="9"/>
  <c r="H32" i="9"/>
  <c r="AG31" i="9"/>
  <c r="AF31" i="9"/>
  <c r="AD31" i="9"/>
  <c r="AC31" i="9"/>
  <c r="AB31" i="9"/>
  <c r="D31" i="9" s="1"/>
  <c r="AA31" i="9"/>
  <c r="C31" i="9" s="1"/>
  <c r="Z31" i="9"/>
  <c r="Y31" i="9"/>
  <c r="AG30" i="9"/>
  <c r="H30" i="9" s="1"/>
  <c r="AF30" i="9"/>
  <c r="AD30" i="9"/>
  <c r="AC30" i="9"/>
  <c r="Z30" i="9"/>
  <c r="AA30" i="9" s="1"/>
  <c r="C30" i="9" s="1"/>
  <c r="Y30" i="9"/>
  <c r="J30" i="9"/>
  <c r="I30" i="9"/>
  <c r="F30" i="9"/>
  <c r="AH29" i="9"/>
  <c r="B29" i="9" s="1"/>
  <c r="AG29" i="9"/>
  <c r="AF29" i="9"/>
  <c r="F29" i="9" s="1"/>
  <c r="AE29" i="9"/>
  <c r="AD29" i="9"/>
  <c r="AC29" i="9"/>
  <c r="AB29" i="9"/>
  <c r="D29" i="9" s="1"/>
  <c r="Z29" i="9"/>
  <c r="Y29" i="9"/>
  <c r="I29" i="9"/>
  <c r="AH28" i="9"/>
  <c r="B28" i="9" s="1"/>
  <c r="AG28" i="9"/>
  <c r="F28" i="9" s="1"/>
  <c r="AF28" i="9"/>
  <c r="AE28" i="9"/>
  <c r="A28" i="9" s="1"/>
  <c r="AD28" i="9"/>
  <c r="AC28" i="9"/>
  <c r="AB28" i="9"/>
  <c r="D28" i="9" s="1"/>
  <c r="Z28" i="9"/>
  <c r="Y28" i="9"/>
  <c r="G28" i="9" s="1"/>
  <c r="H28" i="9"/>
  <c r="AG27" i="9"/>
  <c r="H27" i="9" s="1"/>
  <c r="AF27" i="9"/>
  <c r="AD27" i="9"/>
  <c r="AC27" i="9"/>
  <c r="AA27" i="9"/>
  <c r="Z27" i="9"/>
  <c r="Y27" i="9"/>
  <c r="I27" i="9"/>
  <c r="G27" i="9"/>
  <c r="C27" i="9"/>
  <c r="AG26" i="9"/>
  <c r="AF26" i="9"/>
  <c r="AH26" i="9" s="1"/>
  <c r="AD26" i="9"/>
  <c r="AC26" i="9"/>
  <c r="Z26" i="9"/>
  <c r="Y26" i="9"/>
  <c r="F26" i="9"/>
  <c r="B26" i="9"/>
  <c r="AG25" i="9"/>
  <c r="AF25" i="9"/>
  <c r="AD25" i="9"/>
  <c r="I25" i="9" s="1"/>
  <c r="AC25" i="9"/>
  <c r="AB25" i="9"/>
  <c r="AA25" i="9"/>
  <c r="C25" i="9" s="1"/>
  <c r="Z25" i="9"/>
  <c r="Y25" i="9"/>
  <c r="H25" i="9"/>
  <c r="D25" i="9"/>
  <c r="AG24" i="9"/>
  <c r="AF24" i="9"/>
  <c r="AD24" i="9"/>
  <c r="G24" i="9" s="1"/>
  <c r="AC24" i="9"/>
  <c r="Z24" i="9"/>
  <c r="AA24" i="9" s="1"/>
  <c r="Y24" i="9"/>
  <c r="I24" i="9"/>
  <c r="C24" i="9"/>
  <c r="AH23" i="9"/>
  <c r="B23" i="9" s="1"/>
  <c r="E23" i="9" s="1"/>
  <c r="AG23" i="9"/>
  <c r="AF23" i="9"/>
  <c r="F23" i="9" s="1"/>
  <c r="AE23" i="9"/>
  <c r="AD23" i="9"/>
  <c r="G23" i="9" s="1"/>
  <c r="AC23" i="9"/>
  <c r="A23" i="9" s="1"/>
  <c r="AB23" i="9"/>
  <c r="D23" i="9" s="1"/>
  <c r="Z23" i="9"/>
  <c r="AA23" i="9" s="1"/>
  <c r="Y23" i="9"/>
  <c r="J23" i="9" s="1"/>
  <c r="I23" i="9"/>
  <c r="H23" i="9"/>
  <c r="C23" i="9"/>
  <c r="AG22" i="9"/>
  <c r="AH22" i="9" s="1"/>
  <c r="AF22" i="9"/>
  <c r="AE22" i="9"/>
  <c r="AD22" i="9"/>
  <c r="AC22" i="9"/>
  <c r="AB22" i="9"/>
  <c r="Z22" i="9"/>
  <c r="Y22" i="9"/>
  <c r="H22" i="9" s="1"/>
  <c r="F22" i="9"/>
  <c r="D22" i="9"/>
  <c r="B22" i="9"/>
  <c r="AG21" i="9"/>
  <c r="F21" i="9" s="1"/>
  <c r="AF21" i="9"/>
  <c r="AD21" i="9"/>
  <c r="G21" i="9" s="1"/>
  <c r="AC21" i="9"/>
  <c r="Z21" i="9"/>
  <c r="AA21" i="9" s="1"/>
  <c r="C21" i="9" s="1"/>
  <c r="Y21" i="9"/>
  <c r="J21" i="9"/>
  <c r="I21" i="9"/>
  <c r="AH20" i="9"/>
  <c r="AG20" i="9"/>
  <c r="AF20" i="9"/>
  <c r="AD20" i="9"/>
  <c r="G20" i="9" s="1"/>
  <c r="AC20" i="9"/>
  <c r="Z20" i="9"/>
  <c r="Y20" i="9"/>
  <c r="J20" i="9"/>
  <c r="H20" i="9"/>
  <c r="F20" i="9"/>
  <c r="B20" i="9"/>
  <c r="AG19" i="9"/>
  <c r="AF19" i="9"/>
  <c r="AD19" i="9"/>
  <c r="AC19" i="9"/>
  <c r="Z19" i="9"/>
  <c r="Y19" i="9"/>
  <c r="J19" i="9"/>
  <c r="H19" i="9"/>
  <c r="AG18" i="9"/>
  <c r="J18" i="9" s="1"/>
  <c r="AF18" i="9"/>
  <c r="AD18" i="9"/>
  <c r="AC18" i="9"/>
  <c r="AE18" i="9" s="1"/>
  <c r="Z18" i="9"/>
  <c r="AA18" i="9" s="1"/>
  <c r="C18" i="9" s="1"/>
  <c r="Y18" i="9"/>
  <c r="I18" i="9"/>
  <c r="H18" i="9"/>
  <c r="G18" i="9"/>
  <c r="AG17" i="9"/>
  <c r="AF17" i="9"/>
  <c r="AD17" i="9"/>
  <c r="G17" i="9" s="1"/>
  <c r="AC17" i="9"/>
  <c r="Z17" i="9"/>
  <c r="Y17" i="9"/>
  <c r="J17" i="9" s="1"/>
  <c r="AH16" i="9"/>
  <c r="AG16" i="9"/>
  <c r="AF16" i="9"/>
  <c r="F16" i="9" s="1"/>
  <c r="AE16" i="9"/>
  <c r="A16" i="9" s="1"/>
  <c r="AD16" i="9"/>
  <c r="AC16" i="9"/>
  <c r="AB16" i="9"/>
  <c r="D16" i="9" s="1"/>
  <c r="Z16" i="9"/>
  <c r="AA16" i="9" s="1"/>
  <c r="C16" i="9" s="1"/>
  <c r="Y16" i="9"/>
  <c r="J16" i="9" s="1"/>
  <c r="H16" i="9"/>
  <c r="G16" i="9"/>
  <c r="AH15" i="9"/>
  <c r="AG15" i="9"/>
  <c r="AF15" i="9"/>
  <c r="F15" i="9" s="1"/>
  <c r="AD15" i="9"/>
  <c r="I15" i="9" s="1"/>
  <c r="AC15" i="9"/>
  <c r="AB15" i="9"/>
  <c r="D15" i="9" s="1"/>
  <c r="AA15" i="9"/>
  <c r="Z15" i="9"/>
  <c r="Y15" i="9"/>
  <c r="J15" i="9"/>
  <c r="H15" i="9"/>
  <c r="C15" i="9"/>
  <c r="AH14" i="9"/>
  <c r="AG14" i="9"/>
  <c r="AF14" i="9"/>
  <c r="AE14" i="9"/>
  <c r="AD14" i="9"/>
  <c r="AC14" i="9"/>
  <c r="AB14" i="9"/>
  <c r="D14" i="9" s="1"/>
  <c r="Z14" i="9"/>
  <c r="Y14" i="9"/>
  <c r="I14" i="9" s="1"/>
  <c r="J14" i="9"/>
  <c r="H14" i="9"/>
  <c r="F14" i="9"/>
  <c r="AH13" i="9"/>
  <c r="AG13" i="9"/>
  <c r="AF13" i="9"/>
  <c r="AD13" i="9"/>
  <c r="G13" i="9" s="1"/>
  <c r="AC13" i="9"/>
  <c r="AB13" i="9"/>
  <c r="D13" i="9" s="1"/>
  <c r="AA13" i="9"/>
  <c r="C13" i="9" s="1"/>
  <c r="Z13" i="9"/>
  <c r="Y13" i="9"/>
  <c r="H13" i="9" s="1"/>
  <c r="J13" i="9"/>
  <c r="F13" i="9"/>
  <c r="B13" i="9"/>
  <c r="AG12" i="9"/>
  <c r="AF12" i="9"/>
  <c r="AD12" i="9"/>
  <c r="AC12" i="9"/>
  <c r="AA12" i="9"/>
  <c r="C12" i="9" s="1"/>
  <c r="Z12" i="9"/>
  <c r="Y12" i="9"/>
  <c r="I12" i="9"/>
  <c r="G12" i="9"/>
  <c r="F12" i="9"/>
  <c r="AH11" i="9"/>
  <c r="AG11" i="9"/>
  <c r="AF11" i="9"/>
  <c r="AD11" i="9"/>
  <c r="AC11" i="9"/>
  <c r="AB11" i="9"/>
  <c r="D11" i="9" s="1"/>
  <c r="Z11" i="9"/>
  <c r="AA11" i="9" s="1"/>
  <c r="C11" i="9" s="1"/>
  <c r="Y11" i="9"/>
  <c r="H11" i="9" s="1"/>
  <c r="J11" i="9"/>
  <c r="I11" i="9"/>
  <c r="F11" i="9"/>
  <c r="B11" i="9"/>
  <c r="AG10" i="9"/>
  <c r="J10" i="9" s="1"/>
  <c r="AF10" i="9"/>
  <c r="F10" i="9" s="1"/>
  <c r="AD10" i="9"/>
  <c r="I10" i="9" s="1"/>
  <c r="AC10" i="9"/>
  <c r="AA10" i="9"/>
  <c r="C10" i="9" s="1"/>
  <c r="Z10" i="9"/>
  <c r="AB10" i="9" s="1"/>
  <c r="D10" i="9" s="1"/>
  <c r="Y10" i="9"/>
  <c r="H10" i="9"/>
  <c r="AG9" i="9"/>
  <c r="J9" i="9" s="1"/>
  <c r="AF9" i="9"/>
  <c r="F9" i="9" s="1"/>
  <c r="AD9" i="9"/>
  <c r="G9" i="9" s="1"/>
  <c r="AC9" i="9"/>
  <c r="AE9" i="9" s="1"/>
  <c r="Z9" i="9"/>
  <c r="AA9" i="9" s="1"/>
  <c r="C9" i="9" s="1"/>
  <c r="Y9" i="9"/>
  <c r="I9" i="9"/>
  <c r="H9" i="9"/>
  <c r="A9" i="9"/>
  <c r="AG8" i="9"/>
  <c r="AF8" i="9"/>
  <c r="AD8" i="9"/>
  <c r="AC8" i="9"/>
  <c r="Z8" i="9"/>
  <c r="Y8" i="9"/>
  <c r="AG7" i="9"/>
  <c r="AF7" i="9"/>
  <c r="AE7" i="9"/>
  <c r="AD7" i="9"/>
  <c r="AC7" i="9"/>
  <c r="Z7" i="9"/>
  <c r="Y7" i="9"/>
  <c r="A7" i="9"/>
  <c r="AH6" i="9"/>
  <c r="AG6" i="9"/>
  <c r="AF6" i="9"/>
  <c r="AD6" i="9"/>
  <c r="I6" i="9" s="1"/>
  <c r="AC6" i="9"/>
  <c r="AB6" i="9"/>
  <c r="AA6" i="9"/>
  <c r="Z6" i="9"/>
  <c r="Y6" i="9"/>
  <c r="J6" i="9"/>
  <c r="H6" i="9"/>
  <c r="D6" i="9"/>
  <c r="C6" i="9"/>
  <c r="AH5" i="9"/>
  <c r="AG5" i="9"/>
  <c r="AF5" i="9"/>
  <c r="AE5" i="9"/>
  <c r="AD5" i="9"/>
  <c r="AC5" i="9"/>
  <c r="AB5" i="9"/>
  <c r="Z5" i="9"/>
  <c r="Y5" i="9"/>
  <c r="I5" i="9" s="1"/>
  <c r="J5" i="9"/>
  <c r="H5" i="9"/>
  <c r="D5" i="9"/>
  <c r="AG4" i="9"/>
  <c r="J4" i="9" s="1"/>
  <c r="AF4" i="9"/>
  <c r="AD4" i="9"/>
  <c r="AC4" i="9"/>
  <c r="AB4" i="9"/>
  <c r="AA4" i="9"/>
  <c r="C4" i="9" s="1"/>
  <c r="Z4" i="9"/>
  <c r="Y4" i="9"/>
  <c r="G4" i="9"/>
  <c r="D4" i="9"/>
  <c r="B4" i="9"/>
  <c r="AG3" i="9"/>
  <c r="H3" i="9" s="1"/>
  <c r="AF3" i="9"/>
  <c r="AD3" i="9"/>
  <c r="AC3" i="9"/>
  <c r="AA3" i="9"/>
  <c r="C3" i="9" s="1"/>
  <c r="Z3" i="9"/>
  <c r="Y3" i="9"/>
  <c r="J3" i="9"/>
  <c r="I3" i="9"/>
  <c r="G3" i="9"/>
  <c r="F3" i="9"/>
  <c r="B3" i="9"/>
  <c r="AH2" i="9"/>
  <c r="AG2" i="9"/>
  <c r="AF2" i="9"/>
  <c r="AE2" i="9"/>
  <c r="AD2" i="9"/>
  <c r="G2" i="9" s="1"/>
  <c r="AC2" i="9"/>
  <c r="AB2" i="9"/>
  <c r="D2" i="9" s="1"/>
  <c r="Z2" i="9"/>
  <c r="AA2" i="9" s="1"/>
  <c r="Y2" i="9"/>
  <c r="J2" i="9"/>
  <c r="I2" i="9"/>
  <c r="H2" i="9"/>
  <c r="F2" i="9"/>
  <c r="C2" i="9"/>
  <c r="B2" i="9"/>
  <c r="D80" i="8"/>
  <c r="C80" i="8"/>
  <c r="A80" i="8"/>
  <c r="F79" i="8"/>
  <c r="C79" i="8"/>
  <c r="F78" i="8"/>
  <c r="C78" i="8"/>
  <c r="F77" i="8"/>
  <c r="C77" i="8"/>
  <c r="F76" i="8"/>
  <c r="C76" i="8"/>
  <c r="F75" i="8"/>
  <c r="C75" i="8"/>
  <c r="F74" i="8"/>
  <c r="C74" i="8"/>
  <c r="D70" i="8"/>
  <c r="A70" i="8"/>
  <c r="F69" i="8"/>
  <c r="C69" i="8"/>
  <c r="F68" i="8"/>
  <c r="C68" i="8"/>
  <c r="F67" i="8"/>
  <c r="C67" i="8"/>
  <c r="F66" i="8"/>
  <c r="C66" i="8"/>
  <c r="F65" i="8"/>
  <c r="C65" i="8"/>
  <c r="C70" i="8" s="1"/>
  <c r="B70" i="8" s="1"/>
  <c r="B71" i="8" s="1"/>
  <c r="F64" i="8"/>
  <c r="C64" i="8"/>
  <c r="BA46" i="8"/>
  <c r="AK45" i="8"/>
  <c r="AD45" i="8"/>
  <c r="W45" i="8"/>
  <c r="P45" i="8"/>
  <c r="I45" i="8"/>
  <c r="B45" i="8"/>
  <c r="BD44" i="8"/>
  <c r="AE44" i="8" s="1"/>
  <c r="AM44" i="8"/>
  <c r="AJ44" i="8"/>
  <c r="AF44" i="8"/>
  <c r="AC44" i="8"/>
  <c r="Y44" i="8"/>
  <c r="V44" i="8"/>
  <c r="R44" i="8"/>
  <c r="O44" i="8"/>
  <c r="K44" i="8"/>
  <c r="H44" i="8"/>
  <c r="D44" i="8"/>
  <c r="E50" i="8" s="1"/>
  <c r="A44" i="8"/>
  <c r="AM42" i="8"/>
  <c r="AJ42" i="8"/>
  <c r="AH42" i="8"/>
  <c r="AG42" i="8"/>
  <c r="AF42" i="8"/>
  <c r="AC42" i="8"/>
  <c r="Y42" i="8"/>
  <c r="X42" i="8"/>
  <c r="W42" i="8"/>
  <c r="V42" i="8"/>
  <c r="R42" i="8"/>
  <c r="O42" i="8"/>
  <c r="M42" i="8"/>
  <c r="L42" i="8"/>
  <c r="K42" i="8"/>
  <c r="H42" i="8"/>
  <c r="D42" i="8"/>
  <c r="C42" i="8"/>
  <c r="AR46" i="8" s="1"/>
  <c r="B42" i="8"/>
  <c r="A42" i="8"/>
  <c r="BF41" i="8"/>
  <c r="BA41" i="8"/>
  <c r="AW41" i="8"/>
  <c r="AR41" i="8"/>
  <c r="AO41" i="8"/>
  <c r="BG41" i="8" s="1"/>
  <c r="AL41" i="8"/>
  <c r="AH41" i="8"/>
  <c r="BD41" i="8" s="1"/>
  <c r="AE41" i="8"/>
  <c r="BC41" i="8" s="1"/>
  <c r="AA41" i="8"/>
  <c r="X41" i="8"/>
  <c r="AZ41" i="8" s="1"/>
  <c r="T41" i="8"/>
  <c r="AX41" i="8" s="1"/>
  <c r="Q41" i="8"/>
  <c r="M41" i="8"/>
  <c r="AU41" i="8" s="1"/>
  <c r="J41" i="8"/>
  <c r="AT41" i="8" s="1"/>
  <c r="F41" i="8"/>
  <c r="C41" i="8"/>
  <c r="AQ41" i="8" s="1"/>
  <c r="BG40" i="8"/>
  <c r="BC40" i="8"/>
  <c r="BA40" i="8"/>
  <c r="AT40" i="8"/>
  <c r="AO40" i="8"/>
  <c r="AL40" i="8"/>
  <c r="BF40" i="8" s="1"/>
  <c r="AH40" i="8"/>
  <c r="BD40" i="8" s="1"/>
  <c r="AE40" i="8"/>
  <c r="AA40" i="8"/>
  <c r="X40" i="8"/>
  <c r="AZ40" i="8" s="1"/>
  <c r="T40" i="8"/>
  <c r="AX40" i="8" s="1"/>
  <c r="Q40" i="8"/>
  <c r="AW40" i="8" s="1"/>
  <c r="M40" i="8"/>
  <c r="AU40" i="8" s="1"/>
  <c r="J40" i="8"/>
  <c r="F40" i="8"/>
  <c r="AR40" i="8" s="1"/>
  <c r="C40" i="8"/>
  <c r="AQ40" i="8" s="1"/>
  <c r="BG39" i="8"/>
  <c r="BF39" i="8"/>
  <c r="AX39" i="8"/>
  <c r="AT39" i="8"/>
  <c r="AR39" i="8"/>
  <c r="AO39" i="8"/>
  <c r="AL39" i="8"/>
  <c r="AH39" i="8"/>
  <c r="BD39" i="8" s="1"/>
  <c r="AE39" i="8"/>
  <c r="BC39" i="8" s="1"/>
  <c r="AA39" i="8"/>
  <c r="BA39" i="8" s="1"/>
  <c r="X39" i="8"/>
  <c r="AZ39" i="8" s="1"/>
  <c r="T39" i="8"/>
  <c r="Q39" i="8"/>
  <c r="AW39" i="8" s="1"/>
  <c r="M39" i="8"/>
  <c r="AU39" i="8" s="1"/>
  <c r="J39" i="8"/>
  <c r="F39" i="8"/>
  <c r="C39" i="8"/>
  <c r="AQ39" i="8" s="1"/>
  <c r="BF38" i="8"/>
  <c r="BA38" i="8"/>
  <c r="AW38" i="8"/>
  <c r="AR38" i="8"/>
  <c r="AO38" i="8"/>
  <c r="BG38" i="8" s="1"/>
  <c r="AL38" i="8"/>
  <c r="AH38" i="8"/>
  <c r="BD38" i="8" s="1"/>
  <c r="AE38" i="8"/>
  <c r="BC38" i="8" s="1"/>
  <c r="AA38" i="8"/>
  <c r="X38" i="8"/>
  <c r="AZ38" i="8" s="1"/>
  <c r="T38" i="8"/>
  <c r="AX38" i="8" s="1"/>
  <c r="Q38" i="8"/>
  <c r="M38" i="8"/>
  <c r="AU38" i="8" s="1"/>
  <c r="J38" i="8"/>
  <c r="AT38" i="8" s="1"/>
  <c r="F38" i="8"/>
  <c r="C38" i="8"/>
  <c r="AQ38" i="8" s="1"/>
  <c r="BG37" i="8"/>
  <c r="BC37" i="8"/>
  <c r="BA37" i="8"/>
  <c r="AT37" i="8"/>
  <c r="AO37" i="8"/>
  <c r="AL37" i="8"/>
  <c r="BF37" i="8" s="1"/>
  <c r="AH37" i="8"/>
  <c r="BD37" i="8" s="1"/>
  <c r="AE37" i="8"/>
  <c r="AA37" i="8"/>
  <c r="X37" i="8"/>
  <c r="AZ37" i="8" s="1"/>
  <c r="T37" i="8"/>
  <c r="AX37" i="8" s="1"/>
  <c r="Q37" i="8"/>
  <c r="AW37" i="8" s="1"/>
  <c r="M37" i="8"/>
  <c r="AU37" i="8" s="1"/>
  <c r="J37" i="8"/>
  <c r="F37" i="8"/>
  <c r="AR37" i="8" s="1"/>
  <c r="C37" i="8"/>
  <c r="AQ37" i="8" s="1"/>
  <c r="BG36" i="8"/>
  <c r="BF36" i="8"/>
  <c r="AX36" i="8"/>
  <c r="AT36" i="8"/>
  <c r="AR36" i="8"/>
  <c r="AO36" i="8"/>
  <c r="AL36" i="8"/>
  <c r="AH36" i="8"/>
  <c r="BD36" i="8" s="1"/>
  <c r="AE36" i="8"/>
  <c r="BC36" i="8" s="1"/>
  <c r="AA36" i="8"/>
  <c r="BA36" i="8" s="1"/>
  <c r="X36" i="8"/>
  <c r="AZ36" i="8" s="1"/>
  <c r="T36" i="8"/>
  <c r="Q36" i="8"/>
  <c r="AW36" i="8" s="1"/>
  <c r="M36" i="8"/>
  <c r="AU36" i="8" s="1"/>
  <c r="J36" i="8"/>
  <c r="F36" i="8"/>
  <c r="C36" i="8"/>
  <c r="AQ36" i="8" s="1"/>
  <c r="BF35" i="8"/>
  <c r="BA35" i="8"/>
  <c r="AW35" i="8"/>
  <c r="AR35" i="8"/>
  <c r="AO35" i="8"/>
  <c r="BG35" i="8" s="1"/>
  <c r="AL35" i="8"/>
  <c r="AH35" i="8"/>
  <c r="BD35" i="8" s="1"/>
  <c r="AE35" i="8"/>
  <c r="BC35" i="8" s="1"/>
  <c r="AA35" i="8"/>
  <c r="X35" i="8"/>
  <c r="AZ35" i="8" s="1"/>
  <c r="T35" i="8"/>
  <c r="AX35" i="8" s="1"/>
  <c r="Q35" i="8"/>
  <c r="M35" i="8"/>
  <c r="AU35" i="8" s="1"/>
  <c r="J35" i="8"/>
  <c r="AT35" i="8" s="1"/>
  <c r="F35" i="8"/>
  <c r="C35" i="8"/>
  <c r="AQ35" i="8" s="1"/>
  <c r="BG34" i="8"/>
  <c r="BC34" i="8"/>
  <c r="BA34" i="8"/>
  <c r="AT34" i="8"/>
  <c r="AO34" i="8"/>
  <c r="AL34" i="8"/>
  <c r="BF34" i="8" s="1"/>
  <c r="AH34" i="8"/>
  <c r="BD34" i="8" s="1"/>
  <c r="AE34" i="8"/>
  <c r="AA34" i="8"/>
  <c r="X34" i="8"/>
  <c r="AZ34" i="8" s="1"/>
  <c r="T34" i="8"/>
  <c r="AX34" i="8" s="1"/>
  <c r="Q34" i="8"/>
  <c r="AW34" i="8" s="1"/>
  <c r="M34" i="8"/>
  <c r="AU34" i="8" s="1"/>
  <c r="J34" i="8"/>
  <c r="F34" i="8"/>
  <c r="AR34" i="8" s="1"/>
  <c r="C34" i="8"/>
  <c r="AQ34" i="8" s="1"/>
  <c r="BG33" i="8"/>
  <c r="BF33" i="8"/>
  <c r="AX33" i="8"/>
  <c r="AT33" i="8"/>
  <c r="AR33" i="8"/>
  <c r="AO33" i="8"/>
  <c r="AL33" i="8"/>
  <c r="AH33" i="8"/>
  <c r="BD33" i="8" s="1"/>
  <c r="AE33" i="8"/>
  <c r="BC33" i="8" s="1"/>
  <c r="AA33" i="8"/>
  <c r="BA33" i="8" s="1"/>
  <c r="X33" i="8"/>
  <c r="AZ33" i="8" s="1"/>
  <c r="T33" i="8"/>
  <c r="Q33" i="8"/>
  <c r="AW33" i="8" s="1"/>
  <c r="M33" i="8"/>
  <c r="AU33" i="8" s="1"/>
  <c r="J33" i="8"/>
  <c r="F33" i="8"/>
  <c r="C33" i="8"/>
  <c r="AQ33" i="8" s="1"/>
  <c r="BF32" i="8"/>
  <c r="BA32" i="8"/>
  <c r="AW32" i="8"/>
  <c r="AR32" i="8"/>
  <c r="AO32" i="8"/>
  <c r="BG32" i="8" s="1"/>
  <c r="AL32" i="8"/>
  <c r="AH32" i="8"/>
  <c r="BD32" i="8" s="1"/>
  <c r="AE32" i="8"/>
  <c r="BC32" i="8" s="1"/>
  <c r="AA32" i="8"/>
  <c r="X32" i="8"/>
  <c r="AZ32" i="8" s="1"/>
  <c r="T32" i="8"/>
  <c r="AX32" i="8" s="1"/>
  <c r="Q32" i="8"/>
  <c r="M32" i="8"/>
  <c r="AU32" i="8" s="1"/>
  <c r="J32" i="8"/>
  <c r="AT32" i="8" s="1"/>
  <c r="F32" i="8"/>
  <c r="C32" i="8"/>
  <c r="AQ32" i="8" s="1"/>
  <c r="BG31" i="8"/>
  <c r="BC31" i="8"/>
  <c r="BA31" i="8"/>
  <c r="AT31" i="8"/>
  <c r="AO31" i="8"/>
  <c r="AL31" i="8"/>
  <c r="BF31" i="8" s="1"/>
  <c r="AH31" i="8"/>
  <c r="BD31" i="8" s="1"/>
  <c r="AE31" i="8"/>
  <c r="AA31" i="8"/>
  <c r="X31" i="8"/>
  <c r="AZ31" i="8" s="1"/>
  <c r="T31" i="8"/>
  <c r="AX31" i="8" s="1"/>
  <c r="Q31" i="8"/>
  <c r="AW31" i="8" s="1"/>
  <c r="M31" i="8"/>
  <c r="AU31" i="8" s="1"/>
  <c r="J31" i="8"/>
  <c r="F31" i="8"/>
  <c r="AR31" i="8" s="1"/>
  <c r="C31" i="8"/>
  <c r="AQ31" i="8" s="1"/>
  <c r="BG30" i="8"/>
  <c r="BF30" i="8"/>
  <c r="AX30" i="8"/>
  <c r="AT30" i="8"/>
  <c r="AR30" i="8"/>
  <c r="AO30" i="8"/>
  <c r="AL30" i="8"/>
  <c r="AH30" i="8"/>
  <c r="BD30" i="8" s="1"/>
  <c r="AE30" i="8"/>
  <c r="BC30" i="8" s="1"/>
  <c r="AA30" i="8"/>
  <c r="BA30" i="8" s="1"/>
  <c r="X30" i="8"/>
  <c r="AZ30" i="8" s="1"/>
  <c r="T30" i="8"/>
  <c r="Q30" i="8"/>
  <c r="AW30" i="8" s="1"/>
  <c r="M30" i="8"/>
  <c r="AU30" i="8" s="1"/>
  <c r="J30" i="8"/>
  <c r="F30" i="8"/>
  <c r="C30" i="8"/>
  <c r="AQ30" i="8" s="1"/>
  <c r="BF29" i="8"/>
  <c r="BA29" i="8"/>
  <c r="AW29" i="8"/>
  <c r="AR29" i="8"/>
  <c r="AO29" i="8"/>
  <c r="BG29" i="8" s="1"/>
  <c r="AL29" i="8"/>
  <c r="AH29" i="8"/>
  <c r="BD29" i="8" s="1"/>
  <c r="AE29" i="8"/>
  <c r="BC29" i="8" s="1"/>
  <c r="AA29" i="8"/>
  <c r="X29" i="8"/>
  <c r="AZ29" i="8" s="1"/>
  <c r="T29" i="8"/>
  <c r="AX29" i="8" s="1"/>
  <c r="Q29" i="8"/>
  <c r="M29" i="8"/>
  <c r="AU29" i="8" s="1"/>
  <c r="J29" i="8"/>
  <c r="AT29" i="8" s="1"/>
  <c r="F29" i="8"/>
  <c r="C29" i="8"/>
  <c r="AQ29" i="8" s="1"/>
  <c r="BG28" i="8"/>
  <c r="BC28" i="8"/>
  <c r="BA28" i="8"/>
  <c r="AT28" i="8"/>
  <c r="AO28" i="8"/>
  <c r="AL28" i="8"/>
  <c r="BF28" i="8" s="1"/>
  <c r="AH28" i="8"/>
  <c r="BD28" i="8" s="1"/>
  <c r="AE28" i="8"/>
  <c r="AA28" i="8"/>
  <c r="X28" i="8"/>
  <c r="AZ28" i="8" s="1"/>
  <c r="T28" i="8"/>
  <c r="AX28" i="8" s="1"/>
  <c r="Q28" i="8"/>
  <c r="AW28" i="8" s="1"/>
  <c r="M28" i="8"/>
  <c r="AU28" i="8" s="1"/>
  <c r="J28" i="8"/>
  <c r="F28" i="8"/>
  <c r="AR28" i="8" s="1"/>
  <c r="C28" i="8"/>
  <c r="AQ28" i="8" s="1"/>
  <c r="BG27" i="8"/>
  <c r="BF27" i="8"/>
  <c r="AX27" i="8"/>
  <c r="AT27" i="8"/>
  <c r="AR27" i="8"/>
  <c r="AO27" i="8"/>
  <c r="AL27" i="8"/>
  <c r="AH27" i="8"/>
  <c r="BD27" i="8" s="1"/>
  <c r="AE27" i="8"/>
  <c r="BC27" i="8" s="1"/>
  <c r="AA27" i="8"/>
  <c r="BA27" i="8" s="1"/>
  <c r="X27" i="8"/>
  <c r="AZ27" i="8" s="1"/>
  <c r="T27" i="8"/>
  <c r="Q27" i="8"/>
  <c r="AW27" i="8" s="1"/>
  <c r="M27" i="8"/>
  <c r="AU27" i="8" s="1"/>
  <c r="J27" i="8"/>
  <c r="F27" i="8"/>
  <c r="C27" i="8"/>
  <c r="AQ27" i="8" s="1"/>
  <c r="BF26" i="8"/>
  <c r="BA26" i="8"/>
  <c r="AW26" i="8"/>
  <c r="AR26" i="8"/>
  <c r="AO26" i="8"/>
  <c r="BG26" i="8" s="1"/>
  <c r="AL26" i="8"/>
  <c r="AH26" i="8"/>
  <c r="BD26" i="8" s="1"/>
  <c r="AE26" i="8"/>
  <c r="BC26" i="8" s="1"/>
  <c r="AA26" i="8"/>
  <c r="X26" i="8"/>
  <c r="AZ26" i="8" s="1"/>
  <c r="T26" i="8"/>
  <c r="AX26" i="8" s="1"/>
  <c r="Q26" i="8"/>
  <c r="M26" i="8"/>
  <c r="AU26" i="8" s="1"/>
  <c r="J26" i="8"/>
  <c r="AT26" i="8" s="1"/>
  <c r="F26" i="8"/>
  <c r="C26" i="8"/>
  <c r="AQ26" i="8" s="1"/>
  <c r="BG25" i="8"/>
  <c r="BC25" i="8"/>
  <c r="BA25" i="8"/>
  <c r="AT25" i="8"/>
  <c r="AO25" i="8"/>
  <c r="AL25" i="8"/>
  <c r="BF25" i="8" s="1"/>
  <c r="AH25" i="8"/>
  <c r="BD25" i="8" s="1"/>
  <c r="AE25" i="8"/>
  <c r="AA25" i="8"/>
  <c r="X25" i="8"/>
  <c r="AZ25" i="8" s="1"/>
  <c r="T25" i="8"/>
  <c r="AX25" i="8" s="1"/>
  <c r="Q25" i="8"/>
  <c r="AW25" i="8" s="1"/>
  <c r="M25" i="8"/>
  <c r="AU25" i="8" s="1"/>
  <c r="J25" i="8"/>
  <c r="F25" i="8"/>
  <c r="AR25" i="8" s="1"/>
  <c r="C25" i="8"/>
  <c r="AQ25" i="8" s="1"/>
  <c r="BG24" i="8"/>
  <c r="BF24" i="8"/>
  <c r="AX24" i="8"/>
  <c r="AT24" i="8"/>
  <c r="AT42" i="8" s="1"/>
  <c r="AU43" i="8" s="1"/>
  <c r="I44" i="8" s="1"/>
  <c r="AR24" i="8"/>
  <c r="AO24" i="8"/>
  <c r="AO42" i="8" s="1"/>
  <c r="AL24" i="8"/>
  <c r="AL42" i="8" s="1"/>
  <c r="AH24" i="8"/>
  <c r="BD24" i="8" s="1"/>
  <c r="BD42" i="8" s="1"/>
  <c r="AE24" i="8"/>
  <c r="BC24" i="8" s="1"/>
  <c r="AA24" i="8"/>
  <c r="AA42" i="8" s="1"/>
  <c r="X24" i="8"/>
  <c r="AZ24" i="8" s="1"/>
  <c r="AZ42" i="8" s="1"/>
  <c r="T24" i="8"/>
  <c r="T42" i="8" s="1"/>
  <c r="Q24" i="8"/>
  <c r="Q42" i="8" s="1"/>
  <c r="M24" i="8"/>
  <c r="AU24" i="8" s="1"/>
  <c r="AU42" i="8" s="1"/>
  <c r="J24" i="8"/>
  <c r="J42" i="8" s="1"/>
  <c r="F24" i="8"/>
  <c r="F42" i="8" s="1"/>
  <c r="C24" i="8"/>
  <c r="AQ24" i="8" s="1"/>
  <c r="AQ42" i="8" s="1"/>
  <c r="BF22" i="8"/>
  <c r="BC22" i="8"/>
  <c r="AZ22" i="8"/>
  <c r="AW22" i="8"/>
  <c r="AT22" i="8"/>
  <c r="AQ22" i="8"/>
  <c r="AK17" i="8"/>
  <c r="AD17" i="8"/>
  <c r="W17" i="8"/>
  <c r="P17" i="8"/>
  <c r="I17" i="8"/>
  <c r="B17" i="8"/>
  <c r="AM16" i="8"/>
  <c r="AF16" i="8"/>
  <c r="Y16" i="8"/>
  <c r="R16" i="8"/>
  <c r="K16" i="8"/>
  <c r="D16" i="8"/>
  <c r="AM14" i="8"/>
  <c r="AJ14" i="8"/>
  <c r="AF14" i="8"/>
  <c r="AC14" i="8"/>
  <c r="AC16" i="8" s="1"/>
  <c r="Y14" i="8"/>
  <c r="V14" i="8"/>
  <c r="V16" i="8" s="1"/>
  <c r="T14" i="8"/>
  <c r="R14" i="8"/>
  <c r="O14" i="8"/>
  <c r="O16" i="8" s="1"/>
  <c r="K14" i="8"/>
  <c r="H14" i="8"/>
  <c r="D14" i="8"/>
  <c r="A14" i="8"/>
  <c r="BG13" i="8"/>
  <c r="BC13" i="8"/>
  <c r="BA13" i="8"/>
  <c r="AX13" i="8"/>
  <c r="AO13" i="8"/>
  <c r="AL13" i="8"/>
  <c r="BF13" i="8" s="1"/>
  <c r="AH13" i="8"/>
  <c r="AH14" i="8" s="1"/>
  <c r="AE13" i="8"/>
  <c r="AA13" i="8"/>
  <c r="X13" i="8"/>
  <c r="AZ13" i="8" s="1"/>
  <c r="T13" i="8"/>
  <c r="Q13" i="8"/>
  <c r="AW13" i="8" s="1"/>
  <c r="M13" i="8"/>
  <c r="AU13" i="8" s="1"/>
  <c r="J13" i="8"/>
  <c r="AT13" i="8" s="1"/>
  <c r="F13" i="8"/>
  <c r="AR13" i="8" s="1"/>
  <c r="C13" i="8"/>
  <c r="C14" i="8" s="1"/>
  <c r="BD12" i="8"/>
  <c r="BC12" i="8"/>
  <c r="AZ12" i="8"/>
  <c r="AX12" i="8"/>
  <c r="AO12" i="8"/>
  <c r="BG12" i="8" s="1"/>
  <c r="AL12" i="8"/>
  <c r="BF12" i="8" s="1"/>
  <c r="AH12" i="8"/>
  <c r="AE12" i="8"/>
  <c r="AA12" i="8"/>
  <c r="BA12" i="8" s="1"/>
  <c r="X12" i="8"/>
  <c r="T12" i="8"/>
  <c r="Q12" i="8"/>
  <c r="AW12" i="8" s="1"/>
  <c r="M12" i="8"/>
  <c r="AU12" i="8" s="1"/>
  <c r="J12" i="8"/>
  <c r="AT12" i="8" s="1"/>
  <c r="F12" i="8"/>
  <c r="AR12" i="8" s="1"/>
  <c r="C12" i="8"/>
  <c r="AQ12" i="8" s="1"/>
  <c r="AO11" i="8"/>
  <c r="BG11" i="8" s="1"/>
  <c r="AL11" i="8"/>
  <c r="BF11" i="8" s="1"/>
  <c r="AH11" i="8"/>
  <c r="BD11" i="8" s="1"/>
  <c r="AE11" i="8"/>
  <c r="BC11" i="8" s="1"/>
  <c r="AA11" i="8"/>
  <c r="BA11" i="8" s="1"/>
  <c r="X11" i="8"/>
  <c r="AZ11" i="8" s="1"/>
  <c r="T11" i="8"/>
  <c r="AX11" i="8" s="1"/>
  <c r="Q11" i="8"/>
  <c r="AW11" i="8" s="1"/>
  <c r="M11" i="8"/>
  <c r="AU11" i="8" s="1"/>
  <c r="J11" i="8"/>
  <c r="AT11" i="8" s="1"/>
  <c r="F11" i="8"/>
  <c r="AR11" i="8" s="1"/>
  <c r="C11" i="8"/>
  <c r="AQ11" i="8" s="1"/>
  <c r="AO10" i="8"/>
  <c r="BG10" i="8" s="1"/>
  <c r="AL10" i="8"/>
  <c r="BF10" i="8" s="1"/>
  <c r="AH10" i="8"/>
  <c r="BD10" i="8" s="1"/>
  <c r="AE10" i="8"/>
  <c r="BC10" i="8" s="1"/>
  <c r="AA10" i="8"/>
  <c r="BA10" i="8" s="1"/>
  <c r="X10" i="8"/>
  <c r="AZ10" i="8" s="1"/>
  <c r="T10" i="8"/>
  <c r="AX10" i="8" s="1"/>
  <c r="Q10" i="8"/>
  <c r="AW10" i="8" s="1"/>
  <c r="M10" i="8"/>
  <c r="AU10" i="8" s="1"/>
  <c r="J10" i="8"/>
  <c r="AT10" i="8" s="1"/>
  <c r="F10" i="8"/>
  <c r="AR10" i="8" s="1"/>
  <c r="C10" i="8"/>
  <c r="AQ10" i="8" s="1"/>
  <c r="AO9" i="8"/>
  <c r="BG9" i="8" s="1"/>
  <c r="AL9" i="8"/>
  <c r="BF9" i="8" s="1"/>
  <c r="AH9" i="8"/>
  <c r="BD9" i="8" s="1"/>
  <c r="AE9" i="8"/>
  <c r="BC9" i="8" s="1"/>
  <c r="AA9" i="8"/>
  <c r="BA9" i="8" s="1"/>
  <c r="X9" i="8"/>
  <c r="AZ9" i="8" s="1"/>
  <c r="T9" i="8"/>
  <c r="AX9" i="8" s="1"/>
  <c r="Q9" i="8"/>
  <c r="AW9" i="8" s="1"/>
  <c r="M9" i="8"/>
  <c r="AU9" i="8" s="1"/>
  <c r="J9" i="8"/>
  <c r="AT9" i="8" s="1"/>
  <c r="F9" i="8"/>
  <c r="AR9" i="8" s="1"/>
  <c r="C9" i="8"/>
  <c r="AQ9" i="8" s="1"/>
  <c r="AO8" i="8"/>
  <c r="BG8" i="8" s="1"/>
  <c r="AL8" i="8"/>
  <c r="BF8" i="8" s="1"/>
  <c r="AH8" i="8"/>
  <c r="BD8" i="8" s="1"/>
  <c r="AE8" i="8"/>
  <c r="BC8" i="8" s="1"/>
  <c r="AA8" i="8"/>
  <c r="BA8" i="8" s="1"/>
  <c r="X8" i="8"/>
  <c r="AZ8" i="8" s="1"/>
  <c r="T8" i="8"/>
  <c r="AX8" i="8" s="1"/>
  <c r="Q8" i="8"/>
  <c r="AW8" i="8" s="1"/>
  <c r="M8" i="8"/>
  <c r="AU8" i="8" s="1"/>
  <c r="J8" i="8"/>
  <c r="AT8" i="8" s="1"/>
  <c r="F8" i="8"/>
  <c r="AR8" i="8" s="1"/>
  <c r="C8" i="8"/>
  <c r="AQ8" i="8" s="1"/>
  <c r="AO7" i="8"/>
  <c r="BG7" i="8" s="1"/>
  <c r="AL7" i="8"/>
  <c r="BF7" i="8" s="1"/>
  <c r="AH7" i="8"/>
  <c r="BD7" i="8" s="1"/>
  <c r="AE7" i="8"/>
  <c r="BC7" i="8" s="1"/>
  <c r="AA7" i="8"/>
  <c r="BA7" i="8" s="1"/>
  <c r="X7" i="8"/>
  <c r="AZ7" i="8" s="1"/>
  <c r="T7" i="8"/>
  <c r="AX7" i="8" s="1"/>
  <c r="Q7" i="8"/>
  <c r="AW7" i="8" s="1"/>
  <c r="M7" i="8"/>
  <c r="AU7" i="8" s="1"/>
  <c r="J7" i="8"/>
  <c r="AT7" i="8" s="1"/>
  <c r="F7" i="8"/>
  <c r="AR7" i="8" s="1"/>
  <c r="C7" i="8"/>
  <c r="AQ7" i="8" s="1"/>
  <c r="AO6" i="8"/>
  <c r="BG6" i="8" s="1"/>
  <c r="AL6" i="8"/>
  <c r="BF6" i="8" s="1"/>
  <c r="AH6" i="8"/>
  <c r="BD6" i="8" s="1"/>
  <c r="AE6" i="8"/>
  <c r="BC6" i="8" s="1"/>
  <c r="AA6" i="8"/>
  <c r="BA6" i="8" s="1"/>
  <c r="X6" i="8"/>
  <c r="AZ6" i="8" s="1"/>
  <c r="T6" i="8"/>
  <c r="AX6" i="8" s="1"/>
  <c r="Q6" i="8"/>
  <c r="AW6" i="8" s="1"/>
  <c r="M6" i="8"/>
  <c r="AU6" i="8" s="1"/>
  <c r="J6" i="8"/>
  <c r="AT6" i="8" s="1"/>
  <c r="F6" i="8"/>
  <c r="AR6" i="8" s="1"/>
  <c r="C6" i="8"/>
  <c r="AQ6" i="8" s="1"/>
  <c r="AO5" i="8"/>
  <c r="BG5" i="8" s="1"/>
  <c r="AL5" i="8"/>
  <c r="BF5" i="8" s="1"/>
  <c r="AH5" i="8"/>
  <c r="BD5" i="8" s="1"/>
  <c r="AE5" i="8"/>
  <c r="BC5" i="8" s="1"/>
  <c r="AA5" i="8"/>
  <c r="BA5" i="8" s="1"/>
  <c r="X5" i="8"/>
  <c r="AZ5" i="8" s="1"/>
  <c r="T5" i="8"/>
  <c r="AX5" i="8" s="1"/>
  <c r="Q5" i="8"/>
  <c r="AW5" i="8" s="1"/>
  <c r="M5" i="8"/>
  <c r="AU5" i="8" s="1"/>
  <c r="J5" i="8"/>
  <c r="AT5" i="8" s="1"/>
  <c r="F5" i="8"/>
  <c r="AR5" i="8" s="1"/>
  <c r="C5" i="8"/>
  <c r="AQ5" i="8" s="1"/>
  <c r="AO4" i="8"/>
  <c r="BG4" i="8" s="1"/>
  <c r="AL4" i="8"/>
  <c r="BF4" i="8" s="1"/>
  <c r="AH4" i="8"/>
  <c r="BD4" i="8" s="1"/>
  <c r="AE4" i="8"/>
  <c r="BC4" i="8" s="1"/>
  <c r="AA4" i="8"/>
  <c r="BA4" i="8" s="1"/>
  <c r="X4" i="8"/>
  <c r="AZ4" i="8" s="1"/>
  <c r="T4" i="8"/>
  <c r="AX4" i="8" s="1"/>
  <c r="Q4" i="8"/>
  <c r="AW4" i="8" s="1"/>
  <c r="M4" i="8"/>
  <c r="AU4" i="8" s="1"/>
  <c r="J4" i="8"/>
  <c r="AT4" i="8" s="1"/>
  <c r="F4" i="8"/>
  <c r="AR4" i="8" s="1"/>
  <c r="C4" i="8"/>
  <c r="AQ4" i="8" s="1"/>
  <c r="AO3" i="8"/>
  <c r="AO14" i="8" s="1"/>
  <c r="AL3" i="8"/>
  <c r="AL14" i="8" s="1"/>
  <c r="AH3" i="8"/>
  <c r="BD3" i="8" s="1"/>
  <c r="AE3" i="8"/>
  <c r="BC3" i="8" s="1"/>
  <c r="BC14" i="8" s="1"/>
  <c r="AA3" i="8"/>
  <c r="AA14" i="8" s="1"/>
  <c r="X3" i="8"/>
  <c r="AZ3" i="8" s="1"/>
  <c r="T3" i="8"/>
  <c r="AX3" i="8" s="1"/>
  <c r="AX14" i="8" s="1"/>
  <c r="Q3" i="8"/>
  <c r="Q14" i="8" s="1"/>
  <c r="M3" i="8"/>
  <c r="AU3" i="8" s="1"/>
  <c r="J3" i="8"/>
  <c r="J14" i="8" s="1"/>
  <c r="F3" i="8"/>
  <c r="AR3" i="8" s="1"/>
  <c r="AR14" i="8" s="1"/>
  <c r="C3" i="8"/>
  <c r="AQ3" i="8" s="1"/>
  <c r="BF1" i="8"/>
  <c r="BC1" i="8"/>
  <c r="AZ1" i="8"/>
  <c r="AW1" i="8"/>
  <c r="AT1" i="8"/>
  <c r="AQ1" i="8"/>
  <c r="E444" i="7"/>
  <c r="E432" i="7"/>
  <c r="E439" i="7" s="1"/>
  <c r="E393" i="7"/>
  <c r="D390" i="7"/>
  <c r="D391" i="7" s="1"/>
  <c r="D388" i="7"/>
  <c r="D386" i="7"/>
  <c r="E384" i="7"/>
  <c r="E383" i="7"/>
  <c r="E382" i="7"/>
  <c r="C378" i="7"/>
  <c r="A378" i="7" s="1"/>
  <c r="I377" i="7"/>
  <c r="B374" i="7"/>
  <c r="B369" i="7"/>
  <c r="F364" i="7"/>
  <c r="F363" i="7"/>
  <c r="F362" i="7"/>
  <c r="F361" i="7"/>
  <c r="F360" i="7"/>
  <c r="F359" i="7"/>
  <c r="F358" i="7"/>
  <c r="F357" i="7"/>
  <c r="C354" i="7"/>
  <c r="E353" i="7"/>
  <c r="E352" i="7"/>
  <c r="E351" i="7"/>
  <c r="D350" i="7"/>
  <c r="E350" i="7" s="1"/>
  <c r="E349" i="7"/>
  <c r="B349" i="7"/>
  <c r="E348" i="7"/>
  <c r="B348" i="7"/>
  <c r="E347" i="7"/>
  <c r="B347" i="7"/>
  <c r="E346" i="7"/>
  <c r="B346" i="7"/>
  <c r="E345" i="7"/>
  <c r="B345" i="7"/>
  <c r="E344" i="7"/>
  <c r="B344" i="7"/>
  <c r="E343" i="7"/>
  <c r="B343" i="7"/>
  <c r="E342" i="7"/>
  <c r="B342" i="7"/>
  <c r="E341" i="7"/>
  <c r="B341" i="7"/>
  <c r="E340" i="7"/>
  <c r="B340" i="7"/>
  <c r="E339" i="7"/>
  <c r="B339" i="7"/>
  <c r="E338" i="7"/>
  <c r="B338" i="7"/>
  <c r="E337" i="7"/>
  <c r="B337" i="7"/>
  <c r="E336" i="7"/>
  <c r="B336" i="7"/>
  <c r="E335" i="7"/>
  <c r="B335" i="7"/>
  <c r="E334" i="7"/>
  <c r="B334" i="7"/>
  <c r="E333" i="7"/>
  <c r="B333" i="7"/>
  <c r="E332" i="7"/>
  <c r="B332" i="7"/>
  <c r="E331" i="7"/>
  <c r="B331" i="7"/>
  <c r="E330" i="7"/>
  <c r="B330" i="7"/>
  <c r="E329" i="7"/>
  <c r="B329" i="7"/>
  <c r="E328" i="7"/>
  <c r="B328" i="7"/>
  <c r="E327" i="7"/>
  <c r="B327" i="7"/>
  <c r="E326" i="7"/>
  <c r="B326" i="7"/>
  <c r="E325" i="7"/>
  <c r="B325" i="7"/>
  <c r="E324" i="7"/>
  <c r="B324" i="7"/>
  <c r="E323" i="7"/>
  <c r="B323" i="7"/>
  <c r="E322" i="7"/>
  <c r="B322" i="7"/>
  <c r="E321" i="7"/>
  <c r="B321" i="7"/>
  <c r="E320" i="7"/>
  <c r="B320" i="7"/>
  <c r="E319" i="7"/>
  <c r="B319" i="7"/>
  <c r="E318" i="7"/>
  <c r="B318" i="7"/>
  <c r="E317" i="7"/>
  <c r="B317" i="7"/>
  <c r="E316" i="7"/>
  <c r="B316" i="7"/>
  <c r="E315" i="7"/>
  <c r="B315" i="7"/>
  <c r="E314" i="7"/>
  <c r="B314" i="7"/>
  <c r="E313" i="7"/>
  <c r="B313" i="7"/>
  <c r="E312" i="7"/>
  <c r="B312" i="7"/>
  <c r="E311" i="7"/>
  <c r="B311" i="7"/>
  <c r="E310" i="7"/>
  <c r="B310" i="7"/>
  <c r="E309" i="7"/>
  <c r="B309" i="7"/>
  <c r="E308" i="7"/>
  <c r="B308" i="7"/>
  <c r="E307" i="7"/>
  <c r="B307" i="7"/>
  <c r="E306" i="7"/>
  <c r="B306" i="7"/>
  <c r="E305" i="7"/>
  <c r="B305" i="7"/>
  <c r="E304" i="7"/>
  <c r="B304" i="7"/>
  <c r="E303" i="7"/>
  <c r="B303" i="7"/>
  <c r="E302" i="7"/>
  <c r="B302" i="7"/>
  <c r="E301" i="7"/>
  <c r="B301" i="7"/>
  <c r="E300" i="7"/>
  <c r="B300" i="7"/>
  <c r="E299" i="7"/>
  <c r="B299" i="7"/>
  <c r="E298" i="7"/>
  <c r="B298" i="7"/>
  <c r="E297" i="7"/>
  <c r="B297" i="7"/>
  <c r="E296" i="7"/>
  <c r="B296" i="7"/>
  <c r="E295" i="7"/>
  <c r="B295" i="7"/>
  <c r="E294" i="7"/>
  <c r="B294" i="7"/>
  <c r="E293" i="7"/>
  <c r="B293" i="7"/>
  <c r="E292" i="7"/>
  <c r="B292" i="7"/>
  <c r="E291" i="7"/>
  <c r="B291" i="7"/>
  <c r="E290" i="7"/>
  <c r="B290" i="7"/>
  <c r="E289" i="7"/>
  <c r="B289" i="7"/>
  <c r="E288" i="7"/>
  <c r="B288" i="7"/>
  <c r="E287" i="7"/>
  <c r="B287" i="7"/>
  <c r="E286" i="7"/>
  <c r="B286" i="7"/>
  <c r="E285" i="7"/>
  <c r="B285" i="7"/>
  <c r="E284" i="7"/>
  <c r="B284" i="7"/>
  <c r="E283" i="7"/>
  <c r="B283" i="7"/>
  <c r="E282" i="7"/>
  <c r="B282" i="7"/>
  <c r="E281" i="7"/>
  <c r="B281" i="7"/>
  <c r="E280" i="7"/>
  <c r="B280" i="7"/>
  <c r="E279" i="7"/>
  <c r="B279" i="7"/>
  <c r="E278" i="7"/>
  <c r="B278" i="7"/>
  <c r="E277" i="7"/>
  <c r="B277" i="7"/>
  <c r="E276" i="7"/>
  <c r="B276" i="7"/>
  <c r="E275" i="7"/>
  <c r="B275" i="7"/>
  <c r="E274" i="7"/>
  <c r="B274" i="7"/>
  <c r="E273" i="7"/>
  <c r="B273" i="7"/>
  <c r="E272" i="7"/>
  <c r="B272" i="7"/>
  <c r="E271" i="7"/>
  <c r="B271" i="7"/>
  <c r="E270" i="7"/>
  <c r="B270" i="7"/>
  <c r="E269" i="7"/>
  <c r="B269" i="7"/>
  <c r="E268" i="7"/>
  <c r="B268" i="7"/>
  <c r="E267" i="7"/>
  <c r="B267" i="7"/>
  <c r="E266" i="7"/>
  <c r="B266" i="7"/>
  <c r="E265" i="7"/>
  <c r="B265" i="7"/>
  <c r="E264" i="7"/>
  <c r="B264" i="7"/>
  <c r="E263" i="7"/>
  <c r="B263" i="7"/>
  <c r="E262" i="7"/>
  <c r="B262" i="7"/>
  <c r="E261" i="7"/>
  <c r="B261" i="7"/>
  <c r="E260" i="7"/>
  <c r="B260" i="7"/>
  <c r="E259" i="7"/>
  <c r="B259" i="7"/>
  <c r="E258" i="7"/>
  <c r="B258" i="7"/>
  <c r="E257" i="7"/>
  <c r="B257" i="7"/>
  <c r="E256" i="7"/>
  <c r="B256" i="7"/>
  <c r="E255" i="7"/>
  <c r="B255" i="7"/>
  <c r="E254" i="7"/>
  <c r="B254" i="7"/>
  <c r="E253" i="7"/>
  <c r="B253" i="7"/>
  <c r="E252" i="7"/>
  <c r="B252" i="7"/>
  <c r="E251" i="7"/>
  <c r="B251" i="7"/>
  <c r="E250" i="7"/>
  <c r="B250" i="7"/>
  <c r="E249" i="7"/>
  <c r="B249" i="7"/>
  <c r="E248" i="7"/>
  <c r="B248" i="7"/>
  <c r="E247" i="7"/>
  <c r="B247" i="7"/>
  <c r="E246" i="7"/>
  <c r="B246" i="7"/>
  <c r="E245" i="7"/>
  <c r="B245" i="7"/>
  <c r="E244" i="7"/>
  <c r="B244" i="7"/>
  <c r="E243" i="7"/>
  <c r="B243" i="7"/>
  <c r="E242" i="7"/>
  <c r="B242" i="7"/>
  <c r="E241" i="7"/>
  <c r="B241" i="7"/>
  <c r="E240" i="7"/>
  <c r="B240" i="7"/>
  <c r="E239" i="7"/>
  <c r="B239" i="7"/>
  <c r="E238" i="7"/>
  <c r="B238" i="7"/>
  <c r="E237" i="7"/>
  <c r="B237" i="7"/>
  <c r="E236" i="7"/>
  <c r="B236" i="7"/>
  <c r="E235" i="7"/>
  <c r="B235" i="7"/>
  <c r="E234" i="7"/>
  <c r="B234" i="7"/>
  <c r="E233" i="7"/>
  <c r="B233" i="7"/>
  <c r="E232" i="7"/>
  <c r="B232" i="7"/>
  <c r="E231" i="7"/>
  <c r="B231" i="7"/>
  <c r="E230" i="7"/>
  <c r="B230" i="7"/>
  <c r="E229" i="7"/>
  <c r="B229" i="7"/>
  <c r="E228" i="7"/>
  <c r="B228" i="7"/>
  <c r="E227" i="7"/>
  <c r="B227" i="7"/>
  <c r="E226" i="7"/>
  <c r="B226" i="7"/>
  <c r="E225" i="7"/>
  <c r="B225" i="7"/>
  <c r="E224" i="7"/>
  <c r="B224" i="7"/>
  <c r="E223" i="7"/>
  <c r="B223" i="7"/>
  <c r="E222" i="7"/>
  <c r="B222" i="7"/>
  <c r="E221" i="7"/>
  <c r="B221" i="7"/>
  <c r="E220" i="7"/>
  <c r="B220" i="7"/>
  <c r="E219" i="7"/>
  <c r="B219" i="7"/>
  <c r="E218" i="7"/>
  <c r="B218" i="7"/>
  <c r="E217" i="7"/>
  <c r="B217" i="7"/>
  <c r="E216" i="7"/>
  <c r="B216" i="7"/>
  <c r="E215" i="7"/>
  <c r="B215" i="7"/>
  <c r="E214" i="7"/>
  <c r="B214" i="7"/>
  <c r="E213" i="7"/>
  <c r="B213" i="7"/>
  <c r="E212" i="7"/>
  <c r="B212" i="7"/>
  <c r="E211" i="7"/>
  <c r="B211" i="7"/>
  <c r="E210" i="7"/>
  <c r="B210" i="7"/>
  <c r="E209" i="7"/>
  <c r="B209" i="7"/>
  <c r="E208" i="7"/>
  <c r="B208" i="7"/>
  <c r="E207" i="7"/>
  <c r="B207" i="7"/>
  <c r="E206" i="7"/>
  <c r="B206" i="7"/>
  <c r="E205" i="7"/>
  <c r="B205" i="7"/>
  <c r="E204" i="7"/>
  <c r="B204" i="7"/>
  <c r="E203" i="7"/>
  <c r="B203" i="7"/>
  <c r="E202" i="7"/>
  <c r="B202" i="7"/>
  <c r="E201" i="7"/>
  <c r="B201" i="7"/>
  <c r="E200" i="7"/>
  <c r="B200" i="7"/>
  <c r="E199" i="7"/>
  <c r="B199" i="7"/>
  <c r="E198" i="7"/>
  <c r="B198" i="7"/>
  <c r="E197" i="7"/>
  <c r="B197" i="7"/>
  <c r="E196" i="7"/>
  <c r="B196" i="7"/>
  <c r="E195" i="7"/>
  <c r="B195" i="7"/>
  <c r="E194" i="7"/>
  <c r="B194" i="7"/>
  <c r="E193" i="7"/>
  <c r="B193" i="7"/>
  <c r="E192" i="7"/>
  <c r="B192" i="7"/>
  <c r="E191" i="7"/>
  <c r="B191" i="7"/>
  <c r="E190" i="7"/>
  <c r="B190" i="7"/>
  <c r="E189" i="7"/>
  <c r="B189" i="7"/>
  <c r="E188" i="7"/>
  <c r="B188" i="7"/>
  <c r="E187" i="7"/>
  <c r="B187" i="7"/>
  <c r="E186" i="7"/>
  <c r="B186" i="7"/>
  <c r="E185" i="7"/>
  <c r="B185" i="7"/>
  <c r="E184" i="7"/>
  <c r="B184" i="7"/>
  <c r="E183" i="7"/>
  <c r="B183" i="7"/>
  <c r="E182" i="7"/>
  <c r="B182" i="7"/>
  <c r="E181" i="7"/>
  <c r="B181" i="7"/>
  <c r="E180" i="7"/>
  <c r="B180" i="7"/>
  <c r="E179" i="7"/>
  <c r="B179" i="7"/>
  <c r="E178" i="7"/>
  <c r="B178" i="7"/>
  <c r="E177" i="7"/>
  <c r="B177" i="7"/>
  <c r="E176" i="7"/>
  <c r="B176" i="7"/>
  <c r="E175" i="7"/>
  <c r="B175" i="7"/>
  <c r="E174" i="7"/>
  <c r="B174" i="7"/>
  <c r="E173" i="7"/>
  <c r="B173" i="7"/>
  <c r="E172" i="7"/>
  <c r="B172" i="7"/>
  <c r="E171" i="7"/>
  <c r="B171" i="7"/>
  <c r="E170" i="7"/>
  <c r="B170" i="7"/>
  <c r="E169" i="7"/>
  <c r="B169" i="7"/>
  <c r="E168" i="7"/>
  <c r="B168" i="7"/>
  <c r="E167" i="7"/>
  <c r="B167" i="7"/>
  <c r="E166" i="7"/>
  <c r="B166" i="7"/>
  <c r="E165" i="7"/>
  <c r="B165" i="7"/>
  <c r="E164" i="7"/>
  <c r="B164" i="7"/>
  <c r="E163" i="7"/>
  <c r="B163" i="7"/>
  <c r="E162" i="7"/>
  <c r="B162" i="7"/>
  <c r="E161" i="7"/>
  <c r="B161" i="7"/>
  <c r="E160" i="7"/>
  <c r="B160" i="7"/>
  <c r="E159" i="7"/>
  <c r="B159" i="7"/>
  <c r="E158" i="7"/>
  <c r="B158" i="7"/>
  <c r="E157" i="7"/>
  <c r="B157" i="7"/>
  <c r="E156" i="7"/>
  <c r="B156" i="7"/>
  <c r="E155" i="7"/>
  <c r="B155" i="7"/>
  <c r="E154" i="7"/>
  <c r="B154" i="7"/>
  <c r="E153" i="7"/>
  <c r="B153" i="7"/>
  <c r="E152" i="7"/>
  <c r="B152" i="7"/>
  <c r="E151" i="7"/>
  <c r="B151" i="7"/>
  <c r="E150" i="7"/>
  <c r="B150" i="7"/>
  <c r="E149" i="7"/>
  <c r="B149" i="7"/>
  <c r="E148" i="7"/>
  <c r="B148" i="7"/>
  <c r="E147" i="7"/>
  <c r="B147" i="7"/>
  <c r="E146" i="7"/>
  <c r="B146" i="7"/>
  <c r="E145" i="7"/>
  <c r="B145" i="7"/>
  <c r="E144" i="7"/>
  <c r="B144" i="7"/>
  <c r="E143" i="7"/>
  <c r="B143" i="7"/>
  <c r="E142" i="7"/>
  <c r="B142" i="7"/>
  <c r="E141" i="7"/>
  <c r="B141" i="7"/>
  <c r="E140" i="7"/>
  <c r="B140" i="7"/>
  <c r="E139" i="7"/>
  <c r="B139" i="7"/>
  <c r="E138" i="7"/>
  <c r="B138" i="7"/>
  <c r="E137" i="7"/>
  <c r="B137" i="7"/>
  <c r="E136" i="7"/>
  <c r="B136" i="7"/>
  <c r="E135" i="7"/>
  <c r="B135" i="7"/>
  <c r="E134" i="7"/>
  <c r="B134" i="7"/>
  <c r="E133" i="7"/>
  <c r="B133" i="7"/>
  <c r="E132" i="7"/>
  <c r="B132" i="7"/>
  <c r="E131" i="7"/>
  <c r="B131" i="7"/>
  <c r="E130" i="7"/>
  <c r="B130" i="7"/>
  <c r="E129" i="7"/>
  <c r="B129" i="7"/>
  <c r="E128" i="7"/>
  <c r="B128" i="7"/>
  <c r="E127" i="7"/>
  <c r="B127" i="7"/>
  <c r="E126" i="7"/>
  <c r="B126" i="7"/>
  <c r="E125" i="7"/>
  <c r="B125" i="7"/>
  <c r="E124" i="7"/>
  <c r="B124" i="7"/>
  <c r="E123" i="7"/>
  <c r="B123" i="7"/>
  <c r="E122" i="7"/>
  <c r="B122" i="7"/>
  <c r="E121" i="7"/>
  <c r="B121" i="7"/>
  <c r="E120" i="7"/>
  <c r="B120" i="7"/>
  <c r="E119" i="7"/>
  <c r="B119" i="7"/>
  <c r="E118" i="7"/>
  <c r="B118" i="7"/>
  <c r="E117" i="7"/>
  <c r="B117" i="7"/>
  <c r="E116" i="7"/>
  <c r="B116" i="7"/>
  <c r="E115" i="7"/>
  <c r="B115" i="7"/>
  <c r="E114" i="7"/>
  <c r="B114" i="7"/>
  <c r="E113" i="7"/>
  <c r="B113" i="7"/>
  <c r="E112" i="7"/>
  <c r="B112" i="7"/>
  <c r="E111" i="7"/>
  <c r="B111" i="7"/>
  <c r="E110" i="7"/>
  <c r="B110" i="7"/>
  <c r="E109" i="7"/>
  <c r="B109" i="7"/>
  <c r="E108" i="7"/>
  <c r="B108" i="7"/>
  <c r="E107" i="7"/>
  <c r="B107" i="7"/>
  <c r="E106" i="7"/>
  <c r="B106" i="7"/>
  <c r="E105" i="7"/>
  <c r="B105" i="7"/>
  <c r="E104" i="7"/>
  <c r="B104" i="7"/>
  <c r="E103" i="7"/>
  <c r="B103" i="7"/>
  <c r="E102" i="7"/>
  <c r="B102" i="7"/>
  <c r="E101" i="7"/>
  <c r="B101" i="7"/>
  <c r="E100" i="7"/>
  <c r="B100" i="7"/>
  <c r="E99" i="7"/>
  <c r="B99" i="7"/>
  <c r="E98" i="7"/>
  <c r="B98" i="7"/>
  <c r="E97" i="7"/>
  <c r="B97" i="7"/>
  <c r="E96" i="7"/>
  <c r="B96" i="7"/>
  <c r="E95" i="7"/>
  <c r="B95" i="7"/>
  <c r="E94" i="7"/>
  <c r="B94" i="7"/>
  <c r="E93" i="7"/>
  <c r="B93" i="7"/>
  <c r="E92" i="7"/>
  <c r="B92" i="7"/>
  <c r="E91" i="7"/>
  <c r="B91" i="7"/>
  <c r="E90" i="7"/>
  <c r="B90" i="7"/>
  <c r="E89" i="7"/>
  <c r="B89" i="7"/>
  <c r="E88" i="7"/>
  <c r="B88" i="7"/>
  <c r="E87" i="7"/>
  <c r="B87" i="7"/>
  <c r="E86" i="7"/>
  <c r="B86" i="7"/>
  <c r="E85" i="7"/>
  <c r="B85" i="7"/>
  <c r="E84" i="7"/>
  <c r="B84" i="7"/>
  <c r="E83" i="7"/>
  <c r="B83" i="7"/>
  <c r="E82" i="7"/>
  <c r="B82" i="7"/>
  <c r="E81" i="7"/>
  <c r="B81" i="7"/>
  <c r="E80" i="7"/>
  <c r="B80" i="7"/>
  <c r="E79" i="7"/>
  <c r="B79" i="7"/>
  <c r="E78" i="7"/>
  <c r="B78" i="7"/>
  <c r="E77" i="7"/>
  <c r="B77" i="7"/>
  <c r="E76" i="7"/>
  <c r="B76" i="7"/>
  <c r="E75" i="7"/>
  <c r="B75" i="7"/>
  <c r="E74" i="7"/>
  <c r="B74" i="7"/>
  <c r="E73" i="7"/>
  <c r="B73" i="7"/>
  <c r="E72" i="7"/>
  <c r="B72" i="7"/>
  <c r="E71" i="7"/>
  <c r="B71" i="7"/>
  <c r="E70" i="7"/>
  <c r="B70" i="7"/>
  <c r="E69" i="7"/>
  <c r="B69" i="7"/>
  <c r="E68" i="7"/>
  <c r="B68" i="7"/>
  <c r="E67" i="7"/>
  <c r="B67" i="7"/>
  <c r="E66" i="7"/>
  <c r="B66" i="7"/>
  <c r="E65" i="7"/>
  <c r="B65" i="7"/>
  <c r="E64" i="7"/>
  <c r="B64" i="7"/>
  <c r="E63" i="7"/>
  <c r="B63" i="7"/>
  <c r="E62" i="7"/>
  <c r="B62" i="7"/>
  <c r="E61" i="7"/>
  <c r="B61" i="7"/>
  <c r="E60" i="7"/>
  <c r="B60" i="7"/>
  <c r="E59" i="7"/>
  <c r="B59" i="7"/>
  <c r="E58" i="7"/>
  <c r="B58" i="7"/>
  <c r="E57" i="7"/>
  <c r="B57" i="7"/>
  <c r="E56" i="7"/>
  <c r="B56" i="7"/>
  <c r="E55" i="7"/>
  <c r="B55" i="7"/>
  <c r="E54" i="7"/>
  <c r="B54" i="7"/>
  <c r="E53" i="7"/>
  <c r="B53" i="7"/>
  <c r="E52" i="7"/>
  <c r="B52" i="7"/>
  <c r="E51" i="7"/>
  <c r="B51" i="7"/>
  <c r="E50" i="7"/>
  <c r="B50" i="7"/>
  <c r="E49" i="7"/>
  <c r="B49" i="7"/>
  <c r="E48" i="7"/>
  <c r="B48" i="7"/>
  <c r="E47" i="7"/>
  <c r="B47" i="7"/>
  <c r="E46" i="7"/>
  <c r="B46" i="7"/>
  <c r="E45" i="7"/>
  <c r="B45" i="7"/>
  <c r="E44" i="7"/>
  <c r="B44" i="7"/>
  <c r="E43" i="7"/>
  <c r="B43" i="7"/>
  <c r="E42" i="7"/>
  <c r="B42" i="7"/>
  <c r="E41" i="7"/>
  <c r="B41" i="7"/>
  <c r="E40" i="7"/>
  <c r="B40" i="7"/>
  <c r="E39" i="7"/>
  <c r="B39" i="7"/>
  <c r="E38" i="7"/>
  <c r="B38" i="7"/>
  <c r="E37" i="7"/>
  <c r="B37" i="7"/>
  <c r="E36" i="7"/>
  <c r="B36" i="7"/>
  <c r="E35" i="7"/>
  <c r="B35" i="7"/>
  <c r="E34" i="7"/>
  <c r="B34" i="7"/>
  <c r="E33" i="7"/>
  <c r="B33" i="7"/>
  <c r="E32" i="7"/>
  <c r="B32" i="7"/>
  <c r="E31" i="7"/>
  <c r="B31" i="7"/>
  <c r="E30" i="7"/>
  <c r="B30" i="7"/>
  <c r="E29" i="7"/>
  <c r="B29" i="7"/>
  <c r="E28" i="7"/>
  <c r="B28" i="7"/>
  <c r="E27" i="7"/>
  <c r="B27" i="7"/>
  <c r="E26" i="7"/>
  <c r="B26" i="7"/>
  <c r="E25" i="7"/>
  <c r="B25" i="7"/>
  <c r="E24" i="7"/>
  <c r="B24" i="7"/>
  <c r="E23" i="7"/>
  <c r="B23" i="7"/>
  <c r="E22" i="7"/>
  <c r="B22" i="7"/>
  <c r="E21" i="7"/>
  <c r="B21" i="7"/>
  <c r="E20" i="7"/>
  <c r="B20" i="7"/>
  <c r="E19" i="7"/>
  <c r="B19" i="7"/>
  <c r="E18" i="7"/>
  <c r="B18" i="7"/>
  <c r="E17" i="7"/>
  <c r="B17" i="7"/>
  <c r="E16" i="7"/>
  <c r="B16" i="7"/>
  <c r="E15" i="7"/>
  <c r="B15" i="7"/>
  <c r="E14" i="7"/>
  <c r="B14" i="7"/>
  <c r="E13" i="7"/>
  <c r="B13" i="7"/>
  <c r="E12" i="7"/>
  <c r="B12" i="7"/>
  <c r="E11" i="7"/>
  <c r="B11" i="7"/>
  <c r="E10" i="7"/>
  <c r="B10" i="7"/>
  <c r="E9" i="7"/>
  <c r="B9" i="7"/>
  <c r="E8" i="7"/>
  <c r="B8" i="7"/>
  <c r="E7" i="7"/>
  <c r="B7" i="7"/>
  <c r="E6" i="7"/>
  <c r="B6" i="7"/>
  <c r="E5" i="7"/>
  <c r="B5" i="7"/>
  <c r="E4" i="7"/>
  <c r="B4" i="7"/>
  <c r="E3" i="7"/>
  <c r="B3" i="7"/>
  <c r="E2" i="7"/>
  <c r="B2" i="7"/>
  <c r="D1192" i="6"/>
  <c r="E1191" i="6"/>
  <c r="F1187" i="6"/>
  <c r="C1187" i="6"/>
  <c r="B1187" i="6"/>
  <c r="A1187" i="6"/>
  <c r="C1186" i="6"/>
  <c r="B1186" i="6"/>
  <c r="A1186" i="6"/>
  <c r="F1185" i="6"/>
  <c r="D1185" i="6"/>
  <c r="E1185" i="6" s="1"/>
  <c r="F1183" i="6"/>
  <c r="E1183" i="6"/>
  <c r="D1183" i="6"/>
  <c r="F1181" i="6"/>
  <c r="D1181" i="6"/>
  <c r="E1181" i="6" s="1"/>
  <c r="F1179" i="6"/>
  <c r="E1179" i="6"/>
  <c r="D1179" i="6"/>
  <c r="F1177" i="6"/>
  <c r="D1177" i="6"/>
  <c r="E1177" i="6" s="1"/>
  <c r="F1175" i="6"/>
  <c r="E1175" i="6"/>
  <c r="D1175" i="6"/>
  <c r="F1173" i="6"/>
  <c r="E1173" i="6"/>
  <c r="D1173" i="6"/>
  <c r="F1171" i="6"/>
  <c r="E1171" i="6"/>
  <c r="D1171" i="6"/>
  <c r="F1169" i="6"/>
  <c r="E1169" i="6"/>
  <c r="D1169" i="6"/>
  <c r="F1167" i="6"/>
  <c r="E1167" i="6"/>
  <c r="D1167" i="6"/>
  <c r="F1165" i="6"/>
  <c r="E1165" i="6"/>
  <c r="D1165" i="6"/>
  <c r="F1163" i="6"/>
  <c r="E1163" i="6"/>
  <c r="D1163" i="6"/>
  <c r="F1161" i="6"/>
  <c r="E1161" i="6"/>
  <c r="D1161" i="6"/>
  <c r="F1159" i="6"/>
  <c r="E1159" i="6"/>
  <c r="D1159" i="6"/>
  <c r="F1157" i="6"/>
  <c r="E1157" i="6"/>
  <c r="D1157" i="6"/>
  <c r="F1155" i="6"/>
  <c r="E1155" i="6"/>
  <c r="D1155" i="6"/>
  <c r="F1153" i="6"/>
  <c r="E1153" i="6"/>
  <c r="D1153" i="6"/>
  <c r="F1151" i="6"/>
  <c r="E1151" i="6"/>
  <c r="D1151" i="6"/>
  <c r="F1149" i="6"/>
  <c r="E1149" i="6"/>
  <c r="D1149" i="6"/>
  <c r="F1147" i="6"/>
  <c r="E1147" i="6"/>
  <c r="D1147" i="6"/>
  <c r="F1145" i="6"/>
  <c r="E1145" i="6"/>
  <c r="D1145" i="6"/>
  <c r="F1143" i="6"/>
  <c r="E1143" i="6"/>
  <c r="D1143" i="6"/>
  <c r="F1141" i="6"/>
  <c r="E1141" i="6"/>
  <c r="D1141" i="6"/>
  <c r="F1139" i="6"/>
  <c r="E1139" i="6"/>
  <c r="D1139" i="6"/>
  <c r="F1137" i="6"/>
  <c r="E1137" i="6"/>
  <c r="D1137" i="6"/>
  <c r="F1135" i="6"/>
  <c r="E1135" i="6"/>
  <c r="D1135" i="6"/>
  <c r="F1133" i="6"/>
  <c r="E1133" i="6"/>
  <c r="D1133" i="6"/>
  <c r="F1131" i="6"/>
  <c r="E1131" i="6"/>
  <c r="D1131" i="6"/>
  <c r="F1129" i="6"/>
  <c r="E1129" i="6"/>
  <c r="D1129" i="6"/>
  <c r="F1127" i="6"/>
  <c r="E1127" i="6"/>
  <c r="D1127" i="6"/>
  <c r="F1125" i="6"/>
  <c r="E1125" i="6"/>
  <c r="D1125" i="6"/>
  <c r="F1123" i="6"/>
  <c r="E1123" i="6"/>
  <c r="D1123" i="6"/>
  <c r="F1121" i="6"/>
  <c r="E1121" i="6"/>
  <c r="D1121" i="6"/>
  <c r="F1119" i="6"/>
  <c r="E1119" i="6"/>
  <c r="D1119" i="6"/>
  <c r="F1117" i="6"/>
  <c r="E1117" i="6"/>
  <c r="D1117" i="6"/>
  <c r="F1115" i="6"/>
  <c r="E1115" i="6"/>
  <c r="D1115" i="6"/>
  <c r="F1113" i="6"/>
  <c r="E1113" i="6"/>
  <c r="D1113" i="6"/>
  <c r="F1111" i="6"/>
  <c r="E1111" i="6"/>
  <c r="D1111" i="6"/>
  <c r="F1109" i="6"/>
  <c r="E1109" i="6"/>
  <c r="D1109" i="6"/>
  <c r="F1107" i="6"/>
  <c r="E1107" i="6"/>
  <c r="D1107" i="6"/>
  <c r="F1105" i="6"/>
  <c r="E1105" i="6"/>
  <c r="D1105" i="6"/>
  <c r="F1103" i="6"/>
  <c r="E1103" i="6"/>
  <c r="D1103" i="6"/>
  <c r="F1101" i="6"/>
  <c r="E1101" i="6"/>
  <c r="D1101" i="6"/>
  <c r="F1099" i="6"/>
  <c r="E1099" i="6"/>
  <c r="D1099" i="6"/>
  <c r="F1097" i="6"/>
  <c r="E1097" i="6"/>
  <c r="D1097" i="6"/>
  <c r="F1095" i="6"/>
  <c r="E1095" i="6"/>
  <c r="D1095" i="6"/>
  <c r="F1093" i="6"/>
  <c r="E1093" i="6"/>
  <c r="D1093" i="6"/>
  <c r="F1091" i="6"/>
  <c r="E1091" i="6"/>
  <c r="D1091" i="6"/>
  <c r="F1089" i="6"/>
  <c r="E1089" i="6"/>
  <c r="D1089" i="6"/>
  <c r="F1087" i="6"/>
  <c r="E1087" i="6"/>
  <c r="D1087" i="6"/>
  <c r="F1085" i="6"/>
  <c r="E1085" i="6"/>
  <c r="D1085" i="6"/>
  <c r="F1083" i="6"/>
  <c r="E1083" i="6"/>
  <c r="D1083" i="6"/>
  <c r="F1081" i="6"/>
  <c r="E1081" i="6"/>
  <c r="D1081" i="6"/>
  <c r="F1079" i="6"/>
  <c r="E1079" i="6"/>
  <c r="D1079" i="6"/>
  <c r="F1077" i="6"/>
  <c r="E1077" i="6"/>
  <c r="D1077" i="6"/>
  <c r="F1075" i="6"/>
  <c r="E1075" i="6"/>
  <c r="D1075" i="6"/>
  <c r="F1073" i="6"/>
  <c r="E1073" i="6"/>
  <c r="D1073" i="6"/>
  <c r="F1071" i="6"/>
  <c r="E1071" i="6"/>
  <c r="D1071" i="6"/>
  <c r="F1069" i="6"/>
  <c r="E1069" i="6"/>
  <c r="D1069" i="6"/>
  <c r="F1067" i="6"/>
  <c r="E1067" i="6"/>
  <c r="D1067" i="6"/>
  <c r="F1065" i="6"/>
  <c r="E1065" i="6"/>
  <c r="D1065" i="6"/>
  <c r="F1063" i="6"/>
  <c r="E1063" i="6"/>
  <c r="D1063" i="6"/>
  <c r="F1061" i="6"/>
  <c r="E1061" i="6"/>
  <c r="D1061" i="6"/>
  <c r="F1059" i="6"/>
  <c r="E1059" i="6"/>
  <c r="D1059" i="6"/>
  <c r="F1057" i="6"/>
  <c r="E1057" i="6"/>
  <c r="D1057" i="6"/>
  <c r="F1055" i="6"/>
  <c r="E1055" i="6"/>
  <c r="D1055" i="6"/>
  <c r="F1053" i="6"/>
  <c r="E1053" i="6"/>
  <c r="D1053" i="6"/>
  <c r="F1051" i="6"/>
  <c r="E1051" i="6"/>
  <c r="D1051" i="6"/>
  <c r="F1049" i="6"/>
  <c r="E1049" i="6"/>
  <c r="D1049" i="6"/>
  <c r="F1047" i="6"/>
  <c r="E1047" i="6"/>
  <c r="D1047" i="6"/>
  <c r="F1045" i="6"/>
  <c r="E1045" i="6"/>
  <c r="D1045" i="6"/>
  <c r="F1043" i="6"/>
  <c r="E1043" i="6"/>
  <c r="D1043" i="6"/>
  <c r="F1041" i="6"/>
  <c r="E1041" i="6"/>
  <c r="D1041" i="6"/>
  <c r="F1039" i="6"/>
  <c r="E1039" i="6"/>
  <c r="D1039" i="6"/>
  <c r="F1037" i="6"/>
  <c r="E1037" i="6"/>
  <c r="D1037" i="6"/>
  <c r="F1035" i="6"/>
  <c r="E1035" i="6"/>
  <c r="D1035" i="6"/>
  <c r="F1033" i="6"/>
  <c r="E1033" i="6"/>
  <c r="D1033" i="6"/>
  <c r="F1031" i="6"/>
  <c r="E1031" i="6"/>
  <c r="D1031" i="6"/>
  <c r="F1029" i="6"/>
  <c r="E1029" i="6"/>
  <c r="D1029" i="6"/>
  <c r="F1027" i="6"/>
  <c r="E1027" i="6"/>
  <c r="D1027" i="6"/>
  <c r="F1025" i="6"/>
  <c r="E1025" i="6"/>
  <c r="D1025" i="6"/>
  <c r="F1023" i="6"/>
  <c r="E1023" i="6"/>
  <c r="D1023" i="6"/>
  <c r="F1021" i="6"/>
  <c r="E1021" i="6"/>
  <c r="D1021" i="6"/>
  <c r="F1019" i="6"/>
  <c r="E1019" i="6"/>
  <c r="D1019" i="6"/>
  <c r="F1017" i="6"/>
  <c r="E1017" i="6"/>
  <c r="D1017" i="6"/>
  <c r="F1015" i="6"/>
  <c r="E1015" i="6"/>
  <c r="D1015" i="6"/>
  <c r="F1013" i="6"/>
  <c r="E1013" i="6"/>
  <c r="D1013" i="6"/>
  <c r="F1011" i="6"/>
  <c r="E1011" i="6"/>
  <c r="D1011" i="6"/>
  <c r="F1009" i="6"/>
  <c r="E1009" i="6"/>
  <c r="D1009" i="6"/>
  <c r="F1007" i="6"/>
  <c r="E1007" i="6"/>
  <c r="D1007" i="6"/>
  <c r="F1005" i="6"/>
  <c r="E1005" i="6"/>
  <c r="D1005" i="6"/>
  <c r="F1003" i="6"/>
  <c r="E1003" i="6"/>
  <c r="D1003" i="6"/>
  <c r="F1001" i="6"/>
  <c r="E1001" i="6"/>
  <c r="D1001" i="6"/>
  <c r="F999" i="6"/>
  <c r="E999" i="6"/>
  <c r="D999" i="6"/>
  <c r="F997" i="6"/>
  <c r="E997" i="6"/>
  <c r="D997" i="6"/>
  <c r="F995" i="6"/>
  <c r="E995" i="6"/>
  <c r="D995" i="6"/>
  <c r="F993" i="6"/>
  <c r="E993" i="6"/>
  <c r="D993" i="6"/>
  <c r="F991" i="6"/>
  <c r="E991" i="6"/>
  <c r="D991" i="6"/>
  <c r="F989" i="6"/>
  <c r="E989" i="6"/>
  <c r="D989" i="6"/>
  <c r="F987" i="6"/>
  <c r="E987" i="6"/>
  <c r="D987" i="6"/>
  <c r="F985" i="6"/>
  <c r="E985" i="6"/>
  <c r="D985" i="6"/>
  <c r="F983" i="6"/>
  <c r="E983" i="6"/>
  <c r="D983" i="6"/>
  <c r="F981" i="6"/>
  <c r="E981" i="6"/>
  <c r="D981" i="6"/>
  <c r="F979" i="6"/>
  <c r="E979" i="6"/>
  <c r="D979" i="6"/>
  <c r="F977" i="6"/>
  <c r="E977" i="6"/>
  <c r="D977" i="6"/>
  <c r="F975" i="6"/>
  <c r="E975" i="6"/>
  <c r="D975" i="6"/>
  <c r="F973" i="6"/>
  <c r="E973" i="6"/>
  <c r="D973" i="6"/>
  <c r="F971" i="6"/>
  <c r="E971" i="6"/>
  <c r="D971" i="6"/>
  <c r="F969" i="6"/>
  <c r="E969" i="6"/>
  <c r="D969" i="6"/>
  <c r="F967" i="6"/>
  <c r="E967" i="6"/>
  <c r="D967" i="6"/>
  <c r="F965" i="6"/>
  <c r="E965" i="6"/>
  <c r="D965" i="6"/>
  <c r="F963" i="6"/>
  <c r="E963" i="6"/>
  <c r="D963" i="6"/>
  <c r="F961" i="6"/>
  <c r="E961" i="6"/>
  <c r="D961" i="6"/>
  <c r="F959" i="6"/>
  <c r="E959" i="6"/>
  <c r="D959" i="6"/>
  <c r="F957" i="6"/>
  <c r="E957" i="6"/>
  <c r="D957" i="6"/>
  <c r="F955" i="6"/>
  <c r="E955" i="6"/>
  <c r="D955" i="6"/>
  <c r="F953" i="6"/>
  <c r="E953" i="6"/>
  <c r="D953" i="6"/>
  <c r="F951" i="6"/>
  <c r="E951" i="6"/>
  <c r="D951" i="6"/>
  <c r="F949" i="6"/>
  <c r="E949" i="6"/>
  <c r="D949" i="6"/>
  <c r="F947" i="6"/>
  <c r="E947" i="6"/>
  <c r="D947" i="6"/>
  <c r="F945" i="6"/>
  <c r="E945" i="6"/>
  <c r="D945" i="6"/>
  <c r="F943" i="6"/>
  <c r="E943" i="6"/>
  <c r="D943" i="6"/>
  <c r="F941" i="6"/>
  <c r="E941" i="6"/>
  <c r="D941" i="6"/>
  <c r="F939" i="6"/>
  <c r="E939" i="6"/>
  <c r="D939" i="6"/>
  <c r="F937" i="6"/>
  <c r="E937" i="6"/>
  <c r="D937" i="6"/>
  <c r="F935" i="6"/>
  <c r="E935" i="6"/>
  <c r="D935" i="6"/>
  <c r="F933" i="6"/>
  <c r="E933" i="6"/>
  <c r="D933" i="6"/>
  <c r="F931" i="6"/>
  <c r="E931" i="6"/>
  <c r="D931" i="6"/>
  <c r="F929" i="6"/>
  <c r="E929" i="6"/>
  <c r="D929" i="6"/>
  <c r="F927" i="6"/>
  <c r="E927" i="6"/>
  <c r="D927" i="6"/>
  <c r="F925" i="6"/>
  <c r="E925" i="6"/>
  <c r="D925" i="6"/>
  <c r="F923" i="6"/>
  <c r="E923" i="6"/>
  <c r="D923" i="6"/>
  <c r="F921" i="6"/>
  <c r="E921" i="6"/>
  <c r="D921" i="6"/>
  <c r="F919" i="6"/>
  <c r="E919" i="6"/>
  <c r="D919" i="6"/>
  <c r="F917" i="6"/>
  <c r="E917" i="6"/>
  <c r="D917" i="6"/>
  <c r="F915" i="6"/>
  <c r="E915" i="6"/>
  <c r="D915" i="6"/>
  <c r="F913" i="6"/>
  <c r="E913" i="6"/>
  <c r="D913" i="6"/>
  <c r="F911" i="6"/>
  <c r="E911" i="6"/>
  <c r="D911" i="6"/>
  <c r="F909" i="6"/>
  <c r="E909" i="6"/>
  <c r="D909" i="6"/>
  <c r="F907" i="6"/>
  <c r="E907" i="6"/>
  <c r="D907" i="6"/>
  <c r="F905" i="6"/>
  <c r="E905" i="6"/>
  <c r="D905" i="6"/>
  <c r="F903" i="6"/>
  <c r="E903" i="6"/>
  <c r="D903" i="6"/>
  <c r="F901" i="6"/>
  <c r="E901" i="6"/>
  <c r="D901" i="6"/>
  <c r="F899" i="6"/>
  <c r="E899" i="6"/>
  <c r="D899" i="6"/>
  <c r="F897" i="6"/>
  <c r="E897" i="6"/>
  <c r="D897" i="6"/>
  <c r="F895" i="6"/>
  <c r="E895" i="6"/>
  <c r="D895" i="6"/>
  <c r="F893" i="6"/>
  <c r="E893" i="6"/>
  <c r="D893" i="6"/>
  <c r="F891" i="6"/>
  <c r="E891" i="6"/>
  <c r="D891" i="6"/>
  <c r="F889" i="6"/>
  <c r="E889" i="6"/>
  <c r="D889" i="6"/>
  <c r="F887" i="6"/>
  <c r="E887" i="6"/>
  <c r="D887" i="6"/>
  <c r="F885" i="6"/>
  <c r="E885" i="6"/>
  <c r="D885" i="6"/>
  <c r="F883" i="6"/>
  <c r="E883" i="6"/>
  <c r="D883" i="6"/>
  <c r="F881" i="6"/>
  <c r="E881" i="6"/>
  <c r="D881" i="6"/>
  <c r="F879" i="6"/>
  <c r="E879" i="6"/>
  <c r="D879" i="6"/>
  <c r="F877" i="6"/>
  <c r="E877" i="6"/>
  <c r="D877" i="6"/>
  <c r="F875" i="6"/>
  <c r="E875" i="6"/>
  <c r="D875" i="6"/>
  <c r="F873" i="6"/>
  <c r="E873" i="6"/>
  <c r="D873" i="6"/>
  <c r="F871" i="6"/>
  <c r="E871" i="6"/>
  <c r="D871" i="6"/>
  <c r="F869" i="6"/>
  <c r="E869" i="6"/>
  <c r="D869" i="6"/>
  <c r="F867" i="6"/>
  <c r="E867" i="6"/>
  <c r="D867" i="6"/>
  <c r="F865" i="6"/>
  <c r="E865" i="6"/>
  <c r="D865" i="6"/>
  <c r="F863" i="6"/>
  <c r="E863" i="6"/>
  <c r="D863" i="6"/>
  <c r="F861" i="6"/>
  <c r="E861" i="6"/>
  <c r="D861" i="6"/>
  <c r="F859" i="6"/>
  <c r="E859" i="6"/>
  <c r="D859" i="6"/>
  <c r="F857" i="6"/>
  <c r="E857" i="6"/>
  <c r="D857" i="6"/>
  <c r="F855" i="6"/>
  <c r="E855" i="6"/>
  <c r="D855" i="6"/>
  <c r="F853" i="6"/>
  <c r="E853" i="6"/>
  <c r="D853" i="6"/>
  <c r="F851" i="6"/>
  <c r="E851" i="6"/>
  <c r="D851" i="6"/>
  <c r="F849" i="6"/>
  <c r="E849" i="6"/>
  <c r="D849" i="6"/>
  <c r="F847" i="6"/>
  <c r="E847" i="6"/>
  <c r="D847" i="6"/>
  <c r="F845" i="6"/>
  <c r="E845" i="6"/>
  <c r="D845" i="6"/>
  <c r="F843" i="6"/>
  <c r="E843" i="6"/>
  <c r="D843" i="6"/>
  <c r="F841" i="6"/>
  <c r="E841" i="6"/>
  <c r="D841" i="6"/>
  <c r="F839" i="6"/>
  <c r="E839" i="6"/>
  <c r="D839" i="6"/>
  <c r="F837" i="6"/>
  <c r="E837" i="6"/>
  <c r="D837" i="6"/>
  <c r="F835" i="6"/>
  <c r="E835" i="6"/>
  <c r="D835" i="6"/>
  <c r="F833" i="6"/>
  <c r="E833" i="6"/>
  <c r="D833" i="6"/>
  <c r="F831" i="6"/>
  <c r="E831" i="6"/>
  <c r="D831" i="6"/>
  <c r="F829" i="6"/>
  <c r="E829" i="6"/>
  <c r="D829" i="6"/>
  <c r="F827" i="6"/>
  <c r="E827" i="6"/>
  <c r="D827" i="6"/>
  <c r="F825" i="6"/>
  <c r="E825" i="6"/>
  <c r="D825" i="6"/>
  <c r="F823" i="6"/>
  <c r="E823" i="6"/>
  <c r="D823" i="6"/>
  <c r="F821" i="6"/>
  <c r="E821" i="6"/>
  <c r="D821" i="6"/>
  <c r="F819" i="6"/>
  <c r="E819" i="6"/>
  <c r="D819" i="6"/>
  <c r="F817" i="6"/>
  <c r="E817" i="6"/>
  <c r="D817" i="6"/>
  <c r="F815" i="6"/>
  <c r="E815" i="6"/>
  <c r="D815" i="6"/>
  <c r="F813" i="6"/>
  <c r="E813" i="6"/>
  <c r="D813" i="6"/>
  <c r="F811" i="6"/>
  <c r="E811" i="6"/>
  <c r="D811" i="6"/>
  <c r="F809" i="6"/>
  <c r="E809" i="6"/>
  <c r="D809" i="6"/>
  <c r="F807" i="6"/>
  <c r="E807" i="6"/>
  <c r="D807" i="6"/>
  <c r="F805" i="6"/>
  <c r="E805" i="6"/>
  <c r="D805" i="6"/>
  <c r="F803" i="6"/>
  <c r="E803" i="6"/>
  <c r="D803" i="6"/>
  <c r="F801" i="6"/>
  <c r="E801" i="6"/>
  <c r="D801" i="6"/>
  <c r="F799" i="6"/>
  <c r="E799" i="6"/>
  <c r="D799" i="6"/>
  <c r="F797" i="6"/>
  <c r="E797" i="6"/>
  <c r="D797" i="6"/>
  <c r="F795" i="6"/>
  <c r="E795" i="6"/>
  <c r="D795" i="6"/>
  <c r="F793" i="6"/>
  <c r="E793" i="6"/>
  <c r="D793" i="6"/>
  <c r="F791" i="6"/>
  <c r="E791" i="6"/>
  <c r="D791" i="6"/>
  <c r="F789" i="6"/>
  <c r="E789" i="6"/>
  <c r="D789" i="6"/>
  <c r="F787" i="6"/>
  <c r="E787" i="6"/>
  <c r="D787" i="6"/>
  <c r="F785" i="6"/>
  <c r="E785" i="6"/>
  <c r="D785" i="6"/>
  <c r="F783" i="6"/>
  <c r="E783" i="6"/>
  <c r="D783" i="6"/>
  <c r="F781" i="6"/>
  <c r="E781" i="6"/>
  <c r="D781" i="6"/>
  <c r="F779" i="6"/>
  <c r="E779" i="6"/>
  <c r="D779" i="6"/>
  <c r="F777" i="6"/>
  <c r="E777" i="6"/>
  <c r="D777" i="6"/>
  <c r="F775" i="6"/>
  <c r="E775" i="6"/>
  <c r="D775" i="6"/>
  <c r="F773" i="6"/>
  <c r="E773" i="6"/>
  <c r="D773" i="6"/>
  <c r="F771" i="6"/>
  <c r="E771" i="6"/>
  <c r="D771" i="6"/>
  <c r="F769" i="6"/>
  <c r="E769" i="6"/>
  <c r="D769" i="6"/>
  <c r="F767" i="6"/>
  <c r="E767" i="6"/>
  <c r="D767" i="6"/>
  <c r="F765" i="6"/>
  <c r="E765" i="6"/>
  <c r="D765" i="6"/>
  <c r="F763" i="6"/>
  <c r="E763" i="6"/>
  <c r="D763" i="6"/>
  <c r="F761" i="6"/>
  <c r="E761" i="6"/>
  <c r="D761" i="6"/>
  <c r="F759" i="6"/>
  <c r="E759" i="6"/>
  <c r="D759" i="6"/>
  <c r="F757" i="6"/>
  <c r="E757" i="6"/>
  <c r="D757" i="6"/>
  <c r="F755" i="6"/>
  <c r="E755" i="6"/>
  <c r="D755" i="6"/>
  <c r="F753" i="6"/>
  <c r="E753" i="6"/>
  <c r="F751" i="6"/>
  <c r="E751" i="6"/>
  <c r="D751" i="6"/>
  <c r="F749" i="6"/>
  <c r="E749" i="6"/>
  <c r="D749" i="6"/>
  <c r="F747" i="6"/>
  <c r="E747" i="6"/>
  <c r="D747" i="6"/>
  <c r="F745" i="6"/>
  <c r="E745" i="6"/>
  <c r="D745" i="6"/>
  <c r="F743" i="6"/>
  <c r="E743" i="6"/>
  <c r="D743" i="6"/>
  <c r="F741" i="6"/>
  <c r="E741" i="6"/>
  <c r="D741" i="6"/>
  <c r="F739" i="6"/>
  <c r="E739" i="6"/>
  <c r="D739" i="6"/>
  <c r="F737" i="6"/>
  <c r="E737" i="6"/>
  <c r="D737" i="6"/>
  <c r="F735" i="6"/>
  <c r="E735" i="6"/>
  <c r="D735" i="6"/>
  <c r="F733" i="6"/>
  <c r="E733" i="6"/>
  <c r="D733" i="6"/>
  <c r="F731" i="6"/>
  <c r="E731" i="6"/>
  <c r="D731" i="6"/>
  <c r="F729" i="6"/>
  <c r="E729" i="6"/>
  <c r="D729" i="6"/>
  <c r="F727" i="6"/>
  <c r="E727" i="6"/>
  <c r="D727" i="6"/>
  <c r="F725" i="6"/>
  <c r="E725" i="6"/>
  <c r="D725" i="6"/>
  <c r="F723" i="6"/>
  <c r="E723" i="6"/>
  <c r="D723" i="6"/>
  <c r="F721" i="6"/>
  <c r="E721" i="6"/>
  <c r="D721" i="6"/>
  <c r="F719" i="6"/>
  <c r="E719" i="6"/>
  <c r="D719" i="6"/>
  <c r="F717" i="6"/>
  <c r="E717" i="6"/>
  <c r="D717" i="6"/>
  <c r="F715" i="6"/>
  <c r="E715" i="6"/>
  <c r="D715" i="6"/>
  <c r="F713" i="6"/>
  <c r="E713" i="6"/>
  <c r="D713" i="6"/>
  <c r="F711" i="6"/>
  <c r="E711" i="6"/>
  <c r="D711" i="6"/>
  <c r="F709" i="6"/>
  <c r="E709" i="6"/>
  <c r="D709" i="6"/>
  <c r="F707" i="6"/>
  <c r="E707" i="6"/>
  <c r="D707" i="6"/>
  <c r="F705" i="6"/>
  <c r="E705" i="6"/>
  <c r="D705" i="6"/>
  <c r="F703" i="6"/>
  <c r="E703" i="6"/>
  <c r="D703" i="6"/>
  <c r="F701" i="6"/>
  <c r="E701" i="6"/>
  <c r="D701" i="6"/>
  <c r="F699" i="6"/>
  <c r="E699" i="6"/>
  <c r="D699" i="6"/>
  <c r="F697" i="6"/>
  <c r="E697" i="6"/>
  <c r="D697" i="6"/>
  <c r="F695" i="6"/>
  <c r="E695" i="6"/>
  <c r="D695" i="6"/>
  <c r="F693" i="6"/>
  <c r="E693" i="6"/>
  <c r="D693" i="6"/>
  <c r="F691" i="6"/>
  <c r="E691" i="6"/>
  <c r="D691" i="6"/>
  <c r="F689" i="6"/>
  <c r="E689" i="6"/>
  <c r="D689" i="6"/>
  <c r="F687" i="6"/>
  <c r="E687" i="6"/>
  <c r="D687" i="6"/>
  <c r="F685" i="6"/>
  <c r="E685" i="6"/>
  <c r="D685" i="6"/>
  <c r="F683" i="6"/>
  <c r="E683" i="6"/>
  <c r="D683" i="6"/>
  <c r="F681" i="6"/>
  <c r="E681" i="6"/>
  <c r="D681" i="6"/>
  <c r="F679" i="6"/>
  <c r="E679" i="6"/>
  <c r="D679" i="6"/>
  <c r="F677" i="6"/>
  <c r="E677" i="6"/>
  <c r="D677" i="6"/>
  <c r="F675" i="6"/>
  <c r="E675" i="6"/>
  <c r="D675" i="6"/>
  <c r="F673" i="6"/>
  <c r="E673" i="6"/>
  <c r="D673" i="6"/>
  <c r="F671" i="6"/>
  <c r="E671" i="6"/>
  <c r="D671" i="6"/>
  <c r="F669" i="6"/>
  <c r="E669" i="6"/>
  <c r="D669" i="6"/>
  <c r="F667" i="6"/>
  <c r="E667" i="6"/>
  <c r="D667" i="6"/>
  <c r="F665" i="6"/>
  <c r="E665" i="6"/>
  <c r="D665" i="6"/>
  <c r="F663" i="6"/>
  <c r="E663" i="6"/>
  <c r="D663" i="6"/>
  <c r="F661" i="6"/>
  <c r="E661" i="6"/>
  <c r="D661" i="6"/>
  <c r="F659" i="6"/>
  <c r="E659" i="6"/>
  <c r="D659" i="6"/>
  <c r="F657" i="6"/>
  <c r="E657" i="6"/>
  <c r="D657" i="6"/>
  <c r="F655" i="6"/>
  <c r="E655" i="6"/>
  <c r="D655" i="6"/>
  <c r="F653" i="6"/>
  <c r="E653" i="6"/>
  <c r="D653" i="6"/>
  <c r="F651" i="6"/>
  <c r="E651" i="6"/>
  <c r="D651" i="6"/>
  <c r="F649" i="6"/>
  <c r="E649" i="6"/>
  <c r="D649" i="6"/>
  <c r="F647" i="6"/>
  <c r="E647" i="6"/>
  <c r="D647" i="6"/>
  <c r="F645" i="6"/>
  <c r="E645" i="6"/>
  <c r="D645" i="6"/>
  <c r="F643" i="6"/>
  <c r="E643" i="6"/>
  <c r="D643" i="6"/>
  <c r="F641" i="6"/>
  <c r="E641" i="6"/>
  <c r="D641" i="6"/>
  <c r="F639" i="6"/>
  <c r="E639" i="6"/>
  <c r="D639" i="6"/>
  <c r="F637" i="6"/>
  <c r="E637" i="6"/>
  <c r="D637" i="6"/>
  <c r="F635" i="6"/>
  <c r="E635" i="6"/>
  <c r="D635" i="6"/>
  <c r="F633" i="6"/>
  <c r="E633" i="6"/>
  <c r="D633" i="6"/>
  <c r="F631" i="6"/>
  <c r="E631" i="6"/>
  <c r="D631" i="6"/>
  <c r="F629" i="6"/>
  <c r="E629" i="6"/>
  <c r="D629" i="6"/>
  <c r="F627" i="6"/>
  <c r="E627" i="6"/>
  <c r="D627" i="6"/>
  <c r="F625" i="6"/>
  <c r="E625" i="6"/>
  <c r="D625" i="6"/>
  <c r="F623" i="6"/>
  <c r="E623" i="6"/>
  <c r="D623" i="6"/>
  <c r="F621" i="6"/>
  <c r="E621" i="6"/>
  <c r="D621" i="6"/>
  <c r="F619" i="6"/>
  <c r="E619" i="6"/>
  <c r="D619" i="6"/>
  <c r="F617" i="6"/>
  <c r="E617" i="6"/>
  <c r="D617" i="6"/>
  <c r="F615" i="6"/>
  <c r="E615" i="6"/>
  <c r="D615" i="6"/>
  <c r="F613" i="6"/>
  <c r="E613" i="6"/>
  <c r="D613" i="6"/>
  <c r="F611" i="6"/>
  <c r="E611" i="6"/>
  <c r="D611" i="6"/>
  <c r="F609" i="6"/>
  <c r="E609" i="6"/>
  <c r="D609" i="6"/>
  <c r="F607" i="6"/>
  <c r="E607" i="6"/>
  <c r="D607" i="6"/>
  <c r="F605" i="6"/>
  <c r="E605" i="6"/>
  <c r="D605" i="6"/>
  <c r="F603" i="6"/>
  <c r="E603" i="6"/>
  <c r="D603" i="6"/>
  <c r="F601" i="6"/>
  <c r="E601" i="6"/>
  <c r="D601" i="6"/>
  <c r="F599" i="6"/>
  <c r="E599" i="6"/>
  <c r="D599" i="6"/>
  <c r="F597" i="6"/>
  <c r="E597" i="6"/>
  <c r="D597" i="6"/>
  <c r="F595" i="6"/>
  <c r="E595" i="6"/>
  <c r="D595" i="6"/>
  <c r="F593" i="6"/>
  <c r="E593" i="6"/>
  <c r="D593" i="6"/>
  <c r="F591" i="6"/>
  <c r="E591" i="6"/>
  <c r="D591" i="6"/>
  <c r="F589" i="6"/>
  <c r="E589" i="6"/>
  <c r="D589" i="6"/>
  <c r="F587" i="6"/>
  <c r="E587" i="6"/>
  <c r="D587" i="6"/>
  <c r="F585" i="6"/>
  <c r="E585" i="6"/>
  <c r="D585" i="6"/>
  <c r="F583" i="6"/>
  <c r="E583" i="6"/>
  <c r="D583" i="6"/>
  <c r="F581" i="6"/>
  <c r="E581" i="6"/>
  <c r="D581" i="6"/>
  <c r="F579" i="6"/>
  <c r="E579" i="6"/>
  <c r="D579" i="6"/>
  <c r="F577" i="6"/>
  <c r="E577" i="6"/>
  <c r="D577" i="6"/>
  <c r="F575" i="6"/>
  <c r="E575" i="6"/>
  <c r="D575" i="6"/>
  <c r="F573" i="6"/>
  <c r="E573" i="6"/>
  <c r="D573" i="6"/>
  <c r="F571" i="6"/>
  <c r="E571" i="6"/>
  <c r="D571" i="6"/>
  <c r="T567" i="6"/>
  <c r="R567" i="6"/>
  <c r="H567" i="6" a="1"/>
  <c r="H567" i="6"/>
  <c r="F567" i="6" a="1"/>
  <c r="F567" i="6" s="1"/>
  <c r="D567" i="6"/>
  <c r="B567" i="6" a="1"/>
  <c r="B567" i="6" s="1"/>
  <c r="S563" i="6"/>
  <c r="H563" i="6" a="1"/>
  <c r="H563" i="6" s="1"/>
  <c r="G563" i="6" a="1"/>
  <c r="G563" i="6"/>
  <c r="H562" i="6" a="1"/>
  <c r="H562" i="6" s="1"/>
  <c r="G562" i="6" a="1"/>
  <c r="G562" i="6"/>
  <c r="H561" i="6" a="1"/>
  <c r="H561" i="6" s="1"/>
  <c r="G561" i="6" a="1"/>
  <c r="G561" i="6"/>
  <c r="AA558" i="6"/>
  <c r="Z558" i="6"/>
  <c r="Y558" i="6"/>
  <c r="X558" i="6"/>
  <c r="U558" i="6"/>
  <c r="T558" i="6"/>
  <c r="V558" i="6" s="1"/>
  <c r="M558" i="6"/>
  <c r="W558" i="6" s="1"/>
  <c r="H558" i="6"/>
  <c r="E558" i="6"/>
  <c r="AA557" i="6"/>
  <c r="Z557" i="6"/>
  <c r="Y557" i="6"/>
  <c r="X557" i="6"/>
  <c r="U557" i="6"/>
  <c r="T557" i="6"/>
  <c r="V557" i="6" s="1"/>
  <c r="M557" i="6"/>
  <c r="H557" i="6"/>
  <c r="E557" i="6"/>
  <c r="AA556" i="6"/>
  <c r="Z556" i="6"/>
  <c r="Y556" i="6"/>
  <c r="X556" i="6"/>
  <c r="U556" i="6"/>
  <c r="T556" i="6"/>
  <c r="V556" i="6" s="1"/>
  <c r="M556" i="6"/>
  <c r="W556" i="6" s="1"/>
  <c r="H556" i="6"/>
  <c r="E556" i="6"/>
  <c r="AA555" i="6"/>
  <c r="Z555" i="6"/>
  <c r="Y555" i="6"/>
  <c r="X555" i="6"/>
  <c r="U555" i="6"/>
  <c r="T555" i="6"/>
  <c r="V555" i="6" s="1"/>
  <c r="W555" i="6" s="1"/>
  <c r="M555" i="6"/>
  <c r="H555" i="6"/>
  <c r="E555" i="6"/>
  <c r="AA554" i="6"/>
  <c r="Z554" i="6"/>
  <c r="Y554" i="6"/>
  <c r="X554" i="6"/>
  <c r="V554" i="6"/>
  <c r="W554" i="6" s="1"/>
  <c r="U554" i="6"/>
  <c r="T554" i="6"/>
  <c r="M554" i="6"/>
  <c r="H554" i="6"/>
  <c r="E554" i="6"/>
  <c r="AA553" i="6"/>
  <c r="Z553" i="6"/>
  <c r="Y553" i="6"/>
  <c r="X553" i="6"/>
  <c r="V553" i="6"/>
  <c r="W553" i="6" s="1"/>
  <c r="U553" i="6"/>
  <c r="T553" i="6"/>
  <c r="M553" i="6"/>
  <c r="H553" i="6"/>
  <c r="E553" i="6"/>
  <c r="AA552" i="6"/>
  <c r="Z552" i="6"/>
  <c r="Y552" i="6"/>
  <c r="X552" i="6"/>
  <c r="U552" i="6"/>
  <c r="T552" i="6"/>
  <c r="V552" i="6" s="1"/>
  <c r="W552" i="6" s="1"/>
  <c r="M552" i="6"/>
  <c r="H552" i="6"/>
  <c r="E552" i="6"/>
  <c r="AA551" i="6"/>
  <c r="Z551" i="6"/>
  <c r="Y551" i="6"/>
  <c r="X551" i="6"/>
  <c r="U551" i="6"/>
  <c r="T551" i="6"/>
  <c r="V551" i="6" s="1"/>
  <c r="M551" i="6"/>
  <c r="W551" i="6" s="1"/>
  <c r="H551" i="6"/>
  <c r="E551" i="6"/>
  <c r="AA550" i="6"/>
  <c r="Z550" i="6"/>
  <c r="Y550" i="6"/>
  <c r="X550" i="6"/>
  <c r="U550" i="6"/>
  <c r="T550" i="6"/>
  <c r="V550" i="6" s="1"/>
  <c r="M550" i="6"/>
  <c r="H550" i="6"/>
  <c r="E550" i="6"/>
  <c r="AA549" i="6"/>
  <c r="Z549" i="6"/>
  <c r="Y549" i="6"/>
  <c r="X549" i="6"/>
  <c r="U549" i="6"/>
  <c r="T549" i="6"/>
  <c r="V549" i="6" s="1"/>
  <c r="W549" i="6" s="1"/>
  <c r="M549" i="6"/>
  <c r="H549" i="6"/>
  <c r="E549" i="6"/>
  <c r="AA548" i="6"/>
  <c r="Z548" i="6"/>
  <c r="Y548" i="6"/>
  <c r="X548" i="6"/>
  <c r="V548" i="6"/>
  <c r="W548" i="6" s="1"/>
  <c r="U548" i="6"/>
  <c r="T548" i="6"/>
  <c r="M548" i="6"/>
  <c r="H548" i="6"/>
  <c r="E548" i="6"/>
  <c r="AA547" i="6"/>
  <c r="Z547" i="6"/>
  <c r="Y547" i="6"/>
  <c r="X547" i="6"/>
  <c r="V547" i="6"/>
  <c r="W547" i="6" s="1"/>
  <c r="U547" i="6"/>
  <c r="T547" i="6"/>
  <c r="M547" i="6"/>
  <c r="H547" i="6"/>
  <c r="E547" i="6"/>
  <c r="AA546" i="6"/>
  <c r="Z546" i="6"/>
  <c r="Y546" i="6"/>
  <c r="X546" i="6"/>
  <c r="U546" i="6"/>
  <c r="T546" i="6"/>
  <c r="V546" i="6" s="1"/>
  <c r="W546" i="6" s="1"/>
  <c r="M546" i="6"/>
  <c r="H546" i="6"/>
  <c r="E546" i="6"/>
  <c r="AA545" i="6"/>
  <c r="Z545" i="6"/>
  <c r="Y545" i="6"/>
  <c r="X545" i="6"/>
  <c r="U545" i="6"/>
  <c r="T545" i="6"/>
  <c r="V545" i="6" s="1"/>
  <c r="M545" i="6"/>
  <c r="H545" i="6"/>
  <c r="E545" i="6"/>
  <c r="AA544" i="6"/>
  <c r="Z544" i="6"/>
  <c r="Y544" i="6"/>
  <c r="X544" i="6"/>
  <c r="U544" i="6"/>
  <c r="T544" i="6"/>
  <c r="V544" i="6" s="1"/>
  <c r="M544" i="6"/>
  <c r="W544" i="6" s="1"/>
  <c r="H544" i="6"/>
  <c r="E544" i="6"/>
  <c r="AA543" i="6"/>
  <c r="Z543" i="6"/>
  <c r="Y543" i="6"/>
  <c r="X543" i="6"/>
  <c r="U543" i="6"/>
  <c r="T543" i="6"/>
  <c r="V543" i="6" s="1"/>
  <c r="W543" i="6" s="1"/>
  <c r="M543" i="6"/>
  <c r="H543" i="6"/>
  <c r="E543" i="6"/>
  <c r="AA542" i="6"/>
  <c r="Z542" i="6"/>
  <c r="Y542" i="6"/>
  <c r="X542" i="6"/>
  <c r="V542" i="6"/>
  <c r="W542" i="6" s="1"/>
  <c r="U542" i="6"/>
  <c r="T542" i="6"/>
  <c r="M542" i="6"/>
  <c r="H542" i="6"/>
  <c r="E542" i="6"/>
  <c r="AA541" i="6"/>
  <c r="Z541" i="6"/>
  <c r="Y541" i="6"/>
  <c r="X541" i="6"/>
  <c r="V541" i="6"/>
  <c r="W541" i="6" s="1"/>
  <c r="U541" i="6"/>
  <c r="T541" i="6"/>
  <c r="M541" i="6"/>
  <c r="H541" i="6"/>
  <c r="E541" i="6"/>
  <c r="AA540" i="6"/>
  <c r="Z540" i="6"/>
  <c r="Y540" i="6"/>
  <c r="X540" i="6"/>
  <c r="U540" i="6"/>
  <c r="T540" i="6"/>
  <c r="V540" i="6" s="1"/>
  <c r="W540" i="6" s="1"/>
  <c r="M540" i="6"/>
  <c r="H540" i="6"/>
  <c r="E540" i="6"/>
  <c r="AA539" i="6"/>
  <c r="Z539" i="6"/>
  <c r="Y539" i="6"/>
  <c r="X539" i="6"/>
  <c r="U539" i="6"/>
  <c r="T539" i="6"/>
  <c r="V539" i="6" s="1"/>
  <c r="M539" i="6"/>
  <c r="W539" i="6" s="1"/>
  <c r="H539" i="6"/>
  <c r="E539" i="6"/>
  <c r="AA538" i="6"/>
  <c r="Z538" i="6"/>
  <c r="Y538" i="6"/>
  <c r="X538" i="6"/>
  <c r="U538" i="6"/>
  <c r="T538" i="6"/>
  <c r="V538" i="6" s="1"/>
  <c r="M538" i="6"/>
  <c r="H538" i="6"/>
  <c r="E538" i="6"/>
  <c r="AA537" i="6"/>
  <c r="Z537" i="6"/>
  <c r="Y537" i="6"/>
  <c r="X537" i="6"/>
  <c r="U537" i="6"/>
  <c r="T537" i="6"/>
  <c r="V537" i="6" s="1"/>
  <c r="W537" i="6" s="1"/>
  <c r="M537" i="6"/>
  <c r="H537" i="6"/>
  <c r="E537" i="6"/>
  <c r="AA536" i="6"/>
  <c r="Z536" i="6"/>
  <c r="Y536" i="6"/>
  <c r="X536" i="6"/>
  <c r="V536" i="6"/>
  <c r="W536" i="6" s="1"/>
  <c r="U536" i="6"/>
  <c r="T536" i="6"/>
  <c r="M536" i="6"/>
  <c r="H536" i="6"/>
  <c r="E536" i="6"/>
  <c r="AA535" i="6"/>
  <c r="Z535" i="6"/>
  <c r="Y535" i="6"/>
  <c r="X535" i="6"/>
  <c r="V535" i="6"/>
  <c r="W535" i="6" s="1"/>
  <c r="U535" i="6"/>
  <c r="T535" i="6"/>
  <c r="G567" i="6" s="1" a="1"/>
  <c r="G567" i="6" s="1"/>
  <c r="M535" i="6"/>
  <c r="H535" i="6"/>
  <c r="E535" i="6"/>
  <c r="AA534" i="6"/>
  <c r="Z534" i="6"/>
  <c r="Y534" i="6"/>
  <c r="X534" i="6"/>
  <c r="U534" i="6"/>
  <c r="T534" i="6"/>
  <c r="V534" i="6" s="1"/>
  <c r="W534" i="6" s="1"/>
  <c r="M534" i="6"/>
  <c r="H534" i="6"/>
  <c r="E534" i="6"/>
  <c r="AA533" i="6"/>
  <c r="Z533" i="6"/>
  <c r="Y533" i="6"/>
  <c r="X533" i="6"/>
  <c r="U533" i="6"/>
  <c r="T533" i="6"/>
  <c r="V533" i="6" s="1"/>
  <c r="M533" i="6"/>
  <c r="H533" i="6"/>
  <c r="E533" i="6"/>
  <c r="AA532" i="6"/>
  <c r="Z532" i="6"/>
  <c r="Y532" i="6"/>
  <c r="X532" i="6"/>
  <c r="U532" i="6"/>
  <c r="T532" i="6"/>
  <c r="V532" i="6" s="1"/>
  <c r="M532" i="6"/>
  <c r="W532" i="6" s="1"/>
  <c r="H532" i="6"/>
  <c r="E532" i="6"/>
  <c r="AA531" i="6"/>
  <c r="Z531" i="6"/>
  <c r="Y531" i="6"/>
  <c r="X531" i="6"/>
  <c r="U531" i="6"/>
  <c r="T531" i="6"/>
  <c r="V531" i="6" s="1"/>
  <c r="W531" i="6" s="1"/>
  <c r="M531" i="6"/>
  <c r="H531" i="6"/>
  <c r="E531" i="6"/>
  <c r="AA530" i="6"/>
  <c r="Z530" i="6"/>
  <c r="Y530" i="6"/>
  <c r="X530" i="6"/>
  <c r="V530" i="6"/>
  <c r="W530" i="6" s="1"/>
  <c r="U530" i="6"/>
  <c r="T530" i="6"/>
  <c r="M530" i="6"/>
  <c r="H530" i="6"/>
  <c r="E530" i="6"/>
  <c r="AA529" i="6"/>
  <c r="Z529" i="6"/>
  <c r="Y529" i="6"/>
  <c r="X529" i="6"/>
  <c r="V529" i="6"/>
  <c r="W529" i="6" s="1"/>
  <c r="U529" i="6"/>
  <c r="T529" i="6"/>
  <c r="M529" i="6"/>
  <c r="H529" i="6"/>
  <c r="E529" i="6"/>
  <c r="AA528" i="6"/>
  <c r="Z528" i="6"/>
  <c r="Y528" i="6"/>
  <c r="X528" i="6"/>
  <c r="U528" i="6"/>
  <c r="T528" i="6"/>
  <c r="V528" i="6" s="1"/>
  <c r="W528" i="6" s="1"/>
  <c r="M528" i="6"/>
  <c r="H528" i="6"/>
  <c r="E528" i="6"/>
  <c r="AA527" i="6"/>
  <c r="Z527" i="6"/>
  <c r="Y527" i="6"/>
  <c r="X527" i="6"/>
  <c r="U527" i="6"/>
  <c r="T527" i="6"/>
  <c r="V527" i="6" s="1"/>
  <c r="M527" i="6"/>
  <c r="W527" i="6" s="1"/>
  <c r="K527" i="6"/>
  <c r="H527" i="6" s="1"/>
  <c r="E527" i="6"/>
  <c r="AA526" i="6"/>
  <c r="Z526" i="6"/>
  <c r="Y526" i="6"/>
  <c r="X526" i="6"/>
  <c r="U526" i="6"/>
  <c r="T526" i="6"/>
  <c r="V526" i="6" s="1"/>
  <c r="W526" i="6" s="1"/>
  <c r="M526" i="6"/>
  <c r="H526" i="6"/>
  <c r="E526" i="6"/>
  <c r="AA525" i="6"/>
  <c r="Z525" i="6"/>
  <c r="Y525" i="6"/>
  <c r="X525" i="6"/>
  <c r="U525" i="6"/>
  <c r="T525" i="6"/>
  <c r="V525" i="6" s="1"/>
  <c r="W525" i="6" s="1"/>
  <c r="M525" i="6"/>
  <c r="H525" i="6"/>
  <c r="E525" i="6"/>
  <c r="AA524" i="6"/>
  <c r="Z524" i="6"/>
  <c r="Y524" i="6"/>
  <c r="X524" i="6"/>
  <c r="U524" i="6"/>
  <c r="T524" i="6"/>
  <c r="V524" i="6" s="1"/>
  <c r="W524" i="6" s="1"/>
  <c r="M524" i="6"/>
  <c r="H524" i="6"/>
  <c r="E524" i="6"/>
  <c r="AA523" i="6"/>
  <c r="Z523" i="6"/>
  <c r="Y523" i="6"/>
  <c r="X523" i="6"/>
  <c r="V523" i="6"/>
  <c r="W523" i="6" s="1"/>
  <c r="U523" i="6"/>
  <c r="T523" i="6"/>
  <c r="M523" i="6"/>
  <c r="H523" i="6"/>
  <c r="E523" i="6"/>
  <c r="AA522" i="6"/>
  <c r="Z522" i="6"/>
  <c r="Y522" i="6"/>
  <c r="X522" i="6"/>
  <c r="V522" i="6"/>
  <c r="W522" i="6" s="1"/>
  <c r="U522" i="6"/>
  <c r="T522" i="6"/>
  <c r="M522" i="6"/>
  <c r="H522" i="6"/>
  <c r="E522" i="6"/>
  <c r="AA521" i="6"/>
  <c r="Z521" i="6"/>
  <c r="Y521" i="6"/>
  <c r="X521" i="6"/>
  <c r="U521" i="6"/>
  <c r="T521" i="6"/>
  <c r="V521" i="6" s="1"/>
  <c r="W521" i="6" s="1"/>
  <c r="M521" i="6"/>
  <c r="H521" i="6"/>
  <c r="E521" i="6"/>
  <c r="AA520" i="6"/>
  <c r="Z520" i="6"/>
  <c r="Y520" i="6"/>
  <c r="X520" i="6"/>
  <c r="U520" i="6"/>
  <c r="T520" i="6"/>
  <c r="V520" i="6" s="1"/>
  <c r="M520" i="6"/>
  <c r="W520" i="6" s="1"/>
  <c r="H520" i="6"/>
  <c r="E520" i="6"/>
  <c r="AA519" i="6"/>
  <c r="Z519" i="6"/>
  <c r="Y519" i="6"/>
  <c r="X519" i="6"/>
  <c r="U519" i="6"/>
  <c r="T519" i="6"/>
  <c r="V519" i="6" s="1"/>
  <c r="M519" i="6"/>
  <c r="H519" i="6"/>
  <c r="E519" i="6"/>
  <c r="AA518" i="6"/>
  <c r="Z518" i="6"/>
  <c r="Y518" i="6"/>
  <c r="X518" i="6"/>
  <c r="U518" i="6"/>
  <c r="T518" i="6"/>
  <c r="V518" i="6" s="1"/>
  <c r="W518" i="6" s="1"/>
  <c r="M518" i="6"/>
  <c r="AA517" i="6"/>
  <c r="Z517" i="6"/>
  <c r="Y517" i="6"/>
  <c r="X517" i="6"/>
  <c r="U517" i="6"/>
  <c r="T517" i="6"/>
  <c r="V517" i="6" s="1"/>
  <c r="W517" i="6" s="1"/>
  <c r="M517" i="6"/>
  <c r="H517" i="6"/>
  <c r="E517" i="6"/>
  <c r="AA516" i="6"/>
  <c r="Z516" i="6"/>
  <c r="Y516" i="6"/>
  <c r="X516" i="6"/>
  <c r="U516" i="6"/>
  <c r="T516" i="6"/>
  <c r="V516" i="6" s="1"/>
  <c r="M516" i="6"/>
  <c r="W516" i="6" s="1"/>
  <c r="H516" i="6"/>
  <c r="E516" i="6"/>
  <c r="AA515" i="6"/>
  <c r="Z515" i="6"/>
  <c r="Y515" i="6"/>
  <c r="X515" i="6"/>
  <c r="U515" i="6"/>
  <c r="T515" i="6"/>
  <c r="V515" i="6" s="1"/>
  <c r="M515" i="6"/>
  <c r="W515" i="6" s="1"/>
  <c r="H515" i="6"/>
  <c r="E515" i="6"/>
  <c r="AA514" i="6"/>
  <c r="Z514" i="6"/>
  <c r="Y514" i="6"/>
  <c r="X514" i="6"/>
  <c r="W514" i="6"/>
  <c r="U514" i="6"/>
  <c r="T514" i="6"/>
  <c r="V514" i="6" s="1"/>
  <c r="M514" i="6"/>
  <c r="H514" i="6"/>
  <c r="E514" i="6"/>
  <c r="AA513" i="6"/>
  <c r="Z513" i="6"/>
  <c r="Y513" i="6"/>
  <c r="X513" i="6"/>
  <c r="V513" i="6"/>
  <c r="W513" i="6" s="1"/>
  <c r="U513" i="6"/>
  <c r="T513" i="6"/>
  <c r="M513" i="6"/>
  <c r="H513" i="6"/>
  <c r="E513" i="6"/>
  <c r="AA512" i="6"/>
  <c r="Z512" i="6"/>
  <c r="Y512" i="6"/>
  <c r="X512" i="6"/>
  <c r="V512" i="6"/>
  <c r="W512" i="6" s="1"/>
  <c r="U512" i="6"/>
  <c r="T512" i="6"/>
  <c r="M512" i="6"/>
  <c r="AA511" i="6"/>
  <c r="Z511" i="6"/>
  <c r="Y511" i="6"/>
  <c r="X511" i="6"/>
  <c r="U511" i="6"/>
  <c r="T511" i="6"/>
  <c r="V511" i="6" s="1"/>
  <c r="M511" i="6"/>
  <c r="H511" i="6"/>
  <c r="E511" i="6"/>
  <c r="AA510" i="6"/>
  <c r="Z510" i="6"/>
  <c r="Y510" i="6"/>
  <c r="X510" i="6"/>
  <c r="U510" i="6"/>
  <c r="T510" i="6"/>
  <c r="V510" i="6" s="1"/>
  <c r="W510" i="6" s="1"/>
  <c r="M510" i="6"/>
  <c r="H510" i="6"/>
  <c r="E510" i="6"/>
  <c r="AA509" i="6"/>
  <c r="Z509" i="6"/>
  <c r="Y509" i="6"/>
  <c r="X509" i="6"/>
  <c r="V509" i="6"/>
  <c r="W509" i="6" s="1"/>
  <c r="U509" i="6"/>
  <c r="T509" i="6"/>
  <c r="M509" i="6"/>
  <c r="H509" i="6"/>
  <c r="E509" i="6"/>
  <c r="AA508" i="6"/>
  <c r="Z508" i="6"/>
  <c r="Y508" i="6"/>
  <c r="X508" i="6"/>
  <c r="V508" i="6"/>
  <c r="W508" i="6" s="1"/>
  <c r="U508" i="6"/>
  <c r="T508" i="6"/>
  <c r="M508" i="6"/>
  <c r="H508" i="6"/>
  <c r="E508" i="6"/>
  <c r="AA507" i="6"/>
  <c r="Z507" i="6"/>
  <c r="Y507" i="6"/>
  <c r="X507" i="6"/>
  <c r="U507" i="6"/>
  <c r="T507" i="6"/>
  <c r="V507" i="6" s="1"/>
  <c r="W507" i="6" s="1"/>
  <c r="M507" i="6"/>
  <c r="H507" i="6"/>
  <c r="E507" i="6"/>
  <c r="Z506" i="6"/>
  <c r="Y506" i="6"/>
  <c r="X506" i="6"/>
  <c r="U506" i="6"/>
  <c r="T506" i="6"/>
  <c r="S506" i="6"/>
  <c r="AA506" i="6" s="1"/>
  <c r="M506" i="6"/>
  <c r="AA505" i="6"/>
  <c r="Z505" i="6"/>
  <c r="Y505" i="6"/>
  <c r="X505" i="6"/>
  <c r="W505" i="6"/>
  <c r="U505" i="6"/>
  <c r="T505" i="6"/>
  <c r="V505" i="6" s="1"/>
  <c r="M505" i="6"/>
  <c r="H505" i="6"/>
  <c r="E505" i="6"/>
  <c r="AA504" i="6"/>
  <c r="Z504" i="6"/>
  <c r="Y504" i="6"/>
  <c r="X504" i="6"/>
  <c r="V504" i="6"/>
  <c r="W504" i="6" s="1"/>
  <c r="U504" i="6"/>
  <c r="T504" i="6"/>
  <c r="M504" i="6"/>
  <c r="H504" i="6"/>
  <c r="E504" i="6"/>
  <c r="AA503" i="6"/>
  <c r="Z503" i="6"/>
  <c r="Y503" i="6"/>
  <c r="X503" i="6"/>
  <c r="V503" i="6"/>
  <c r="W503" i="6" s="1"/>
  <c r="U503" i="6"/>
  <c r="T503" i="6"/>
  <c r="M503" i="6"/>
  <c r="H503" i="6"/>
  <c r="E503" i="6"/>
  <c r="AA502" i="6"/>
  <c r="Z502" i="6"/>
  <c r="Y502" i="6"/>
  <c r="X502" i="6"/>
  <c r="U502" i="6"/>
  <c r="T502" i="6"/>
  <c r="V502" i="6" s="1"/>
  <c r="W502" i="6" s="1"/>
  <c r="M502" i="6"/>
  <c r="H502" i="6"/>
  <c r="E502" i="6"/>
  <c r="AA501" i="6"/>
  <c r="Z501" i="6"/>
  <c r="Y501" i="6"/>
  <c r="X501" i="6"/>
  <c r="U501" i="6"/>
  <c r="T501" i="6"/>
  <c r="V501" i="6" s="1"/>
  <c r="M501" i="6"/>
  <c r="H501" i="6"/>
  <c r="E501" i="6"/>
  <c r="AA500" i="6"/>
  <c r="Z500" i="6"/>
  <c r="Y500" i="6"/>
  <c r="X500" i="6"/>
  <c r="U500" i="6"/>
  <c r="T500" i="6"/>
  <c r="V500" i="6" s="1"/>
  <c r="M500" i="6"/>
  <c r="H500" i="6"/>
  <c r="E500" i="6"/>
  <c r="AA499" i="6"/>
  <c r="Z499" i="6"/>
  <c r="Y499" i="6"/>
  <c r="X499" i="6"/>
  <c r="W499" i="6"/>
  <c r="U499" i="6"/>
  <c r="T499" i="6"/>
  <c r="V499" i="6" s="1"/>
  <c r="M499" i="6"/>
  <c r="H499" i="6"/>
  <c r="E499" i="6"/>
  <c r="AA498" i="6"/>
  <c r="Z498" i="6"/>
  <c r="Y498" i="6"/>
  <c r="X498" i="6"/>
  <c r="V498" i="6"/>
  <c r="W498" i="6" s="1"/>
  <c r="U498" i="6"/>
  <c r="T498" i="6"/>
  <c r="M498" i="6"/>
  <c r="H498" i="6"/>
  <c r="E498" i="6"/>
  <c r="AA497" i="6"/>
  <c r="Z497" i="6"/>
  <c r="Y497" i="6"/>
  <c r="X497" i="6"/>
  <c r="V497" i="6"/>
  <c r="W497" i="6" s="1"/>
  <c r="U497" i="6"/>
  <c r="T497" i="6"/>
  <c r="M497" i="6"/>
  <c r="H497" i="6"/>
  <c r="E497" i="6"/>
  <c r="AA496" i="6"/>
  <c r="Z496" i="6"/>
  <c r="Y496" i="6"/>
  <c r="X496" i="6"/>
  <c r="U496" i="6"/>
  <c r="T496" i="6"/>
  <c r="V496" i="6" s="1"/>
  <c r="W496" i="6" s="1"/>
  <c r="M496" i="6"/>
  <c r="H496" i="6"/>
  <c r="E496" i="6"/>
  <c r="AA495" i="6"/>
  <c r="Z495" i="6"/>
  <c r="Y495" i="6"/>
  <c r="X495" i="6"/>
  <c r="U495" i="6"/>
  <c r="T495" i="6"/>
  <c r="V495" i="6" s="1"/>
  <c r="M495" i="6"/>
  <c r="AA494" i="6"/>
  <c r="Z494" i="6"/>
  <c r="Y494" i="6"/>
  <c r="X494" i="6"/>
  <c r="V494" i="6"/>
  <c r="U494" i="6"/>
  <c r="T494" i="6"/>
  <c r="M494" i="6"/>
  <c r="H494" i="6"/>
  <c r="E494" i="6"/>
  <c r="AA493" i="6"/>
  <c r="Z493" i="6"/>
  <c r="Y493" i="6"/>
  <c r="X493" i="6"/>
  <c r="V493" i="6"/>
  <c r="W493" i="6" s="1"/>
  <c r="U493" i="6"/>
  <c r="T493" i="6"/>
  <c r="M493" i="6"/>
  <c r="H493" i="6"/>
  <c r="E493" i="6"/>
  <c r="AA492" i="6"/>
  <c r="Z492" i="6"/>
  <c r="Y492" i="6"/>
  <c r="X492" i="6"/>
  <c r="U492" i="6"/>
  <c r="T492" i="6"/>
  <c r="V492" i="6" s="1"/>
  <c r="W492" i="6" s="1"/>
  <c r="M492" i="6"/>
  <c r="H492" i="6"/>
  <c r="E492" i="6"/>
  <c r="AA491" i="6"/>
  <c r="Z491" i="6"/>
  <c r="Y491" i="6"/>
  <c r="X491" i="6"/>
  <c r="U491" i="6"/>
  <c r="T491" i="6"/>
  <c r="V491" i="6" s="1"/>
  <c r="W491" i="6" s="1"/>
  <c r="M491" i="6"/>
  <c r="H491" i="6"/>
  <c r="E491" i="6"/>
  <c r="AA490" i="6"/>
  <c r="Z490" i="6"/>
  <c r="Y490" i="6"/>
  <c r="X490" i="6"/>
  <c r="U490" i="6"/>
  <c r="T490" i="6"/>
  <c r="V490" i="6" s="1"/>
  <c r="M490" i="6"/>
  <c r="H490" i="6"/>
  <c r="E490" i="6"/>
  <c r="AA489" i="6"/>
  <c r="Z489" i="6"/>
  <c r="Y489" i="6"/>
  <c r="X489" i="6"/>
  <c r="W489" i="6"/>
  <c r="U489" i="6"/>
  <c r="T489" i="6"/>
  <c r="V489" i="6" s="1"/>
  <c r="M489" i="6"/>
  <c r="H489" i="6"/>
  <c r="E489" i="6"/>
  <c r="AA488" i="6"/>
  <c r="Z488" i="6"/>
  <c r="Y488" i="6"/>
  <c r="X488" i="6"/>
  <c r="V488" i="6"/>
  <c r="W488" i="6" s="1"/>
  <c r="U488" i="6"/>
  <c r="T488" i="6"/>
  <c r="M488" i="6"/>
  <c r="H488" i="6"/>
  <c r="E488" i="6"/>
  <c r="AA487" i="6"/>
  <c r="Z487" i="6"/>
  <c r="Y487" i="6"/>
  <c r="X487" i="6"/>
  <c r="V487" i="6"/>
  <c r="W487" i="6" s="1"/>
  <c r="U487" i="6"/>
  <c r="T487" i="6"/>
  <c r="M487" i="6"/>
  <c r="H487" i="6"/>
  <c r="E487" i="6"/>
  <c r="AA486" i="6"/>
  <c r="Z486" i="6"/>
  <c r="Y486" i="6"/>
  <c r="X486" i="6"/>
  <c r="U486" i="6"/>
  <c r="T486" i="6"/>
  <c r="V486" i="6" s="1"/>
  <c r="W486" i="6" s="1"/>
  <c r="M486" i="6"/>
  <c r="H486" i="6"/>
  <c r="E486" i="6"/>
  <c r="AA485" i="6"/>
  <c r="Z485" i="6"/>
  <c r="Y485" i="6"/>
  <c r="X485" i="6"/>
  <c r="U485" i="6"/>
  <c r="T485" i="6"/>
  <c r="V485" i="6" s="1"/>
  <c r="M485" i="6"/>
  <c r="H485" i="6"/>
  <c r="E485" i="6"/>
  <c r="AA484" i="6"/>
  <c r="Z484" i="6"/>
  <c r="Y484" i="6"/>
  <c r="X484" i="6"/>
  <c r="U484" i="6"/>
  <c r="T484" i="6"/>
  <c r="V484" i="6" s="1"/>
  <c r="M484" i="6"/>
  <c r="H484" i="6"/>
  <c r="E484" i="6"/>
  <c r="AA483" i="6"/>
  <c r="Z483" i="6"/>
  <c r="Y483" i="6"/>
  <c r="X483" i="6"/>
  <c r="W483" i="6"/>
  <c r="U483" i="6"/>
  <c r="T483" i="6"/>
  <c r="V483" i="6" s="1"/>
  <c r="M483" i="6"/>
  <c r="H483" i="6"/>
  <c r="AA482" i="6"/>
  <c r="Z482" i="6"/>
  <c r="Y482" i="6"/>
  <c r="X482" i="6"/>
  <c r="V482" i="6"/>
  <c r="W482" i="6" s="1"/>
  <c r="U482" i="6"/>
  <c r="T482" i="6"/>
  <c r="M482" i="6"/>
  <c r="H482" i="6"/>
  <c r="AA481" i="6"/>
  <c r="Z481" i="6"/>
  <c r="Y481" i="6"/>
  <c r="X481" i="6"/>
  <c r="U481" i="6"/>
  <c r="T481" i="6"/>
  <c r="V481" i="6" s="1"/>
  <c r="M481" i="6"/>
  <c r="H481" i="6"/>
  <c r="AA480" i="6"/>
  <c r="Z480" i="6"/>
  <c r="Y480" i="6"/>
  <c r="X480" i="6"/>
  <c r="U480" i="6"/>
  <c r="T480" i="6"/>
  <c r="V480" i="6" s="1"/>
  <c r="W480" i="6" s="1"/>
  <c r="M480" i="6"/>
  <c r="H480" i="6"/>
  <c r="AA479" i="6"/>
  <c r="Z479" i="6"/>
  <c r="Y479" i="6"/>
  <c r="X479" i="6"/>
  <c r="V479" i="6"/>
  <c r="W479" i="6" s="1"/>
  <c r="U479" i="6"/>
  <c r="T479" i="6"/>
  <c r="M479" i="6"/>
  <c r="H479" i="6"/>
  <c r="E479" i="6"/>
  <c r="AA478" i="6"/>
  <c r="Z478" i="6"/>
  <c r="Y478" i="6"/>
  <c r="X478" i="6"/>
  <c r="U478" i="6"/>
  <c r="T478" i="6"/>
  <c r="V478" i="6" s="1"/>
  <c r="W478" i="6" s="1"/>
  <c r="M478" i="6"/>
  <c r="H478" i="6"/>
  <c r="E478" i="6"/>
  <c r="AA477" i="6"/>
  <c r="Z477" i="6"/>
  <c r="Y477" i="6"/>
  <c r="X477" i="6"/>
  <c r="U477" i="6"/>
  <c r="T477" i="6"/>
  <c r="V477" i="6" s="1"/>
  <c r="W477" i="6" s="1"/>
  <c r="M477" i="6"/>
  <c r="H477" i="6"/>
  <c r="E477" i="6"/>
  <c r="AA476" i="6"/>
  <c r="Z476" i="6"/>
  <c r="Y476" i="6"/>
  <c r="X476" i="6"/>
  <c r="U476" i="6"/>
  <c r="T476" i="6"/>
  <c r="V476" i="6" s="1"/>
  <c r="W476" i="6" s="1"/>
  <c r="M476" i="6"/>
  <c r="H476" i="6"/>
  <c r="E476" i="6"/>
  <c r="AA475" i="6"/>
  <c r="Z475" i="6"/>
  <c r="Y475" i="6"/>
  <c r="X475" i="6"/>
  <c r="W475" i="6"/>
  <c r="U475" i="6"/>
  <c r="T475" i="6"/>
  <c r="V475" i="6" s="1"/>
  <c r="M475" i="6"/>
  <c r="H475" i="6"/>
  <c r="E475" i="6"/>
  <c r="AA474" i="6"/>
  <c r="Z474" i="6"/>
  <c r="Y474" i="6"/>
  <c r="X474" i="6"/>
  <c r="V474" i="6"/>
  <c r="W474" i="6" s="1"/>
  <c r="U474" i="6"/>
  <c r="T474" i="6"/>
  <c r="M474" i="6"/>
  <c r="H474" i="6"/>
  <c r="E474" i="6"/>
  <c r="AA473" i="6"/>
  <c r="Z473" i="6"/>
  <c r="Y473" i="6"/>
  <c r="X473" i="6"/>
  <c r="V473" i="6"/>
  <c r="W473" i="6" s="1"/>
  <c r="U473" i="6"/>
  <c r="T473" i="6"/>
  <c r="M473" i="6"/>
  <c r="H473" i="6"/>
  <c r="E473" i="6"/>
  <c r="AA472" i="6"/>
  <c r="Z472" i="6"/>
  <c r="Y472" i="6"/>
  <c r="X472" i="6"/>
  <c r="U472" i="6"/>
  <c r="T472" i="6"/>
  <c r="V472" i="6" s="1"/>
  <c r="W472" i="6" s="1"/>
  <c r="M472" i="6"/>
  <c r="H472" i="6"/>
  <c r="E472" i="6"/>
  <c r="AA471" i="6"/>
  <c r="Z471" i="6"/>
  <c r="Y471" i="6"/>
  <c r="X471" i="6"/>
  <c r="U471" i="6"/>
  <c r="T471" i="6"/>
  <c r="V471" i="6" s="1"/>
  <c r="M471" i="6"/>
  <c r="H471" i="6"/>
  <c r="AA470" i="6"/>
  <c r="Z470" i="6"/>
  <c r="Y470" i="6"/>
  <c r="X470" i="6"/>
  <c r="U470" i="6"/>
  <c r="T470" i="6"/>
  <c r="V470" i="6" s="1"/>
  <c r="W470" i="6" s="1"/>
  <c r="M470" i="6"/>
  <c r="H470" i="6"/>
  <c r="E470" i="6"/>
  <c r="AA469" i="6"/>
  <c r="Z469" i="6"/>
  <c r="Y469" i="6"/>
  <c r="X469" i="6"/>
  <c r="V469" i="6"/>
  <c r="W469" i="6" s="1"/>
  <c r="U469" i="6"/>
  <c r="T469" i="6"/>
  <c r="M469" i="6"/>
  <c r="AA468" i="6"/>
  <c r="Z468" i="6"/>
  <c r="Y468" i="6"/>
  <c r="X468" i="6"/>
  <c r="U468" i="6"/>
  <c r="T468" i="6"/>
  <c r="V468" i="6" s="1"/>
  <c r="M468" i="6"/>
  <c r="W468" i="6" s="1"/>
  <c r="H468" i="6"/>
  <c r="E468" i="6"/>
  <c r="AA467" i="6"/>
  <c r="Z467" i="6"/>
  <c r="Y467" i="6"/>
  <c r="X467" i="6"/>
  <c r="U467" i="6"/>
  <c r="T467" i="6"/>
  <c r="V467" i="6" s="1"/>
  <c r="M467" i="6"/>
  <c r="H467" i="6"/>
  <c r="E467" i="6"/>
  <c r="AA466" i="6"/>
  <c r="Z466" i="6"/>
  <c r="Y466" i="6"/>
  <c r="X466" i="6"/>
  <c r="U466" i="6"/>
  <c r="T466" i="6"/>
  <c r="V466" i="6" s="1"/>
  <c r="W466" i="6" s="1"/>
  <c r="M466" i="6"/>
  <c r="H466" i="6"/>
  <c r="E466" i="6"/>
  <c r="AA465" i="6"/>
  <c r="Z465" i="6"/>
  <c r="Y465" i="6"/>
  <c r="X465" i="6"/>
  <c r="V465" i="6"/>
  <c r="W465" i="6" s="1"/>
  <c r="U465" i="6"/>
  <c r="T465" i="6"/>
  <c r="M465" i="6"/>
  <c r="H465" i="6"/>
  <c r="E465" i="6"/>
  <c r="AA464" i="6"/>
  <c r="Z464" i="6"/>
  <c r="Y464" i="6"/>
  <c r="X464" i="6"/>
  <c r="V464" i="6"/>
  <c r="W464" i="6" s="1"/>
  <c r="U464" i="6"/>
  <c r="T464" i="6"/>
  <c r="M464" i="6"/>
  <c r="Z463" i="6"/>
  <c r="Y463" i="6"/>
  <c r="X463" i="6"/>
  <c r="U463" i="6"/>
  <c r="T463" i="6"/>
  <c r="V463" i="6" s="1"/>
  <c r="S463" i="6"/>
  <c r="AA463" i="6" s="1"/>
  <c r="R463" i="6"/>
  <c r="M463" i="6"/>
  <c r="H463" i="6"/>
  <c r="AA462" i="6"/>
  <c r="Z462" i="6"/>
  <c r="Y462" i="6"/>
  <c r="X462" i="6"/>
  <c r="U462" i="6"/>
  <c r="T462" i="6"/>
  <c r="V462" i="6" s="1"/>
  <c r="M462" i="6"/>
  <c r="H462" i="6"/>
  <c r="E462" i="6"/>
  <c r="AA461" i="6"/>
  <c r="Z461" i="6"/>
  <c r="Y461" i="6"/>
  <c r="X461" i="6"/>
  <c r="W461" i="6"/>
  <c r="U461" i="6"/>
  <c r="T461" i="6"/>
  <c r="V461" i="6" s="1"/>
  <c r="M461" i="6"/>
  <c r="H461" i="6"/>
  <c r="E461" i="6"/>
  <c r="AA460" i="6"/>
  <c r="Z460" i="6"/>
  <c r="Y460" i="6"/>
  <c r="X460" i="6"/>
  <c r="V460" i="6"/>
  <c r="W460" i="6" s="1"/>
  <c r="U460" i="6"/>
  <c r="T460" i="6"/>
  <c r="M460" i="6"/>
  <c r="H460" i="6"/>
  <c r="E460" i="6"/>
  <c r="AA459" i="6"/>
  <c r="Z459" i="6"/>
  <c r="Y459" i="6"/>
  <c r="X459" i="6"/>
  <c r="V459" i="6"/>
  <c r="W459" i="6" s="1"/>
  <c r="U459" i="6"/>
  <c r="T459" i="6"/>
  <c r="M459" i="6"/>
  <c r="H459" i="6"/>
  <c r="E459" i="6"/>
  <c r="AA458" i="6"/>
  <c r="Z458" i="6"/>
  <c r="Y458" i="6"/>
  <c r="X458" i="6"/>
  <c r="U458" i="6"/>
  <c r="T458" i="6"/>
  <c r="V458" i="6" s="1"/>
  <c r="W458" i="6" s="1"/>
  <c r="M458" i="6"/>
  <c r="AA457" i="6"/>
  <c r="Z457" i="6"/>
  <c r="Y457" i="6"/>
  <c r="X457" i="6"/>
  <c r="W457" i="6"/>
  <c r="U457" i="6"/>
  <c r="T457" i="6"/>
  <c r="V457" i="6" s="1"/>
  <c r="M457" i="6"/>
  <c r="H457" i="6"/>
  <c r="E457" i="6"/>
  <c r="AA456" i="6"/>
  <c r="Z456" i="6"/>
  <c r="Y456" i="6"/>
  <c r="X456" i="6"/>
  <c r="V456" i="6"/>
  <c r="W456" i="6" s="1"/>
  <c r="U456" i="6"/>
  <c r="T456" i="6"/>
  <c r="M456" i="6"/>
  <c r="H456" i="6"/>
  <c r="AA455" i="6"/>
  <c r="Z455" i="6"/>
  <c r="Y455" i="6"/>
  <c r="X455" i="6"/>
  <c r="U455" i="6"/>
  <c r="T455" i="6"/>
  <c r="V455" i="6" s="1"/>
  <c r="W455" i="6" s="1"/>
  <c r="M455" i="6"/>
  <c r="H455" i="6"/>
  <c r="AA454" i="6"/>
  <c r="Z454" i="6"/>
  <c r="Y454" i="6"/>
  <c r="X454" i="6"/>
  <c r="U454" i="6"/>
  <c r="T454" i="6"/>
  <c r="V454" i="6" s="1"/>
  <c r="M454" i="6"/>
  <c r="W454" i="6" s="1"/>
  <c r="H454" i="6"/>
  <c r="E454" i="6"/>
  <c r="AA453" i="6"/>
  <c r="Z453" i="6"/>
  <c r="Y453" i="6"/>
  <c r="X453" i="6"/>
  <c r="W453" i="6"/>
  <c r="U453" i="6"/>
  <c r="T453" i="6"/>
  <c r="V453" i="6" s="1"/>
  <c r="M453" i="6"/>
  <c r="H453" i="6"/>
  <c r="E453" i="6"/>
  <c r="Z452" i="6"/>
  <c r="Y452" i="6"/>
  <c r="X452" i="6"/>
  <c r="V452" i="6"/>
  <c r="W452" i="6" s="1"/>
  <c r="U452" i="6"/>
  <c r="T452" i="6"/>
  <c r="S452" i="6"/>
  <c r="AA452" i="6" s="1"/>
  <c r="M452" i="6"/>
  <c r="AA451" i="6"/>
  <c r="Z451" i="6"/>
  <c r="Y451" i="6"/>
  <c r="X451" i="6"/>
  <c r="U451" i="6"/>
  <c r="T451" i="6"/>
  <c r="V451" i="6" s="1"/>
  <c r="W451" i="6" s="1"/>
  <c r="S451" i="6"/>
  <c r="M451" i="6"/>
  <c r="Z450" i="6"/>
  <c r="Y450" i="6"/>
  <c r="X450" i="6"/>
  <c r="U450" i="6"/>
  <c r="T450" i="6"/>
  <c r="V450" i="6" s="1"/>
  <c r="S450" i="6"/>
  <c r="AA450" i="6" s="1"/>
  <c r="M450" i="6"/>
  <c r="AA449" i="6"/>
  <c r="Z449" i="6"/>
  <c r="Y449" i="6"/>
  <c r="X449" i="6"/>
  <c r="V449" i="6"/>
  <c r="W449" i="6" s="1"/>
  <c r="U449" i="6"/>
  <c r="T449" i="6"/>
  <c r="M449" i="6"/>
  <c r="H449" i="6"/>
  <c r="E449" i="6"/>
  <c r="AA448" i="6"/>
  <c r="Z448" i="6"/>
  <c r="Y448" i="6"/>
  <c r="X448" i="6"/>
  <c r="V448" i="6"/>
  <c r="W448" i="6" s="1"/>
  <c r="U448" i="6"/>
  <c r="T448" i="6"/>
  <c r="M448" i="6"/>
  <c r="H448" i="6"/>
  <c r="E448" i="6"/>
  <c r="AA447" i="6"/>
  <c r="Z447" i="6"/>
  <c r="Y447" i="6"/>
  <c r="X447" i="6"/>
  <c r="U447" i="6"/>
  <c r="T447" i="6"/>
  <c r="V447" i="6" s="1"/>
  <c r="W447" i="6" s="1"/>
  <c r="M447" i="6"/>
  <c r="H447" i="6"/>
  <c r="E447" i="6"/>
  <c r="AA446" i="6"/>
  <c r="Z446" i="6"/>
  <c r="Y446" i="6"/>
  <c r="X446" i="6"/>
  <c r="U446" i="6"/>
  <c r="T446" i="6"/>
  <c r="V446" i="6" s="1"/>
  <c r="M446" i="6"/>
  <c r="H446" i="6"/>
  <c r="E446" i="6"/>
  <c r="AA445" i="6"/>
  <c r="Z445" i="6"/>
  <c r="Y445" i="6"/>
  <c r="X445" i="6"/>
  <c r="U445" i="6"/>
  <c r="T445" i="6"/>
  <c r="V445" i="6" s="1"/>
  <c r="M445" i="6"/>
  <c r="H445" i="6"/>
  <c r="E445" i="6"/>
  <c r="AA444" i="6"/>
  <c r="Z444" i="6"/>
  <c r="Y444" i="6"/>
  <c r="X444" i="6"/>
  <c r="W444" i="6"/>
  <c r="U444" i="6"/>
  <c r="T444" i="6"/>
  <c r="V444" i="6" s="1"/>
  <c r="M444" i="6"/>
  <c r="H444" i="6"/>
  <c r="E444" i="6"/>
  <c r="AA443" i="6"/>
  <c r="Z443" i="6"/>
  <c r="Y443" i="6"/>
  <c r="X443" i="6"/>
  <c r="V443" i="6"/>
  <c r="W443" i="6" s="1"/>
  <c r="U443" i="6"/>
  <c r="T443" i="6"/>
  <c r="M443" i="6"/>
  <c r="H443" i="6"/>
  <c r="E443" i="6"/>
  <c r="AA442" i="6"/>
  <c r="Z442" i="6"/>
  <c r="Y442" i="6"/>
  <c r="X442" i="6"/>
  <c r="W442" i="6"/>
  <c r="V442" i="6"/>
  <c r="U442" i="6"/>
  <c r="T442" i="6"/>
  <c r="M442" i="6"/>
  <c r="AA441" i="6"/>
  <c r="Z441" i="6"/>
  <c r="Y441" i="6"/>
  <c r="X441" i="6"/>
  <c r="U441" i="6"/>
  <c r="T441" i="6"/>
  <c r="V441" i="6" s="1"/>
  <c r="W441" i="6" s="1"/>
  <c r="M441" i="6"/>
  <c r="H441" i="6"/>
  <c r="E441" i="6"/>
  <c r="AA440" i="6"/>
  <c r="Z440" i="6"/>
  <c r="Y440" i="6"/>
  <c r="X440" i="6"/>
  <c r="U440" i="6"/>
  <c r="T440" i="6"/>
  <c r="V440" i="6" s="1"/>
  <c r="W440" i="6" s="1"/>
  <c r="M440" i="6"/>
  <c r="H440" i="6"/>
  <c r="E440" i="6"/>
  <c r="AA439" i="6"/>
  <c r="Z439" i="6"/>
  <c r="Y439" i="6"/>
  <c r="X439" i="6"/>
  <c r="V439" i="6"/>
  <c r="W439" i="6" s="1"/>
  <c r="U439" i="6"/>
  <c r="T439" i="6"/>
  <c r="M439" i="6"/>
  <c r="H439" i="6"/>
  <c r="E439" i="6"/>
  <c r="AA438" i="6"/>
  <c r="Z438" i="6"/>
  <c r="Y438" i="6"/>
  <c r="X438" i="6"/>
  <c r="W438" i="6"/>
  <c r="V438" i="6"/>
  <c r="U438" i="6"/>
  <c r="T438" i="6"/>
  <c r="M438" i="6"/>
  <c r="H438" i="6"/>
  <c r="E438" i="6"/>
  <c r="AA437" i="6"/>
  <c r="Z437" i="6"/>
  <c r="Y437" i="6"/>
  <c r="X437" i="6"/>
  <c r="U437" i="6"/>
  <c r="T437" i="6"/>
  <c r="V437" i="6" s="1"/>
  <c r="W437" i="6" s="1"/>
  <c r="M437" i="6"/>
  <c r="H437" i="6"/>
  <c r="E437" i="6"/>
  <c r="AA436" i="6"/>
  <c r="Z436" i="6"/>
  <c r="Y436" i="6"/>
  <c r="X436" i="6"/>
  <c r="U436" i="6"/>
  <c r="T436" i="6"/>
  <c r="V436" i="6" s="1"/>
  <c r="M436" i="6"/>
  <c r="H436" i="6"/>
  <c r="E436" i="6"/>
  <c r="AA435" i="6"/>
  <c r="Z435" i="6"/>
  <c r="Y435" i="6"/>
  <c r="X435" i="6"/>
  <c r="U435" i="6"/>
  <c r="T435" i="6"/>
  <c r="V435" i="6" s="1"/>
  <c r="W435" i="6" s="1"/>
  <c r="M435" i="6"/>
  <c r="H435" i="6"/>
  <c r="E435" i="6"/>
  <c r="AA434" i="6"/>
  <c r="Z434" i="6"/>
  <c r="Y434" i="6"/>
  <c r="X434" i="6"/>
  <c r="W434" i="6"/>
  <c r="U434" i="6"/>
  <c r="T434" i="6"/>
  <c r="V434" i="6" s="1"/>
  <c r="M434" i="6"/>
  <c r="H434" i="6"/>
  <c r="AA433" i="6"/>
  <c r="Z433" i="6"/>
  <c r="Y433" i="6"/>
  <c r="X433" i="6"/>
  <c r="W433" i="6"/>
  <c r="V433" i="6"/>
  <c r="U433" i="6"/>
  <c r="T433" i="6"/>
  <c r="M433" i="6"/>
  <c r="H433" i="6"/>
  <c r="E433" i="6"/>
  <c r="AA432" i="6"/>
  <c r="Z432" i="6"/>
  <c r="Y432" i="6"/>
  <c r="X432" i="6"/>
  <c r="U432" i="6"/>
  <c r="T432" i="6"/>
  <c r="V432" i="6" s="1"/>
  <c r="W432" i="6" s="1"/>
  <c r="M432" i="6"/>
  <c r="H432" i="6"/>
  <c r="E432" i="6"/>
  <c r="AA431" i="6"/>
  <c r="Z431" i="6"/>
  <c r="Y431" i="6"/>
  <c r="X431" i="6"/>
  <c r="U431" i="6"/>
  <c r="T431" i="6"/>
  <c r="V431" i="6" s="1"/>
  <c r="W431" i="6" s="1"/>
  <c r="M431" i="6"/>
  <c r="H431" i="6"/>
  <c r="E431" i="6"/>
  <c r="AA430" i="6"/>
  <c r="Z430" i="6"/>
  <c r="Y430" i="6"/>
  <c r="X430" i="6"/>
  <c r="U430" i="6"/>
  <c r="T430" i="6"/>
  <c r="V430" i="6" s="1"/>
  <c r="W430" i="6" s="1"/>
  <c r="M430" i="6"/>
  <c r="H430" i="6"/>
  <c r="E430" i="6"/>
  <c r="AA429" i="6"/>
  <c r="Z429" i="6"/>
  <c r="Y429" i="6"/>
  <c r="X429" i="6"/>
  <c r="U429" i="6"/>
  <c r="T429" i="6"/>
  <c r="V429" i="6" s="1"/>
  <c r="W429" i="6" s="1"/>
  <c r="M429" i="6"/>
  <c r="H429" i="6"/>
  <c r="E429" i="6"/>
  <c r="AA428" i="6"/>
  <c r="Z428" i="6"/>
  <c r="Y428" i="6"/>
  <c r="X428" i="6"/>
  <c r="V428" i="6"/>
  <c r="W428" i="6" s="1"/>
  <c r="U428" i="6"/>
  <c r="T428" i="6"/>
  <c r="M428" i="6"/>
  <c r="H428" i="6"/>
  <c r="E428" i="6"/>
  <c r="AA427" i="6"/>
  <c r="Z427" i="6"/>
  <c r="Y427" i="6"/>
  <c r="X427" i="6"/>
  <c r="W427" i="6"/>
  <c r="V427" i="6"/>
  <c r="U427" i="6"/>
  <c r="T427" i="6"/>
  <c r="M427" i="6"/>
  <c r="H427" i="6"/>
  <c r="E427" i="6"/>
  <c r="AA426" i="6"/>
  <c r="Z426" i="6"/>
  <c r="Y426" i="6"/>
  <c r="X426" i="6"/>
  <c r="U426" i="6"/>
  <c r="T426" i="6"/>
  <c r="V426" i="6" s="1"/>
  <c r="W426" i="6" s="1"/>
  <c r="M426" i="6"/>
  <c r="H426" i="6"/>
  <c r="E426" i="6"/>
  <c r="AA425" i="6"/>
  <c r="Z425" i="6"/>
  <c r="Y425" i="6"/>
  <c r="X425" i="6"/>
  <c r="U425" i="6"/>
  <c r="T425" i="6"/>
  <c r="V425" i="6" s="1"/>
  <c r="M425" i="6"/>
  <c r="H425" i="6"/>
  <c r="E425" i="6"/>
  <c r="AA424" i="6"/>
  <c r="Z424" i="6"/>
  <c r="Y424" i="6"/>
  <c r="X424" i="6"/>
  <c r="U424" i="6"/>
  <c r="T424" i="6"/>
  <c r="V424" i="6" s="1"/>
  <c r="M424" i="6"/>
  <c r="H424" i="6"/>
  <c r="E424" i="6"/>
  <c r="AA423" i="6"/>
  <c r="Z423" i="6"/>
  <c r="Y423" i="6"/>
  <c r="X423" i="6"/>
  <c r="W423" i="6"/>
  <c r="U423" i="6"/>
  <c r="T423" i="6"/>
  <c r="V423" i="6" s="1"/>
  <c r="M423" i="6"/>
  <c r="H423" i="6"/>
  <c r="E423" i="6"/>
  <c r="AA422" i="6"/>
  <c r="Z422" i="6"/>
  <c r="Y422" i="6"/>
  <c r="X422" i="6"/>
  <c r="V422" i="6"/>
  <c r="W422" i="6" s="1"/>
  <c r="U422" i="6"/>
  <c r="T422" i="6"/>
  <c r="M422" i="6"/>
  <c r="H422" i="6"/>
  <c r="E422" i="6"/>
  <c r="AA421" i="6"/>
  <c r="Z421" i="6"/>
  <c r="Y421" i="6"/>
  <c r="X421" i="6"/>
  <c r="W421" i="6"/>
  <c r="V421" i="6"/>
  <c r="U421" i="6"/>
  <c r="T421" i="6"/>
  <c r="M421" i="6"/>
  <c r="H421" i="6"/>
  <c r="AA420" i="6"/>
  <c r="Z420" i="6"/>
  <c r="Y420" i="6"/>
  <c r="X420" i="6"/>
  <c r="U420" i="6"/>
  <c r="T420" i="6"/>
  <c r="V420" i="6" s="1"/>
  <c r="M420" i="6"/>
  <c r="H420" i="6"/>
  <c r="E420" i="6"/>
  <c r="AA419" i="6"/>
  <c r="Z419" i="6"/>
  <c r="Y419" i="6"/>
  <c r="X419" i="6"/>
  <c r="U419" i="6"/>
  <c r="T419" i="6"/>
  <c r="V419" i="6" s="1"/>
  <c r="M419" i="6"/>
  <c r="H419" i="6"/>
  <c r="E419" i="6"/>
  <c r="Z418" i="6"/>
  <c r="Y418" i="6"/>
  <c r="X418" i="6"/>
  <c r="U418" i="6"/>
  <c r="T418" i="6"/>
  <c r="V418" i="6" s="1"/>
  <c r="S418" i="6"/>
  <c r="AA418" i="6" s="1"/>
  <c r="R418" i="6"/>
  <c r="M418" i="6"/>
  <c r="W418" i="6" s="1"/>
  <c r="H418" i="6"/>
  <c r="AA417" i="6"/>
  <c r="Z417" i="6"/>
  <c r="Y417" i="6"/>
  <c r="X417" i="6"/>
  <c r="U417" i="6"/>
  <c r="T417" i="6"/>
  <c r="V417" i="6" s="1"/>
  <c r="W417" i="6" s="1"/>
  <c r="M417" i="6"/>
  <c r="AA416" i="6"/>
  <c r="Z416" i="6"/>
  <c r="Y416" i="6"/>
  <c r="X416" i="6"/>
  <c r="U416" i="6"/>
  <c r="T416" i="6"/>
  <c r="V416" i="6" s="1"/>
  <c r="W416" i="6" s="1"/>
  <c r="M416" i="6"/>
  <c r="H416" i="6"/>
  <c r="E416" i="6"/>
  <c r="AA415" i="6"/>
  <c r="Z415" i="6"/>
  <c r="Y415" i="6"/>
  <c r="X415" i="6"/>
  <c r="U415" i="6"/>
  <c r="T415" i="6"/>
  <c r="V415" i="6" s="1"/>
  <c r="W415" i="6" s="1"/>
  <c r="M415" i="6"/>
  <c r="H415" i="6"/>
  <c r="E415" i="6"/>
  <c r="AA414" i="6"/>
  <c r="Z414" i="6"/>
  <c r="Y414" i="6"/>
  <c r="X414" i="6"/>
  <c r="U414" i="6"/>
  <c r="T414" i="6"/>
  <c r="V414" i="6" s="1"/>
  <c r="W414" i="6" s="1"/>
  <c r="M414" i="6"/>
  <c r="H414" i="6"/>
  <c r="E414" i="6"/>
  <c r="AA413" i="6"/>
  <c r="Z413" i="6"/>
  <c r="Y413" i="6"/>
  <c r="X413" i="6"/>
  <c r="W413" i="6"/>
  <c r="U413" i="6"/>
  <c r="T413" i="6"/>
  <c r="V413" i="6" s="1"/>
  <c r="M413" i="6"/>
  <c r="H413" i="6"/>
  <c r="E413" i="6"/>
  <c r="AA412" i="6"/>
  <c r="Z412" i="6"/>
  <c r="Y412" i="6"/>
  <c r="X412" i="6"/>
  <c r="V412" i="6"/>
  <c r="W412" i="6" s="1"/>
  <c r="U412" i="6"/>
  <c r="T412" i="6"/>
  <c r="M412" i="6"/>
  <c r="H412" i="6"/>
  <c r="E412" i="6"/>
  <c r="AA411" i="6"/>
  <c r="Z411" i="6"/>
  <c r="Y411" i="6"/>
  <c r="X411" i="6"/>
  <c r="W411" i="6"/>
  <c r="V411" i="6"/>
  <c r="U411" i="6"/>
  <c r="T411" i="6"/>
  <c r="M411" i="6"/>
  <c r="H411" i="6"/>
  <c r="E411" i="6"/>
  <c r="AA410" i="6"/>
  <c r="Z410" i="6"/>
  <c r="Y410" i="6"/>
  <c r="X410" i="6"/>
  <c r="U410" i="6"/>
  <c r="T410" i="6"/>
  <c r="V410" i="6" s="1"/>
  <c r="W410" i="6" s="1"/>
  <c r="M410" i="6"/>
  <c r="H410" i="6"/>
  <c r="E410" i="6"/>
  <c r="AA409" i="6"/>
  <c r="Z409" i="6"/>
  <c r="Y409" i="6"/>
  <c r="X409" i="6"/>
  <c r="U409" i="6"/>
  <c r="T409" i="6"/>
  <c r="V409" i="6" s="1"/>
  <c r="M409" i="6"/>
  <c r="W409" i="6" s="1"/>
  <c r="H409" i="6"/>
  <c r="Z408" i="6"/>
  <c r="Y408" i="6"/>
  <c r="X408" i="6"/>
  <c r="U408" i="6"/>
  <c r="T408" i="6"/>
  <c r="V408" i="6" s="1"/>
  <c r="W408" i="6" s="1"/>
  <c r="R408" i="6"/>
  <c r="AA408" i="6" s="1"/>
  <c r="M408" i="6"/>
  <c r="H408" i="6"/>
  <c r="AA407" i="6"/>
  <c r="Z407" i="6"/>
  <c r="Y407" i="6"/>
  <c r="X407" i="6"/>
  <c r="V407" i="6"/>
  <c r="W407" i="6" s="1"/>
  <c r="U407" i="6"/>
  <c r="T407" i="6"/>
  <c r="M407" i="6"/>
  <c r="H407" i="6"/>
  <c r="E407" i="6"/>
  <c r="AA406" i="6"/>
  <c r="Z406" i="6"/>
  <c r="Y406" i="6"/>
  <c r="X406" i="6"/>
  <c r="W406" i="6"/>
  <c r="V406" i="6"/>
  <c r="U406" i="6"/>
  <c r="T406" i="6"/>
  <c r="M406" i="6"/>
  <c r="AA405" i="6"/>
  <c r="Z405" i="6"/>
  <c r="Y405" i="6"/>
  <c r="X405" i="6"/>
  <c r="U405" i="6"/>
  <c r="T405" i="6"/>
  <c r="V405" i="6" s="1"/>
  <c r="M405" i="6"/>
  <c r="W405" i="6" s="1"/>
  <c r="H405" i="6"/>
  <c r="E405" i="6"/>
  <c r="AA404" i="6"/>
  <c r="Z404" i="6"/>
  <c r="Y404" i="6"/>
  <c r="X404" i="6"/>
  <c r="U404" i="6"/>
  <c r="T404" i="6"/>
  <c r="V404" i="6" s="1"/>
  <c r="W404" i="6" s="1"/>
  <c r="M404" i="6"/>
  <c r="H404" i="6"/>
  <c r="E404" i="6"/>
  <c r="AA403" i="6"/>
  <c r="Z403" i="6"/>
  <c r="Y403" i="6"/>
  <c r="X403" i="6"/>
  <c r="V403" i="6"/>
  <c r="W403" i="6" s="1"/>
  <c r="U403" i="6"/>
  <c r="T403" i="6"/>
  <c r="M403" i="6"/>
  <c r="H403" i="6"/>
  <c r="E403" i="6"/>
  <c r="AA402" i="6"/>
  <c r="Z402" i="6"/>
  <c r="Y402" i="6"/>
  <c r="X402" i="6"/>
  <c r="W402" i="6"/>
  <c r="V402" i="6"/>
  <c r="U402" i="6"/>
  <c r="T402" i="6"/>
  <c r="M402" i="6"/>
  <c r="H402" i="6"/>
  <c r="E402" i="6"/>
  <c r="AA401" i="6"/>
  <c r="Z401" i="6"/>
  <c r="Y401" i="6"/>
  <c r="X401" i="6"/>
  <c r="U401" i="6"/>
  <c r="T401" i="6"/>
  <c r="V401" i="6" s="1"/>
  <c r="W401" i="6" s="1"/>
  <c r="M401" i="6"/>
  <c r="H401" i="6"/>
  <c r="E401" i="6"/>
  <c r="AA400" i="6"/>
  <c r="Z400" i="6"/>
  <c r="Y400" i="6"/>
  <c r="X400" i="6"/>
  <c r="U400" i="6"/>
  <c r="T400" i="6"/>
  <c r="V400" i="6" s="1"/>
  <c r="M400" i="6"/>
  <c r="W400" i="6" s="1"/>
  <c r="H400" i="6"/>
  <c r="E400" i="6"/>
  <c r="AA399" i="6"/>
  <c r="Z399" i="6"/>
  <c r="Y399" i="6"/>
  <c r="X399" i="6"/>
  <c r="U399" i="6"/>
  <c r="T399" i="6"/>
  <c r="V399" i="6" s="1"/>
  <c r="M399" i="6"/>
  <c r="H399" i="6"/>
  <c r="E399" i="6"/>
  <c r="AA398" i="6"/>
  <c r="Z398" i="6"/>
  <c r="Y398" i="6"/>
  <c r="X398" i="6"/>
  <c r="U398" i="6"/>
  <c r="T398" i="6"/>
  <c r="V398" i="6" s="1"/>
  <c r="W398" i="6" s="1"/>
  <c r="M398" i="6"/>
  <c r="H398" i="6"/>
  <c r="E398" i="6"/>
  <c r="AA397" i="6"/>
  <c r="Z397" i="6"/>
  <c r="Y397" i="6"/>
  <c r="X397" i="6"/>
  <c r="V397" i="6"/>
  <c r="W397" i="6" s="1"/>
  <c r="U397" i="6"/>
  <c r="T397" i="6"/>
  <c r="M397" i="6"/>
  <c r="H397" i="6"/>
  <c r="E397" i="6"/>
  <c r="AA396" i="6"/>
  <c r="Z396" i="6"/>
  <c r="Y396" i="6"/>
  <c r="X396" i="6"/>
  <c r="W396" i="6"/>
  <c r="V396" i="6"/>
  <c r="U396" i="6"/>
  <c r="T396" i="6"/>
  <c r="M396" i="6"/>
  <c r="H396" i="6"/>
  <c r="E396" i="6"/>
  <c r="AA395" i="6"/>
  <c r="Z395" i="6"/>
  <c r="Y395" i="6"/>
  <c r="X395" i="6"/>
  <c r="U395" i="6"/>
  <c r="T395" i="6"/>
  <c r="V395" i="6" s="1"/>
  <c r="W395" i="6" s="1"/>
  <c r="M395" i="6"/>
  <c r="H395" i="6"/>
  <c r="E395" i="6"/>
  <c r="AA394" i="6"/>
  <c r="Z394" i="6"/>
  <c r="Y394" i="6"/>
  <c r="X394" i="6"/>
  <c r="U394" i="6"/>
  <c r="T394" i="6"/>
  <c r="V394" i="6" s="1"/>
  <c r="M394" i="6"/>
  <c r="H394" i="6"/>
  <c r="E394" i="6"/>
  <c r="AA393" i="6"/>
  <c r="Z393" i="6"/>
  <c r="Y393" i="6"/>
  <c r="X393" i="6"/>
  <c r="U393" i="6"/>
  <c r="T393" i="6"/>
  <c r="V393" i="6" s="1"/>
  <c r="M393" i="6"/>
  <c r="H393" i="6"/>
  <c r="E393" i="6"/>
  <c r="AA392" i="6"/>
  <c r="Z392" i="6"/>
  <c r="Y392" i="6"/>
  <c r="X392" i="6"/>
  <c r="W392" i="6"/>
  <c r="U392" i="6"/>
  <c r="T392" i="6"/>
  <c r="V392" i="6" s="1"/>
  <c r="M392" i="6"/>
  <c r="H392" i="6"/>
  <c r="E392" i="6"/>
  <c r="AA391" i="6"/>
  <c r="Z391" i="6"/>
  <c r="Y391" i="6"/>
  <c r="X391" i="6"/>
  <c r="V391" i="6"/>
  <c r="W391" i="6" s="1"/>
  <c r="U391" i="6"/>
  <c r="T391" i="6"/>
  <c r="M391" i="6"/>
  <c r="H391" i="6"/>
  <c r="E391" i="6"/>
  <c r="AA390" i="6"/>
  <c r="Z390" i="6"/>
  <c r="Y390" i="6"/>
  <c r="X390" i="6"/>
  <c r="W390" i="6"/>
  <c r="V390" i="6"/>
  <c r="U390" i="6"/>
  <c r="T390" i="6"/>
  <c r="M390" i="6"/>
  <c r="H390" i="6"/>
  <c r="E390" i="6"/>
  <c r="AA389" i="6"/>
  <c r="Z389" i="6"/>
  <c r="Y389" i="6"/>
  <c r="X389" i="6"/>
  <c r="U389" i="6"/>
  <c r="T389" i="6"/>
  <c r="V389" i="6" s="1"/>
  <c r="W389" i="6" s="1"/>
  <c r="M389" i="6"/>
  <c r="H389" i="6"/>
  <c r="E389" i="6"/>
  <c r="AA388" i="6"/>
  <c r="Z388" i="6"/>
  <c r="Y388" i="6"/>
  <c r="X388" i="6"/>
  <c r="U388" i="6"/>
  <c r="T388" i="6"/>
  <c r="V388" i="6" s="1"/>
  <c r="M388" i="6"/>
  <c r="W388" i="6" s="1"/>
  <c r="H388" i="6"/>
  <c r="E388" i="6"/>
  <c r="AA387" i="6"/>
  <c r="Z387" i="6"/>
  <c r="Y387" i="6"/>
  <c r="X387" i="6"/>
  <c r="U387" i="6"/>
  <c r="T387" i="6"/>
  <c r="V387" i="6" s="1"/>
  <c r="M387" i="6"/>
  <c r="W387" i="6" s="1"/>
  <c r="H387" i="6"/>
  <c r="E387" i="6"/>
  <c r="AA386" i="6"/>
  <c r="Z386" i="6"/>
  <c r="Y386" i="6"/>
  <c r="X386" i="6"/>
  <c r="U386" i="6"/>
  <c r="T386" i="6"/>
  <c r="V386" i="6" s="1"/>
  <c r="W386" i="6" s="1"/>
  <c r="M386" i="6"/>
  <c r="H386" i="6"/>
  <c r="E386" i="6"/>
  <c r="AA385" i="6"/>
  <c r="Z385" i="6"/>
  <c r="Y385" i="6"/>
  <c r="X385" i="6"/>
  <c r="V385" i="6"/>
  <c r="W385" i="6" s="1"/>
  <c r="U385" i="6"/>
  <c r="T385" i="6"/>
  <c r="M385" i="6"/>
  <c r="H385" i="6"/>
  <c r="E385" i="6"/>
  <c r="AA384" i="6"/>
  <c r="Z384" i="6"/>
  <c r="Y384" i="6"/>
  <c r="X384" i="6"/>
  <c r="W384" i="6"/>
  <c r="V384" i="6"/>
  <c r="U384" i="6"/>
  <c r="T384" i="6"/>
  <c r="M384" i="6"/>
  <c r="H384" i="6"/>
  <c r="E384" i="6"/>
  <c r="AA383" i="6"/>
  <c r="Z383" i="6"/>
  <c r="Y383" i="6"/>
  <c r="X383" i="6"/>
  <c r="U383" i="6"/>
  <c r="T383" i="6"/>
  <c r="V383" i="6" s="1"/>
  <c r="W383" i="6" s="1"/>
  <c r="M383" i="6"/>
  <c r="H383" i="6"/>
  <c r="E383" i="6"/>
  <c r="AA382" i="6"/>
  <c r="Z382" i="6"/>
  <c r="Y382" i="6"/>
  <c r="X382" i="6"/>
  <c r="U382" i="6"/>
  <c r="T382" i="6"/>
  <c r="V382" i="6" s="1"/>
  <c r="W382" i="6" s="1"/>
  <c r="M382" i="6"/>
  <c r="H382" i="6"/>
  <c r="E382" i="6"/>
  <c r="AA381" i="6"/>
  <c r="Z381" i="6"/>
  <c r="Y381" i="6"/>
  <c r="X381" i="6"/>
  <c r="U381" i="6"/>
  <c r="T381" i="6"/>
  <c r="V381" i="6" s="1"/>
  <c r="M381" i="6"/>
  <c r="H381" i="6"/>
  <c r="E381" i="6"/>
  <c r="AA380" i="6"/>
  <c r="Z380" i="6"/>
  <c r="Y380" i="6"/>
  <c r="X380" i="6"/>
  <c r="U380" i="6"/>
  <c r="T380" i="6"/>
  <c r="V380" i="6" s="1"/>
  <c r="W380" i="6" s="1"/>
  <c r="M380" i="6"/>
  <c r="H380" i="6"/>
  <c r="E380" i="6"/>
  <c r="Z379" i="6"/>
  <c r="Y379" i="6"/>
  <c r="X379" i="6"/>
  <c r="U379" i="6"/>
  <c r="O379" i="6"/>
  <c r="AA379" i="6" s="1"/>
  <c r="M379" i="6"/>
  <c r="H379" i="6"/>
  <c r="E379" i="6"/>
  <c r="Z378" i="6"/>
  <c r="Y378" i="6"/>
  <c r="X378" i="6"/>
  <c r="O378" i="6"/>
  <c r="AA378" i="6" s="1"/>
  <c r="M378" i="6"/>
  <c r="I378" i="6"/>
  <c r="U378" i="6" s="1"/>
  <c r="H378" i="6"/>
  <c r="E378" i="6"/>
  <c r="Z377" i="6"/>
  <c r="Y377" i="6"/>
  <c r="X377" i="6"/>
  <c r="U377" i="6"/>
  <c r="R377" i="6"/>
  <c r="AA377" i="6" s="1"/>
  <c r="M377" i="6"/>
  <c r="K377" i="6"/>
  <c r="I377" i="6"/>
  <c r="AA376" i="6"/>
  <c r="Z376" i="6"/>
  <c r="Y376" i="6"/>
  <c r="X376" i="6"/>
  <c r="U376" i="6"/>
  <c r="T376" i="6"/>
  <c r="V376" i="6" s="1"/>
  <c r="M376" i="6"/>
  <c r="H376" i="6"/>
  <c r="E376" i="6"/>
  <c r="AA375" i="6"/>
  <c r="Z375" i="6"/>
  <c r="Y375" i="6"/>
  <c r="X375" i="6"/>
  <c r="W375" i="6"/>
  <c r="U375" i="6"/>
  <c r="T375" i="6"/>
  <c r="V375" i="6" s="1"/>
  <c r="M375" i="6"/>
  <c r="AA374" i="6"/>
  <c r="Z374" i="6"/>
  <c r="Y374" i="6"/>
  <c r="X374" i="6"/>
  <c r="U374" i="6"/>
  <c r="T374" i="6"/>
  <c r="V374" i="6" s="1"/>
  <c r="W374" i="6" s="1"/>
  <c r="M374" i="6"/>
  <c r="H374" i="6"/>
  <c r="E374" i="6"/>
  <c r="AA373" i="6"/>
  <c r="Z373" i="6"/>
  <c r="Y373" i="6"/>
  <c r="X373" i="6"/>
  <c r="U373" i="6"/>
  <c r="T373" i="6"/>
  <c r="V373" i="6" s="1"/>
  <c r="W373" i="6" s="1"/>
  <c r="M373" i="6"/>
  <c r="H373" i="6"/>
  <c r="E373" i="6"/>
  <c r="AA372" i="6"/>
  <c r="Z372" i="6"/>
  <c r="Y372" i="6"/>
  <c r="X372" i="6"/>
  <c r="U372" i="6"/>
  <c r="T372" i="6"/>
  <c r="V372" i="6" s="1"/>
  <c r="W372" i="6" s="1"/>
  <c r="M372" i="6"/>
  <c r="H372" i="6"/>
  <c r="E372" i="6"/>
  <c r="Z371" i="6"/>
  <c r="Y371" i="6"/>
  <c r="X371" i="6"/>
  <c r="U371" i="6"/>
  <c r="T371" i="6"/>
  <c r="V371" i="6" s="1"/>
  <c r="W371" i="6" s="1"/>
  <c r="S371" i="6"/>
  <c r="AA371" i="6" s="1"/>
  <c r="M371" i="6"/>
  <c r="AA370" i="6"/>
  <c r="Z370" i="6"/>
  <c r="Y370" i="6"/>
  <c r="X370" i="6"/>
  <c r="W370" i="6"/>
  <c r="V370" i="6"/>
  <c r="U370" i="6"/>
  <c r="T370" i="6"/>
  <c r="M370" i="6"/>
  <c r="H370" i="6"/>
  <c r="E370" i="6"/>
  <c r="AA369" i="6"/>
  <c r="Z369" i="6"/>
  <c r="Y369" i="6"/>
  <c r="X369" i="6"/>
  <c r="U369" i="6"/>
  <c r="T369" i="6"/>
  <c r="V369" i="6" s="1"/>
  <c r="W369" i="6" s="1"/>
  <c r="M369" i="6"/>
  <c r="H369" i="6"/>
  <c r="E369" i="6"/>
  <c r="AA368" i="6"/>
  <c r="Z368" i="6"/>
  <c r="Y368" i="6"/>
  <c r="X368" i="6"/>
  <c r="U368" i="6"/>
  <c r="T368" i="6"/>
  <c r="V368" i="6" s="1"/>
  <c r="W368" i="6" s="1"/>
  <c r="M368" i="6"/>
  <c r="H368" i="6"/>
  <c r="E368" i="6"/>
  <c r="AA367" i="6"/>
  <c r="Z367" i="6"/>
  <c r="Y367" i="6"/>
  <c r="X367" i="6"/>
  <c r="U367" i="6"/>
  <c r="T367" i="6"/>
  <c r="V367" i="6" s="1"/>
  <c r="W367" i="6" s="1"/>
  <c r="M367" i="6"/>
  <c r="H367" i="6"/>
  <c r="E367" i="6"/>
  <c r="AA366" i="6"/>
  <c r="Z366" i="6"/>
  <c r="Y366" i="6"/>
  <c r="X366" i="6"/>
  <c r="W366" i="6"/>
  <c r="U366" i="6"/>
  <c r="T366" i="6"/>
  <c r="V366" i="6" s="1"/>
  <c r="M366" i="6"/>
  <c r="H366" i="6"/>
  <c r="E366" i="6"/>
  <c r="AA365" i="6"/>
  <c r="Z365" i="6"/>
  <c r="Y365" i="6"/>
  <c r="X365" i="6"/>
  <c r="V365" i="6"/>
  <c r="W365" i="6" s="1"/>
  <c r="U365" i="6"/>
  <c r="T365" i="6"/>
  <c r="M365" i="6"/>
  <c r="H365" i="6"/>
  <c r="E365" i="6"/>
  <c r="AA364" i="6"/>
  <c r="Z364" i="6"/>
  <c r="Y364" i="6"/>
  <c r="X364" i="6"/>
  <c r="W364" i="6"/>
  <c r="V364" i="6"/>
  <c r="U364" i="6"/>
  <c r="T364" i="6"/>
  <c r="M364" i="6"/>
  <c r="H364" i="6"/>
  <c r="E364" i="6"/>
  <c r="AA363" i="6"/>
  <c r="Z363" i="6"/>
  <c r="Y363" i="6"/>
  <c r="X363" i="6"/>
  <c r="U363" i="6"/>
  <c r="T363" i="6"/>
  <c r="V363" i="6" s="1"/>
  <c r="W363" i="6" s="1"/>
  <c r="M363" i="6"/>
  <c r="H363" i="6"/>
  <c r="E363" i="6"/>
  <c r="AA362" i="6"/>
  <c r="Z362" i="6"/>
  <c r="Y362" i="6"/>
  <c r="X362" i="6"/>
  <c r="U362" i="6"/>
  <c r="T362" i="6"/>
  <c r="V362" i="6" s="1"/>
  <c r="M362" i="6"/>
  <c r="W362" i="6" s="1"/>
  <c r="H362" i="6"/>
  <c r="E362" i="6"/>
  <c r="AA361" i="6"/>
  <c r="Z361" i="6"/>
  <c r="Y361" i="6"/>
  <c r="X361" i="6"/>
  <c r="U361" i="6"/>
  <c r="T361" i="6"/>
  <c r="V361" i="6" s="1"/>
  <c r="M361" i="6"/>
  <c r="W361" i="6" s="1"/>
  <c r="H361" i="6"/>
  <c r="E361" i="6"/>
  <c r="AA360" i="6"/>
  <c r="Z360" i="6"/>
  <c r="Y360" i="6"/>
  <c r="X360" i="6"/>
  <c r="W360" i="6"/>
  <c r="U360" i="6"/>
  <c r="T360" i="6"/>
  <c r="V360" i="6" s="1"/>
  <c r="M360" i="6"/>
  <c r="H360" i="6"/>
  <c r="E360" i="6"/>
  <c r="AA359" i="6"/>
  <c r="Z359" i="6"/>
  <c r="Y359" i="6"/>
  <c r="X359" i="6"/>
  <c r="V359" i="6"/>
  <c r="W359" i="6" s="1"/>
  <c r="U359" i="6"/>
  <c r="T359" i="6"/>
  <c r="M359" i="6"/>
  <c r="H359" i="6"/>
  <c r="E359" i="6"/>
  <c r="AA358" i="6"/>
  <c r="Z358" i="6"/>
  <c r="Y358" i="6"/>
  <c r="X358" i="6"/>
  <c r="W358" i="6"/>
  <c r="V358" i="6"/>
  <c r="U358" i="6"/>
  <c r="T358" i="6"/>
  <c r="M358" i="6"/>
  <c r="H358" i="6"/>
  <c r="E358" i="6"/>
  <c r="AA357" i="6"/>
  <c r="Z357" i="6"/>
  <c r="Y357" i="6"/>
  <c r="X357" i="6"/>
  <c r="U357" i="6"/>
  <c r="T357" i="6"/>
  <c r="V357" i="6" s="1"/>
  <c r="W357" i="6" s="1"/>
  <c r="M357" i="6"/>
  <c r="AA356" i="6"/>
  <c r="Z356" i="6"/>
  <c r="Y356" i="6"/>
  <c r="X356" i="6"/>
  <c r="W356" i="6"/>
  <c r="U356" i="6"/>
  <c r="T356" i="6"/>
  <c r="V356" i="6" s="1"/>
  <c r="M356" i="6"/>
  <c r="H356" i="6"/>
  <c r="E356" i="6"/>
  <c r="AA355" i="6"/>
  <c r="Z355" i="6"/>
  <c r="Y355" i="6"/>
  <c r="X355" i="6"/>
  <c r="V355" i="6"/>
  <c r="W355" i="6" s="1"/>
  <c r="U355" i="6"/>
  <c r="T355" i="6"/>
  <c r="M355" i="6"/>
  <c r="H355" i="6"/>
  <c r="E355" i="6"/>
  <c r="AA354" i="6"/>
  <c r="Z354" i="6"/>
  <c r="Y354" i="6"/>
  <c r="X354" i="6"/>
  <c r="W354" i="6"/>
  <c r="V354" i="6"/>
  <c r="U354" i="6"/>
  <c r="T354" i="6"/>
  <c r="S354" i="6"/>
  <c r="M354" i="6"/>
  <c r="AA353" i="6"/>
  <c r="Z353" i="6"/>
  <c r="Y353" i="6"/>
  <c r="X353" i="6"/>
  <c r="U353" i="6"/>
  <c r="T353" i="6"/>
  <c r="V353" i="6" s="1"/>
  <c r="M353" i="6"/>
  <c r="H353" i="6"/>
  <c r="E353" i="6"/>
  <c r="AA352" i="6"/>
  <c r="Z352" i="6"/>
  <c r="Y352" i="6"/>
  <c r="X352" i="6"/>
  <c r="U352" i="6"/>
  <c r="T352" i="6"/>
  <c r="V352" i="6" s="1"/>
  <c r="M352" i="6"/>
  <c r="H352" i="6"/>
  <c r="E352" i="6"/>
  <c r="AA351" i="6"/>
  <c r="Z351" i="6"/>
  <c r="Y351" i="6"/>
  <c r="X351" i="6"/>
  <c r="W351" i="6"/>
  <c r="U351" i="6"/>
  <c r="T351" i="6"/>
  <c r="V351" i="6" s="1"/>
  <c r="M351" i="6"/>
  <c r="H351" i="6"/>
  <c r="E351" i="6"/>
  <c r="AA350" i="6"/>
  <c r="Z350" i="6"/>
  <c r="Y350" i="6"/>
  <c r="X350" i="6"/>
  <c r="V350" i="6"/>
  <c r="W350" i="6" s="1"/>
  <c r="U350" i="6"/>
  <c r="T350" i="6"/>
  <c r="M350" i="6"/>
  <c r="H350" i="6"/>
  <c r="E350" i="6"/>
  <c r="AA349" i="6"/>
  <c r="Z349" i="6"/>
  <c r="Y349" i="6"/>
  <c r="X349" i="6"/>
  <c r="W349" i="6"/>
  <c r="V349" i="6"/>
  <c r="U349" i="6"/>
  <c r="T349" i="6"/>
  <c r="M349" i="6"/>
  <c r="H349" i="6"/>
  <c r="E349" i="6"/>
  <c r="AA348" i="6"/>
  <c r="Z348" i="6"/>
  <c r="Y348" i="6"/>
  <c r="X348" i="6"/>
  <c r="U348" i="6"/>
  <c r="T348" i="6"/>
  <c r="V348" i="6" s="1"/>
  <c r="W348" i="6" s="1"/>
  <c r="O348" i="6"/>
  <c r="M348" i="6"/>
  <c r="H348" i="6"/>
  <c r="E348" i="6"/>
  <c r="AA347" i="6"/>
  <c r="Z347" i="6"/>
  <c r="Y347" i="6"/>
  <c r="X347" i="6"/>
  <c r="U347" i="6"/>
  <c r="T347" i="6"/>
  <c r="V347" i="6" s="1"/>
  <c r="W347" i="6" s="1"/>
  <c r="O347" i="6"/>
  <c r="M347" i="6"/>
  <c r="H347" i="6"/>
  <c r="E347" i="6"/>
  <c r="AA346" i="6"/>
  <c r="Z346" i="6"/>
  <c r="Y346" i="6"/>
  <c r="X346" i="6"/>
  <c r="U346" i="6"/>
  <c r="T346" i="6"/>
  <c r="V346" i="6" s="1"/>
  <c r="W346" i="6" s="1"/>
  <c r="O346" i="6"/>
  <c r="M346" i="6"/>
  <c r="H346" i="6"/>
  <c r="E346" i="6"/>
  <c r="AA345" i="6"/>
  <c r="Z345" i="6"/>
  <c r="Y345" i="6"/>
  <c r="X345" i="6"/>
  <c r="U345" i="6"/>
  <c r="T345" i="6"/>
  <c r="V345" i="6" s="1"/>
  <c r="W345" i="6" s="1"/>
  <c r="M345" i="6"/>
  <c r="H345" i="6"/>
  <c r="E345" i="6"/>
  <c r="AA344" i="6"/>
  <c r="Z344" i="6"/>
  <c r="Y344" i="6"/>
  <c r="X344" i="6"/>
  <c r="U344" i="6"/>
  <c r="T344" i="6"/>
  <c r="V344" i="6" s="1"/>
  <c r="M344" i="6"/>
  <c r="W344" i="6" s="1"/>
  <c r="H344" i="6"/>
  <c r="AA343" i="6"/>
  <c r="Z343" i="6"/>
  <c r="Y343" i="6"/>
  <c r="X343" i="6"/>
  <c r="W343" i="6"/>
  <c r="U343" i="6"/>
  <c r="T343" i="6"/>
  <c r="V343" i="6" s="1"/>
  <c r="M343" i="6"/>
  <c r="H343" i="6"/>
  <c r="AA342" i="6"/>
  <c r="Z342" i="6"/>
  <c r="Y342" i="6"/>
  <c r="X342" i="6"/>
  <c r="W342" i="6"/>
  <c r="V342" i="6"/>
  <c r="U342" i="6"/>
  <c r="T342" i="6"/>
  <c r="M342" i="6"/>
  <c r="H342" i="6"/>
  <c r="AA341" i="6"/>
  <c r="Z341" i="6"/>
  <c r="Y341" i="6"/>
  <c r="X341" i="6"/>
  <c r="U341" i="6"/>
  <c r="T341" i="6"/>
  <c r="V341" i="6" s="1"/>
  <c r="M341" i="6"/>
  <c r="W341" i="6" s="1"/>
  <c r="H341" i="6"/>
  <c r="AA340" i="6"/>
  <c r="Z340" i="6"/>
  <c r="Y340" i="6"/>
  <c r="X340" i="6"/>
  <c r="W340" i="6"/>
  <c r="U340" i="6"/>
  <c r="T340" i="6"/>
  <c r="V340" i="6" s="1"/>
  <c r="M340" i="6"/>
  <c r="H340" i="6"/>
  <c r="E340" i="6"/>
  <c r="AA339" i="6"/>
  <c r="Z339" i="6"/>
  <c r="Y339" i="6"/>
  <c r="X339" i="6"/>
  <c r="V339" i="6"/>
  <c r="W339" i="6" s="1"/>
  <c r="U339" i="6"/>
  <c r="T339" i="6"/>
  <c r="M339" i="6"/>
  <c r="H339" i="6"/>
  <c r="E339" i="6"/>
  <c r="AA338" i="6"/>
  <c r="Z338" i="6"/>
  <c r="Y338" i="6"/>
  <c r="X338" i="6"/>
  <c r="W338" i="6"/>
  <c r="V338" i="6"/>
  <c r="U338" i="6"/>
  <c r="T338" i="6"/>
  <c r="M338" i="6"/>
  <c r="H338" i="6"/>
  <c r="E338" i="6"/>
  <c r="AA337" i="6"/>
  <c r="Z337" i="6"/>
  <c r="Y337" i="6"/>
  <c r="X337" i="6"/>
  <c r="U337" i="6"/>
  <c r="T337" i="6"/>
  <c r="V337" i="6" s="1"/>
  <c r="W337" i="6" s="1"/>
  <c r="M337" i="6"/>
  <c r="H337" i="6"/>
  <c r="E337" i="6"/>
  <c r="AA336" i="6"/>
  <c r="Z336" i="6"/>
  <c r="Y336" i="6"/>
  <c r="X336" i="6"/>
  <c r="U336" i="6"/>
  <c r="T336" i="6"/>
  <c r="V336" i="6" s="1"/>
  <c r="M336" i="6"/>
  <c r="W336" i="6" s="1"/>
  <c r="H336" i="6"/>
  <c r="E336" i="6"/>
  <c r="AA335" i="6"/>
  <c r="Z335" i="6"/>
  <c r="Y335" i="6"/>
  <c r="X335" i="6"/>
  <c r="U335" i="6"/>
  <c r="T335" i="6"/>
  <c r="V335" i="6" s="1"/>
  <c r="M335" i="6"/>
  <c r="W335" i="6" s="1"/>
  <c r="H335" i="6"/>
  <c r="E335" i="6"/>
  <c r="AA334" i="6"/>
  <c r="Z334" i="6"/>
  <c r="Y334" i="6"/>
  <c r="X334" i="6"/>
  <c r="U334" i="6"/>
  <c r="T334" i="6"/>
  <c r="V334" i="6" s="1"/>
  <c r="W334" i="6" s="1"/>
  <c r="M334" i="6"/>
  <c r="H334" i="6"/>
  <c r="E334" i="6"/>
  <c r="Z333" i="6"/>
  <c r="Y333" i="6"/>
  <c r="X333" i="6"/>
  <c r="V333" i="6"/>
  <c r="U333" i="6"/>
  <c r="T333" i="6"/>
  <c r="S333" i="6"/>
  <c r="AA333" i="6" s="1"/>
  <c r="M333" i="6"/>
  <c r="AA332" i="6"/>
  <c r="Z332" i="6"/>
  <c r="Y332" i="6"/>
  <c r="X332" i="6"/>
  <c r="U332" i="6"/>
  <c r="T332" i="6"/>
  <c r="V332" i="6" s="1"/>
  <c r="W332" i="6" s="1"/>
  <c r="M332" i="6"/>
  <c r="AA331" i="6"/>
  <c r="Z331" i="6"/>
  <c r="Y331" i="6"/>
  <c r="X331" i="6"/>
  <c r="U331" i="6"/>
  <c r="T331" i="6"/>
  <c r="V331" i="6" s="1"/>
  <c r="W331" i="6" s="1"/>
  <c r="M331" i="6"/>
  <c r="H331" i="6"/>
  <c r="E331" i="6"/>
  <c r="AA330" i="6"/>
  <c r="Z330" i="6"/>
  <c r="Y330" i="6"/>
  <c r="X330" i="6"/>
  <c r="V330" i="6"/>
  <c r="W330" i="6" s="1"/>
  <c r="U330" i="6"/>
  <c r="T330" i="6"/>
  <c r="M330" i="6"/>
  <c r="H330" i="6"/>
  <c r="AA329" i="6"/>
  <c r="Z329" i="6"/>
  <c r="Y329" i="6"/>
  <c r="X329" i="6"/>
  <c r="U329" i="6"/>
  <c r="T329" i="6"/>
  <c r="V329" i="6" s="1"/>
  <c r="W329" i="6" s="1"/>
  <c r="M329" i="6"/>
  <c r="H329" i="6"/>
  <c r="E329" i="6"/>
  <c r="AA328" i="6"/>
  <c r="Z328" i="6"/>
  <c r="Y328" i="6"/>
  <c r="X328" i="6"/>
  <c r="U328" i="6"/>
  <c r="T328" i="6"/>
  <c r="V328" i="6" s="1"/>
  <c r="M328" i="6"/>
  <c r="H328" i="6"/>
  <c r="E328" i="6"/>
  <c r="AA327" i="6"/>
  <c r="Z327" i="6"/>
  <c r="Y327" i="6"/>
  <c r="X327" i="6"/>
  <c r="U327" i="6"/>
  <c r="T327" i="6"/>
  <c r="V327" i="6" s="1"/>
  <c r="M327" i="6"/>
  <c r="H327" i="6"/>
  <c r="E327" i="6"/>
  <c r="AA326" i="6"/>
  <c r="Z326" i="6"/>
  <c r="Y326" i="6"/>
  <c r="X326" i="6"/>
  <c r="W326" i="6"/>
  <c r="U326" i="6"/>
  <c r="T326" i="6"/>
  <c r="V326" i="6" s="1"/>
  <c r="M326" i="6"/>
  <c r="H326" i="6"/>
  <c r="E326" i="6"/>
  <c r="AA325" i="6"/>
  <c r="Z325" i="6"/>
  <c r="Y325" i="6"/>
  <c r="X325" i="6"/>
  <c r="V325" i="6"/>
  <c r="W325" i="6" s="1"/>
  <c r="U325" i="6"/>
  <c r="T325" i="6"/>
  <c r="M325" i="6"/>
  <c r="AA324" i="6"/>
  <c r="Z324" i="6"/>
  <c r="Y324" i="6"/>
  <c r="X324" i="6"/>
  <c r="U324" i="6"/>
  <c r="T324" i="6"/>
  <c r="V324" i="6" s="1"/>
  <c r="M324" i="6"/>
  <c r="H324" i="6"/>
  <c r="E324" i="6"/>
  <c r="AA323" i="6"/>
  <c r="Z323" i="6"/>
  <c r="Y323" i="6"/>
  <c r="X323" i="6"/>
  <c r="U323" i="6"/>
  <c r="T323" i="6"/>
  <c r="V323" i="6" s="1"/>
  <c r="M323" i="6"/>
  <c r="H323" i="6"/>
  <c r="E323" i="6"/>
  <c r="AA322" i="6"/>
  <c r="Z322" i="6"/>
  <c r="Y322" i="6"/>
  <c r="X322" i="6"/>
  <c r="W322" i="6"/>
  <c r="U322" i="6"/>
  <c r="T322" i="6"/>
  <c r="V322" i="6" s="1"/>
  <c r="M322" i="6"/>
  <c r="H322" i="6"/>
  <c r="E322" i="6"/>
  <c r="AA321" i="6"/>
  <c r="Z321" i="6"/>
  <c r="Y321" i="6"/>
  <c r="X321" i="6"/>
  <c r="V321" i="6"/>
  <c r="W321" i="6" s="1"/>
  <c r="U321" i="6"/>
  <c r="T321" i="6"/>
  <c r="M321" i="6"/>
  <c r="H321" i="6"/>
  <c r="E321" i="6"/>
  <c r="AA320" i="6"/>
  <c r="Z320" i="6"/>
  <c r="Y320" i="6"/>
  <c r="X320" i="6"/>
  <c r="W320" i="6"/>
  <c r="V320" i="6"/>
  <c r="U320" i="6"/>
  <c r="T320" i="6"/>
  <c r="M320" i="6"/>
  <c r="H320" i="6"/>
  <c r="E320" i="6"/>
  <c r="AA319" i="6"/>
  <c r="Z319" i="6"/>
  <c r="Y319" i="6"/>
  <c r="X319" i="6"/>
  <c r="U319" i="6"/>
  <c r="T319" i="6"/>
  <c r="V319" i="6" s="1"/>
  <c r="W319" i="6" s="1"/>
  <c r="M319" i="6"/>
  <c r="H319" i="6"/>
  <c r="E319" i="6"/>
  <c r="AA318" i="6"/>
  <c r="Z318" i="6"/>
  <c r="Y318" i="6"/>
  <c r="X318" i="6"/>
  <c r="U318" i="6"/>
  <c r="T318" i="6"/>
  <c r="V318" i="6" s="1"/>
  <c r="W318" i="6" s="1"/>
  <c r="M318" i="6"/>
  <c r="H318" i="6"/>
  <c r="E318" i="6"/>
  <c r="AA317" i="6"/>
  <c r="Z317" i="6"/>
  <c r="Y317" i="6"/>
  <c r="X317" i="6"/>
  <c r="U317" i="6"/>
  <c r="T317" i="6"/>
  <c r="V317" i="6" s="1"/>
  <c r="W317" i="6" s="1"/>
  <c r="M317" i="6"/>
  <c r="J317" i="6"/>
  <c r="I317" i="6"/>
  <c r="H317" i="6" s="1"/>
  <c r="E317" i="6"/>
  <c r="AA316" i="6"/>
  <c r="Z316" i="6"/>
  <c r="Y316" i="6"/>
  <c r="X316" i="6"/>
  <c r="U316" i="6"/>
  <c r="T316" i="6"/>
  <c r="V316" i="6" s="1"/>
  <c r="W316" i="6" s="1"/>
  <c r="M316" i="6"/>
  <c r="J316" i="6"/>
  <c r="I316" i="6"/>
  <c r="H316" i="6"/>
  <c r="E316" i="6"/>
  <c r="AA315" i="6"/>
  <c r="Z315" i="6"/>
  <c r="Y315" i="6"/>
  <c r="X315" i="6"/>
  <c r="U315" i="6"/>
  <c r="T315" i="6"/>
  <c r="V315" i="6" s="1"/>
  <c r="W315" i="6" s="1"/>
  <c r="M315" i="6"/>
  <c r="H315" i="6"/>
  <c r="E315" i="6"/>
  <c r="AA314" i="6"/>
  <c r="Z314" i="6"/>
  <c r="Y314" i="6"/>
  <c r="X314" i="6"/>
  <c r="U314" i="6"/>
  <c r="T314" i="6"/>
  <c r="V314" i="6" s="1"/>
  <c r="M314" i="6"/>
  <c r="W314" i="6" s="1"/>
  <c r="H314" i="6"/>
  <c r="E314" i="6"/>
  <c r="AA313" i="6"/>
  <c r="Z313" i="6"/>
  <c r="Y313" i="6"/>
  <c r="X313" i="6"/>
  <c r="U313" i="6"/>
  <c r="T313" i="6"/>
  <c r="V313" i="6" s="1"/>
  <c r="W313" i="6" s="1"/>
  <c r="M313" i="6"/>
  <c r="H313" i="6"/>
  <c r="E313" i="6"/>
  <c r="AA312" i="6"/>
  <c r="Z312" i="6"/>
  <c r="Y312" i="6"/>
  <c r="X312" i="6"/>
  <c r="U312" i="6"/>
  <c r="T312" i="6"/>
  <c r="V312" i="6" s="1"/>
  <c r="W312" i="6" s="1"/>
  <c r="M312" i="6"/>
  <c r="H312" i="6"/>
  <c r="E312" i="6"/>
  <c r="AA311" i="6"/>
  <c r="Z311" i="6"/>
  <c r="Y311" i="6"/>
  <c r="X311" i="6"/>
  <c r="V311" i="6"/>
  <c r="W311" i="6" s="1"/>
  <c r="U311" i="6"/>
  <c r="T311" i="6"/>
  <c r="M311" i="6"/>
  <c r="H311" i="6"/>
  <c r="E311" i="6"/>
  <c r="AA310" i="6"/>
  <c r="Z310" i="6"/>
  <c r="Y310" i="6"/>
  <c r="X310" i="6"/>
  <c r="W310" i="6"/>
  <c r="V310" i="6"/>
  <c r="U310" i="6"/>
  <c r="T310" i="6"/>
  <c r="M310" i="6"/>
  <c r="H310" i="6"/>
  <c r="E310" i="6"/>
  <c r="AA309" i="6"/>
  <c r="Z309" i="6"/>
  <c r="Y309" i="6"/>
  <c r="X309" i="6"/>
  <c r="U309" i="6"/>
  <c r="T309" i="6"/>
  <c r="V309" i="6" s="1"/>
  <c r="W309" i="6" s="1"/>
  <c r="M309" i="6"/>
  <c r="H309" i="6"/>
  <c r="AA308" i="6"/>
  <c r="Z308" i="6"/>
  <c r="Y308" i="6"/>
  <c r="X308" i="6"/>
  <c r="U308" i="6"/>
  <c r="T308" i="6"/>
  <c r="V308" i="6" s="1"/>
  <c r="W308" i="6" s="1"/>
  <c r="M308" i="6"/>
  <c r="H308" i="6"/>
  <c r="E308" i="6"/>
  <c r="AA307" i="6"/>
  <c r="Z307" i="6"/>
  <c r="Y307" i="6"/>
  <c r="X307" i="6"/>
  <c r="U307" i="6"/>
  <c r="T307" i="6"/>
  <c r="V307" i="6" s="1"/>
  <c r="W307" i="6" s="1"/>
  <c r="M307" i="6"/>
  <c r="H307" i="6"/>
  <c r="E307" i="6"/>
  <c r="AA306" i="6"/>
  <c r="Z306" i="6"/>
  <c r="Y306" i="6"/>
  <c r="X306" i="6"/>
  <c r="V306" i="6"/>
  <c r="W306" i="6" s="1"/>
  <c r="U306" i="6"/>
  <c r="T306" i="6"/>
  <c r="M306" i="6"/>
  <c r="H306" i="6"/>
  <c r="E306" i="6"/>
  <c r="AA305" i="6"/>
  <c r="Z305" i="6"/>
  <c r="Y305" i="6"/>
  <c r="X305" i="6"/>
  <c r="W305" i="6"/>
  <c r="V305" i="6"/>
  <c r="U305" i="6"/>
  <c r="T305" i="6"/>
  <c r="M305" i="6"/>
  <c r="H305" i="6"/>
  <c r="E305" i="6"/>
  <c r="AA304" i="6"/>
  <c r="Z304" i="6"/>
  <c r="Y304" i="6"/>
  <c r="X304" i="6"/>
  <c r="U304" i="6"/>
  <c r="T304" i="6"/>
  <c r="V304" i="6" s="1"/>
  <c r="W304" i="6" s="1"/>
  <c r="M304" i="6"/>
  <c r="H304" i="6"/>
  <c r="E304" i="6"/>
  <c r="AA303" i="6"/>
  <c r="Z303" i="6"/>
  <c r="Y303" i="6"/>
  <c r="X303" i="6"/>
  <c r="U303" i="6"/>
  <c r="T303" i="6"/>
  <c r="V303" i="6" s="1"/>
  <c r="M303" i="6"/>
  <c r="W303" i="6" s="1"/>
  <c r="H303" i="6"/>
  <c r="E303" i="6"/>
  <c r="AA302" i="6"/>
  <c r="Z302" i="6"/>
  <c r="Y302" i="6"/>
  <c r="X302" i="6"/>
  <c r="U302" i="6"/>
  <c r="T302" i="6"/>
  <c r="V302" i="6" s="1"/>
  <c r="M302" i="6"/>
  <c r="H302" i="6"/>
  <c r="E302" i="6"/>
  <c r="AA301" i="6"/>
  <c r="Z301" i="6"/>
  <c r="Y301" i="6"/>
  <c r="X301" i="6"/>
  <c r="U301" i="6"/>
  <c r="T301" i="6"/>
  <c r="V301" i="6" s="1"/>
  <c r="W301" i="6" s="1"/>
  <c r="M301" i="6"/>
  <c r="H301" i="6"/>
  <c r="E301" i="6"/>
  <c r="AA300" i="6"/>
  <c r="Z300" i="6"/>
  <c r="Y300" i="6"/>
  <c r="X300" i="6"/>
  <c r="V300" i="6"/>
  <c r="W300" i="6" s="1"/>
  <c r="U300" i="6"/>
  <c r="T300" i="6"/>
  <c r="M300" i="6"/>
  <c r="H300" i="6"/>
  <c r="E300" i="6"/>
  <c r="AA299" i="6"/>
  <c r="Z299" i="6"/>
  <c r="Y299" i="6"/>
  <c r="X299" i="6"/>
  <c r="W299" i="6"/>
  <c r="V299" i="6"/>
  <c r="U299" i="6"/>
  <c r="T299" i="6"/>
  <c r="M299" i="6"/>
  <c r="H299" i="6"/>
  <c r="E299" i="6"/>
  <c r="AA298" i="6"/>
  <c r="Z298" i="6"/>
  <c r="Y298" i="6"/>
  <c r="X298" i="6"/>
  <c r="U298" i="6"/>
  <c r="T298" i="6"/>
  <c r="V298" i="6" s="1"/>
  <c r="W298" i="6" s="1"/>
  <c r="M298" i="6"/>
  <c r="H298" i="6"/>
  <c r="E298" i="6"/>
  <c r="AA297" i="6"/>
  <c r="Z297" i="6"/>
  <c r="Y297" i="6"/>
  <c r="X297" i="6"/>
  <c r="U297" i="6"/>
  <c r="T297" i="6"/>
  <c r="V297" i="6" s="1"/>
  <c r="W297" i="6" s="1"/>
  <c r="M297" i="6"/>
  <c r="H297" i="6"/>
  <c r="E297" i="6"/>
  <c r="AA296" i="6"/>
  <c r="Z296" i="6"/>
  <c r="Y296" i="6"/>
  <c r="X296" i="6"/>
  <c r="U296" i="6"/>
  <c r="T296" i="6"/>
  <c r="V296" i="6" s="1"/>
  <c r="W296" i="6" s="1"/>
  <c r="M296" i="6"/>
  <c r="H296" i="6"/>
  <c r="E296" i="6"/>
  <c r="AA295" i="6"/>
  <c r="Z295" i="6"/>
  <c r="Y295" i="6"/>
  <c r="X295" i="6"/>
  <c r="W295" i="6"/>
  <c r="U295" i="6"/>
  <c r="T295" i="6"/>
  <c r="V295" i="6" s="1"/>
  <c r="M295" i="6"/>
  <c r="H295" i="6"/>
  <c r="E295" i="6"/>
  <c r="AA294" i="6"/>
  <c r="Z294" i="6"/>
  <c r="Y294" i="6"/>
  <c r="X294" i="6"/>
  <c r="V294" i="6"/>
  <c r="W294" i="6" s="1"/>
  <c r="U294" i="6"/>
  <c r="T294" i="6"/>
  <c r="M294" i="6"/>
  <c r="H294" i="6"/>
  <c r="E294" i="6"/>
  <c r="AA293" i="6"/>
  <c r="Z293" i="6"/>
  <c r="Y293" i="6"/>
  <c r="X293" i="6"/>
  <c r="W293" i="6"/>
  <c r="V293" i="6"/>
  <c r="U293" i="6"/>
  <c r="T293" i="6"/>
  <c r="M293" i="6"/>
  <c r="H293" i="6"/>
  <c r="E293" i="6"/>
  <c r="AA292" i="6"/>
  <c r="Z292" i="6"/>
  <c r="Y292" i="6"/>
  <c r="X292" i="6"/>
  <c r="U292" i="6"/>
  <c r="T292" i="6"/>
  <c r="V292" i="6" s="1"/>
  <c r="W292" i="6" s="1"/>
  <c r="M292" i="6"/>
  <c r="H292" i="6"/>
  <c r="E292" i="6"/>
  <c r="AA291" i="6"/>
  <c r="Z291" i="6"/>
  <c r="Y291" i="6"/>
  <c r="X291" i="6"/>
  <c r="U291" i="6"/>
  <c r="T291" i="6"/>
  <c r="V291" i="6" s="1"/>
  <c r="W291" i="6" s="1"/>
  <c r="M291" i="6"/>
  <c r="H291" i="6"/>
  <c r="E291" i="6"/>
  <c r="AA290" i="6"/>
  <c r="Z290" i="6"/>
  <c r="Y290" i="6"/>
  <c r="X290" i="6"/>
  <c r="U290" i="6"/>
  <c r="T290" i="6"/>
  <c r="V290" i="6" s="1"/>
  <c r="W290" i="6" s="1"/>
  <c r="M290" i="6"/>
  <c r="H290" i="6"/>
  <c r="E290" i="6"/>
  <c r="AA289" i="6"/>
  <c r="Z289" i="6"/>
  <c r="Y289" i="6"/>
  <c r="X289" i="6"/>
  <c r="U289" i="6"/>
  <c r="T289" i="6"/>
  <c r="V289" i="6" s="1"/>
  <c r="W289" i="6" s="1"/>
  <c r="M289" i="6"/>
  <c r="H289" i="6"/>
  <c r="E289" i="6"/>
  <c r="AA288" i="6"/>
  <c r="Z288" i="6"/>
  <c r="Y288" i="6"/>
  <c r="X288" i="6"/>
  <c r="V288" i="6"/>
  <c r="W288" i="6" s="1"/>
  <c r="U288" i="6"/>
  <c r="T288" i="6"/>
  <c r="M288" i="6"/>
  <c r="H288" i="6"/>
  <c r="E288" i="6"/>
  <c r="AA287" i="6"/>
  <c r="Z287" i="6"/>
  <c r="Y287" i="6"/>
  <c r="X287" i="6"/>
  <c r="W287" i="6"/>
  <c r="V287" i="6"/>
  <c r="U287" i="6"/>
  <c r="T287" i="6"/>
  <c r="M287" i="6"/>
  <c r="H287" i="6"/>
  <c r="E287" i="6"/>
  <c r="AA286" i="6"/>
  <c r="Z286" i="6"/>
  <c r="Y286" i="6"/>
  <c r="X286" i="6"/>
  <c r="U286" i="6"/>
  <c r="T286" i="6"/>
  <c r="V286" i="6" s="1"/>
  <c r="W286" i="6" s="1"/>
  <c r="M286" i="6"/>
  <c r="H286" i="6"/>
  <c r="E286" i="6"/>
  <c r="AA285" i="6"/>
  <c r="Z285" i="6"/>
  <c r="Y285" i="6"/>
  <c r="X285" i="6"/>
  <c r="U285" i="6"/>
  <c r="T285" i="6"/>
  <c r="V285" i="6" s="1"/>
  <c r="W285" i="6" s="1"/>
  <c r="M285" i="6"/>
  <c r="H285" i="6"/>
  <c r="E285" i="6"/>
  <c r="AA284" i="6"/>
  <c r="Z284" i="6"/>
  <c r="Y284" i="6"/>
  <c r="X284" i="6"/>
  <c r="U284" i="6"/>
  <c r="T284" i="6"/>
  <c r="V284" i="6" s="1"/>
  <c r="W284" i="6" s="1"/>
  <c r="M284" i="6"/>
  <c r="H284" i="6"/>
  <c r="E284" i="6"/>
  <c r="AA283" i="6"/>
  <c r="Z283" i="6"/>
  <c r="Y283" i="6"/>
  <c r="X283" i="6"/>
  <c r="U283" i="6"/>
  <c r="T283" i="6"/>
  <c r="V283" i="6" s="1"/>
  <c r="W283" i="6" s="1"/>
  <c r="M283" i="6"/>
  <c r="H283" i="6"/>
  <c r="E283" i="6"/>
  <c r="AA282" i="6"/>
  <c r="Z282" i="6"/>
  <c r="Y282" i="6"/>
  <c r="X282" i="6"/>
  <c r="V282" i="6"/>
  <c r="W282" i="6" s="1"/>
  <c r="U282" i="6"/>
  <c r="T282" i="6"/>
  <c r="M282" i="6"/>
  <c r="H282" i="6"/>
  <c r="E282" i="6"/>
  <c r="AA281" i="6"/>
  <c r="Z281" i="6"/>
  <c r="Y281" i="6"/>
  <c r="X281" i="6"/>
  <c r="W281" i="6"/>
  <c r="V281" i="6"/>
  <c r="U281" i="6"/>
  <c r="T281" i="6"/>
  <c r="M281" i="6"/>
  <c r="H281" i="6"/>
  <c r="E281" i="6"/>
  <c r="AA280" i="6"/>
  <c r="Z280" i="6"/>
  <c r="Y280" i="6"/>
  <c r="X280" i="6"/>
  <c r="U280" i="6"/>
  <c r="T280" i="6"/>
  <c r="V280" i="6" s="1"/>
  <c r="W280" i="6" s="1"/>
  <c r="M280" i="6"/>
  <c r="H280" i="6"/>
  <c r="E280" i="6"/>
  <c r="AA279" i="6"/>
  <c r="Z279" i="6"/>
  <c r="Y279" i="6"/>
  <c r="X279" i="6"/>
  <c r="U279" i="6"/>
  <c r="T279" i="6"/>
  <c r="V279" i="6" s="1"/>
  <c r="W279" i="6" s="1"/>
  <c r="M279" i="6"/>
  <c r="H279" i="6"/>
  <c r="E279" i="6"/>
  <c r="AA278" i="6"/>
  <c r="Z278" i="6"/>
  <c r="Y278" i="6"/>
  <c r="X278" i="6"/>
  <c r="U278" i="6"/>
  <c r="T278" i="6"/>
  <c r="V278" i="6" s="1"/>
  <c r="W278" i="6" s="1"/>
  <c r="M278" i="6"/>
  <c r="H278" i="6"/>
  <c r="E278" i="6"/>
  <c r="AA277" i="6"/>
  <c r="Z277" i="6"/>
  <c r="Y277" i="6"/>
  <c r="X277" i="6"/>
  <c r="W277" i="6"/>
  <c r="U277" i="6"/>
  <c r="T277" i="6"/>
  <c r="V277" i="6" s="1"/>
  <c r="M277" i="6"/>
  <c r="H277" i="6"/>
  <c r="E277" i="6"/>
  <c r="AA276" i="6"/>
  <c r="Z276" i="6"/>
  <c r="Y276" i="6"/>
  <c r="X276" i="6"/>
  <c r="V276" i="6"/>
  <c r="W276" i="6" s="1"/>
  <c r="U276" i="6"/>
  <c r="T276" i="6"/>
  <c r="M276" i="6"/>
  <c r="H276" i="6"/>
  <c r="E276" i="6"/>
  <c r="AA275" i="6"/>
  <c r="Z275" i="6"/>
  <c r="Y275" i="6"/>
  <c r="X275" i="6"/>
  <c r="W275" i="6"/>
  <c r="V275" i="6"/>
  <c r="U275" i="6"/>
  <c r="T275" i="6"/>
  <c r="M275" i="6"/>
  <c r="H275" i="6"/>
  <c r="E275" i="6"/>
  <c r="AA274" i="6"/>
  <c r="Z274" i="6"/>
  <c r="Y274" i="6"/>
  <c r="X274" i="6"/>
  <c r="U274" i="6"/>
  <c r="T274" i="6"/>
  <c r="V274" i="6" s="1"/>
  <c r="W274" i="6" s="1"/>
  <c r="M274" i="6"/>
  <c r="H274" i="6"/>
  <c r="E274" i="6"/>
  <c r="AA273" i="6"/>
  <c r="Z273" i="6"/>
  <c r="Y273" i="6"/>
  <c r="X273" i="6"/>
  <c r="U273" i="6"/>
  <c r="T273" i="6"/>
  <c r="V273" i="6" s="1"/>
  <c r="W273" i="6" s="1"/>
  <c r="M273" i="6"/>
  <c r="H273" i="6"/>
  <c r="E273" i="6"/>
  <c r="AA272" i="6"/>
  <c r="Z272" i="6"/>
  <c r="Y272" i="6"/>
  <c r="X272" i="6"/>
  <c r="U272" i="6"/>
  <c r="T272" i="6"/>
  <c r="V272" i="6" s="1"/>
  <c r="W272" i="6" s="1"/>
  <c r="M272" i="6"/>
  <c r="H272" i="6"/>
  <c r="E272" i="6"/>
  <c r="AA271" i="6"/>
  <c r="Z271" i="6"/>
  <c r="Y271" i="6"/>
  <c r="X271" i="6"/>
  <c r="U271" i="6"/>
  <c r="T271" i="6"/>
  <c r="V271" i="6" s="1"/>
  <c r="W271" i="6" s="1"/>
  <c r="M271" i="6"/>
  <c r="H271" i="6"/>
  <c r="E271" i="6"/>
  <c r="AA270" i="6"/>
  <c r="Z270" i="6"/>
  <c r="Y270" i="6"/>
  <c r="X270" i="6"/>
  <c r="V270" i="6"/>
  <c r="W270" i="6" s="1"/>
  <c r="U270" i="6"/>
  <c r="T270" i="6"/>
  <c r="M270" i="6"/>
  <c r="H270" i="6"/>
  <c r="E270" i="6"/>
  <c r="AA269" i="6"/>
  <c r="Z269" i="6"/>
  <c r="Y269" i="6"/>
  <c r="X269" i="6"/>
  <c r="W269" i="6"/>
  <c r="V269" i="6"/>
  <c r="U269" i="6"/>
  <c r="T269" i="6"/>
  <c r="M269" i="6"/>
  <c r="H269" i="6"/>
  <c r="E269" i="6"/>
  <c r="AA268" i="6"/>
  <c r="Z268" i="6"/>
  <c r="Y268" i="6"/>
  <c r="X268" i="6"/>
  <c r="U268" i="6"/>
  <c r="T268" i="6"/>
  <c r="V268" i="6" s="1"/>
  <c r="W268" i="6" s="1"/>
  <c r="M268" i="6"/>
  <c r="H268" i="6"/>
  <c r="E268" i="6"/>
  <c r="AA267" i="6"/>
  <c r="Z267" i="6"/>
  <c r="Y267" i="6"/>
  <c r="X267" i="6"/>
  <c r="U267" i="6"/>
  <c r="T267" i="6"/>
  <c r="V267" i="6" s="1"/>
  <c r="W267" i="6" s="1"/>
  <c r="M267" i="6"/>
  <c r="H267" i="6"/>
  <c r="E267" i="6"/>
  <c r="AA266" i="6"/>
  <c r="Z266" i="6"/>
  <c r="Y266" i="6"/>
  <c r="X266" i="6"/>
  <c r="U266" i="6"/>
  <c r="T266" i="6"/>
  <c r="V266" i="6" s="1"/>
  <c r="W266" i="6" s="1"/>
  <c r="M266" i="6"/>
  <c r="H266" i="6"/>
  <c r="E266" i="6"/>
  <c r="AA265" i="6"/>
  <c r="Z265" i="6"/>
  <c r="Y265" i="6"/>
  <c r="X265" i="6"/>
  <c r="U265" i="6"/>
  <c r="T265" i="6"/>
  <c r="V265" i="6" s="1"/>
  <c r="W265" i="6" s="1"/>
  <c r="M265" i="6"/>
  <c r="H265" i="6"/>
  <c r="E265" i="6"/>
  <c r="AA264" i="6"/>
  <c r="Z264" i="6"/>
  <c r="Y264" i="6"/>
  <c r="X264" i="6"/>
  <c r="V264" i="6"/>
  <c r="W264" i="6" s="1"/>
  <c r="U264" i="6"/>
  <c r="T264" i="6"/>
  <c r="M264" i="6"/>
  <c r="H264" i="6"/>
  <c r="E264" i="6"/>
  <c r="AA263" i="6"/>
  <c r="Z263" i="6"/>
  <c r="Y263" i="6"/>
  <c r="X263" i="6"/>
  <c r="W263" i="6"/>
  <c r="V263" i="6"/>
  <c r="U263" i="6"/>
  <c r="T263" i="6"/>
  <c r="M263" i="6"/>
  <c r="H263" i="6"/>
  <c r="E263" i="6"/>
  <c r="AA262" i="6"/>
  <c r="Z262" i="6"/>
  <c r="Y262" i="6"/>
  <c r="X262" i="6"/>
  <c r="U262" i="6"/>
  <c r="T262" i="6"/>
  <c r="V262" i="6" s="1"/>
  <c r="W262" i="6" s="1"/>
  <c r="M262" i="6"/>
  <c r="H262" i="6"/>
  <c r="E262" i="6"/>
  <c r="AA261" i="6"/>
  <c r="Z261" i="6"/>
  <c r="Y261" i="6"/>
  <c r="X261" i="6"/>
  <c r="U261" i="6"/>
  <c r="T261" i="6"/>
  <c r="V261" i="6" s="1"/>
  <c r="W261" i="6" s="1"/>
  <c r="M261" i="6"/>
  <c r="H261" i="6"/>
  <c r="E261" i="6"/>
  <c r="AA260" i="6"/>
  <c r="Z260" i="6"/>
  <c r="Y260" i="6"/>
  <c r="X260" i="6"/>
  <c r="U260" i="6"/>
  <c r="T260" i="6"/>
  <c r="V260" i="6" s="1"/>
  <c r="W260" i="6" s="1"/>
  <c r="M260" i="6"/>
  <c r="H260" i="6"/>
  <c r="E260" i="6"/>
  <c r="AA259" i="6"/>
  <c r="Z259" i="6"/>
  <c r="Y259" i="6"/>
  <c r="X259" i="6"/>
  <c r="W259" i="6"/>
  <c r="U259" i="6"/>
  <c r="T259" i="6"/>
  <c r="V259" i="6" s="1"/>
  <c r="M259" i="6"/>
  <c r="H259" i="6"/>
  <c r="E259" i="6"/>
  <c r="AA258" i="6"/>
  <c r="Z258" i="6"/>
  <c r="Y258" i="6"/>
  <c r="X258" i="6"/>
  <c r="V258" i="6"/>
  <c r="W258" i="6" s="1"/>
  <c r="U258" i="6"/>
  <c r="T258" i="6"/>
  <c r="M258" i="6"/>
  <c r="H258" i="6"/>
  <c r="E258" i="6"/>
  <c r="AA257" i="6"/>
  <c r="Z257" i="6"/>
  <c r="Y257" i="6"/>
  <c r="X257" i="6"/>
  <c r="W257" i="6"/>
  <c r="V257" i="6"/>
  <c r="U257" i="6"/>
  <c r="T257" i="6"/>
  <c r="M257" i="6"/>
  <c r="H257" i="6"/>
  <c r="E257" i="6"/>
  <c r="AA256" i="6"/>
  <c r="Z256" i="6"/>
  <c r="Y256" i="6"/>
  <c r="X256" i="6"/>
  <c r="U256" i="6"/>
  <c r="T256" i="6"/>
  <c r="V256" i="6" s="1"/>
  <c r="W256" i="6" s="1"/>
  <c r="M256" i="6"/>
  <c r="H256" i="6"/>
  <c r="E256" i="6"/>
  <c r="AA255" i="6"/>
  <c r="Z255" i="6"/>
  <c r="Y255" i="6"/>
  <c r="X255" i="6"/>
  <c r="U255" i="6"/>
  <c r="T255" i="6"/>
  <c r="V255" i="6" s="1"/>
  <c r="W255" i="6" s="1"/>
  <c r="M255" i="6"/>
  <c r="H255" i="6"/>
  <c r="E255" i="6"/>
  <c r="AA254" i="6"/>
  <c r="Z254" i="6"/>
  <c r="Y254" i="6"/>
  <c r="X254" i="6"/>
  <c r="U254" i="6"/>
  <c r="T254" i="6"/>
  <c r="V254" i="6" s="1"/>
  <c r="W254" i="6" s="1"/>
  <c r="M254" i="6"/>
  <c r="H254" i="6"/>
  <c r="E254" i="6"/>
  <c r="AA253" i="6"/>
  <c r="Z253" i="6"/>
  <c r="Y253" i="6"/>
  <c r="X253" i="6"/>
  <c r="U253" i="6"/>
  <c r="T253" i="6"/>
  <c r="V253" i="6" s="1"/>
  <c r="W253" i="6" s="1"/>
  <c r="M253" i="6"/>
  <c r="H253" i="6"/>
  <c r="E253" i="6"/>
  <c r="AA252" i="6"/>
  <c r="Z252" i="6"/>
  <c r="Y252" i="6"/>
  <c r="X252" i="6"/>
  <c r="V252" i="6"/>
  <c r="W252" i="6" s="1"/>
  <c r="U252" i="6"/>
  <c r="T252" i="6"/>
  <c r="M252" i="6"/>
  <c r="H252" i="6"/>
  <c r="E252" i="6"/>
  <c r="AA251" i="6"/>
  <c r="Z251" i="6"/>
  <c r="Y251" i="6"/>
  <c r="X251" i="6"/>
  <c r="W251" i="6"/>
  <c r="V251" i="6"/>
  <c r="U251" i="6"/>
  <c r="T251" i="6"/>
  <c r="M251" i="6"/>
  <c r="H251" i="6"/>
  <c r="E251" i="6"/>
  <c r="AA250" i="6"/>
  <c r="Z250" i="6"/>
  <c r="Y250" i="6"/>
  <c r="X250" i="6"/>
  <c r="U250" i="6"/>
  <c r="T250" i="6"/>
  <c r="V250" i="6" s="1"/>
  <c r="W250" i="6" s="1"/>
  <c r="M250" i="6"/>
  <c r="H250" i="6"/>
  <c r="E250" i="6"/>
  <c r="AA249" i="6"/>
  <c r="Z249" i="6"/>
  <c r="Y249" i="6"/>
  <c r="X249" i="6"/>
  <c r="U249" i="6"/>
  <c r="T249" i="6"/>
  <c r="V249" i="6" s="1"/>
  <c r="W249" i="6" s="1"/>
  <c r="M249" i="6"/>
  <c r="H249" i="6"/>
  <c r="E249" i="6"/>
  <c r="Z248" i="6"/>
  <c r="Y248" i="6"/>
  <c r="X248" i="6"/>
  <c r="U248" i="6"/>
  <c r="T248" i="6"/>
  <c r="V248" i="6" s="1"/>
  <c r="W248" i="6" s="1"/>
  <c r="O248" i="6"/>
  <c r="AA248" i="6" s="1"/>
  <c r="M248" i="6"/>
  <c r="H248" i="6"/>
  <c r="E248" i="6"/>
  <c r="Z247" i="6"/>
  <c r="Y247" i="6"/>
  <c r="X247" i="6"/>
  <c r="U247" i="6"/>
  <c r="M247" i="6"/>
  <c r="K247" i="6"/>
  <c r="E247" i="6"/>
  <c r="AA246" i="6"/>
  <c r="Z246" i="6"/>
  <c r="Y246" i="6"/>
  <c r="X246" i="6"/>
  <c r="U246" i="6"/>
  <c r="T246" i="6"/>
  <c r="V246" i="6" s="1"/>
  <c r="W246" i="6" s="1"/>
  <c r="M246" i="6"/>
  <c r="H246" i="6"/>
  <c r="E246" i="6"/>
  <c r="AA245" i="6"/>
  <c r="Z245" i="6"/>
  <c r="Y245" i="6"/>
  <c r="X245" i="6"/>
  <c r="W245" i="6"/>
  <c r="U245" i="6"/>
  <c r="T245" i="6"/>
  <c r="V245" i="6" s="1"/>
  <c r="M245" i="6"/>
  <c r="H245" i="6"/>
  <c r="E245" i="6"/>
  <c r="AA244" i="6"/>
  <c r="Z244" i="6"/>
  <c r="Y244" i="6"/>
  <c r="X244" i="6"/>
  <c r="V244" i="6"/>
  <c r="W244" i="6" s="1"/>
  <c r="U244" i="6"/>
  <c r="T244" i="6"/>
  <c r="M244" i="6"/>
  <c r="H244" i="6"/>
  <c r="E244" i="6"/>
  <c r="AA243" i="6"/>
  <c r="Z243" i="6"/>
  <c r="Y243" i="6"/>
  <c r="X243" i="6"/>
  <c r="W243" i="6"/>
  <c r="V243" i="6"/>
  <c r="U243" i="6"/>
  <c r="T243" i="6"/>
  <c r="M243" i="6"/>
  <c r="H243" i="6"/>
  <c r="E243" i="6"/>
  <c r="AA242" i="6"/>
  <c r="Z242" i="6"/>
  <c r="Y242" i="6"/>
  <c r="X242" i="6"/>
  <c r="U242" i="6"/>
  <c r="T242" i="6"/>
  <c r="V242" i="6" s="1"/>
  <c r="W242" i="6" s="1"/>
  <c r="M242" i="6"/>
  <c r="H242" i="6"/>
  <c r="E242" i="6"/>
  <c r="AA241" i="6"/>
  <c r="Z241" i="6"/>
  <c r="Y241" i="6"/>
  <c r="X241" i="6"/>
  <c r="U241" i="6"/>
  <c r="T241" i="6"/>
  <c r="V241" i="6" s="1"/>
  <c r="W241" i="6" s="1"/>
  <c r="M241" i="6"/>
  <c r="H241" i="6"/>
  <c r="E241" i="6"/>
  <c r="AA240" i="6"/>
  <c r="Z240" i="6"/>
  <c r="Y240" i="6"/>
  <c r="X240" i="6"/>
  <c r="U240" i="6"/>
  <c r="T240" i="6"/>
  <c r="V240" i="6" s="1"/>
  <c r="W240" i="6" s="1"/>
  <c r="M240" i="6"/>
  <c r="H240" i="6"/>
  <c r="E240" i="6"/>
  <c r="AA239" i="6"/>
  <c r="Z239" i="6"/>
  <c r="Y239" i="6"/>
  <c r="X239" i="6"/>
  <c r="U239" i="6"/>
  <c r="T239" i="6"/>
  <c r="V239" i="6" s="1"/>
  <c r="W239" i="6" s="1"/>
  <c r="M239" i="6"/>
  <c r="H239" i="6"/>
  <c r="E239" i="6"/>
  <c r="AA238" i="6"/>
  <c r="Z238" i="6"/>
  <c r="Y238" i="6"/>
  <c r="X238" i="6"/>
  <c r="V238" i="6"/>
  <c r="W238" i="6" s="1"/>
  <c r="U238" i="6"/>
  <c r="T238" i="6"/>
  <c r="M238" i="6"/>
  <c r="H238" i="6"/>
  <c r="E238" i="6"/>
  <c r="AA237" i="6"/>
  <c r="Z237" i="6"/>
  <c r="Y237" i="6"/>
  <c r="X237" i="6"/>
  <c r="W237" i="6"/>
  <c r="V237" i="6"/>
  <c r="U237" i="6"/>
  <c r="T237" i="6"/>
  <c r="M237" i="6"/>
  <c r="H237" i="6"/>
  <c r="E237" i="6"/>
  <c r="AA236" i="6"/>
  <c r="Z236" i="6"/>
  <c r="Y236" i="6"/>
  <c r="X236" i="6"/>
  <c r="U236" i="6"/>
  <c r="T236" i="6"/>
  <c r="V236" i="6" s="1"/>
  <c r="W236" i="6" s="1"/>
  <c r="M236" i="6"/>
  <c r="H236" i="6"/>
  <c r="E236" i="6"/>
  <c r="AA235" i="6"/>
  <c r="Z235" i="6"/>
  <c r="Y235" i="6"/>
  <c r="X235" i="6"/>
  <c r="U235" i="6"/>
  <c r="T235" i="6"/>
  <c r="V235" i="6" s="1"/>
  <c r="M235" i="6"/>
  <c r="W235" i="6" s="1"/>
  <c r="H235" i="6"/>
  <c r="E235" i="6"/>
  <c r="AA234" i="6"/>
  <c r="Z234" i="6"/>
  <c r="Y234" i="6"/>
  <c r="X234" i="6"/>
  <c r="U234" i="6"/>
  <c r="T234" i="6"/>
  <c r="V234" i="6" s="1"/>
  <c r="M234" i="6"/>
  <c r="H234" i="6"/>
  <c r="E234" i="6"/>
  <c r="AA233" i="6"/>
  <c r="Z233" i="6"/>
  <c r="Y233" i="6"/>
  <c r="X233" i="6"/>
  <c r="U233" i="6"/>
  <c r="T233" i="6"/>
  <c r="V233" i="6" s="1"/>
  <c r="W233" i="6" s="1"/>
  <c r="M233" i="6"/>
  <c r="H233" i="6"/>
  <c r="E233" i="6"/>
  <c r="AA232" i="6"/>
  <c r="Z232" i="6"/>
  <c r="Y232" i="6"/>
  <c r="X232" i="6"/>
  <c r="V232" i="6"/>
  <c r="W232" i="6" s="1"/>
  <c r="U232" i="6"/>
  <c r="T232" i="6"/>
  <c r="M232" i="6"/>
  <c r="H232" i="6"/>
  <c r="E232" i="6"/>
  <c r="AA231" i="6"/>
  <c r="Z231" i="6"/>
  <c r="Y231" i="6"/>
  <c r="X231" i="6"/>
  <c r="W231" i="6"/>
  <c r="V231" i="6"/>
  <c r="U231" i="6"/>
  <c r="T231" i="6"/>
  <c r="M231" i="6"/>
  <c r="H231" i="6"/>
  <c r="E231" i="6"/>
  <c r="AA230" i="6"/>
  <c r="Z230" i="6"/>
  <c r="Y230" i="6"/>
  <c r="X230" i="6"/>
  <c r="U230" i="6"/>
  <c r="T230" i="6"/>
  <c r="V230" i="6" s="1"/>
  <c r="W230" i="6" s="1"/>
  <c r="M230" i="6"/>
  <c r="H230" i="6"/>
  <c r="E230" i="6"/>
  <c r="AA229" i="6"/>
  <c r="Z229" i="6"/>
  <c r="Y229" i="6"/>
  <c r="X229" i="6"/>
  <c r="U229" i="6"/>
  <c r="T229" i="6"/>
  <c r="V229" i="6" s="1"/>
  <c r="M229" i="6"/>
  <c r="H229" i="6"/>
  <c r="E229" i="6"/>
  <c r="AA228" i="6"/>
  <c r="Z228" i="6"/>
  <c r="Y228" i="6"/>
  <c r="X228" i="6"/>
  <c r="U228" i="6"/>
  <c r="T228" i="6"/>
  <c r="V228" i="6" s="1"/>
  <c r="M228" i="6"/>
  <c r="H228" i="6"/>
  <c r="E228" i="6"/>
  <c r="AA227" i="6"/>
  <c r="Z227" i="6"/>
  <c r="Y227" i="6"/>
  <c r="X227" i="6"/>
  <c r="W227" i="6"/>
  <c r="U227" i="6"/>
  <c r="T227" i="6"/>
  <c r="V227" i="6" s="1"/>
  <c r="M227" i="6"/>
  <c r="H227" i="6"/>
  <c r="E227" i="6"/>
  <c r="AA226" i="6"/>
  <c r="Z226" i="6"/>
  <c r="Y226" i="6"/>
  <c r="X226" i="6"/>
  <c r="V226" i="6"/>
  <c r="W226" i="6" s="1"/>
  <c r="U226" i="6"/>
  <c r="T226" i="6"/>
  <c r="M226" i="6"/>
  <c r="H226" i="6"/>
  <c r="E226" i="6"/>
  <c r="AA225" i="6"/>
  <c r="Z225" i="6"/>
  <c r="Y225" i="6"/>
  <c r="X225" i="6"/>
  <c r="W225" i="6"/>
  <c r="V225" i="6"/>
  <c r="U225" i="6"/>
  <c r="T225" i="6"/>
  <c r="M225" i="6"/>
  <c r="H225" i="6"/>
  <c r="E225" i="6"/>
  <c r="AA224" i="6"/>
  <c r="Z224" i="6"/>
  <c r="Y224" i="6"/>
  <c r="X224" i="6"/>
  <c r="U224" i="6"/>
  <c r="T224" i="6"/>
  <c r="V224" i="6" s="1"/>
  <c r="W224" i="6" s="1"/>
  <c r="M224" i="6"/>
  <c r="H224" i="6"/>
  <c r="E224" i="6"/>
  <c r="AA223" i="6"/>
  <c r="Z223" i="6"/>
  <c r="Y223" i="6"/>
  <c r="X223" i="6"/>
  <c r="U223" i="6"/>
  <c r="T223" i="6"/>
  <c r="V223" i="6" s="1"/>
  <c r="M223" i="6"/>
  <c r="W223" i="6" s="1"/>
  <c r="H223" i="6"/>
  <c r="E223" i="6"/>
  <c r="AA222" i="6"/>
  <c r="Z222" i="6"/>
  <c r="Y222" i="6"/>
  <c r="X222" i="6"/>
  <c r="U222" i="6"/>
  <c r="T222" i="6"/>
  <c r="V222" i="6" s="1"/>
  <c r="M222" i="6"/>
  <c r="W222" i="6" s="1"/>
  <c r="H222" i="6"/>
  <c r="E222" i="6"/>
  <c r="AA221" i="6"/>
  <c r="Z221" i="6"/>
  <c r="Y221" i="6"/>
  <c r="X221" i="6"/>
  <c r="U221" i="6"/>
  <c r="T221" i="6"/>
  <c r="V221" i="6" s="1"/>
  <c r="W221" i="6" s="1"/>
  <c r="M221" i="6"/>
  <c r="H221" i="6"/>
  <c r="E221" i="6"/>
  <c r="AA220" i="6"/>
  <c r="Z220" i="6"/>
  <c r="Y220" i="6"/>
  <c r="X220" i="6"/>
  <c r="V220" i="6"/>
  <c r="W220" i="6" s="1"/>
  <c r="U220" i="6"/>
  <c r="T220" i="6"/>
  <c r="M220" i="6"/>
  <c r="H220" i="6"/>
  <c r="E220" i="6"/>
  <c r="AA219" i="6"/>
  <c r="Z219" i="6"/>
  <c r="Y219" i="6"/>
  <c r="X219" i="6"/>
  <c r="W219" i="6"/>
  <c r="V219" i="6"/>
  <c r="U219" i="6"/>
  <c r="T219" i="6"/>
  <c r="M219" i="6"/>
  <c r="H219" i="6"/>
  <c r="E219" i="6"/>
  <c r="AA218" i="6"/>
  <c r="Z218" i="6"/>
  <c r="Y218" i="6"/>
  <c r="X218" i="6"/>
  <c r="U218" i="6"/>
  <c r="T218" i="6"/>
  <c r="V218" i="6" s="1"/>
  <c r="W218" i="6" s="1"/>
  <c r="M218" i="6"/>
  <c r="H218" i="6"/>
  <c r="E218" i="6"/>
  <c r="AA217" i="6"/>
  <c r="Z217" i="6"/>
  <c r="Y217" i="6"/>
  <c r="X217" i="6"/>
  <c r="U217" i="6"/>
  <c r="T217" i="6"/>
  <c r="V217" i="6" s="1"/>
  <c r="M217" i="6"/>
  <c r="W217" i="6" s="1"/>
  <c r="H217" i="6"/>
  <c r="E217" i="6"/>
  <c r="AA216" i="6"/>
  <c r="Z216" i="6"/>
  <c r="Y216" i="6"/>
  <c r="X216" i="6"/>
  <c r="U216" i="6"/>
  <c r="T216" i="6"/>
  <c r="V216" i="6" s="1"/>
  <c r="M216" i="6"/>
  <c r="H216" i="6"/>
  <c r="E216" i="6"/>
  <c r="AA215" i="6"/>
  <c r="Z215" i="6"/>
  <c r="Y215" i="6"/>
  <c r="X215" i="6"/>
  <c r="U215" i="6"/>
  <c r="T215" i="6"/>
  <c r="V215" i="6" s="1"/>
  <c r="W215" i="6" s="1"/>
  <c r="M215" i="6"/>
  <c r="H215" i="6"/>
  <c r="E215" i="6"/>
  <c r="AA214" i="6"/>
  <c r="Z214" i="6"/>
  <c r="Y214" i="6"/>
  <c r="X214" i="6"/>
  <c r="V214" i="6"/>
  <c r="W214" i="6" s="1"/>
  <c r="U214" i="6"/>
  <c r="T214" i="6"/>
  <c r="M214" i="6"/>
  <c r="H214" i="6"/>
  <c r="E214" i="6"/>
  <c r="AA213" i="6"/>
  <c r="Z213" i="6"/>
  <c r="Y213" i="6"/>
  <c r="X213" i="6"/>
  <c r="W213" i="6"/>
  <c r="V213" i="6"/>
  <c r="U213" i="6"/>
  <c r="T213" i="6"/>
  <c r="M213" i="6"/>
  <c r="H213" i="6"/>
  <c r="E213" i="6"/>
  <c r="AA212" i="6"/>
  <c r="Z212" i="6"/>
  <c r="Y212" i="6"/>
  <c r="X212" i="6"/>
  <c r="U212" i="6"/>
  <c r="T212" i="6"/>
  <c r="V212" i="6" s="1"/>
  <c r="W212" i="6" s="1"/>
  <c r="M212" i="6"/>
  <c r="H212" i="6"/>
  <c r="E212" i="6"/>
  <c r="AA211" i="6"/>
  <c r="Z211" i="6"/>
  <c r="Y211" i="6"/>
  <c r="X211" i="6"/>
  <c r="U211" i="6"/>
  <c r="T211" i="6"/>
  <c r="V211" i="6" s="1"/>
  <c r="M211" i="6"/>
  <c r="H211" i="6"/>
  <c r="E211" i="6"/>
  <c r="AA210" i="6"/>
  <c r="Z210" i="6"/>
  <c r="Y210" i="6"/>
  <c r="X210" i="6"/>
  <c r="U210" i="6"/>
  <c r="T210" i="6"/>
  <c r="V210" i="6" s="1"/>
  <c r="M210" i="6"/>
  <c r="H210" i="6"/>
  <c r="E210" i="6"/>
  <c r="AA209" i="6"/>
  <c r="Z209" i="6"/>
  <c r="Y209" i="6"/>
  <c r="X209" i="6"/>
  <c r="W209" i="6"/>
  <c r="U209" i="6"/>
  <c r="T209" i="6"/>
  <c r="V209" i="6" s="1"/>
  <c r="M209" i="6"/>
  <c r="H209" i="6"/>
  <c r="E209" i="6"/>
  <c r="AA208" i="6"/>
  <c r="Z208" i="6"/>
  <c r="Y208" i="6"/>
  <c r="X208" i="6"/>
  <c r="V208" i="6"/>
  <c r="W208" i="6" s="1"/>
  <c r="U208" i="6"/>
  <c r="T208" i="6"/>
  <c r="M208" i="6"/>
  <c r="H208" i="6"/>
  <c r="E208" i="6"/>
  <c r="AA207" i="6"/>
  <c r="Z207" i="6"/>
  <c r="Y207" i="6"/>
  <c r="X207" i="6"/>
  <c r="W207" i="6"/>
  <c r="V207" i="6"/>
  <c r="U207" i="6"/>
  <c r="T207" i="6"/>
  <c r="M207" i="6"/>
  <c r="H207" i="6"/>
  <c r="E207" i="6"/>
  <c r="AA206" i="6"/>
  <c r="Z206" i="6"/>
  <c r="Y206" i="6"/>
  <c r="X206" i="6"/>
  <c r="U206" i="6"/>
  <c r="T206" i="6"/>
  <c r="V206" i="6" s="1"/>
  <c r="W206" i="6" s="1"/>
  <c r="M206" i="6"/>
  <c r="H206" i="6"/>
  <c r="E206" i="6"/>
  <c r="AA205" i="6"/>
  <c r="Z205" i="6"/>
  <c r="Y205" i="6"/>
  <c r="X205" i="6"/>
  <c r="U205" i="6"/>
  <c r="T205" i="6"/>
  <c r="V205" i="6" s="1"/>
  <c r="M205" i="6"/>
  <c r="W205" i="6" s="1"/>
  <c r="H205" i="6"/>
  <c r="E205" i="6"/>
  <c r="AA204" i="6"/>
  <c r="Z204" i="6"/>
  <c r="Y204" i="6"/>
  <c r="X204" i="6"/>
  <c r="U204" i="6"/>
  <c r="T204" i="6"/>
  <c r="V204" i="6" s="1"/>
  <c r="M204" i="6"/>
  <c r="W204" i="6" s="1"/>
  <c r="H204" i="6"/>
  <c r="E204" i="6"/>
  <c r="AA203" i="6"/>
  <c r="Z203" i="6"/>
  <c r="Y203" i="6"/>
  <c r="X203" i="6"/>
  <c r="U203" i="6"/>
  <c r="T203" i="6"/>
  <c r="V203" i="6" s="1"/>
  <c r="W203" i="6" s="1"/>
  <c r="M203" i="6"/>
  <c r="H203" i="6"/>
  <c r="E203" i="6"/>
  <c r="AA202" i="6"/>
  <c r="Z202" i="6"/>
  <c r="Y202" i="6"/>
  <c r="X202" i="6"/>
  <c r="V202" i="6"/>
  <c r="W202" i="6" s="1"/>
  <c r="U202" i="6"/>
  <c r="T202" i="6"/>
  <c r="M202" i="6"/>
  <c r="H202" i="6"/>
  <c r="E202" i="6"/>
  <c r="AA201" i="6"/>
  <c r="Z201" i="6"/>
  <c r="Y201" i="6"/>
  <c r="X201" i="6"/>
  <c r="W201" i="6"/>
  <c r="V201" i="6"/>
  <c r="U201" i="6"/>
  <c r="T201" i="6"/>
  <c r="M201" i="6"/>
  <c r="H201" i="6"/>
  <c r="E201" i="6"/>
  <c r="AA200" i="6"/>
  <c r="Z200" i="6"/>
  <c r="Y200" i="6"/>
  <c r="X200" i="6"/>
  <c r="U200" i="6"/>
  <c r="T200" i="6"/>
  <c r="V200" i="6" s="1"/>
  <c r="W200" i="6" s="1"/>
  <c r="M200" i="6"/>
  <c r="H200" i="6"/>
  <c r="E200" i="6"/>
  <c r="AA199" i="6"/>
  <c r="Z199" i="6"/>
  <c r="Y199" i="6"/>
  <c r="X199" i="6"/>
  <c r="U199" i="6"/>
  <c r="T199" i="6"/>
  <c r="V199" i="6" s="1"/>
  <c r="M199" i="6"/>
  <c r="W199" i="6" s="1"/>
  <c r="H199" i="6"/>
  <c r="E199" i="6"/>
  <c r="Z198" i="6"/>
  <c r="Y198" i="6"/>
  <c r="X198" i="6"/>
  <c r="U198" i="6"/>
  <c r="M198" i="6"/>
  <c r="K198" i="6"/>
  <c r="E198" i="6"/>
  <c r="AA197" i="6"/>
  <c r="Z197" i="6"/>
  <c r="Y197" i="6"/>
  <c r="X197" i="6"/>
  <c r="U197" i="6"/>
  <c r="T197" i="6"/>
  <c r="V197" i="6" s="1"/>
  <c r="M197" i="6"/>
  <c r="H197" i="6"/>
  <c r="E197" i="6"/>
  <c r="AA196" i="6"/>
  <c r="Z196" i="6"/>
  <c r="Y196" i="6"/>
  <c r="X196" i="6"/>
  <c r="W196" i="6"/>
  <c r="U196" i="6"/>
  <c r="T196" i="6"/>
  <c r="V196" i="6" s="1"/>
  <c r="M196" i="6"/>
  <c r="H196" i="6"/>
  <c r="E196" i="6"/>
  <c r="AA195" i="6"/>
  <c r="Z195" i="6"/>
  <c r="Y195" i="6"/>
  <c r="X195" i="6"/>
  <c r="V195" i="6"/>
  <c r="W195" i="6" s="1"/>
  <c r="U195" i="6"/>
  <c r="T195" i="6"/>
  <c r="M195" i="6"/>
  <c r="H195" i="6"/>
  <c r="E195" i="6"/>
  <c r="AA194" i="6"/>
  <c r="Z194" i="6"/>
  <c r="Y194" i="6"/>
  <c r="X194" i="6"/>
  <c r="W194" i="6"/>
  <c r="V194" i="6"/>
  <c r="U194" i="6"/>
  <c r="T194" i="6"/>
  <c r="M194" i="6"/>
  <c r="H194" i="6"/>
  <c r="E194" i="6"/>
  <c r="AA193" i="6"/>
  <c r="Z193" i="6"/>
  <c r="Y193" i="6"/>
  <c r="X193" i="6"/>
  <c r="U193" i="6"/>
  <c r="T193" i="6"/>
  <c r="V193" i="6" s="1"/>
  <c r="W193" i="6" s="1"/>
  <c r="M193" i="6"/>
  <c r="H193" i="6"/>
  <c r="E193" i="6"/>
  <c r="AA192" i="6"/>
  <c r="Z192" i="6"/>
  <c r="Y192" i="6"/>
  <c r="X192" i="6"/>
  <c r="U192" i="6"/>
  <c r="T192" i="6"/>
  <c r="V192" i="6" s="1"/>
  <c r="M192" i="6"/>
  <c r="W192" i="6" s="1"/>
  <c r="H192" i="6"/>
  <c r="E192" i="6"/>
  <c r="AA191" i="6"/>
  <c r="Z191" i="6"/>
  <c r="Y191" i="6"/>
  <c r="X191" i="6"/>
  <c r="U191" i="6"/>
  <c r="T191" i="6"/>
  <c r="V191" i="6" s="1"/>
  <c r="M191" i="6"/>
  <c r="W191" i="6" s="1"/>
  <c r="H191" i="6"/>
  <c r="E191" i="6"/>
  <c r="AA190" i="6"/>
  <c r="Z190" i="6"/>
  <c r="Y190" i="6"/>
  <c r="X190" i="6"/>
  <c r="W190" i="6"/>
  <c r="U190" i="6"/>
  <c r="T190" i="6"/>
  <c r="V190" i="6" s="1"/>
  <c r="M190" i="6"/>
  <c r="H190" i="6"/>
  <c r="E190" i="6"/>
  <c r="AA189" i="6"/>
  <c r="Z189" i="6"/>
  <c r="Y189" i="6"/>
  <c r="X189" i="6"/>
  <c r="V189" i="6"/>
  <c r="W189" i="6" s="1"/>
  <c r="U189" i="6"/>
  <c r="T189" i="6"/>
  <c r="M189" i="6"/>
  <c r="H189" i="6"/>
  <c r="E189" i="6"/>
  <c r="AA188" i="6"/>
  <c r="Z188" i="6"/>
  <c r="Y188" i="6"/>
  <c r="X188" i="6"/>
  <c r="W188" i="6"/>
  <c r="V188" i="6"/>
  <c r="U188" i="6"/>
  <c r="T188" i="6"/>
  <c r="M188" i="6"/>
  <c r="H188" i="6"/>
  <c r="E188" i="6"/>
  <c r="AA187" i="6"/>
  <c r="Z187" i="6"/>
  <c r="Y187" i="6"/>
  <c r="X187" i="6"/>
  <c r="U187" i="6"/>
  <c r="T187" i="6"/>
  <c r="V187" i="6" s="1"/>
  <c r="W187" i="6" s="1"/>
  <c r="M187" i="6"/>
  <c r="H187" i="6"/>
  <c r="E187" i="6"/>
  <c r="AA186" i="6"/>
  <c r="Z186" i="6"/>
  <c r="Y186" i="6"/>
  <c r="X186" i="6"/>
  <c r="U186" i="6"/>
  <c r="T186" i="6"/>
  <c r="V186" i="6" s="1"/>
  <c r="M186" i="6"/>
  <c r="H186" i="6"/>
  <c r="E186" i="6"/>
  <c r="AA185" i="6"/>
  <c r="Z185" i="6"/>
  <c r="Y185" i="6"/>
  <c r="X185" i="6"/>
  <c r="U185" i="6"/>
  <c r="T185" i="6"/>
  <c r="V185" i="6" s="1"/>
  <c r="M185" i="6"/>
  <c r="W185" i="6" s="1"/>
  <c r="H185" i="6"/>
  <c r="E185" i="6"/>
  <c r="AA184" i="6"/>
  <c r="Z184" i="6"/>
  <c r="Y184" i="6"/>
  <c r="X184" i="6"/>
  <c r="U184" i="6"/>
  <c r="T184" i="6"/>
  <c r="V184" i="6" s="1"/>
  <c r="W184" i="6" s="1"/>
  <c r="M184" i="6"/>
  <c r="H184" i="6"/>
  <c r="E184" i="6"/>
  <c r="AA183" i="6"/>
  <c r="Z183" i="6"/>
  <c r="Y183" i="6"/>
  <c r="X183" i="6"/>
  <c r="V183" i="6"/>
  <c r="W183" i="6" s="1"/>
  <c r="U183" i="6"/>
  <c r="T183" i="6"/>
  <c r="M183" i="6"/>
  <c r="H183" i="6"/>
  <c r="E183" i="6"/>
  <c r="AA182" i="6"/>
  <c r="Z182" i="6"/>
  <c r="Y182" i="6"/>
  <c r="X182" i="6"/>
  <c r="W182" i="6"/>
  <c r="V182" i="6"/>
  <c r="U182" i="6"/>
  <c r="T182" i="6"/>
  <c r="M182" i="6"/>
  <c r="H182" i="6"/>
  <c r="E182" i="6"/>
  <c r="AA181" i="6"/>
  <c r="Z181" i="6"/>
  <c r="Y181" i="6"/>
  <c r="X181" i="6"/>
  <c r="U181" i="6"/>
  <c r="T181" i="6"/>
  <c r="V181" i="6" s="1"/>
  <c r="W181" i="6" s="1"/>
  <c r="M181" i="6"/>
  <c r="H181" i="6"/>
  <c r="E181" i="6"/>
  <c r="AA180" i="6"/>
  <c r="Z180" i="6"/>
  <c r="Y180" i="6"/>
  <c r="X180" i="6"/>
  <c r="U180" i="6"/>
  <c r="T180" i="6"/>
  <c r="V180" i="6" s="1"/>
  <c r="M180" i="6"/>
  <c r="H180" i="6"/>
  <c r="E180" i="6"/>
  <c r="AA179" i="6"/>
  <c r="Z179" i="6"/>
  <c r="Y179" i="6"/>
  <c r="X179" i="6"/>
  <c r="U179" i="6"/>
  <c r="T179" i="6"/>
  <c r="V179" i="6" s="1"/>
  <c r="M179" i="6"/>
  <c r="H179" i="6"/>
  <c r="E179" i="6"/>
  <c r="AA178" i="6"/>
  <c r="Z178" i="6"/>
  <c r="Y178" i="6"/>
  <c r="X178" i="6"/>
  <c r="W178" i="6"/>
  <c r="U178" i="6"/>
  <c r="T178" i="6"/>
  <c r="V178" i="6" s="1"/>
  <c r="M178" i="6"/>
  <c r="H178" i="6"/>
  <c r="E178" i="6"/>
  <c r="AA177" i="6"/>
  <c r="Z177" i="6"/>
  <c r="Y177" i="6"/>
  <c r="X177" i="6"/>
  <c r="V177" i="6"/>
  <c r="W177" i="6" s="1"/>
  <c r="U177" i="6"/>
  <c r="T177" i="6"/>
  <c r="M177" i="6"/>
  <c r="H177" i="6"/>
  <c r="E177" i="6"/>
  <c r="AA176" i="6"/>
  <c r="Z176" i="6"/>
  <c r="Y176" i="6"/>
  <c r="X176" i="6"/>
  <c r="W176" i="6"/>
  <c r="V176" i="6"/>
  <c r="U176" i="6"/>
  <c r="T176" i="6"/>
  <c r="M176" i="6"/>
  <c r="H176" i="6"/>
  <c r="E176" i="6"/>
  <c r="AA175" i="6"/>
  <c r="Z175" i="6"/>
  <c r="Y175" i="6"/>
  <c r="X175" i="6"/>
  <c r="U175" i="6"/>
  <c r="T175" i="6"/>
  <c r="V175" i="6" s="1"/>
  <c r="W175" i="6" s="1"/>
  <c r="M175" i="6"/>
  <c r="H175" i="6"/>
  <c r="E175" i="6"/>
  <c r="AA174" i="6"/>
  <c r="Z174" i="6"/>
  <c r="Y174" i="6"/>
  <c r="X174" i="6"/>
  <c r="U174" i="6"/>
  <c r="T174" i="6"/>
  <c r="V174" i="6" s="1"/>
  <c r="M174" i="6"/>
  <c r="W174" i="6" s="1"/>
  <c r="H174" i="6"/>
  <c r="E174" i="6"/>
  <c r="AA173" i="6"/>
  <c r="Z173" i="6"/>
  <c r="Y173" i="6"/>
  <c r="X173" i="6"/>
  <c r="U173" i="6"/>
  <c r="T173" i="6"/>
  <c r="V173" i="6" s="1"/>
  <c r="M173" i="6"/>
  <c r="W173" i="6" s="1"/>
  <c r="H173" i="6"/>
  <c r="E173" i="6"/>
  <c r="AA172" i="6"/>
  <c r="Z172" i="6"/>
  <c r="Y172" i="6"/>
  <c r="X172" i="6"/>
  <c r="W172" i="6"/>
  <c r="U172" i="6"/>
  <c r="T172" i="6"/>
  <c r="V172" i="6" s="1"/>
  <c r="M172" i="6"/>
  <c r="H172" i="6"/>
  <c r="E172" i="6"/>
  <c r="AA171" i="6"/>
  <c r="Z171" i="6"/>
  <c r="Y171" i="6"/>
  <c r="X171" i="6"/>
  <c r="V171" i="6"/>
  <c r="W171" i="6" s="1"/>
  <c r="U171" i="6"/>
  <c r="T171" i="6"/>
  <c r="M171" i="6"/>
  <c r="H171" i="6"/>
  <c r="E171" i="6"/>
  <c r="AA170" i="6"/>
  <c r="Z170" i="6"/>
  <c r="Y170" i="6"/>
  <c r="X170" i="6"/>
  <c r="W170" i="6"/>
  <c r="V170" i="6"/>
  <c r="U170" i="6"/>
  <c r="T170" i="6"/>
  <c r="M170" i="6"/>
  <c r="H170" i="6"/>
  <c r="E170" i="6"/>
  <c r="AA169" i="6"/>
  <c r="Z169" i="6"/>
  <c r="Y169" i="6"/>
  <c r="X169" i="6"/>
  <c r="U169" i="6"/>
  <c r="T169" i="6"/>
  <c r="V169" i="6" s="1"/>
  <c r="W169" i="6" s="1"/>
  <c r="M169" i="6"/>
  <c r="H169" i="6"/>
  <c r="E169" i="6"/>
  <c r="AA168" i="6"/>
  <c r="Z168" i="6"/>
  <c r="Y168" i="6"/>
  <c r="X168" i="6"/>
  <c r="U168" i="6"/>
  <c r="T168" i="6"/>
  <c r="V168" i="6" s="1"/>
  <c r="W168" i="6" s="1"/>
  <c r="M168" i="6"/>
  <c r="H168" i="6"/>
  <c r="E168" i="6"/>
  <c r="Z167" i="6"/>
  <c r="Y167" i="6"/>
  <c r="X167" i="6"/>
  <c r="U167" i="6"/>
  <c r="T167" i="6"/>
  <c r="V167" i="6" s="1"/>
  <c r="S167" i="6"/>
  <c r="AA167" i="6" s="1"/>
  <c r="M167" i="6"/>
  <c r="W167" i="6" s="1"/>
  <c r="AA166" i="6"/>
  <c r="Z166" i="6"/>
  <c r="Y166" i="6"/>
  <c r="X166" i="6"/>
  <c r="V166" i="6"/>
  <c r="W166" i="6" s="1"/>
  <c r="U166" i="6"/>
  <c r="T166" i="6"/>
  <c r="M166" i="6"/>
  <c r="H166" i="6"/>
  <c r="E166" i="6"/>
  <c r="AA165" i="6"/>
  <c r="Z165" i="6"/>
  <c r="Y165" i="6"/>
  <c r="X165" i="6"/>
  <c r="W165" i="6"/>
  <c r="V165" i="6"/>
  <c r="U165" i="6"/>
  <c r="T165" i="6"/>
  <c r="M165" i="6"/>
  <c r="H165" i="6"/>
  <c r="E165" i="6"/>
  <c r="AA164" i="6"/>
  <c r="Z164" i="6"/>
  <c r="Y164" i="6"/>
  <c r="X164" i="6"/>
  <c r="U164" i="6"/>
  <c r="T164" i="6"/>
  <c r="V164" i="6" s="1"/>
  <c r="W164" i="6" s="1"/>
  <c r="M164" i="6"/>
  <c r="H164" i="6"/>
  <c r="E164" i="6"/>
  <c r="AA163" i="6"/>
  <c r="Z163" i="6"/>
  <c r="Y163" i="6"/>
  <c r="X163" i="6"/>
  <c r="U163" i="6"/>
  <c r="T163" i="6"/>
  <c r="V163" i="6" s="1"/>
  <c r="M163" i="6"/>
  <c r="H163" i="6"/>
  <c r="E163" i="6"/>
  <c r="AA162" i="6"/>
  <c r="Z162" i="6"/>
  <c r="Y162" i="6"/>
  <c r="X162" i="6"/>
  <c r="U162" i="6"/>
  <c r="T162" i="6"/>
  <c r="V162" i="6" s="1"/>
  <c r="M162" i="6"/>
  <c r="AA161" i="6"/>
  <c r="Z161" i="6"/>
  <c r="Y161" i="6"/>
  <c r="X161" i="6"/>
  <c r="W161" i="6"/>
  <c r="V161" i="6"/>
  <c r="U161" i="6"/>
  <c r="T161" i="6"/>
  <c r="S161" i="6"/>
  <c r="M161" i="6"/>
  <c r="J161" i="6"/>
  <c r="H161" i="6"/>
  <c r="AA160" i="6"/>
  <c r="Z160" i="6"/>
  <c r="Y160" i="6"/>
  <c r="X160" i="6"/>
  <c r="W160" i="6"/>
  <c r="V160" i="6"/>
  <c r="U160" i="6"/>
  <c r="T160" i="6"/>
  <c r="M160" i="6"/>
  <c r="H160" i="6"/>
  <c r="E160" i="6"/>
  <c r="AA159" i="6"/>
  <c r="Z159" i="6"/>
  <c r="Y159" i="6"/>
  <c r="X159" i="6"/>
  <c r="U159" i="6"/>
  <c r="T159" i="6"/>
  <c r="V159" i="6" s="1"/>
  <c r="W159" i="6" s="1"/>
  <c r="S159" i="6"/>
  <c r="M159" i="6"/>
  <c r="AA158" i="6"/>
  <c r="Z158" i="6"/>
  <c r="Y158" i="6"/>
  <c r="X158" i="6"/>
  <c r="U158" i="6"/>
  <c r="T158" i="6"/>
  <c r="V158" i="6" s="1"/>
  <c r="M158" i="6"/>
  <c r="W158" i="6" s="1"/>
  <c r="H158" i="6"/>
  <c r="E158" i="6"/>
  <c r="Z157" i="6"/>
  <c r="Y157" i="6"/>
  <c r="X157" i="6"/>
  <c r="U157" i="6"/>
  <c r="T157" i="6"/>
  <c r="V157" i="6" s="1"/>
  <c r="W157" i="6" s="1"/>
  <c r="S157" i="6"/>
  <c r="AA157" i="6" s="1"/>
  <c r="M157" i="6"/>
  <c r="AA156" i="6"/>
  <c r="Z156" i="6"/>
  <c r="Y156" i="6"/>
  <c r="X156" i="6"/>
  <c r="W156" i="6"/>
  <c r="V156" i="6"/>
  <c r="U156" i="6"/>
  <c r="T156" i="6"/>
  <c r="M156" i="6"/>
  <c r="H156" i="6"/>
  <c r="E156" i="6"/>
  <c r="AA155" i="6"/>
  <c r="Z155" i="6"/>
  <c r="Y155" i="6"/>
  <c r="X155" i="6"/>
  <c r="V155" i="6"/>
  <c r="W155" i="6" s="1"/>
  <c r="U155" i="6"/>
  <c r="T155" i="6"/>
  <c r="M155" i="6"/>
  <c r="H155" i="6"/>
  <c r="AA154" i="6"/>
  <c r="Z154" i="6"/>
  <c r="Y154" i="6"/>
  <c r="X154" i="6"/>
  <c r="U154" i="6"/>
  <c r="T154" i="6"/>
  <c r="V154" i="6" s="1"/>
  <c r="M154" i="6"/>
  <c r="H154" i="6"/>
  <c r="AA153" i="6"/>
  <c r="Z153" i="6"/>
  <c r="Y153" i="6"/>
  <c r="X153" i="6"/>
  <c r="V153" i="6"/>
  <c r="W153" i="6" s="1"/>
  <c r="U153" i="6"/>
  <c r="T153" i="6"/>
  <c r="M153" i="6"/>
  <c r="H153" i="6"/>
  <c r="AA152" i="6"/>
  <c r="Z152" i="6"/>
  <c r="Y152" i="6"/>
  <c r="X152" i="6"/>
  <c r="V152" i="6"/>
  <c r="W152" i="6" s="1"/>
  <c r="U152" i="6"/>
  <c r="T152" i="6"/>
  <c r="M152" i="6"/>
  <c r="H152" i="6"/>
  <c r="Z151" i="6"/>
  <c r="Y151" i="6"/>
  <c r="X151" i="6"/>
  <c r="U151" i="6"/>
  <c r="T151" i="6"/>
  <c r="V151" i="6" s="1"/>
  <c r="S151" i="6"/>
  <c r="AA151" i="6" s="1"/>
  <c r="M151" i="6"/>
  <c r="J151" i="6"/>
  <c r="H151" i="6"/>
  <c r="AA150" i="6"/>
  <c r="Z150" i="6"/>
  <c r="Y150" i="6"/>
  <c r="X150" i="6"/>
  <c r="U150" i="6"/>
  <c r="T150" i="6"/>
  <c r="V150" i="6" s="1"/>
  <c r="M150" i="6"/>
  <c r="H150" i="6"/>
  <c r="E150" i="6"/>
  <c r="AA149" i="6"/>
  <c r="Z149" i="6"/>
  <c r="Y149" i="6"/>
  <c r="X149" i="6"/>
  <c r="W149" i="6"/>
  <c r="U149" i="6"/>
  <c r="T149" i="6"/>
  <c r="V149" i="6" s="1"/>
  <c r="M149" i="6"/>
  <c r="H149" i="6"/>
  <c r="E149" i="6"/>
  <c r="Z148" i="6"/>
  <c r="Y148" i="6"/>
  <c r="X148" i="6"/>
  <c r="V148" i="6"/>
  <c r="W148" i="6" s="1"/>
  <c r="U148" i="6"/>
  <c r="T148" i="6"/>
  <c r="R148" i="6"/>
  <c r="AA148" i="6" s="1"/>
  <c r="M148" i="6"/>
  <c r="H148" i="6"/>
  <c r="E148" i="6"/>
  <c r="AA147" i="6"/>
  <c r="Z147" i="6"/>
  <c r="Y147" i="6"/>
  <c r="X147" i="6"/>
  <c r="V147" i="6"/>
  <c r="W147" i="6" s="1"/>
  <c r="U147" i="6"/>
  <c r="T147" i="6"/>
  <c r="M147" i="6"/>
  <c r="H147" i="6"/>
  <c r="AA146" i="6"/>
  <c r="Z146" i="6"/>
  <c r="Y146" i="6"/>
  <c r="X146" i="6"/>
  <c r="V146" i="6"/>
  <c r="W146" i="6" s="1"/>
  <c r="U146" i="6"/>
  <c r="T146" i="6"/>
  <c r="M146" i="6"/>
  <c r="H146" i="6"/>
  <c r="E146" i="6"/>
  <c r="AA145" i="6"/>
  <c r="Z145" i="6"/>
  <c r="Y145" i="6"/>
  <c r="X145" i="6"/>
  <c r="U145" i="6"/>
  <c r="T145" i="6"/>
  <c r="V145" i="6" s="1"/>
  <c r="W145" i="6" s="1"/>
  <c r="M145" i="6"/>
  <c r="H145" i="6"/>
  <c r="E145" i="6"/>
  <c r="AA144" i="6"/>
  <c r="Z144" i="6"/>
  <c r="Y144" i="6"/>
  <c r="X144" i="6"/>
  <c r="U144" i="6"/>
  <c r="T144" i="6"/>
  <c r="V144" i="6" s="1"/>
  <c r="W144" i="6" s="1"/>
  <c r="M144" i="6"/>
  <c r="H144" i="6"/>
  <c r="E144" i="6"/>
  <c r="AA143" i="6"/>
  <c r="Z143" i="6"/>
  <c r="Y143" i="6"/>
  <c r="X143" i="6"/>
  <c r="U143" i="6"/>
  <c r="T143" i="6"/>
  <c r="V143" i="6" s="1"/>
  <c r="W143" i="6" s="1"/>
  <c r="M143" i="6"/>
  <c r="H143" i="6"/>
  <c r="E143" i="6"/>
  <c r="AA142" i="6"/>
  <c r="Z142" i="6"/>
  <c r="Y142" i="6"/>
  <c r="X142" i="6"/>
  <c r="V142" i="6"/>
  <c r="W142" i="6" s="1"/>
  <c r="U142" i="6"/>
  <c r="T142" i="6"/>
  <c r="M142" i="6"/>
  <c r="H142" i="6"/>
  <c r="E142" i="6"/>
  <c r="AA141" i="6"/>
  <c r="Z141" i="6"/>
  <c r="Y141" i="6"/>
  <c r="X141" i="6"/>
  <c r="V141" i="6"/>
  <c r="W141" i="6" s="1"/>
  <c r="U141" i="6"/>
  <c r="T141" i="6"/>
  <c r="M141" i="6"/>
  <c r="AA140" i="6"/>
  <c r="Z140" i="6"/>
  <c r="Y140" i="6"/>
  <c r="X140" i="6"/>
  <c r="U140" i="6"/>
  <c r="T140" i="6"/>
  <c r="V140" i="6" s="1"/>
  <c r="M140" i="6"/>
  <c r="H140" i="6"/>
  <c r="E140" i="6"/>
  <c r="AA139" i="6"/>
  <c r="Z139" i="6"/>
  <c r="Y139" i="6"/>
  <c r="X139" i="6"/>
  <c r="U139" i="6"/>
  <c r="T139" i="6"/>
  <c r="V139" i="6" s="1"/>
  <c r="M139" i="6"/>
  <c r="W139" i="6" s="1"/>
  <c r="H139" i="6"/>
  <c r="E139" i="6"/>
  <c r="AA138" i="6"/>
  <c r="Z138" i="6"/>
  <c r="Y138" i="6"/>
  <c r="X138" i="6"/>
  <c r="W138" i="6"/>
  <c r="V138" i="6"/>
  <c r="U138" i="6"/>
  <c r="T138" i="6"/>
  <c r="M138" i="6"/>
  <c r="H138" i="6"/>
  <c r="AA137" i="6"/>
  <c r="Z137" i="6"/>
  <c r="Y137" i="6"/>
  <c r="X137" i="6"/>
  <c r="U137" i="6"/>
  <c r="T137" i="6"/>
  <c r="V137" i="6" s="1"/>
  <c r="W137" i="6" s="1"/>
  <c r="M137" i="6"/>
  <c r="H137" i="6"/>
  <c r="E137" i="6"/>
  <c r="AA136" i="6"/>
  <c r="Z136" i="6"/>
  <c r="Y136" i="6"/>
  <c r="X136" i="6"/>
  <c r="U136" i="6"/>
  <c r="T136" i="6"/>
  <c r="V136" i="6" s="1"/>
  <c r="M136" i="6"/>
  <c r="W136" i="6" s="1"/>
  <c r="H136" i="6"/>
  <c r="E136" i="6"/>
  <c r="AA135" i="6"/>
  <c r="Z135" i="6"/>
  <c r="Y135" i="6"/>
  <c r="X135" i="6"/>
  <c r="U135" i="6"/>
  <c r="T135" i="6"/>
  <c r="V135" i="6" s="1"/>
  <c r="M135" i="6"/>
  <c r="H135" i="6"/>
  <c r="E135" i="6"/>
  <c r="AA134" i="6"/>
  <c r="Z134" i="6"/>
  <c r="Y134" i="6"/>
  <c r="X134" i="6"/>
  <c r="U134" i="6"/>
  <c r="T134" i="6"/>
  <c r="V134" i="6" s="1"/>
  <c r="M134" i="6"/>
  <c r="W134" i="6" s="1"/>
  <c r="H134" i="6"/>
  <c r="E134" i="6"/>
  <c r="AA133" i="6"/>
  <c r="Z133" i="6"/>
  <c r="Y133" i="6"/>
  <c r="X133" i="6"/>
  <c r="W133" i="6"/>
  <c r="V133" i="6"/>
  <c r="U133" i="6"/>
  <c r="T133" i="6"/>
  <c r="M133" i="6"/>
  <c r="H133" i="6"/>
  <c r="E133" i="6"/>
  <c r="AA132" i="6"/>
  <c r="Z132" i="6"/>
  <c r="Y132" i="6"/>
  <c r="X132" i="6"/>
  <c r="V132" i="6"/>
  <c r="W132" i="6" s="1"/>
  <c r="U132" i="6"/>
  <c r="T132" i="6"/>
  <c r="M132" i="6"/>
  <c r="H132" i="6"/>
  <c r="AA131" i="6"/>
  <c r="Z131" i="6"/>
  <c r="Y131" i="6"/>
  <c r="X131" i="6"/>
  <c r="V131" i="6"/>
  <c r="U131" i="6"/>
  <c r="T131" i="6"/>
  <c r="M131" i="6"/>
  <c r="W131" i="6" s="1"/>
  <c r="H131" i="6"/>
  <c r="E131" i="6"/>
  <c r="AA130" i="6"/>
  <c r="Z130" i="6"/>
  <c r="Y130" i="6"/>
  <c r="X130" i="6"/>
  <c r="U130" i="6"/>
  <c r="T130" i="6"/>
  <c r="V130" i="6" s="1"/>
  <c r="M130" i="6"/>
  <c r="W130" i="6" s="1"/>
  <c r="H130" i="6"/>
  <c r="E130" i="6"/>
  <c r="AA129" i="6"/>
  <c r="Z129" i="6"/>
  <c r="Y129" i="6"/>
  <c r="X129" i="6"/>
  <c r="U129" i="6"/>
  <c r="T129" i="6"/>
  <c r="V129" i="6" s="1"/>
  <c r="W129" i="6" s="1"/>
  <c r="M129" i="6"/>
  <c r="H129" i="6"/>
  <c r="E129" i="6"/>
  <c r="Z128" i="6"/>
  <c r="Y128" i="6"/>
  <c r="X128" i="6"/>
  <c r="T128" i="6"/>
  <c r="S128" i="6"/>
  <c r="V128" i="6" s="1"/>
  <c r="R128" i="6"/>
  <c r="R561" i="6" s="1"/>
  <c r="M128" i="6"/>
  <c r="W128" i="6" s="1"/>
  <c r="I128" i="6"/>
  <c r="AA127" i="6"/>
  <c r="Z127" i="6"/>
  <c r="Y127" i="6"/>
  <c r="X127" i="6"/>
  <c r="W127" i="6"/>
  <c r="U127" i="6"/>
  <c r="T127" i="6"/>
  <c r="V127" i="6" s="1"/>
  <c r="M127" i="6"/>
  <c r="H127" i="6"/>
  <c r="AA126" i="6"/>
  <c r="Z126" i="6"/>
  <c r="Y126" i="6"/>
  <c r="X126" i="6"/>
  <c r="V126" i="6"/>
  <c r="W126" i="6" s="1"/>
  <c r="U126" i="6"/>
  <c r="T126" i="6"/>
  <c r="M126" i="6"/>
  <c r="AA125" i="6"/>
  <c r="Z125" i="6"/>
  <c r="Y125" i="6"/>
  <c r="X125" i="6"/>
  <c r="U125" i="6"/>
  <c r="T125" i="6"/>
  <c r="V125" i="6" s="1"/>
  <c r="W125" i="6" s="1"/>
  <c r="M125" i="6"/>
  <c r="H125" i="6"/>
  <c r="E125" i="6"/>
  <c r="AA124" i="6"/>
  <c r="Z124" i="6"/>
  <c r="Y124" i="6"/>
  <c r="X124" i="6"/>
  <c r="W124" i="6"/>
  <c r="U124" i="6"/>
  <c r="T124" i="6"/>
  <c r="V124" i="6" s="1"/>
  <c r="M124" i="6"/>
  <c r="H124" i="6"/>
  <c r="E124" i="6"/>
  <c r="AA123" i="6"/>
  <c r="Z123" i="6"/>
  <c r="Y123" i="6"/>
  <c r="X123" i="6"/>
  <c r="W123" i="6"/>
  <c r="V123" i="6"/>
  <c r="U123" i="6"/>
  <c r="T123" i="6"/>
  <c r="M123" i="6"/>
  <c r="H123" i="6"/>
  <c r="E123" i="6"/>
  <c r="AA122" i="6"/>
  <c r="Z122" i="6"/>
  <c r="Y122" i="6"/>
  <c r="X122" i="6"/>
  <c r="W122" i="6"/>
  <c r="V122" i="6"/>
  <c r="U122" i="6"/>
  <c r="T122" i="6"/>
  <c r="M122" i="6"/>
  <c r="H122" i="6"/>
  <c r="E122" i="6"/>
  <c r="AA121" i="6"/>
  <c r="Z121" i="6"/>
  <c r="Y121" i="6"/>
  <c r="X121" i="6"/>
  <c r="V121" i="6"/>
  <c r="U121" i="6"/>
  <c r="T121" i="6"/>
  <c r="M121" i="6"/>
  <c r="H121" i="6"/>
  <c r="E121" i="6"/>
  <c r="AA120" i="6"/>
  <c r="Z120" i="6"/>
  <c r="Y120" i="6"/>
  <c r="X120" i="6"/>
  <c r="U120" i="6"/>
  <c r="T120" i="6"/>
  <c r="V120" i="6" s="1"/>
  <c r="M120" i="6"/>
  <c r="H120" i="6"/>
  <c r="E120" i="6"/>
  <c r="AA119" i="6"/>
  <c r="Z119" i="6"/>
  <c r="Y119" i="6"/>
  <c r="X119" i="6"/>
  <c r="U119" i="6"/>
  <c r="T119" i="6"/>
  <c r="V119" i="6" s="1"/>
  <c r="M119" i="6"/>
  <c r="W119" i="6" s="1"/>
  <c r="H119" i="6"/>
  <c r="E119" i="6"/>
  <c r="AA118" i="6"/>
  <c r="Z118" i="6"/>
  <c r="Y118" i="6"/>
  <c r="X118" i="6"/>
  <c r="U118" i="6"/>
  <c r="T118" i="6"/>
  <c r="V118" i="6" s="1"/>
  <c r="W118" i="6" s="1"/>
  <c r="M118" i="6"/>
  <c r="H118" i="6"/>
  <c r="E118" i="6"/>
  <c r="AA117" i="6"/>
  <c r="Z117" i="6"/>
  <c r="Y117" i="6"/>
  <c r="X117" i="6"/>
  <c r="V117" i="6"/>
  <c r="U117" i="6"/>
  <c r="T117" i="6"/>
  <c r="M117" i="6"/>
  <c r="W117" i="6" s="1"/>
  <c r="H117" i="6"/>
  <c r="E117" i="6"/>
  <c r="AA116" i="6"/>
  <c r="Z116" i="6"/>
  <c r="Y116" i="6"/>
  <c r="X116" i="6"/>
  <c r="V116" i="6"/>
  <c r="W116" i="6" s="1"/>
  <c r="U116" i="6"/>
  <c r="T116" i="6"/>
  <c r="M116" i="6"/>
  <c r="H116" i="6"/>
  <c r="E116" i="6"/>
  <c r="AA115" i="6"/>
  <c r="Z115" i="6"/>
  <c r="Y115" i="6"/>
  <c r="X115" i="6"/>
  <c r="U115" i="6"/>
  <c r="T115" i="6"/>
  <c r="V115" i="6" s="1"/>
  <c r="W115" i="6" s="1"/>
  <c r="M115" i="6"/>
  <c r="H115" i="6"/>
  <c r="E115" i="6"/>
  <c r="AA114" i="6"/>
  <c r="Z114" i="6"/>
  <c r="Y114" i="6"/>
  <c r="X114" i="6"/>
  <c r="V114" i="6"/>
  <c r="U114" i="6"/>
  <c r="T114" i="6"/>
  <c r="M114" i="6"/>
  <c r="H114" i="6"/>
  <c r="E114" i="6"/>
  <c r="AA113" i="6"/>
  <c r="Z113" i="6"/>
  <c r="Y113" i="6"/>
  <c r="X113" i="6"/>
  <c r="U113" i="6"/>
  <c r="T113" i="6"/>
  <c r="V113" i="6" s="1"/>
  <c r="M113" i="6"/>
  <c r="W113" i="6" s="1"/>
  <c r="E113" i="6"/>
  <c r="AA112" i="6"/>
  <c r="Z112" i="6"/>
  <c r="Y112" i="6"/>
  <c r="X112" i="6"/>
  <c r="W112" i="6"/>
  <c r="V112" i="6"/>
  <c r="U112" i="6"/>
  <c r="T112" i="6"/>
  <c r="M112" i="6"/>
  <c r="H112" i="6"/>
  <c r="AA111" i="6"/>
  <c r="Z111" i="6"/>
  <c r="Y111" i="6"/>
  <c r="X111" i="6"/>
  <c r="U111" i="6"/>
  <c r="T111" i="6"/>
  <c r="V111" i="6" s="1"/>
  <c r="W111" i="6" s="1"/>
  <c r="M111" i="6"/>
  <c r="H111" i="6"/>
  <c r="AA110" i="6"/>
  <c r="Z110" i="6"/>
  <c r="Y110" i="6"/>
  <c r="X110" i="6"/>
  <c r="V110" i="6"/>
  <c r="U110" i="6"/>
  <c r="T110" i="6"/>
  <c r="M110" i="6"/>
  <c r="W110" i="6" s="1"/>
  <c r="H110" i="6"/>
  <c r="E110" i="6"/>
  <c r="AA109" i="6"/>
  <c r="Z109" i="6"/>
  <c r="Y109" i="6"/>
  <c r="X109" i="6"/>
  <c r="U109" i="6"/>
  <c r="T109" i="6"/>
  <c r="V109" i="6" s="1"/>
  <c r="W109" i="6" s="1"/>
  <c r="M109" i="6"/>
  <c r="H109" i="6"/>
  <c r="E109" i="6"/>
  <c r="AA108" i="6"/>
  <c r="Z108" i="6"/>
  <c r="Y108" i="6"/>
  <c r="X108" i="6"/>
  <c r="W108" i="6"/>
  <c r="V108" i="6"/>
  <c r="U108" i="6"/>
  <c r="T108" i="6"/>
  <c r="M108" i="6"/>
  <c r="H108" i="6"/>
  <c r="E108" i="6"/>
  <c r="AA107" i="6"/>
  <c r="Z107" i="6"/>
  <c r="Y107" i="6"/>
  <c r="X107" i="6"/>
  <c r="V107" i="6"/>
  <c r="U107" i="6"/>
  <c r="T107" i="6"/>
  <c r="M107" i="6"/>
  <c r="W107" i="6" s="1"/>
  <c r="H107" i="6"/>
  <c r="E107" i="6"/>
  <c r="AA106" i="6"/>
  <c r="Z106" i="6"/>
  <c r="Y106" i="6"/>
  <c r="X106" i="6"/>
  <c r="U106" i="6"/>
  <c r="T106" i="6"/>
  <c r="V106" i="6" s="1"/>
  <c r="W106" i="6" s="1"/>
  <c r="M106" i="6"/>
  <c r="H106" i="6"/>
  <c r="E106" i="6"/>
  <c r="AA105" i="6"/>
  <c r="Z105" i="6"/>
  <c r="Y105" i="6"/>
  <c r="X105" i="6"/>
  <c r="U105" i="6"/>
  <c r="T105" i="6"/>
  <c r="V105" i="6" s="1"/>
  <c r="M105" i="6"/>
  <c r="W105" i="6" s="1"/>
  <c r="H105" i="6"/>
  <c r="E105" i="6"/>
  <c r="AA104" i="6"/>
  <c r="Z104" i="6"/>
  <c r="Y104" i="6"/>
  <c r="X104" i="6"/>
  <c r="V104" i="6"/>
  <c r="U104" i="6"/>
  <c r="T104" i="6"/>
  <c r="M104" i="6"/>
  <c r="W104" i="6" s="1"/>
  <c r="H104" i="6"/>
  <c r="E104" i="6"/>
  <c r="AA103" i="6"/>
  <c r="Z103" i="6"/>
  <c r="Y103" i="6"/>
  <c r="X103" i="6"/>
  <c r="U103" i="6"/>
  <c r="T103" i="6"/>
  <c r="V103" i="6" s="1"/>
  <c r="W103" i="6" s="1"/>
  <c r="M103" i="6"/>
  <c r="H103" i="6"/>
  <c r="E103" i="6"/>
  <c r="AA102" i="6"/>
  <c r="Z102" i="6"/>
  <c r="Y102" i="6"/>
  <c r="X102" i="6"/>
  <c r="W102" i="6"/>
  <c r="V102" i="6"/>
  <c r="U102" i="6"/>
  <c r="T102" i="6"/>
  <c r="M102" i="6"/>
  <c r="H102" i="6"/>
  <c r="E102" i="6"/>
  <c r="AA101" i="6"/>
  <c r="Z101" i="6"/>
  <c r="Y101" i="6"/>
  <c r="X101" i="6"/>
  <c r="V101" i="6"/>
  <c r="U101" i="6"/>
  <c r="T101" i="6"/>
  <c r="M101" i="6"/>
  <c r="H101" i="6"/>
  <c r="AA100" i="6"/>
  <c r="Z100" i="6"/>
  <c r="Y100" i="6"/>
  <c r="X100" i="6"/>
  <c r="U100" i="6"/>
  <c r="T100" i="6"/>
  <c r="V100" i="6" s="1"/>
  <c r="M100" i="6"/>
  <c r="W100" i="6" s="1"/>
  <c r="H100" i="6"/>
  <c r="E100" i="6"/>
  <c r="AA99" i="6"/>
  <c r="Z99" i="6"/>
  <c r="Y99" i="6"/>
  <c r="X99" i="6"/>
  <c r="V99" i="6"/>
  <c r="U99" i="6"/>
  <c r="T99" i="6"/>
  <c r="M99" i="6"/>
  <c r="W99" i="6" s="1"/>
  <c r="H99" i="6"/>
  <c r="E99" i="6"/>
  <c r="AA98" i="6"/>
  <c r="Z98" i="6"/>
  <c r="Y98" i="6"/>
  <c r="X98" i="6"/>
  <c r="U98" i="6"/>
  <c r="T98" i="6"/>
  <c r="V98" i="6" s="1"/>
  <c r="W98" i="6" s="1"/>
  <c r="M98" i="6"/>
  <c r="H98" i="6"/>
  <c r="E98" i="6"/>
  <c r="AA97" i="6"/>
  <c r="Z97" i="6"/>
  <c r="Y97" i="6"/>
  <c r="X97" i="6"/>
  <c r="W97" i="6"/>
  <c r="V97" i="6"/>
  <c r="U97" i="6"/>
  <c r="T97" i="6"/>
  <c r="M97" i="6"/>
  <c r="H97" i="6"/>
  <c r="E97" i="6"/>
  <c r="AA96" i="6"/>
  <c r="Z96" i="6"/>
  <c r="Y96" i="6"/>
  <c r="X96" i="6"/>
  <c r="V96" i="6"/>
  <c r="W96" i="6" s="1"/>
  <c r="U96" i="6"/>
  <c r="T96" i="6"/>
  <c r="M96" i="6"/>
  <c r="H96" i="6"/>
  <c r="E96" i="6"/>
  <c r="AA95" i="6"/>
  <c r="Z95" i="6"/>
  <c r="Y95" i="6"/>
  <c r="X95" i="6"/>
  <c r="U95" i="6"/>
  <c r="T95" i="6"/>
  <c r="V95" i="6" s="1"/>
  <c r="W95" i="6" s="1"/>
  <c r="M95" i="6"/>
  <c r="AA94" i="6"/>
  <c r="Z94" i="6"/>
  <c r="Y94" i="6"/>
  <c r="X94" i="6"/>
  <c r="U94" i="6"/>
  <c r="T94" i="6"/>
  <c r="V94" i="6" s="1"/>
  <c r="W94" i="6" s="1"/>
  <c r="M94" i="6"/>
  <c r="H94" i="6"/>
  <c r="E94" i="6"/>
  <c r="AA93" i="6"/>
  <c r="Z93" i="6"/>
  <c r="Y93" i="6"/>
  <c r="X93" i="6"/>
  <c r="V93" i="6"/>
  <c r="U93" i="6"/>
  <c r="T93" i="6"/>
  <c r="M93" i="6"/>
  <c r="W93" i="6" s="1"/>
  <c r="H93" i="6"/>
  <c r="E93" i="6"/>
  <c r="AA92" i="6"/>
  <c r="Z92" i="6"/>
  <c r="Y92" i="6"/>
  <c r="X92" i="6"/>
  <c r="V92" i="6"/>
  <c r="W92" i="6" s="1"/>
  <c r="U92" i="6"/>
  <c r="T92" i="6"/>
  <c r="M92" i="6"/>
  <c r="H92" i="6"/>
  <c r="E92" i="6"/>
  <c r="AA91" i="6"/>
  <c r="Z91" i="6"/>
  <c r="Y91" i="6"/>
  <c r="X91" i="6"/>
  <c r="W91" i="6"/>
  <c r="U91" i="6"/>
  <c r="T91" i="6"/>
  <c r="V91" i="6" s="1"/>
  <c r="M91" i="6"/>
  <c r="H91" i="6"/>
  <c r="E91" i="6"/>
  <c r="AA90" i="6"/>
  <c r="Z90" i="6"/>
  <c r="Y90" i="6"/>
  <c r="X90" i="6"/>
  <c r="U90" i="6"/>
  <c r="T90" i="6"/>
  <c r="V90" i="6" s="1"/>
  <c r="M90" i="6"/>
  <c r="H90" i="6"/>
  <c r="E90" i="6"/>
  <c r="AA89" i="6"/>
  <c r="Z89" i="6"/>
  <c r="Y89" i="6"/>
  <c r="X89" i="6"/>
  <c r="V89" i="6"/>
  <c r="U89" i="6"/>
  <c r="T89" i="6"/>
  <c r="M89" i="6"/>
  <c r="W89" i="6" s="1"/>
  <c r="H89" i="6"/>
  <c r="E89" i="6"/>
  <c r="AA88" i="6"/>
  <c r="Z88" i="6"/>
  <c r="Y88" i="6"/>
  <c r="X88" i="6"/>
  <c r="U88" i="6"/>
  <c r="T88" i="6"/>
  <c r="V88" i="6" s="1"/>
  <c r="W88" i="6" s="1"/>
  <c r="M88" i="6"/>
  <c r="H88" i="6"/>
  <c r="E88" i="6"/>
  <c r="AA87" i="6"/>
  <c r="Z87" i="6"/>
  <c r="Y87" i="6"/>
  <c r="X87" i="6"/>
  <c r="V87" i="6"/>
  <c r="U87" i="6"/>
  <c r="T87" i="6"/>
  <c r="M87" i="6"/>
  <c r="W87" i="6" s="1"/>
  <c r="H87" i="6"/>
  <c r="E87" i="6"/>
  <c r="AA83" i="6"/>
  <c r="Z83" i="6"/>
  <c r="Y83" i="6"/>
  <c r="X83" i="6"/>
  <c r="U83" i="6"/>
  <c r="T83" i="6"/>
  <c r="V83" i="6" s="1"/>
  <c r="W83" i="6" s="1"/>
  <c r="M83" i="6"/>
  <c r="H83" i="6"/>
  <c r="E83" i="6"/>
  <c r="AA81" i="6"/>
  <c r="Z81" i="6"/>
  <c r="Y81" i="6"/>
  <c r="X81" i="6"/>
  <c r="W81" i="6"/>
  <c r="V81" i="6"/>
  <c r="U81" i="6"/>
  <c r="T81" i="6"/>
  <c r="M81" i="6"/>
  <c r="H81" i="6"/>
  <c r="E81" i="6"/>
  <c r="AA80" i="6"/>
  <c r="Z80" i="6"/>
  <c r="Y80" i="6"/>
  <c r="X80" i="6"/>
  <c r="V80" i="6"/>
  <c r="W80" i="6" s="1"/>
  <c r="U80" i="6"/>
  <c r="T80" i="6"/>
  <c r="M80" i="6"/>
  <c r="H80" i="6"/>
  <c r="E80" i="6"/>
  <c r="AA79" i="6"/>
  <c r="Z79" i="6"/>
  <c r="Y79" i="6"/>
  <c r="X79" i="6"/>
  <c r="U79" i="6"/>
  <c r="T79" i="6"/>
  <c r="V79" i="6" s="1"/>
  <c r="W79" i="6" s="1"/>
  <c r="M79" i="6"/>
  <c r="H79" i="6"/>
  <c r="E79" i="6"/>
  <c r="AA78" i="6"/>
  <c r="Z78" i="6"/>
  <c r="Y78" i="6"/>
  <c r="X78" i="6"/>
  <c r="V78" i="6"/>
  <c r="W78" i="6" s="1"/>
  <c r="U78" i="6"/>
  <c r="T78" i="6"/>
  <c r="M78" i="6"/>
  <c r="H78" i="6"/>
  <c r="E78" i="6"/>
  <c r="AA77" i="6"/>
  <c r="Z77" i="6"/>
  <c r="Y77" i="6"/>
  <c r="X77" i="6"/>
  <c r="V77" i="6"/>
  <c r="W77" i="6" s="1"/>
  <c r="U77" i="6"/>
  <c r="T77" i="6"/>
  <c r="M77" i="6"/>
  <c r="H77" i="6"/>
  <c r="E77" i="6"/>
  <c r="AA76" i="6"/>
  <c r="Z76" i="6"/>
  <c r="Y76" i="6"/>
  <c r="X76" i="6"/>
  <c r="U76" i="6"/>
  <c r="T76" i="6"/>
  <c r="V76" i="6" s="1"/>
  <c r="W76" i="6" s="1"/>
  <c r="M76" i="6"/>
  <c r="H76" i="6"/>
  <c r="E76" i="6"/>
  <c r="AA75" i="6"/>
  <c r="Z75" i="6"/>
  <c r="Y75" i="6"/>
  <c r="X75" i="6"/>
  <c r="V75" i="6"/>
  <c r="W75" i="6" s="1"/>
  <c r="U75" i="6"/>
  <c r="T75" i="6"/>
  <c r="M75" i="6"/>
  <c r="H75" i="6"/>
  <c r="E75" i="6"/>
  <c r="AA74" i="6"/>
  <c r="Z74" i="6"/>
  <c r="Y74" i="6"/>
  <c r="X74" i="6"/>
  <c r="V74" i="6"/>
  <c r="W74" i="6" s="1"/>
  <c r="U74" i="6"/>
  <c r="T74" i="6"/>
  <c r="M74" i="6"/>
  <c r="H74" i="6"/>
  <c r="E74" i="6"/>
  <c r="AA73" i="6"/>
  <c r="Z73" i="6"/>
  <c r="Y73" i="6"/>
  <c r="X73" i="6"/>
  <c r="U73" i="6"/>
  <c r="T73" i="6"/>
  <c r="V73" i="6" s="1"/>
  <c r="W73" i="6" s="1"/>
  <c r="M73" i="6"/>
  <c r="H73" i="6"/>
  <c r="E73" i="6"/>
  <c r="AA72" i="6"/>
  <c r="Z72" i="6"/>
  <c r="Y72" i="6"/>
  <c r="X72" i="6"/>
  <c r="V72" i="6"/>
  <c r="W72" i="6" s="1"/>
  <c r="U72" i="6"/>
  <c r="T72" i="6"/>
  <c r="M72" i="6"/>
  <c r="H72" i="6"/>
  <c r="E72" i="6"/>
  <c r="AA71" i="6"/>
  <c r="Z71" i="6"/>
  <c r="Y71" i="6"/>
  <c r="X71" i="6"/>
  <c r="V71" i="6"/>
  <c r="W71" i="6" s="1"/>
  <c r="U71" i="6"/>
  <c r="T71" i="6"/>
  <c r="M71" i="6"/>
  <c r="H71" i="6"/>
  <c r="E71" i="6"/>
  <c r="AA70" i="6"/>
  <c r="Z70" i="6"/>
  <c r="Y70" i="6"/>
  <c r="X70" i="6"/>
  <c r="U70" i="6"/>
  <c r="T70" i="6"/>
  <c r="V70" i="6" s="1"/>
  <c r="W70" i="6" s="1"/>
  <c r="M70" i="6"/>
  <c r="H70" i="6"/>
  <c r="E70" i="6"/>
  <c r="AA69" i="6"/>
  <c r="Z69" i="6"/>
  <c r="Y69" i="6"/>
  <c r="X69" i="6"/>
  <c r="W69" i="6"/>
  <c r="V69" i="6"/>
  <c r="U69" i="6"/>
  <c r="T69" i="6"/>
  <c r="M69" i="6"/>
  <c r="H69" i="6"/>
  <c r="E69" i="6"/>
  <c r="AA68" i="6"/>
  <c r="Z68" i="6"/>
  <c r="Y68" i="6"/>
  <c r="X68" i="6"/>
  <c r="V68" i="6"/>
  <c r="W68" i="6" s="1"/>
  <c r="U68" i="6"/>
  <c r="T68" i="6"/>
  <c r="M68" i="6"/>
  <c r="H68" i="6"/>
  <c r="E68" i="6"/>
  <c r="AA67" i="6"/>
  <c r="Z67" i="6"/>
  <c r="Y67" i="6"/>
  <c r="X67" i="6"/>
  <c r="U67" i="6"/>
  <c r="T67" i="6"/>
  <c r="V67" i="6" s="1"/>
  <c r="W67" i="6" s="1"/>
  <c r="M67" i="6"/>
  <c r="H67" i="6"/>
  <c r="E67" i="6"/>
  <c r="AA66" i="6"/>
  <c r="Z66" i="6"/>
  <c r="Y66" i="6"/>
  <c r="X66" i="6"/>
  <c r="U66" i="6"/>
  <c r="T66" i="6"/>
  <c r="V66" i="6" s="1"/>
  <c r="W66" i="6" s="1"/>
  <c r="M66" i="6"/>
  <c r="H66" i="6"/>
  <c r="E66" i="6"/>
  <c r="AA65" i="6"/>
  <c r="Z65" i="6"/>
  <c r="Y65" i="6"/>
  <c r="X65" i="6"/>
  <c r="V65" i="6"/>
  <c r="W65" i="6" s="1"/>
  <c r="U65" i="6"/>
  <c r="T65" i="6"/>
  <c r="M65" i="6"/>
  <c r="H65" i="6"/>
  <c r="E65" i="6"/>
  <c r="AA64" i="6"/>
  <c r="Z64" i="6"/>
  <c r="Y64" i="6"/>
  <c r="X64" i="6"/>
  <c r="U64" i="6"/>
  <c r="T64" i="6"/>
  <c r="V64" i="6" s="1"/>
  <c r="W64" i="6" s="1"/>
  <c r="M64" i="6"/>
  <c r="H64" i="6"/>
  <c r="E64" i="6"/>
  <c r="AA63" i="6"/>
  <c r="Z63" i="6"/>
  <c r="Y63" i="6"/>
  <c r="X63" i="6"/>
  <c r="V63" i="6"/>
  <c r="W63" i="6" s="1"/>
  <c r="U63" i="6"/>
  <c r="T63" i="6"/>
  <c r="S63" i="6"/>
  <c r="M63" i="6"/>
  <c r="H63" i="6"/>
  <c r="E63" i="6"/>
  <c r="AA62" i="6"/>
  <c r="Z62" i="6"/>
  <c r="Y62" i="6"/>
  <c r="X62" i="6"/>
  <c r="V62" i="6"/>
  <c r="W62" i="6" s="1"/>
  <c r="U62" i="6"/>
  <c r="T62" i="6"/>
  <c r="M62" i="6"/>
  <c r="H62" i="6"/>
  <c r="E62" i="6"/>
  <c r="AA61" i="6"/>
  <c r="Z61" i="6"/>
  <c r="Y61" i="6"/>
  <c r="X61" i="6"/>
  <c r="V61" i="6"/>
  <c r="W61" i="6" s="1"/>
  <c r="U61" i="6"/>
  <c r="T61" i="6"/>
  <c r="M61" i="6"/>
  <c r="H61" i="6"/>
  <c r="E61" i="6"/>
  <c r="AA60" i="6"/>
  <c r="Z60" i="6"/>
  <c r="Y60" i="6"/>
  <c r="X60" i="6"/>
  <c r="U60" i="6"/>
  <c r="T60" i="6"/>
  <c r="V60" i="6" s="1"/>
  <c r="W60" i="6" s="1"/>
  <c r="M60" i="6"/>
  <c r="H60" i="6"/>
  <c r="E60" i="6"/>
  <c r="AA59" i="6"/>
  <c r="Z59" i="6"/>
  <c r="Y59" i="6"/>
  <c r="X59" i="6"/>
  <c r="V59" i="6"/>
  <c r="W59" i="6" s="1"/>
  <c r="U59" i="6"/>
  <c r="T59" i="6"/>
  <c r="M59" i="6"/>
  <c r="H59" i="6"/>
  <c r="E59" i="6"/>
  <c r="AA58" i="6"/>
  <c r="Z58" i="6"/>
  <c r="Y58" i="6"/>
  <c r="X58" i="6"/>
  <c r="V58" i="6"/>
  <c r="W58" i="6" s="1"/>
  <c r="U58" i="6"/>
  <c r="T58" i="6"/>
  <c r="M58" i="6"/>
  <c r="H58" i="6"/>
  <c r="E58" i="6"/>
  <c r="AA57" i="6"/>
  <c r="Z57" i="6"/>
  <c r="Y57" i="6"/>
  <c r="X57" i="6"/>
  <c r="U57" i="6"/>
  <c r="T57" i="6"/>
  <c r="V57" i="6" s="1"/>
  <c r="W57" i="6" s="1"/>
  <c r="M57" i="6"/>
  <c r="H57" i="6"/>
  <c r="E57" i="6"/>
  <c r="Z56" i="6"/>
  <c r="Y56" i="6"/>
  <c r="X56" i="6"/>
  <c r="V56" i="6"/>
  <c r="W56" i="6" s="1"/>
  <c r="U56" i="6"/>
  <c r="T56" i="6"/>
  <c r="M56" i="6"/>
  <c r="H56" i="6"/>
  <c r="E56" i="6"/>
  <c r="AA55" i="6"/>
  <c r="Z55" i="6"/>
  <c r="Y55" i="6"/>
  <c r="X55" i="6"/>
  <c r="W55" i="6"/>
  <c r="U55" i="6"/>
  <c r="T55" i="6"/>
  <c r="V55" i="6" s="1"/>
  <c r="M55" i="6"/>
  <c r="H55" i="6"/>
  <c r="E55" i="6"/>
  <c r="AA54" i="6"/>
  <c r="Z54" i="6"/>
  <c r="Y54" i="6"/>
  <c r="X54" i="6"/>
  <c r="U54" i="6"/>
  <c r="T54" i="6"/>
  <c r="V54" i="6" s="1"/>
  <c r="W54" i="6" s="1"/>
  <c r="M54" i="6"/>
  <c r="K54" i="6"/>
  <c r="H54" i="6"/>
  <c r="E54" i="6"/>
  <c r="AA53" i="6"/>
  <c r="Z53" i="6"/>
  <c r="Y53" i="6"/>
  <c r="X53" i="6"/>
  <c r="V53" i="6"/>
  <c r="W53" i="6" s="1"/>
  <c r="U53" i="6"/>
  <c r="T53" i="6"/>
  <c r="M53" i="6"/>
  <c r="H53" i="6"/>
  <c r="E53" i="6"/>
  <c r="AA52" i="6"/>
  <c r="Z52" i="6"/>
  <c r="Y52" i="6"/>
  <c r="X52" i="6"/>
  <c r="V52" i="6"/>
  <c r="W52" i="6" s="1"/>
  <c r="U52" i="6"/>
  <c r="T52" i="6"/>
  <c r="M52" i="6"/>
  <c r="H52" i="6"/>
  <c r="E52" i="6"/>
  <c r="AA51" i="6"/>
  <c r="Z51" i="6"/>
  <c r="Y51" i="6"/>
  <c r="X51" i="6"/>
  <c r="U51" i="6"/>
  <c r="T51" i="6"/>
  <c r="V51" i="6" s="1"/>
  <c r="W51" i="6" s="1"/>
  <c r="M51" i="6"/>
  <c r="H51" i="6"/>
  <c r="E51" i="6"/>
  <c r="AA50" i="6"/>
  <c r="Z50" i="6"/>
  <c r="Y50" i="6"/>
  <c r="X50" i="6"/>
  <c r="W50" i="6"/>
  <c r="V50" i="6"/>
  <c r="T50" i="6"/>
  <c r="M50" i="6"/>
  <c r="J50" i="6"/>
  <c r="I50" i="6"/>
  <c r="U50" i="6" s="1"/>
  <c r="H50" i="6"/>
  <c r="E50" i="6"/>
  <c r="AA49" i="6"/>
  <c r="Z49" i="6"/>
  <c r="Y49" i="6"/>
  <c r="X49" i="6"/>
  <c r="W49" i="6"/>
  <c r="U49" i="6"/>
  <c r="T49" i="6"/>
  <c r="V49" i="6" s="1"/>
  <c r="M49" i="6"/>
  <c r="H49" i="6"/>
  <c r="E49" i="6"/>
  <c r="AA48" i="6"/>
  <c r="Z48" i="6"/>
  <c r="Y48" i="6"/>
  <c r="X48" i="6"/>
  <c r="W48" i="6"/>
  <c r="V48" i="6"/>
  <c r="U48" i="6"/>
  <c r="T48" i="6"/>
  <c r="M48" i="6"/>
  <c r="H48" i="6"/>
  <c r="E48" i="6"/>
  <c r="AA47" i="6"/>
  <c r="Z47" i="6"/>
  <c r="Y47" i="6"/>
  <c r="X47" i="6"/>
  <c r="V47" i="6"/>
  <c r="W47" i="6" s="1"/>
  <c r="U47" i="6"/>
  <c r="T47" i="6"/>
  <c r="M47" i="6"/>
  <c r="H47" i="6"/>
  <c r="E47" i="6"/>
  <c r="AA46" i="6"/>
  <c r="Z46" i="6"/>
  <c r="Y46" i="6"/>
  <c r="X46" i="6"/>
  <c r="U46" i="6"/>
  <c r="T46" i="6"/>
  <c r="V46" i="6" s="1"/>
  <c r="W46" i="6" s="1"/>
  <c r="M46" i="6"/>
  <c r="H46" i="6"/>
  <c r="E46" i="6"/>
  <c r="AA45" i="6"/>
  <c r="Z45" i="6"/>
  <c r="Y45" i="6"/>
  <c r="X45" i="6"/>
  <c r="U45" i="6"/>
  <c r="T45" i="6"/>
  <c r="V45" i="6" s="1"/>
  <c r="W45" i="6" s="1"/>
  <c r="M45" i="6"/>
  <c r="H45" i="6"/>
  <c r="E45" i="6"/>
  <c r="AA44" i="6"/>
  <c r="Z44" i="6"/>
  <c r="Y44" i="6"/>
  <c r="X44" i="6"/>
  <c r="V44" i="6"/>
  <c r="W44" i="6" s="1"/>
  <c r="U44" i="6"/>
  <c r="T44" i="6"/>
  <c r="M44" i="6"/>
  <c r="H44" i="6"/>
  <c r="E44" i="6"/>
  <c r="AA43" i="6"/>
  <c r="Z43" i="6"/>
  <c r="Y43" i="6"/>
  <c r="X43" i="6"/>
  <c r="U43" i="6"/>
  <c r="T43" i="6"/>
  <c r="V43" i="6" s="1"/>
  <c r="W43" i="6" s="1"/>
  <c r="M43" i="6"/>
  <c r="H43" i="6"/>
  <c r="E43" i="6"/>
  <c r="AA42" i="6"/>
  <c r="Z42" i="6"/>
  <c r="Y42" i="6"/>
  <c r="X42" i="6"/>
  <c r="V42" i="6"/>
  <c r="W42" i="6" s="1"/>
  <c r="U42" i="6"/>
  <c r="T42" i="6"/>
  <c r="M42" i="6"/>
  <c r="H42" i="6"/>
  <c r="E42" i="6"/>
  <c r="AA41" i="6"/>
  <c r="Z41" i="6"/>
  <c r="Y41" i="6"/>
  <c r="X41" i="6"/>
  <c r="V41" i="6"/>
  <c r="W41" i="6" s="1"/>
  <c r="U41" i="6"/>
  <c r="T41" i="6"/>
  <c r="M41" i="6"/>
  <c r="H41" i="6"/>
  <c r="E41" i="6"/>
  <c r="AA40" i="6"/>
  <c r="Z40" i="6"/>
  <c r="Y40" i="6"/>
  <c r="X40" i="6"/>
  <c r="U40" i="6"/>
  <c r="T40" i="6"/>
  <c r="V40" i="6" s="1"/>
  <c r="W40" i="6" s="1"/>
  <c r="M40" i="6"/>
  <c r="H40" i="6"/>
  <c r="E40" i="6"/>
  <c r="AA39" i="6"/>
  <c r="Z39" i="6"/>
  <c r="Y39" i="6"/>
  <c r="X39" i="6"/>
  <c r="V39" i="6"/>
  <c r="W39" i="6" s="1"/>
  <c r="U39" i="6"/>
  <c r="T39" i="6"/>
  <c r="M39" i="6"/>
  <c r="H39" i="6"/>
  <c r="E39" i="6"/>
  <c r="AA38" i="6"/>
  <c r="Z38" i="6"/>
  <c r="Y38" i="6"/>
  <c r="X38" i="6"/>
  <c r="V38" i="6"/>
  <c r="W38" i="6" s="1"/>
  <c r="U38" i="6"/>
  <c r="T38" i="6"/>
  <c r="M38" i="6"/>
  <c r="H38" i="6"/>
  <c r="E38" i="6"/>
  <c r="AA37" i="6"/>
  <c r="Z37" i="6"/>
  <c r="Y37" i="6"/>
  <c r="X37" i="6"/>
  <c r="U37" i="6"/>
  <c r="T37" i="6"/>
  <c r="V37" i="6" s="1"/>
  <c r="W37" i="6" s="1"/>
  <c r="M37" i="6"/>
  <c r="H37" i="6"/>
  <c r="E37" i="6"/>
  <c r="AA36" i="6"/>
  <c r="Z36" i="6"/>
  <c r="Y36" i="6"/>
  <c r="X36" i="6"/>
  <c r="W36" i="6"/>
  <c r="V36" i="6"/>
  <c r="U36" i="6"/>
  <c r="T36" i="6"/>
  <c r="M36" i="6"/>
  <c r="H36" i="6"/>
  <c r="E36" i="6"/>
  <c r="AA35" i="6"/>
  <c r="Z35" i="6"/>
  <c r="Y35" i="6"/>
  <c r="X35" i="6"/>
  <c r="V35" i="6"/>
  <c r="W35" i="6" s="1"/>
  <c r="U35" i="6"/>
  <c r="T35" i="6"/>
  <c r="M35" i="6"/>
  <c r="H35" i="6"/>
  <c r="E35" i="6"/>
  <c r="AA34" i="6"/>
  <c r="Z34" i="6"/>
  <c r="Y34" i="6"/>
  <c r="X34" i="6"/>
  <c r="W34" i="6"/>
  <c r="U34" i="6"/>
  <c r="T34" i="6"/>
  <c r="V34" i="6" s="1"/>
  <c r="M34" i="6"/>
  <c r="H34" i="6"/>
  <c r="E34" i="6"/>
  <c r="AA33" i="6"/>
  <c r="Z33" i="6"/>
  <c r="Y33" i="6"/>
  <c r="X33" i="6"/>
  <c r="U33" i="6"/>
  <c r="T33" i="6"/>
  <c r="V33" i="6" s="1"/>
  <c r="W33" i="6" s="1"/>
  <c r="M33" i="6"/>
  <c r="H33" i="6"/>
  <c r="E33" i="6"/>
  <c r="AA32" i="6"/>
  <c r="Z32" i="6"/>
  <c r="Y32" i="6"/>
  <c r="X32" i="6"/>
  <c r="V32" i="6"/>
  <c r="W32" i="6" s="1"/>
  <c r="T32" i="6"/>
  <c r="I32" i="6"/>
  <c r="H32" i="6" s="1"/>
  <c r="E32" i="6"/>
  <c r="AA31" i="6"/>
  <c r="Z31" i="6"/>
  <c r="Y31" i="6"/>
  <c r="X31" i="6"/>
  <c r="V31" i="6"/>
  <c r="W31" i="6" s="1"/>
  <c r="U31" i="6"/>
  <c r="T31" i="6"/>
  <c r="M31" i="6"/>
  <c r="J31" i="6"/>
  <c r="I31" i="6"/>
  <c r="H31" i="6"/>
  <c r="E31" i="6"/>
  <c r="AA30" i="6"/>
  <c r="Z30" i="6"/>
  <c r="Y30" i="6"/>
  <c r="X30" i="6"/>
  <c r="V30" i="6"/>
  <c r="W30" i="6" s="1"/>
  <c r="U30" i="6"/>
  <c r="T30" i="6"/>
  <c r="M30" i="6"/>
  <c r="H30" i="6"/>
  <c r="E30" i="6"/>
  <c r="AA29" i="6"/>
  <c r="Z29" i="6"/>
  <c r="Y29" i="6"/>
  <c r="X29" i="6"/>
  <c r="V29" i="6"/>
  <c r="W29" i="6" s="1"/>
  <c r="U29" i="6"/>
  <c r="T29" i="6"/>
  <c r="M29" i="6"/>
  <c r="H29" i="6"/>
  <c r="E29" i="6"/>
  <c r="AA28" i="6"/>
  <c r="Z28" i="6"/>
  <c r="Y28" i="6"/>
  <c r="X28" i="6"/>
  <c r="U28" i="6"/>
  <c r="T28" i="6"/>
  <c r="V28" i="6" s="1"/>
  <c r="W28" i="6" s="1"/>
  <c r="M28" i="6"/>
  <c r="H28" i="6"/>
  <c r="E28" i="6"/>
  <c r="AA27" i="6"/>
  <c r="Z27" i="6"/>
  <c r="Y27" i="6"/>
  <c r="X27" i="6"/>
  <c r="V27" i="6"/>
  <c r="W27" i="6" s="1"/>
  <c r="U27" i="6"/>
  <c r="T27" i="6"/>
  <c r="M27" i="6"/>
  <c r="H27" i="6"/>
  <c r="E27" i="6"/>
  <c r="AA26" i="6"/>
  <c r="Z26" i="6"/>
  <c r="Y26" i="6"/>
  <c r="X26" i="6"/>
  <c r="V26" i="6"/>
  <c r="W26" i="6" s="1"/>
  <c r="U26" i="6"/>
  <c r="T26" i="6"/>
  <c r="M26" i="6"/>
  <c r="H26" i="6"/>
  <c r="E26" i="6"/>
  <c r="AA25" i="6"/>
  <c r="Z25" i="6"/>
  <c r="Y25" i="6"/>
  <c r="X25" i="6"/>
  <c r="U25" i="6"/>
  <c r="T25" i="6"/>
  <c r="V25" i="6" s="1"/>
  <c r="W25" i="6" s="1"/>
  <c r="M25" i="6"/>
  <c r="H25" i="6"/>
  <c r="E25" i="6"/>
  <c r="AA24" i="6"/>
  <c r="Z24" i="6"/>
  <c r="Y24" i="6"/>
  <c r="X24" i="6"/>
  <c r="U24" i="6"/>
  <c r="T24" i="6"/>
  <c r="V24" i="6" s="1"/>
  <c r="W24" i="6" s="1"/>
  <c r="M24" i="6"/>
  <c r="H24" i="6"/>
  <c r="E24" i="6"/>
  <c r="AA23" i="6"/>
  <c r="Z23" i="6"/>
  <c r="Y23" i="6"/>
  <c r="X23" i="6"/>
  <c r="V23" i="6"/>
  <c r="W23" i="6" s="1"/>
  <c r="U23" i="6"/>
  <c r="T23" i="6"/>
  <c r="M23" i="6"/>
  <c r="H23" i="6"/>
  <c r="E23" i="6"/>
  <c r="AA22" i="6"/>
  <c r="Z22" i="6"/>
  <c r="Y22" i="6"/>
  <c r="X22" i="6"/>
  <c r="U22" i="6"/>
  <c r="T22" i="6"/>
  <c r="V22" i="6" s="1"/>
  <c r="W22" i="6" s="1"/>
  <c r="M22" i="6"/>
  <c r="H22" i="6"/>
  <c r="E22" i="6"/>
  <c r="AA21" i="6"/>
  <c r="Z21" i="6"/>
  <c r="Y21" i="6"/>
  <c r="X21" i="6"/>
  <c r="U21" i="6"/>
  <c r="T21" i="6"/>
  <c r="V21" i="6" s="1"/>
  <c r="W21" i="6" s="1"/>
  <c r="M21" i="6"/>
  <c r="H21" i="6"/>
  <c r="E21" i="6"/>
  <c r="AA20" i="6"/>
  <c r="Z20" i="6"/>
  <c r="Y20" i="6"/>
  <c r="X20" i="6"/>
  <c r="V20" i="6"/>
  <c r="W20" i="6" s="1"/>
  <c r="U20" i="6"/>
  <c r="T20" i="6"/>
  <c r="M20" i="6"/>
  <c r="H20" i="6"/>
  <c r="E20" i="6"/>
  <c r="AA19" i="6"/>
  <c r="Z19" i="6"/>
  <c r="Y19" i="6"/>
  <c r="X19" i="6"/>
  <c r="U19" i="6"/>
  <c r="T19" i="6"/>
  <c r="V19" i="6" s="1"/>
  <c r="W19" i="6" s="1"/>
  <c r="M19" i="6"/>
  <c r="H19" i="6"/>
  <c r="E19" i="6"/>
  <c r="AA18" i="6"/>
  <c r="Z18" i="6"/>
  <c r="Y18" i="6"/>
  <c r="X18" i="6"/>
  <c r="U18" i="6"/>
  <c r="T18" i="6"/>
  <c r="V18" i="6" s="1"/>
  <c r="W18" i="6" s="1"/>
  <c r="M18" i="6"/>
  <c r="H18" i="6"/>
  <c r="E18" i="6"/>
  <c r="AA17" i="6"/>
  <c r="Z17" i="6"/>
  <c r="Y17" i="6"/>
  <c r="X17" i="6"/>
  <c r="V17" i="6"/>
  <c r="W17" i="6" s="1"/>
  <c r="U17" i="6"/>
  <c r="T17" i="6"/>
  <c r="M17" i="6"/>
  <c r="H17" i="6"/>
  <c r="E17" i="6"/>
  <c r="AA16" i="6"/>
  <c r="Z16" i="6"/>
  <c r="Y16" i="6"/>
  <c r="X16" i="6"/>
  <c r="U16" i="6"/>
  <c r="M16" i="6"/>
  <c r="K16" i="6"/>
  <c r="T16" i="6" s="1"/>
  <c r="V16" i="6" s="1"/>
  <c r="W16" i="6" s="1"/>
  <c r="H16" i="6"/>
  <c r="E16" i="6"/>
  <c r="AA15" i="6"/>
  <c r="Z15" i="6"/>
  <c r="Y15" i="6"/>
  <c r="X15" i="6"/>
  <c r="U15" i="6"/>
  <c r="T15" i="6"/>
  <c r="V15" i="6" s="1"/>
  <c r="W15" i="6" s="1"/>
  <c r="M15" i="6"/>
  <c r="K15" i="6"/>
  <c r="H15" i="6" s="1"/>
  <c r="E15" i="6"/>
  <c r="AA14" i="6"/>
  <c r="Z14" i="6"/>
  <c r="Y14" i="6"/>
  <c r="X14" i="6"/>
  <c r="U14" i="6"/>
  <c r="T14" i="6"/>
  <c r="V14" i="6" s="1"/>
  <c r="W14" i="6" s="1"/>
  <c r="M14" i="6"/>
  <c r="K14" i="6"/>
  <c r="H14" i="6"/>
  <c r="E14" i="6"/>
  <c r="AA13" i="6"/>
  <c r="Z13" i="6"/>
  <c r="Y13" i="6"/>
  <c r="X13" i="6"/>
  <c r="U13" i="6"/>
  <c r="T13" i="6"/>
  <c r="V13" i="6" s="1"/>
  <c r="W13" i="6" s="1"/>
  <c r="M13" i="6"/>
  <c r="H13" i="6"/>
  <c r="E13" i="6"/>
  <c r="AA12" i="6"/>
  <c r="Z12" i="6"/>
  <c r="Y12" i="6"/>
  <c r="X12" i="6"/>
  <c r="U12" i="6"/>
  <c r="T12" i="6"/>
  <c r="V12" i="6" s="1"/>
  <c r="W12" i="6" s="1"/>
  <c r="M12" i="6"/>
  <c r="H12" i="6"/>
  <c r="E12" i="6"/>
  <c r="AA11" i="6"/>
  <c r="Z11" i="6"/>
  <c r="Y11" i="6"/>
  <c r="X11" i="6"/>
  <c r="V11" i="6"/>
  <c r="W11" i="6" s="1"/>
  <c r="U11" i="6"/>
  <c r="T11" i="6"/>
  <c r="M11" i="6"/>
  <c r="H11" i="6"/>
  <c r="E11" i="6"/>
  <c r="AA10" i="6"/>
  <c r="Z10" i="6"/>
  <c r="Y10" i="6"/>
  <c r="X10" i="6"/>
  <c r="U10" i="6"/>
  <c r="T10" i="6"/>
  <c r="V10" i="6" s="1"/>
  <c r="W10" i="6" s="1"/>
  <c r="M10" i="6"/>
  <c r="H10" i="6"/>
  <c r="E10" i="6"/>
  <c r="AA9" i="6"/>
  <c r="Z9" i="6"/>
  <c r="Y9" i="6"/>
  <c r="X9" i="6"/>
  <c r="U9" i="6"/>
  <c r="T9" i="6"/>
  <c r="V9" i="6" s="1"/>
  <c r="W9" i="6" s="1"/>
  <c r="M9" i="6"/>
  <c r="H9" i="6"/>
  <c r="E9" i="6"/>
  <c r="AA8" i="6"/>
  <c r="Z8" i="6"/>
  <c r="Y8" i="6"/>
  <c r="X8" i="6"/>
  <c r="V8" i="6"/>
  <c r="W8" i="6" s="1"/>
  <c r="U8" i="6"/>
  <c r="T8" i="6"/>
  <c r="M8" i="6"/>
  <c r="H8" i="6"/>
  <c r="E8" i="6"/>
  <c r="AA7" i="6"/>
  <c r="Z7" i="6"/>
  <c r="Y7" i="6"/>
  <c r="X7" i="6"/>
  <c r="U7" i="6"/>
  <c r="T7" i="6"/>
  <c r="V7" i="6" s="1"/>
  <c r="W7" i="6" s="1"/>
  <c r="M7" i="6"/>
  <c r="H7" i="6"/>
  <c r="E7" i="6"/>
  <c r="AA6" i="6"/>
  <c r="Z6" i="6"/>
  <c r="Y6" i="6"/>
  <c r="X6" i="6"/>
  <c r="U6" i="6"/>
  <c r="T6" i="6"/>
  <c r="V6" i="6" s="1"/>
  <c r="W6" i="6" s="1"/>
  <c r="M6" i="6"/>
  <c r="H6" i="6"/>
  <c r="E6" i="6"/>
  <c r="AA5" i="6"/>
  <c r="Z5" i="6"/>
  <c r="Y5" i="6"/>
  <c r="X5" i="6"/>
  <c r="V5" i="6"/>
  <c r="W5" i="6" s="1"/>
  <c r="U5" i="6"/>
  <c r="T5" i="6"/>
  <c r="M5" i="6"/>
  <c r="H5" i="6"/>
  <c r="E5" i="6"/>
  <c r="AA4" i="6"/>
  <c r="Z4" i="6"/>
  <c r="Y4" i="6"/>
  <c r="X4" i="6"/>
  <c r="W4" i="6"/>
  <c r="U4" i="6"/>
  <c r="T4" i="6"/>
  <c r="V4" i="6" s="1"/>
  <c r="S4" i="6"/>
  <c r="M4" i="6"/>
  <c r="H4" i="6"/>
  <c r="E4" i="6"/>
  <c r="AA3" i="6"/>
  <c r="Z3" i="6"/>
  <c r="Y3" i="6"/>
  <c r="X3" i="6"/>
  <c r="U3" i="6"/>
  <c r="T3" i="6"/>
  <c r="V3" i="6" s="1"/>
  <c r="W3" i="6" s="1"/>
  <c r="M3" i="6"/>
  <c r="H3" i="6"/>
  <c r="E3" i="6"/>
  <c r="AA2" i="6"/>
  <c r="Z2" i="6"/>
  <c r="Y2" i="6"/>
  <c r="X2" i="6"/>
  <c r="U2" i="6"/>
  <c r="T2" i="6"/>
  <c r="V2" i="6" s="1"/>
  <c r="W2" i="6" s="1"/>
  <c r="S2" i="6"/>
  <c r="M2" i="6"/>
  <c r="H2" i="6"/>
  <c r="E2" i="6"/>
  <c r="E337" i="5"/>
  <c r="U328" i="5"/>
  <c r="U327" i="5" s="1"/>
  <c r="O323" i="5"/>
  <c r="N323" i="5"/>
  <c r="K323" i="5"/>
  <c r="M323" i="5" s="1"/>
  <c r="J323" i="5"/>
  <c r="P323" i="5" s="1"/>
  <c r="G323" i="5"/>
  <c r="L323" i="5" s="1"/>
  <c r="P321" i="5"/>
  <c r="N321" i="5"/>
  <c r="O321" i="5" s="1"/>
  <c r="M321" i="5"/>
  <c r="K321" i="5"/>
  <c r="V321" i="5" s="1"/>
  <c r="J321" i="5"/>
  <c r="G321" i="5"/>
  <c r="L321" i="5" s="1"/>
  <c r="R321" i="5" s="1"/>
  <c r="P320" i="5"/>
  <c r="L320" i="5"/>
  <c r="R320" i="5" s="1"/>
  <c r="K320" i="5"/>
  <c r="V320" i="5" s="1"/>
  <c r="J320" i="5"/>
  <c r="G320" i="5"/>
  <c r="N320" i="5" s="1"/>
  <c r="O320" i="5" s="1"/>
  <c r="L319" i="5"/>
  <c r="R319" i="5" s="1"/>
  <c r="K319" i="5"/>
  <c r="V319" i="5" s="1"/>
  <c r="J319" i="5"/>
  <c r="P319" i="5" s="1"/>
  <c r="G319" i="5"/>
  <c r="N319" i="5" s="1"/>
  <c r="O319" i="5" s="1"/>
  <c r="P318" i="5"/>
  <c r="N318" i="5"/>
  <c r="O318" i="5" s="1"/>
  <c r="M318" i="5"/>
  <c r="K318" i="5"/>
  <c r="V318" i="5" s="1"/>
  <c r="J318" i="5"/>
  <c r="G318" i="5"/>
  <c r="L318" i="5" s="1"/>
  <c r="R318" i="5" s="1"/>
  <c r="P317" i="5"/>
  <c r="L317" i="5"/>
  <c r="R317" i="5" s="1"/>
  <c r="K317" i="5"/>
  <c r="V317" i="5" s="1"/>
  <c r="J317" i="5"/>
  <c r="G317" i="5"/>
  <c r="N317" i="5" s="1"/>
  <c r="O317" i="5" s="1"/>
  <c r="L316" i="5"/>
  <c r="K316" i="5"/>
  <c r="V316" i="5" s="1"/>
  <c r="J316" i="5"/>
  <c r="P316" i="5" s="1"/>
  <c r="G316" i="5"/>
  <c r="N316" i="5" s="1"/>
  <c r="O316" i="5" s="1"/>
  <c r="P315" i="5"/>
  <c r="N315" i="5"/>
  <c r="O315" i="5" s="1"/>
  <c r="M315" i="5"/>
  <c r="K315" i="5"/>
  <c r="V315" i="5" s="1"/>
  <c r="J315" i="5"/>
  <c r="G315" i="5"/>
  <c r="L315" i="5" s="1"/>
  <c r="R315" i="5" s="1"/>
  <c r="P314" i="5"/>
  <c r="L314" i="5"/>
  <c r="K314" i="5"/>
  <c r="V314" i="5" s="1"/>
  <c r="J314" i="5"/>
  <c r="G314" i="5"/>
  <c r="N314" i="5" s="1"/>
  <c r="O314" i="5" s="1"/>
  <c r="L313" i="5"/>
  <c r="K313" i="5"/>
  <c r="V313" i="5" s="1"/>
  <c r="J313" i="5"/>
  <c r="P313" i="5" s="1"/>
  <c r="G313" i="5"/>
  <c r="N313" i="5" s="1"/>
  <c r="O313" i="5" s="1"/>
  <c r="P312" i="5"/>
  <c r="N312" i="5"/>
  <c r="O312" i="5" s="1"/>
  <c r="M312" i="5"/>
  <c r="K312" i="5"/>
  <c r="V312" i="5" s="1"/>
  <c r="J312" i="5"/>
  <c r="G312" i="5"/>
  <c r="L312" i="5" s="1"/>
  <c r="R312" i="5" s="1"/>
  <c r="P311" i="5"/>
  <c r="L311" i="5"/>
  <c r="K311" i="5"/>
  <c r="V311" i="5" s="1"/>
  <c r="J311" i="5"/>
  <c r="G311" i="5"/>
  <c r="N311" i="5" s="1"/>
  <c r="O311" i="5" s="1"/>
  <c r="L310" i="5"/>
  <c r="K310" i="5"/>
  <c r="V310" i="5" s="1"/>
  <c r="J310" i="5"/>
  <c r="P310" i="5" s="1"/>
  <c r="G310" i="5"/>
  <c r="N310" i="5" s="1"/>
  <c r="O310" i="5" s="1"/>
  <c r="P309" i="5"/>
  <c r="N309" i="5"/>
  <c r="O309" i="5" s="1"/>
  <c r="M309" i="5"/>
  <c r="K309" i="5"/>
  <c r="V309" i="5" s="1"/>
  <c r="J309" i="5"/>
  <c r="G309" i="5"/>
  <c r="L309" i="5" s="1"/>
  <c r="R309" i="5" s="1"/>
  <c r="P308" i="5"/>
  <c r="L308" i="5"/>
  <c r="K308" i="5"/>
  <c r="V308" i="5" s="1"/>
  <c r="J308" i="5"/>
  <c r="G308" i="5"/>
  <c r="N308" i="5" s="1"/>
  <c r="O308" i="5" s="1"/>
  <c r="L307" i="5"/>
  <c r="K307" i="5"/>
  <c r="V307" i="5" s="1"/>
  <c r="J307" i="5"/>
  <c r="P307" i="5" s="1"/>
  <c r="G307" i="5"/>
  <c r="N307" i="5" s="1"/>
  <c r="O307" i="5" s="1"/>
  <c r="P306" i="5"/>
  <c r="M306" i="5"/>
  <c r="K306" i="5"/>
  <c r="V306" i="5" s="1"/>
  <c r="J306" i="5"/>
  <c r="G306" i="5"/>
  <c r="L306" i="5" s="1"/>
  <c r="R306" i="5" s="1"/>
  <c r="L305" i="5"/>
  <c r="K305" i="5"/>
  <c r="V305" i="5" s="1"/>
  <c r="J305" i="5"/>
  <c r="G305" i="5"/>
  <c r="N305" i="5" s="1"/>
  <c r="O305" i="5" s="1"/>
  <c r="L304" i="5"/>
  <c r="K304" i="5"/>
  <c r="V304" i="5" s="1"/>
  <c r="J304" i="5"/>
  <c r="G304" i="5"/>
  <c r="N304" i="5" s="1"/>
  <c r="O304" i="5" s="1"/>
  <c r="M303" i="5"/>
  <c r="K303" i="5"/>
  <c r="V303" i="5" s="1"/>
  <c r="J303" i="5"/>
  <c r="G303" i="5"/>
  <c r="L303" i="5" s="1"/>
  <c r="R303" i="5" s="1"/>
  <c r="L302" i="5"/>
  <c r="K302" i="5"/>
  <c r="V302" i="5" s="1"/>
  <c r="J302" i="5"/>
  <c r="G302" i="5"/>
  <c r="N302" i="5" s="1"/>
  <c r="O302" i="5" s="1"/>
  <c r="L301" i="5"/>
  <c r="K301" i="5"/>
  <c r="J301" i="5"/>
  <c r="G301" i="5"/>
  <c r="N301" i="5" s="1"/>
  <c r="O301" i="5" s="1"/>
  <c r="K300" i="5"/>
  <c r="V300" i="5" s="1"/>
  <c r="J300" i="5"/>
  <c r="G300" i="5"/>
  <c r="L300" i="5" s="1"/>
  <c r="R300" i="5" s="1"/>
  <c r="L299" i="5"/>
  <c r="R299" i="5" s="1"/>
  <c r="K299" i="5"/>
  <c r="J299" i="5"/>
  <c r="G299" i="5"/>
  <c r="N299" i="5" s="1"/>
  <c r="O299" i="5" s="1"/>
  <c r="L298" i="5"/>
  <c r="R298" i="5" s="1"/>
  <c r="K298" i="5"/>
  <c r="J298" i="5"/>
  <c r="G298" i="5"/>
  <c r="N298" i="5" s="1"/>
  <c r="O298" i="5" s="1"/>
  <c r="K297" i="5"/>
  <c r="V297" i="5" s="1"/>
  <c r="J297" i="5"/>
  <c r="G297" i="5"/>
  <c r="L297" i="5" s="1"/>
  <c r="R297" i="5" s="1"/>
  <c r="L296" i="5"/>
  <c r="R296" i="5" s="1"/>
  <c r="K296" i="5"/>
  <c r="J296" i="5"/>
  <c r="G296" i="5"/>
  <c r="N296" i="5" s="1"/>
  <c r="O296" i="5" s="1"/>
  <c r="L295" i="5"/>
  <c r="R295" i="5" s="1"/>
  <c r="K295" i="5"/>
  <c r="J295" i="5"/>
  <c r="G295" i="5"/>
  <c r="N295" i="5" s="1"/>
  <c r="O295" i="5" s="1"/>
  <c r="K294" i="5"/>
  <c r="V294" i="5" s="1"/>
  <c r="J294" i="5"/>
  <c r="G294" i="5"/>
  <c r="L294" i="5" s="1"/>
  <c r="R294" i="5" s="1"/>
  <c r="L293" i="5"/>
  <c r="R293" i="5" s="1"/>
  <c r="K293" i="5"/>
  <c r="J293" i="5"/>
  <c r="G293" i="5"/>
  <c r="N293" i="5" s="1"/>
  <c r="O293" i="5" s="1"/>
  <c r="L292" i="5"/>
  <c r="R292" i="5" s="1"/>
  <c r="K292" i="5"/>
  <c r="J292" i="5"/>
  <c r="G292" i="5"/>
  <c r="N292" i="5" s="1"/>
  <c r="O292" i="5" s="1"/>
  <c r="K291" i="5"/>
  <c r="V291" i="5" s="1"/>
  <c r="J291" i="5"/>
  <c r="G291" i="5"/>
  <c r="L291" i="5" s="1"/>
  <c r="R291" i="5" s="1"/>
  <c r="L290" i="5"/>
  <c r="R290" i="5" s="1"/>
  <c r="K290" i="5"/>
  <c r="J290" i="5"/>
  <c r="G290" i="5"/>
  <c r="N290" i="5" s="1"/>
  <c r="O290" i="5" s="1"/>
  <c r="L289" i="5"/>
  <c r="R289" i="5" s="1"/>
  <c r="K289" i="5"/>
  <c r="J289" i="5"/>
  <c r="G289" i="5"/>
  <c r="N289" i="5" s="1"/>
  <c r="O289" i="5" s="1"/>
  <c r="K288" i="5"/>
  <c r="V288" i="5" s="1"/>
  <c r="J288" i="5"/>
  <c r="G288" i="5"/>
  <c r="L288" i="5" s="1"/>
  <c r="R288" i="5" s="1"/>
  <c r="L287" i="5"/>
  <c r="R287" i="5" s="1"/>
  <c r="K287" i="5"/>
  <c r="J287" i="5"/>
  <c r="G287" i="5"/>
  <c r="N287" i="5" s="1"/>
  <c r="O287" i="5" s="1"/>
  <c r="L286" i="5"/>
  <c r="R286" i="5" s="1"/>
  <c r="K286" i="5"/>
  <c r="J286" i="5"/>
  <c r="G286" i="5"/>
  <c r="N286" i="5" s="1"/>
  <c r="O286" i="5" s="1"/>
  <c r="K285" i="5"/>
  <c r="V285" i="5" s="1"/>
  <c r="J285" i="5"/>
  <c r="G285" i="5"/>
  <c r="L285" i="5" s="1"/>
  <c r="R285" i="5" s="1"/>
  <c r="L284" i="5"/>
  <c r="R284" i="5" s="1"/>
  <c r="K284" i="5"/>
  <c r="J284" i="5"/>
  <c r="G284" i="5"/>
  <c r="N284" i="5" s="1"/>
  <c r="O284" i="5" s="1"/>
  <c r="L283" i="5"/>
  <c r="R283" i="5" s="1"/>
  <c r="K283" i="5"/>
  <c r="J283" i="5"/>
  <c r="G283" i="5"/>
  <c r="N283" i="5" s="1"/>
  <c r="O283" i="5" s="1"/>
  <c r="K282" i="5"/>
  <c r="V282" i="5" s="1"/>
  <c r="J282" i="5"/>
  <c r="G282" i="5"/>
  <c r="L282" i="5" s="1"/>
  <c r="R282" i="5" s="1"/>
  <c r="L281" i="5"/>
  <c r="R281" i="5" s="1"/>
  <c r="K281" i="5"/>
  <c r="J281" i="5"/>
  <c r="G281" i="5"/>
  <c r="N281" i="5" s="1"/>
  <c r="O281" i="5" s="1"/>
  <c r="L280" i="5"/>
  <c r="R280" i="5" s="1"/>
  <c r="K280" i="5"/>
  <c r="J280" i="5"/>
  <c r="G280" i="5"/>
  <c r="N280" i="5" s="1"/>
  <c r="O280" i="5" s="1"/>
  <c r="K279" i="5"/>
  <c r="V279" i="5" s="1"/>
  <c r="J279" i="5"/>
  <c r="G279" i="5"/>
  <c r="L279" i="5" s="1"/>
  <c r="R279" i="5" s="1"/>
  <c r="L278" i="5"/>
  <c r="R278" i="5" s="1"/>
  <c r="K278" i="5"/>
  <c r="J278" i="5"/>
  <c r="G278" i="5"/>
  <c r="N278" i="5" s="1"/>
  <c r="O278" i="5" s="1"/>
  <c r="N277" i="5"/>
  <c r="O277" i="5" s="1"/>
  <c r="M277" i="5"/>
  <c r="K277" i="5"/>
  <c r="V277" i="5" s="1"/>
  <c r="J277" i="5"/>
  <c r="G277" i="5"/>
  <c r="L277" i="5" s="1"/>
  <c r="V276" i="5"/>
  <c r="M276" i="5"/>
  <c r="K276" i="5"/>
  <c r="J276" i="5"/>
  <c r="G276" i="5"/>
  <c r="L275" i="5"/>
  <c r="P275" i="5" s="1"/>
  <c r="K275" i="5"/>
  <c r="J275" i="5"/>
  <c r="G275" i="5"/>
  <c r="N275" i="5" s="1"/>
  <c r="O275" i="5" s="1"/>
  <c r="N274" i="5"/>
  <c r="O274" i="5" s="1"/>
  <c r="M274" i="5"/>
  <c r="K274" i="5"/>
  <c r="V274" i="5" s="1"/>
  <c r="J274" i="5"/>
  <c r="G274" i="5"/>
  <c r="L274" i="5" s="1"/>
  <c r="V273" i="5"/>
  <c r="M273" i="5"/>
  <c r="K273" i="5"/>
  <c r="J273" i="5"/>
  <c r="G273" i="5"/>
  <c r="R272" i="5"/>
  <c r="L272" i="5"/>
  <c r="P272" i="5" s="1"/>
  <c r="K272" i="5"/>
  <c r="J272" i="5"/>
  <c r="G272" i="5"/>
  <c r="N272" i="5" s="1"/>
  <c r="O272" i="5" s="1"/>
  <c r="N271" i="5"/>
  <c r="O271" i="5" s="1"/>
  <c r="M271" i="5"/>
  <c r="K271" i="5"/>
  <c r="V271" i="5" s="1"/>
  <c r="J271" i="5"/>
  <c r="G271" i="5"/>
  <c r="L271" i="5" s="1"/>
  <c r="V270" i="5"/>
  <c r="M270" i="5"/>
  <c r="K270" i="5"/>
  <c r="J270" i="5"/>
  <c r="G270" i="5"/>
  <c r="L269" i="5"/>
  <c r="P269" i="5" s="1"/>
  <c r="K269" i="5"/>
  <c r="J269" i="5"/>
  <c r="G269" i="5"/>
  <c r="N269" i="5" s="1"/>
  <c r="O269" i="5" s="1"/>
  <c r="N268" i="5"/>
  <c r="O268" i="5" s="1"/>
  <c r="M268" i="5"/>
  <c r="K268" i="5"/>
  <c r="V268" i="5" s="1"/>
  <c r="J268" i="5"/>
  <c r="G268" i="5"/>
  <c r="L268" i="5" s="1"/>
  <c r="V267" i="5"/>
  <c r="M267" i="5"/>
  <c r="K267" i="5"/>
  <c r="J267" i="5"/>
  <c r="G267" i="5"/>
  <c r="R266" i="5"/>
  <c r="L266" i="5"/>
  <c r="P266" i="5" s="1"/>
  <c r="K266" i="5"/>
  <c r="J266" i="5"/>
  <c r="G266" i="5"/>
  <c r="N266" i="5" s="1"/>
  <c r="O266" i="5" s="1"/>
  <c r="N265" i="5"/>
  <c r="O265" i="5" s="1"/>
  <c r="M265" i="5"/>
  <c r="K265" i="5"/>
  <c r="V265" i="5" s="1"/>
  <c r="J265" i="5"/>
  <c r="G265" i="5"/>
  <c r="L265" i="5" s="1"/>
  <c r="V264" i="5"/>
  <c r="M264" i="5"/>
  <c r="K264" i="5"/>
  <c r="J264" i="5"/>
  <c r="G264" i="5"/>
  <c r="L263" i="5"/>
  <c r="P263" i="5" s="1"/>
  <c r="K263" i="5"/>
  <c r="J263" i="5"/>
  <c r="G263" i="5"/>
  <c r="N263" i="5" s="1"/>
  <c r="O263" i="5" s="1"/>
  <c r="N262" i="5"/>
  <c r="O262" i="5" s="1"/>
  <c r="M262" i="5"/>
  <c r="K262" i="5"/>
  <c r="V262" i="5" s="1"/>
  <c r="J262" i="5"/>
  <c r="G262" i="5"/>
  <c r="L262" i="5" s="1"/>
  <c r="V261" i="5"/>
  <c r="M261" i="5"/>
  <c r="K261" i="5"/>
  <c r="J261" i="5"/>
  <c r="G261" i="5"/>
  <c r="R260" i="5"/>
  <c r="L260" i="5"/>
  <c r="P260" i="5" s="1"/>
  <c r="K260" i="5"/>
  <c r="J260" i="5"/>
  <c r="G260" i="5"/>
  <c r="N260" i="5" s="1"/>
  <c r="O260" i="5" s="1"/>
  <c r="N259" i="5"/>
  <c r="O259" i="5" s="1"/>
  <c r="M259" i="5"/>
  <c r="K259" i="5"/>
  <c r="V259" i="5" s="1"/>
  <c r="J259" i="5"/>
  <c r="G259" i="5"/>
  <c r="L259" i="5" s="1"/>
  <c r="V258" i="5"/>
  <c r="M258" i="5"/>
  <c r="K258" i="5"/>
  <c r="J258" i="5"/>
  <c r="G258" i="5"/>
  <c r="L257" i="5"/>
  <c r="P257" i="5" s="1"/>
  <c r="K257" i="5"/>
  <c r="J257" i="5"/>
  <c r="G257" i="5"/>
  <c r="N257" i="5" s="1"/>
  <c r="O257" i="5" s="1"/>
  <c r="N256" i="5"/>
  <c r="O256" i="5" s="1"/>
  <c r="M256" i="5"/>
  <c r="K256" i="5"/>
  <c r="V256" i="5" s="1"/>
  <c r="J256" i="5"/>
  <c r="G256" i="5"/>
  <c r="L256" i="5" s="1"/>
  <c r="V255" i="5"/>
  <c r="M255" i="5"/>
  <c r="K255" i="5"/>
  <c r="J255" i="5"/>
  <c r="G255" i="5"/>
  <c r="O254" i="5"/>
  <c r="L254" i="5"/>
  <c r="P254" i="5" s="1"/>
  <c r="K254" i="5"/>
  <c r="M254" i="5" s="1"/>
  <c r="J254" i="5"/>
  <c r="G254" i="5"/>
  <c r="N254" i="5" s="1"/>
  <c r="Q253" i="5"/>
  <c r="N253" i="5"/>
  <c r="O253" i="5" s="1"/>
  <c r="M253" i="5"/>
  <c r="K253" i="5"/>
  <c r="V253" i="5" s="1"/>
  <c r="J253" i="5"/>
  <c r="G253" i="5"/>
  <c r="L253" i="5" s="1"/>
  <c r="V252" i="5"/>
  <c r="M252" i="5"/>
  <c r="K252" i="5"/>
  <c r="J252" i="5"/>
  <c r="G252" i="5"/>
  <c r="X249" i="5"/>
  <c r="W249" i="5"/>
  <c r="Q249" i="5"/>
  <c r="D249" i="5"/>
  <c r="C249" i="5"/>
  <c r="B249" i="5"/>
  <c r="X247" i="5"/>
  <c r="Q247" i="5"/>
  <c r="E247" i="5"/>
  <c r="C247" i="5"/>
  <c r="B247" i="5"/>
  <c r="X246" i="5"/>
  <c r="W246" i="5"/>
  <c r="Q246" i="5"/>
  <c r="D246" i="5"/>
  <c r="C246" i="5"/>
  <c r="B246" i="5"/>
  <c r="X245" i="5"/>
  <c r="W245" i="5"/>
  <c r="Q245" i="5"/>
  <c r="D245" i="5"/>
  <c r="E245" i="5" s="1"/>
  <c r="C245" i="5"/>
  <c r="B245" i="5"/>
  <c r="X244" i="5"/>
  <c r="W244" i="5"/>
  <c r="Q244" i="5"/>
  <c r="D244" i="5"/>
  <c r="E244" i="5" s="1"/>
  <c r="C244" i="5"/>
  <c r="B244" i="5"/>
  <c r="X243" i="5"/>
  <c r="W243" i="5"/>
  <c r="Q243" i="5"/>
  <c r="D243" i="5"/>
  <c r="C243" i="5"/>
  <c r="B243" i="5"/>
  <c r="X242" i="5"/>
  <c r="Q242" i="5"/>
  <c r="J242" i="5"/>
  <c r="O242" i="5" s="1"/>
  <c r="F242" i="5"/>
  <c r="G242" i="5" s="1"/>
  <c r="X241" i="5"/>
  <c r="W241" i="5"/>
  <c r="Q241" i="5"/>
  <c r="F241" i="5"/>
  <c r="G241" i="5" s="1"/>
  <c r="J241" i="5" s="1"/>
  <c r="X240" i="5"/>
  <c r="X118" i="5" s="1"/>
  <c r="W240" i="5"/>
  <c r="Q240" i="5"/>
  <c r="F240" i="5"/>
  <c r="G240" i="5" s="1"/>
  <c r="J240" i="5" s="1"/>
  <c r="X239" i="5"/>
  <c r="Q239" i="5"/>
  <c r="J239" i="5"/>
  <c r="F239" i="5"/>
  <c r="G239" i="5" s="1"/>
  <c r="X238" i="5"/>
  <c r="W238" i="5"/>
  <c r="Q238" i="5"/>
  <c r="F238" i="5"/>
  <c r="G238" i="5" s="1"/>
  <c r="J238" i="5" s="1"/>
  <c r="X237" i="5"/>
  <c r="W237" i="5"/>
  <c r="Q237" i="5"/>
  <c r="E237" i="5"/>
  <c r="X236" i="5"/>
  <c r="W236" i="5"/>
  <c r="Q236" i="5"/>
  <c r="E236" i="5"/>
  <c r="D236" i="5"/>
  <c r="X235" i="5"/>
  <c r="W235" i="5"/>
  <c r="Q235" i="5"/>
  <c r="M235" i="5"/>
  <c r="G235" i="5"/>
  <c r="E235" i="5"/>
  <c r="F235" i="5" s="1"/>
  <c r="L235" i="5" s="1"/>
  <c r="D235" i="5"/>
  <c r="X234" i="5"/>
  <c r="W234" i="5"/>
  <c r="Q234" i="5"/>
  <c r="M234" i="5"/>
  <c r="D234" i="5"/>
  <c r="F234" i="5" s="1"/>
  <c r="L234" i="5" s="1"/>
  <c r="X233" i="5"/>
  <c r="W233" i="5"/>
  <c r="Q233" i="5"/>
  <c r="D233" i="5"/>
  <c r="X232" i="5"/>
  <c r="W232" i="5"/>
  <c r="Q232" i="5"/>
  <c r="D232" i="5"/>
  <c r="X231" i="5"/>
  <c r="W231" i="5"/>
  <c r="Q231" i="5"/>
  <c r="N231" i="5"/>
  <c r="M231" i="5"/>
  <c r="G231" i="5"/>
  <c r="J231" i="5" s="1"/>
  <c r="P231" i="5" s="1"/>
  <c r="F231" i="5"/>
  <c r="L231" i="5" s="1"/>
  <c r="X230" i="5"/>
  <c r="W230" i="5"/>
  <c r="Q230" i="5"/>
  <c r="N230" i="5"/>
  <c r="G230" i="5"/>
  <c r="J230" i="5" s="1"/>
  <c r="P230" i="5" s="1"/>
  <c r="F230" i="5"/>
  <c r="L230" i="5" s="1"/>
  <c r="X229" i="5"/>
  <c r="W229" i="5"/>
  <c r="Q229" i="5"/>
  <c r="L229" i="5"/>
  <c r="G229" i="5"/>
  <c r="J229" i="5" s="1"/>
  <c r="F229" i="5"/>
  <c r="X228" i="5"/>
  <c r="W228" i="5"/>
  <c r="Q228" i="5"/>
  <c r="L228" i="5"/>
  <c r="F228" i="5"/>
  <c r="G228" i="5" s="1"/>
  <c r="J228" i="5" s="1"/>
  <c r="W227" i="5"/>
  <c r="V227" i="5"/>
  <c r="U227" i="5"/>
  <c r="Q227" i="5"/>
  <c r="L227" i="5"/>
  <c r="F227" i="5"/>
  <c r="G227" i="5" s="1"/>
  <c r="J227" i="5" s="1"/>
  <c r="X226" i="5"/>
  <c r="W226" i="5"/>
  <c r="Q226" i="5"/>
  <c r="E226" i="5"/>
  <c r="X225" i="5"/>
  <c r="Q225" i="5"/>
  <c r="F225" i="5"/>
  <c r="G225" i="5" s="1"/>
  <c r="J225" i="5" s="1"/>
  <c r="X224" i="5"/>
  <c r="W224" i="5"/>
  <c r="Q224" i="5"/>
  <c r="F224" i="5"/>
  <c r="W223" i="5"/>
  <c r="U223" i="5"/>
  <c r="Q223" i="5"/>
  <c r="M223" i="5"/>
  <c r="G223" i="5"/>
  <c r="J223" i="5" s="1"/>
  <c r="F223" i="5"/>
  <c r="L223" i="5" s="1"/>
  <c r="W222" i="5"/>
  <c r="V222" i="5" s="1"/>
  <c r="U222" i="5"/>
  <c r="Q222" i="5"/>
  <c r="N222" i="5"/>
  <c r="M222" i="5"/>
  <c r="G222" i="5"/>
  <c r="J222" i="5" s="1"/>
  <c r="P222" i="5" s="1"/>
  <c r="F222" i="5"/>
  <c r="L222" i="5" s="1"/>
  <c r="W221" i="5"/>
  <c r="U221" i="5"/>
  <c r="Q221" i="5"/>
  <c r="L221" i="5"/>
  <c r="F221" i="5"/>
  <c r="G221" i="5" s="1"/>
  <c r="J221" i="5" s="1"/>
  <c r="W220" i="5"/>
  <c r="U220" i="5"/>
  <c r="V220" i="5" s="1"/>
  <c r="Q220" i="5"/>
  <c r="M220" i="5"/>
  <c r="J220" i="5"/>
  <c r="G220" i="5"/>
  <c r="F220" i="5"/>
  <c r="L220" i="5" s="1"/>
  <c r="W219" i="5"/>
  <c r="U219" i="5"/>
  <c r="V219" i="5" s="1"/>
  <c r="Q219" i="5"/>
  <c r="N219" i="5"/>
  <c r="M219" i="5"/>
  <c r="G219" i="5"/>
  <c r="J219" i="5" s="1"/>
  <c r="P219" i="5" s="1"/>
  <c r="F219" i="5"/>
  <c r="L219" i="5" s="1"/>
  <c r="X218" i="5"/>
  <c r="W218" i="5"/>
  <c r="Q218" i="5"/>
  <c r="N218" i="5"/>
  <c r="M218" i="5"/>
  <c r="G218" i="5"/>
  <c r="J218" i="5" s="1"/>
  <c r="P218" i="5" s="1"/>
  <c r="F218" i="5"/>
  <c r="L218" i="5" s="1"/>
  <c r="X217" i="5"/>
  <c r="X94" i="5" s="1"/>
  <c r="W217" i="5"/>
  <c r="Q217" i="5"/>
  <c r="G217" i="5"/>
  <c r="J217" i="5" s="1"/>
  <c r="F217" i="5"/>
  <c r="L217" i="5" s="1"/>
  <c r="X216" i="5"/>
  <c r="W216" i="5"/>
  <c r="Q216" i="5"/>
  <c r="M216" i="5"/>
  <c r="E216" i="5"/>
  <c r="F216" i="5" s="1"/>
  <c r="L216" i="5" s="1"/>
  <c r="X215" i="5"/>
  <c r="W215" i="5"/>
  <c r="Q215" i="5"/>
  <c r="N215" i="5"/>
  <c r="F215" i="5"/>
  <c r="L215" i="5" s="1"/>
  <c r="E215" i="5"/>
  <c r="G215" i="5" s="1"/>
  <c r="J215" i="5" s="1"/>
  <c r="W214" i="5"/>
  <c r="U214" i="5"/>
  <c r="V214" i="5" s="1"/>
  <c r="Q214" i="5"/>
  <c r="N214" i="5"/>
  <c r="G214" i="5"/>
  <c r="J214" i="5" s="1"/>
  <c r="P214" i="5" s="1"/>
  <c r="F214" i="5"/>
  <c r="L214" i="5" s="1"/>
  <c r="W213" i="5"/>
  <c r="U213" i="5"/>
  <c r="Q213" i="5"/>
  <c r="F213" i="5"/>
  <c r="W212" i="5"/>
  <c r="U212" i="5"/>
  <c r="Q212" i="5"/>
  <c r="M212" i="5"/>
  <c r="J212" i="5"/>
  <c r="N212" i="5" s="1"/>
  <c r="G212" i="5"/>
  <c r="F212" i="5"/>
  <c r="L212" i="5" s="1"/>
  <c r="X211" i="5"/>
  <c r="W211" i="5"/>
  <c r="Q211" i="5"/>
  <c r="G211" i="5"/>
  <c r="J211" i="5" s="1"/>
  <c r="F211" i="5"/>
  <c r="L211" i="5" s="1"/>
  <c r="W210" i="5"/>
  <c r="V210" i="5"/>
  <c r="U210" i="5"/>
  <c r="Q210" i="5"/>
  <c r="O210" i="5"/>
  <c r="N210" i="5"/>
  <c r="G210" i="5"/>
  <c r="J210" i="5" s="1"/>
  <c r="F210" i="5"/>
  <c r="L210" i="5" s="1"/>
  <c r="M210" i="5" s="1"/>
  <c r="W209" i="5"/>
  <c r="U209" i="5"/>
  <c r="V209" i="5" s="1"/>
  <c r="Q209" i="5"/>
  <c r="O209" i="5"/>
  <c r="L209" i="5"/>
  <c r="M209" i="5" s="1"/>
  <c r="F209" i="5"/>
  <c r="G209" i="5" s="1"/>
  <c r="J209" i="5" s="1"/>
  <c r="W208" i="5"/>
  <c r="U208" i="5"/>
  <c r="V208" i="5" s="1"/>
  <c r="Q208" i="5"/>
  <c r="L208" i="5"/>
  <c r="F208" i="5"/>
  <c r="G208" i="5" s="1"/>
  <c r="J208" i="5" s="1"/>
  <c r="X207" i="5"/>
  <c r="W207" i="5"/>
  <c r="Q207" i="5"/>
  <c r="M207" i="5"/>
  <c r="F207" i="5"/>
  <c r="L207" i="5" s="1"/>
  <c r="E207" i="5"/>
  <c r="W206" i="5"/>
  <c r="V206" i="5"/>
  <c r="U206" i="5"/>
  <c r="Q206" i="5"/>
  <c r="L206" i="5"/>
  <c r="F206" i="5"/>
  <c r="G206" i="5" s="1"/>
  <c r="J206" i="5" s="1"/>
  <c r="W205" i="5"/>
  <c r="U205" i="5"/>
  <c r="V205" i="5" s="1"/>
  <c r="Q205" i="5"/>
  <c r="F205" i="5"/>
  <c r="L205" i="5" s="1"/>
  <c r="M205" i="5" s="1"/>
  <c r="W204" i="5"/>
  <c r="U204" i="5"/>
  <c r="V204" i="5" s="1"/>
  <c r="Q204" i="5"/>
  <c r="L204" i="5"/>
  <c r="F204" i="5"/>
  <c r="G204" i="5" s="1"/>
  <c r="J204" i="5" s="1"/>
  <c r="W203" i="5"/>
  <c r="V203" i="5"/>
  <c r="U203" i="5"/>
  <c r="Q203" i="5"/>
  <c r="O203" i="5"/>
  <c r="N203" i="5"/>
  <c r="L203" i="5"/>
  <c r="F203" i="5"/>
  <c r="G203" i="5" s="1"/>
  <c r="J203" i="5" s="1"/>
  <c r="P203" i="5" s="1"/>
  <c r="W202" i="5"/>
  <c r="V202" i="5"/>
  <c r="U202" i="5"/>
  <c r="Q202" i="5"/>
  <c r="L202" i="5"/>
  <c r="M202" i="5" s="1"/>
  <c r="J202" i="5"/>
  <c r="G202" i="5"/>
  <c r="F202" i="5"/>
  <c r="W201" i="5"/>
  <c r="V201" i="5"/>
  <c r="U201" i="5"/>
  <c r="Q201" i="5"/>
  <c r="L201" i="5"/>
  <c r="F201" i="5"/>
  <c r="G201" i="5" s="1"/>
  <c r="J201" i="5" s="1"/>
  <c r="W200" i="5"/>
  <c r="V200" i="5"/>
  <c r="Q200" i="5"/>
  <c r="F200" i="5"/>
  <c r="G200" i="5" s="1"/>
  <c r="J200" i="5" s="1"/>
  <c r="P200" i="5" s="1"/>
  <c r="W199" i="5"/>
  <c r="V199" i="5"/>
  <c r="U199" i="5"/>
  <c r="Q199" i="5"/>
  <c r="L199" i="5"/>
  <c r="M199" i="5" s="1"/>
  <c r="G199" i="5"/>
  <c r="J199" i="5" s="1"/>
  <c r="F199" i="5"/>
  <c r="W198" i="5"/>
  <c r="Q198" i="5"/>
  <c r="L198" i="5"/>
  <c r="G198" i="5"/>
  <c r="J198" i="5" s="1"/>
  <c r="F198" i="5"/>
  <c r="W197" i="5"/>
  <c r="U197" i="5"/>
  <c r="V197" i="5" s="1"/>
  <c r="Q197" i="5"/>
  <c r="F197" i="5"/>
  <c r="L197" i="5" s="1"/>
  <c r="W196" i="5"/>
  <c r="U196" i="5"/>
  <c r="Q196" i="5"/>
  <c r="J196" i="5"/>
  <c r="G196" i="5"/>
  <c r="F196" i="5"/>
  <c r="L196" i="5" s="1"/>
  <c r="M196" i="5" s="1"/>
  <c r="W195" i="5"/>
  <c r="V195" i="5"/>
  <c r="U195" i="5"/>
  <c r="Q195" i="5"/>
  <c r="L195" i="5"/>
  <c r="M195" i="5" s="1"/>
  <c r="F195" i="5"/>
  <c r="G195" i="5" s="1"/>
  <c r="J195" i="5" s="1"/>
  <c r="W194" i="5"/>
  <c r="U194" i="5"/>
  <c r="V194" i="5" s="1"/>
  <c r="Q194" i="5"/>
  <c r="F194" i="5"/>
  <c r="L194" i="5" s="1"/>
  <c r="W193" i="5"/>
  <c r="V193" i="5"/>
  <c r="U193" i="5"/>
  <c r="Q193" i="5"/>
  <c r="O193" i="5"/>
  <c r="G193" i="5"/>
  <c r="J193" i="5" s="1"/>
  <c r="N193" i="5" s="1"/>
  <c r="F193" i="5"/>
  <c r="L193" i="5" s="1"/>
  <c r="M193" i="5" s="1"/>
  <c r="W192" i="5"/>
  <c r="U192" i="5"/>
  <c r="V192" i="5" s="1"/>
  <c r="Q192" i="5"/>
  <c r="O192" i="5"/>
  <c r="L192" i="5"/>
  <c r="M192" i="5" s="1"/>
  <c r="F192" i="5"/>
  <c r="G192" i="5" s="1"/>
  <c r="J192" i="5" s="1"/>
  <c r="W191" i="5"/>
  <c r="U191" i="5"/>
  <c r="V191" i="5" s="1"/>
  <c r="Q191" i="5"/>
  <c r="L191" i="5"/>
  <c r="J191" i="5"/>
  <c r="F191" i="5"/>
  <c r="G191" i="5" s="1"/>
  <c r="W190" i="5"/>
  <c r="U190" i="5"/>
  <c r="V190" i="5" s="1"/>
  <c r="Q190" i="5"/>
  <c r="O190" i="5"/>
  <c r="G190" i="5"/>
  <c r="J190" i="5" s="1"/>
  <c r="P190" i="5" s="1"/>
  <c r="F190" i="5"/>
  <c r="L190" i="5" s="1"/>
  <c r="W189" i="5"/>
  <c r="U189" i="5"/>
  <c r="V189" i="5" s="1"/>
  <c r="Q189" i="5"/>
  <c r="N189" i="5"/>
  <c r="L189" i="5"/>
  <c r="M189" i="5" s="1"/>
  <c r="G189" i="5"/>
  <c r="J189" i="5" s="1"/>
  <c r="P189" i="5" s="1"/>
  <c r="F189" i="5"/>
  <c r="W188" i="5"/>
  <c r="U188" i="5"/>
  <c r="V188" i="5" s="1"/>
  <c r="Q188" i="5"/>
  <c r="L188" i="5"/>
  <c r="M188" i="5" s="1"/>
  <c r="F188" i="5"/>
  <c r="G188" i="5" s="1"/>
  <c r="J188" i="5" s="1"/>
  <c r="W187" i="5"/>
  <c r="V187" i="5"/>
  <c r="U187" i="5"/>
  <c r="Q187" i="5"/>
  <c r="M187" i="5"/>
  <c r="J187" i="5"/>
  <c r="G187" i="5"/>
  <c r="F187" i="5"/>
  <c r="L187" i="5" s="1"/>
  <c r="W186" i="5"/>
  <c r="V186" i="5"/>
  <c r="U186" i="5"/>
  <c r="Q186" i="5"/>
  <c r="M186" i="5"/>
  <c r="G186" i="5"/>
  <c r="J186" i="5" s="1"/>
  <c r="O186" i="5" s="1"/>
  <c r="F186" i="5"/>
  <c r="L186" i="5" s="1"/>
  <c r="W185" i="5"/>
  <c r="U185" i="5"/>
  <c r="V185" i="5" s="1"/>
  <c r="Q185" i="5"/>
  <c r="L185" i="5"/>
  <c r="M185" i="5" s="1"/>
  <c r="G185" i="5"/>
  <c r="J185" i="5" s="1"/>
  <c r="F185" i="5"/>
  <c r="W184" i="5"/>
  <c r="U184" i="5"/>
  <c r="V184" i="5" s="1"/>
  <c r="Q184" i="5"/>
  <c r="P184" i="5"/>
  <c r="J184" i="5"/>
  <c r="G184" i="5"/>
  <c r="F184" i="5"/>
  <c r="L184" i="5" s="1"/>
  <c r="W183" i="5"/>
  <c r="U183" i="5"/>
  <c r="V183" i="5" s="1"/>
  <c r="Q183" i="5"/>
  <c r="F183" i="5"/>
  <c r="L183" i="5" s="1"/>
  <c r="W182" i="5"/>
  <c r="U182" i="5"/>
  <c r="Q182" i="5"/>
  <c r="M182" i="5"/>
  <c r="F182" i="5"/>
  <c r="L182" i="5" s="1"/>
  <c r="W181" i="5"/>
  <c r="U181" i="5"/>
  <c r="V181" i="5" s="1"/>
  <c r="Q181" i="5"/>
  <c r="J181" i="5"/>
  <c r="N181" i="5" s="1"/>
  <c r="G181" i="5"/>
  <c r="F181" i="5"/>
  <c r="L181" i="5" s="1"/>
  <c r="M181" i="5" s="1"/>
  <c r="W180" i="5"/>
  <c r="U180" i="5"/>
  <c r="V180" i="5" s="1"/>
  <c r="Q180" i="5"/>
  <c r="L180" i="5"/>
  <c r="G180" i="5"/>
  <c r="J180" i="5" s="1"/>
  <c r="F180" i="5"/>
  <c r="W179" i="5"/>
  <c r="U179" i="5"/>
  <c r="V179" i="5" s="1"/>
  <c r="Q179" i="5"/>
  <c r="F179" i="5"/>
  <c r="L179" i="5" s="1"/>
  <c r="W178" i="5"/>
  <c r="U178" i="5"/>
  <c r="Q178" i="5"/>
  <c r="J178" i="5"/>
  <c r="G178" i="5"/>
  <c r="F178" i="5"/>
  <c r="L178" i="5" s="1"/>
  <c r="M178" i="5" s="1"/>
  <c r="W177" i="5"/>
  <c r="V177" i="5"/>
  <c r="U177" i="5"/>
  <c r="Q177" i="5"/>
  <c r="L177" i="5"/>
  <c r="M177" i="5" s="1"/>
  <c r="F177" i="5"/>
  <c r="G177" i="5" s="1"/>
  <c r="J177" i="5" s="1"/>
  <c r="W176" i="5"/>
  <c r="U176" i="5"/>
  <c r="V176" i="5" s="1"/>
  <c r="Q176" i="5"/>
  <c r="F176" i="5"/>
  <c r="L176" i="5" s="1"/>
  <c r="W175" i="5"/>
  <c r="V175" i="5"/>
  <c r="U175" i="5"/>
  <c r="Q175" i="5"/>
  <c r="O175" i="5"/>
  <c r="G175" i="5"/>
  <c r="J175" i="5" s="1"/>
  <c r="N175" i="5" s="1"/>
  <c r="F175" i="5"/>
  <c r="L175" i="5" s="1"/>
  <c r="M175" i="5" s="1"/>
  <c r="W174" i="5"/>
  <c r="U174" i="5"/>
  <c r="V174" i="5" s="1"/>
  <c r="Q174" i="5"/>
  <c r="O174" i="5"/>
  <c r="L174" i="5"/>
  <c r="M174" i="5" s="1"/>
  <c r="F174" i="5"/>
  <c r="G174" i="5" s="1"/>
  <c r="J174" i="5" s="1"/>
  <c r="W173" i="5"/>
  <c r="U173" i="5"/>
  <c r="V173" i="5" s="1"/>
  <c r="Q173" i="5"/>
  <c r="L173" i="5"/>
  <c r="J173" i="5"/>
  <c r="F173" i="5"/>
  <c r="G173" i="5" s="1"/>
  <c r="W172" i="5"/>
  <c r="U172" i="5"/>
  <c r="V172" i="5" s="1"/>
  <c r="Q172" i="5"/>
  <c r="O172" i="5"/>
  <c r="G172" i="5"/>
  <c r="J172" i="5" s="1"/>
  <c r="P172" i="5" s="1"/>
  <c r="F172" i="5"/>
  <c r="L172" i="5" s="1"/>
  <c r="X171" i="5"/>
  <c r="Q171" i="5"/>
  <c r="P171" i="5"/>
  <c r="M171" i="5"/>
  <c r="J171" i="5"/>
  <c r="G171" i="5"/>
  <c r="F171" i="5"/>
  <c r="L171" i="5" s="1"/>
  <c r="Q170" i="5"/>
  <c r="F170" i="5"/>
  <c r="G170" i="5" s="1"/>
  <c r="J170" i="5" s="1"/>
  <c r="Q169" i="5"/>
  <c r="M169" i="5"/>
  <c r="G169" i="5"/>
  <c r="J169" i="5" s="1"/>
  <c r="F169" i="5"/>
  <c r="L169" i="5" s="1"/>
  <c r="W168" i="5"/>
  <c r="U168" i="5"/>
  <c r="V168" i="5" s="1"/>
  <c r="Q168" i="5"/>
  <c r="P168" i="5"/>
  <c r="O168" i="5"/>
  <c r="J168" i="5"/>
  <c r="N168" i="5" s="1"/>
  <c r="G168" i="5"/>
  <c r="F168" i="5"/>
  <c r="L168" i="5" s="1"/>
  <c r="M168" i="5" s="1"/>
  <c r="I168" i="5" s="1"/>
  <c r="H168" i="5" s="1"/>
  <c r="W167" i="5"/>
  <c r="U167" i="5"/>
  <c r="V167" i="5" s="1"/>
  <c r="Q167" i="5"/>
  <c r="F167" i="5"/>
  <c r="L167" i="5" s="1"/>
  <c r="W166" i="5"/>
  <c r="U166" i="5"/>
  <c r="Q166" i="5"/>
  <c r="L166" i="5"/>
  <c r="M166" i="5" s="1"/>
  <c r="F166" i="5"/>
  <c r="G166" i="5" s="1"/>
  <c r="J166" i="5" s="1"/>
  <c r="W165" i="5"/>
  <c r="Q165" i="5"/>
  <c r="L165" i="5"/>
  <c r="M165" i="5" s="1"/>
  <c r="J165" i="5"/>
  <c r="N165" i="5" s="1"/>
  <c r="F165" i="5"/>
  <c r="G165" i="5" s="1"/>
  <c r="W164" i="5"/>
  <c r="U164" i="5"/>
  <c r="V164" i="5" s="1"/>
  <c r="Q164" i="5"/>
  <c r="L164" i="5"/>
  <c r="G164" i="5"/>
  <c r="J164" i="5" s="1"/>
  <c r="F164" i="5"/>
  <c r="W163" i="5"/>
  <c r="V163" i="5"/>
  <c r="U163" i="5"/>
  <c r="Q163" i="5"/>
  <c r="F163" i="5"/>
  <c r="L163" i="5" s="1"/>
  <c r="W162" i="5"/>
  <c r="V162" i="5"/>
  <c r="U162" i="5"/>
  <c r="Q162" i="5"/>
  <c r="P162" i="5"/>
  <c r="L162" i="5"/>
  <c r="M162" i="5" s="1"/>
  <c r="J162" i="5"/>
  <c r="F162" i="5"/>
  <c r="G162" i="5" s="1"/>
  <c r="U161" i="5"/>
  <c r="Q161" i="5"/>
  <c r="F161" i="5"/>
  <c r="L161" i="5" s="1"/>
  <c r="W160" i="5"/>
  <c r="U160" i="5"/>
  <c r="V160" i="5" s="1"/>
  <c r="Q160" i="5"/>
  <c r="L160" i="5"/>
  <c r="M160" i="5" s="1"/>
  <c r="G160" i="5"/>
  <c r="J160" i="5" s="1"/>
  <c r="F160" i="5"/>
  <c r="W159" i="5"/>
  <c r="V159" i="5"/>
  <c r="U159" i="5"/>
  <c r="Q159" i="5"/>
  <c r="L159" i="5"/>
  <c r="F159" i="5"/>
  <c r="G159" i="5" s="1"/>
  <c r="J159" i="5" s="1"/>
  <c r="W158" i="5"/>
  <c r="U158" i="5"/>
  <c r="V158" i="5" s="1"/>
  <c r="Q158" i="5"/>
  <c r="M158" i="5"/>
  <c r="F158" i="5"/>
  <c r="L158" i="5" s="1"/>
  <c r="W157" i="5"/>
  <c r="U157" i="5"/>
  <c r="V157" i="5" s="1"/>
  <c r="Q157" i="5"/>
  <c r="L157" i="5"/>
  <c r="J157" i="5"/>
  <c r="F157" i="5"/>
  <c r="G157" i="5" s="1"/>
  <c r="W156" i="5"/>
  <c r="V156" i="5"/>
  <c r="U156" i="5"/>
  <c r="Q156" i="5"/>
  <c r="F156" i="5"/>
  <c r="G156" i="5" s="1"/>
  <c r="J156" i="5" s="1"/>
  <c r="P156" i="5" s="1"/>
  <c r="Q155" i="5"/>
  <c r="L155" i="5"/>
  <c r="M155" i="5" s="1"/>
  <c r="G155" i="5"/>
  <c r="J155" i="5" s="1"/>
  <c r="F155" i="5"/>
  <c r="W154" i="5"/>
  <c r="U154" i="5"/>
  <c r="V154" i="5" s="1"/>
  <c r="Q154" i="5"/>
  <c r="F154" i="5"/>
  <c r="G154" i="5" s="1"/>
  <c r="J154" i="5" s="1"/>
  <c r="W153" i="5"/>
  <c r="V153" i="5"/>
  <c r="U153" i="5"/>
  <c r="Q153" i="5"/>
  <c r="L153" i="5"/>
  <c r="M153" i="5" s="1"/>
  <c r="F153" i="5"/>
  <c r="G153" i="5" s="1"/>
  <c r="J153" i="5" s="1"/>
  <c r="W152" i="5"/>
  <c r="U152" i="5"/>
  <c r="V152" i="5" s="1"/>
  <c r="Q152" i="5"/>
  <c r="L152" i="5"/>
  <c r="F152" i="5"/>
  <c r="G152" i="5" s="1"/>
  <c r="J152" i="5" s="1"/>
  <c r="W151" i="5"/>
  <c r="V151" i="5"/>
  <c r="U151" i="5"/>
  <c r="Q151" i="5"/>
  <c r="F151" i="5"/>
  <c r="G151" i="5" s="1"/>
  <c r="J151" i="5" s="1"/>
  <c r="Q150" i="5"/>
  <c r="L150" i="5"/>
  <c r="M150" i="5" s="1"/>
  <c r="F150" i="5"/>
  <c r="G150" i="5" s="1"/>
  <c r="J150" i="5" s="1"/>
  <c r="W149" i="5"/>
  <c r="U149" i="5"/>
  <c r="V149" i="5" s="1"/>
  <c r="Q149" i="5"/>
  <c r="L149" i="5"/>
  <c r="F149" i="5"/>
  <c r="G149" i="5" s="1"/>
  <c r="J149" i="5" s="1"/>
  <c r="W148" i="5"/>
  <c r="V148" i="5"/>
  <c r="U148" i="5"/>
  <c r="Q148" i="5"/>
  <c r="F148" i="5"/>
  <c r="G148" i="5" s="1"/>
  <c r="J148" i="5" s="1"/>
  <c r="W147" i="5"/>
  <c r="V147" i="5" s="1"/>
  <c r="U147" i="5"/>
  <c r="Q147" i="5"/>
  <c r="G147" i="5"/>
  <c r="J147" i="5" s="1"/>
  <c r="F147" i="5"/>
  <c r="L147" i="5" s="1"/>
  <c r="M147" i="5" s="1"/>
  <c r="W146" i="5"/>
  <c r="U146" i="5"/>
  <c r="V146" i="5" s="1"/>
  <c r="Q146" i="5"/>
  <c r="L146" i="5"/>
  <c r="M146" i="5" s="1"/>
  <c r="F146" i="5"/>
  <c r="G146" i="5" s="1"/>
  <c r="J146" i="5" s="1"/>
  <c r="W145" i="5"/>
  <c r="U145" i="5"/>
  <c r="V145" i="5" s="1"/>
  <c r="Q145" i="5"/>
  <c r="L145" i="5"/>
  <c r="F145" i="5"/>
  <c r="G145" i="5" s="1"/>
  <c r="J145" i="5" s="1"/>
  <c r="W144" i="5"/>
  <c r="V144" i="5"/>
  <c r="U144" i="5"/>
  <c r="Q144" i="5"/>
  <c r="G144" i="5"/>
  <c r="J144" i="5" s="1"/>
  <c r="F144" i="5"/>
  <c r="L144" i="5" s="1"/>
  <c r="W143" i="5"/>
  <c r="U143" i="5"/>
  <c r="V143" i="5" s="1"/>
  <c r="Q143" i="5"/>
  <c r="L143" i="5"/>
  <c r="M143" i="5" s="1"/>
  <c r="F143" i="5"/>
  <c r="G143" i="5" s="1"/>
  <c r="J143" i="5" s="1"/>
  <c r="W142" i="5"/>
  <c r="U142" i="5"/>
  <c r="V142" i="5" s="1"/>
  <c r="Q142" i="5"/>
  <c r="L142" i="5"/>
  <c r="M142" i="5" s="1"/>
  <c r="F142" i="5"/>
  <c r="G142" i="5" s="1"/>
  <c r="J142" i="5" s="1"/>
  <c r="Q141" i="5"/>
  <c r="G141" i="5"/>
  <c r="J141" i="5" s="1"/>
  <c r="F141" i="5"/>
  <c r="L141" i="5" s="1"/>
  <c r="W140" i="5"/>
  <c r="Q140" i="5"/>
  <c r="L140" i="5"/>
  <c r="M140" i="5" s="1"/>
  <c r="G140" i="5"/>
  <c r="J140" i="5" s="1"/>
  <c r="P140" i="5" s="1"/>
  <c r="F140" i="5"/>
  <c r="W139" i="5"/>
  <c r="U139" i="5"/>
  <c r="V139" i="5" s="1"/>
  <c r="Q139" i="5"/>
  <c r="L139" i="5"/>
  <c r="M139" i="5" s="1"/>
  <c r="F139" i="5"/>
  <c r="G139" i="5" s="1"/>
  <c r="J139" i="5" s="1"/>
  <c r="W138" i="5"/>
  <c r="Q138" i="5"/>
  <c r="J138" i="5"/>
  <c r="O138" i="5" s="1"/>
  <c r="G138" i="5"/>
  <c r="F138" i="5"/>
  <c r="L138" i="5" s="1"/>
  <c r="M138" i="5" s="1"/>
  <c r="W137" i="5"/>
  <c r="V137" i="5"/>
  <c r="U137" i="5"/>
  <c r="Q137" i="5"/>
  <c r="F137" i="5"/>
  <c r="G137" i="5" s="1"/>
  <c r="J137" i="5" s="1"/>
  <c r="W136" i="5"/>
  <c r="U136" i="5"/>
  <c r="V136" i="5" s="1"/>
  <c r="Q136" i="5"/>
  <c r="L136" i="5"/>
  <c r="M136" i="5" s="1"/>
  <c r="G136" i="5"/>
  <c r="J136" i="5" s="1"/>
  <c r="F136" i="5"/>
  <c r="W135" i="5"/>
  <c r="U135" i="5"/>
  <c r="V135" i="5" s="1"/>
  <c r="Q135" i="5"/>
  <c r="P135" i="5"/>
  <c r="J135" i="5"/>
  <c r="N135" i="5" s="1"/>
  <c r="G135" i="5"/>
  <c r="F135" i="5"/>
  <c r="L135" i="5" s="1"/>
  <c r="M135" i="5" s="1"/>
  <c r="W134" i="5"/>
  <c r="U134" i="5"/>
  <c r="V134" i="5" s="1"/>
  <c r="Q134" i="5"/>
  <c r="O134" i="5"/>
  <c r="N134" i="5"/>
  <c r="L134" i="5"/>
  <c r="J134" i="5"/>
  <c r="P134" i="5" s="1"/>
  <c r="W133" i="5"/>
  <c r="V133" i="5" s="1"/>
  <c r="U133" i="5"/>
  <c r="Q133" i="5"/>
  <c r="P133" i="5"/>
  <c r="O133" i="5"/>
  <c r="L133" i="5"/>
  <c r="M133" i="5" s="1"/>
  <c r="J133" i="5"/>
  <c r="F133" i="5"/>
  <c r="G133" i="5" s="1"/>
  <c r="W132" i="5"/>
  <c r="U132" i="5"/>
  <c r="V132" i="5" s="1"/>
  <c r="Q132" i="5"/>
  <c r="J132" i="5"/>
  <c r="P132" i="5" s="1"/>
  <c r="X129" i="5"/>
  <c r="Q129" i="5"/>
  <c r="L129" i="5"/>
  <c r="M129" i="5" s="1"/>
  <c r="J129" i="5"/>
  <c r="O129" i="5" s="1"/>
  <c r="F129" i="5"/>
  <c r="G129" i="5" s="1"/>
  <c r="X127" i="5"/>
  <c r="Q127" i="5"/>
  <c r="F127" i="5"/>
  <c r="G127" i="5" s="1"/>
  <c r="J127" i="5" s="1"/>
  <c r="X126" i="5"/>
  <c r="Q126" i="5"/>
  <c r="L126" i="5"/>
  <c r="M126" i="5" s="1"/>
  <c r="G126" i="5"/>
  <c r="J126" i="5" s="1"/>
  <c r="P126" i="5" s="1"/>
  <c r="F126" i="5"/>
  <c r="X125" i="5"/>
  <c r="Q125" i="5"/>
  <c r="P125" i="5"/>
  <c r="O125" i="5"/>
  <c r="L125" i="5"/>
  <c r="M125" i="5" s="1"/>
  <c r="J125" i="5"/>
  <c r="F125" i="5"/>
  <c r="G125" i="5" s="1"/>
  <c r="X124" i="5"/>
  <c r="Q124" i="5"/>
  <c r="L124" i="5"/>
  <c r="M124" i="5" s="1"/>
  <c r="F124" i="5"/>
  <c r="G124" i="5" s="1"/>
  <c r="J124" i="5" s="1"/>
  <c r="X123" i="5"/>
  <c r="Q123" i="5"/>
  <c r="P123" i="5"/>
  <c r="L123" i="5"/>
  <c r="M123" i="5" s="1"/>
  <c r="J123" i="5"/>
  <c r="N123" i="5" s="1"/>
  <c r="F123" i="5"/>
  <c r="G123" i="5" s="1"/>
  <c r="X122" i="5"/>
  <c r="Q122" i="5"/>
  <c r="L122" i="5"/>
  <c r="M122" i="5" s="1"/>
  <c r="F122" i="5"/>
  <c r="G122" i="5" s="1"/>
  <c r="J122" i="5" s="1"/>
  <c r="X121" i="5"/>
  <c r="S121" i="5"/>
  <c r="X120" i="5"/>
  <c r="W120" i="5"/>
  <c r="S120" i="5"/>
  <c r="X119" i="5"/>
  <c r="S119" i="5"/>
  <c r="Q118" i="5"/>
  <c r="L118" i="5"/>
  <c r="M118" i="5" s="1"/>
  <c r="F118" i="5"/>
  <c r="G118" i="5" s="1"/>
  <c r="J118" i="5" s="1"/>
  <c r="X117" i="5"/>
  <c r="W117" i="5"/>
  <c r="S117" i="5"/>
  <c r="Q116" i="5"/>
  <c r="L116" i="5"/>
  <c r="M116" i="5" s="1"/>
  <c r="F116" i="5"/>
  <c r="G116" i="5" s="1"/>
  <c r="J116" i="5" s="1"/>
  <c r="Q115" i="5"/>
  <c r="L115" i="5"/>
  <c r="M115" i="5" s="1"/>
  <c r="F115" i="5"/>
  <c r="G115" i="5" s="1"/>
  <c r="J115" i="5" s="1"/>
  <c r="Q114" i="5"/>
  <c r="L114" i="5"/>
  <c r="M114" i="5" s="1"/>
  <c r="F114" i="5"/>
  <c r="G114" i="5" s="1"/>
  <c r="J114" i="5" s="1"/>
  <c r="X113" i="5"/>
  <c r="Q113" i="5"/>
  <c r="L113" i="5"/>
  <c r="M113" i="5" s="1"/>
  <c r="J113" i="5"/>
  <c r="O113" i="5" s="1"/>
  <c r="F113" i="5"/>
  <c r="G113" i="5" s="1"/>
  <c r="X112" i="5"/>
  <c r="Q112" i="5"/>
  <c r="F112" i="5"/>
  <c r="G112" i="5" s="1"/>
  <c r="J112" i="5" s="1"/>
  <c r="X111" i="5"/>
  <c r="Q111" i="5"/>
  <c r="J111" i="5"/>
  <c r="O111" i="5" s="1"/>
  <c r="G111" i="5"/>
  <c r="F111" i="5"/>
  <c r="L111" i="5" s="1"/>
  <c r="M111" i="5" s="1"/>
  <c r="X110" i="5"/>
  <c r="Q110" i="5"/>
  <c r="F110" i="5"/>
  <c r="G110" i="5" s="1"/>
  <c r="J110" i="5" s="1"/>
  <c r="X109" i="5"/>
  <c r="Q109" i="5"/>
  <c r="F109" i="5"/>
  <c r="G109" i="5" s="1"/>
  <c r="J109" i="5" s="1"/>
  <c r="X108" i="5"/>
  <c r="W108" i="5"/>
  <c r="Q108" i="5"/>
  <c r="L108" i="5"/>
  <c r="M108" i="5" s="1"/>
  <c r="G108" i="5"/>
  <c r="J108" i="5" s="1"/>
  <c r="F108" i="5"/>
  <c r="X107" i="5"/>
  <c r="Q107" i="5"/>
  <c r="L107" i="5"/>
  <c r="M107" i="5" s="1"/>
  <c r="F107" i="5"/>
  <c r="G107" i="5" s="1"/>
  <c r="J107" i="5" s="1"/>
  <c r="X106" i="5"/>
  <c r="Q106" i="5"/>
  <c r="P106" i="5"/>
  <c r="L106" i="5"/>
  <c r="M106" i="5" s="1"/>
  <c r="J106" i="5"/>
  <c r="N106" i="5" s="1"/>
  <c r="F106" i="5"/>
  <c r="G106" i="5" s="1"/>
  <c r="X105" i="5"/>
  <c r="W105" i="5"/>
  <c r="U231" i="5" s="1"/>
  <c r="Q105" i="5"/>
  <c r="L105" i="5"/>
  <c r="F105" i="5"/>
  <c r="G105" i="5" s="1"/>
  <c r="J105" i="5" s="1"/>
  <c r="X104" i="5"/>
  <c r="W104" i="5"/>
  <c r="U229" i="5" s="1"/>
  <c r="Q104" i="5"/>
  <c r="L104" i="5"/>
  <c r="M104" i="5" s="1"/>
  <c r="F104" i="5"/>
  <c r="G104" i="5" s="1"/>
  <c r="J104" i="5" s="1"/>
  <c r="Q103" i="5"/>
  <c r="O103" i="5"/>
  <c r="J103" i="5"/>
  <c r="G103" i="5"/>
  <c r="F103" i="5"/>
  <c r="L103" i="5" s="1"/>
  <c r="M103" i="5" s="1"/>
  <c r="X102" i="5"/>
  <c r="Q102" i="5"/>
  <c r="L102" i="5"/>
  <c r="M102" i="5" s="1"/>
  <c r="F102" i="5"/>
  <c r="G102" i="5" s="1"/>
  <c r="J102" i="5" s="1"/>
  <c r="X101" i="5"/>
  <c r="Q101" i="5"/>
  <c r="L101" i="5"/>
  <c r="M101" i="5" s="1"/>
  <c r="F101" i="5"/>
  <c r="G101" i="5" s="1"/>
  <c r="J101" i="5" s="1"/>
  <c r="X100" i="5"/>
  <c r="Q100" i="5"/>
  <c r="O100" i="5"/>
  <c r="J100" i="5"/>
  <c r="G100" i="5"/>
  <c r="F100" i="5"/>
  <c r="L100" i="5" s="1"/>
  <c r="M100" i="5" s="1"/>
  <c r="Q99" i="5"/>
  <c r="O99" i="5"/>
  <c r="L99" i="5"/>
  <c r="M99" i="5" s="1"/>
  <c r="J99" i="5"/>
  <c r="F99" i="5"/>
  <c r="G99" i="5" s="1"/>
  <c r="Q98" i="5"/>
  <c r="F98" i="5"/>
  <c r="G98" i="5" s="1"/>
  <c r="J98" i="5" s="1"/>
  <c r="Q97" i="5"/>
  <c r="L97" i="5"/>
  <c r="G97" i="5"/>
  <c r="J97" i="5" s="1"/>
  <c r="F97" i="5"/>
  <c r="Q96" i="5"/>
  <c r="F96" i="5"/>
  <c r="G96" i="5" s="1"/>
  <c r="J96" i="5" s="1"/>
  <c r="Q95" i="5"/>
  <c r="F95" i="5"/>
  <c r="G95" i="5" s="1"/>
  <c r="J95" i="5" s="1"/>
  <c r="Q94" i="5"/>
  <c r="L94" i="5"/>
  <c r="M94" i="5" s="1"/>
  <c r="J94" i="5"/>
  <c r="O94" i="5" s="1"/>
  <c r="F94" i="5"/>
  <c r="G94" i="5" s="1"/>
  <c r="X93" i="5"/>
  <c r="Q93" i="5"/>
  <c r="L93" i="5"/>
  <c r="F93" i="5"/>
  <c r="G93" i="5" s="1"/>
  <c r="J93" i="5" s="1"/>
  <c r="X92" i="5"/>
  <c r="Q92" i="5"/>
  <c r="F92" i="5"/>
  <c r="G92" i="5" s="1"/>
  <c r="J92" i="5" s="1"/>
  <c r="Q91" i="5"/>
  <c r="P91" i="5"/>
  <c r="J91" i="5"/>
  <c r="N91" i="5" s="1"/>
  <c r="G91" i="5"/>
  <c r="F91" i="5"/>
  <c r="L91" i="5" s="1"/>
  <c r="M91" i="5" s="1"/>
  <c r="Q90" i="5"/>
  <c r="P90" i="5"/>
  <c r="L90" i="5"/>
  <c r="M90" i="5" s="1"/>
  <c r="J90" i="5"/>
  <c r="N90" i="5" s="1"/>
  <c r="F90" i="5"/>
  <c r="G90" i="5" s="1"/>
  <c r="Q89" i="5"/>
  <c r="L89" i="5"/>
  <c r="M89" i="5" s="1"/>
  <c r="G89" i="5"/>
  <c r="J89" i="5" s="1"/>
  <c r="F89" i="5"/>
  <c r="X88" i="5"/>
  <c r="Q88" i="5"/>
  <c r="L88" i="5"/>
  <c r="M88" i="5" s="1"/>
  <c r="G88" i="5"/>
  <c r="J88" i="5" s="1"/>
  <c r="P88" i="5" s="1"/>
  <c r="F88" i="5"/>
  <c r="Q87" i="5"/>
  <c r="L87" i="5"/>
  <c r="M87" i="5" s="1"/>
  <c r="G87" i="5"/>
  <c r="J87" i="5" s="1"/>
  <c r="F87" i="5"/>
  <c r="Q86" i="5"/>
  <c r="G86" i="5"/>
  <c r="J86" i="5" s="1"/>
  <c r="F86" i="5"/>
  <c r="L86" i="5" s="1"/>
  <c r="Q85" i="5"/>
  <c r="L85" i="5"/>
  <c r="M85" i="5" s="1"/>
  <c r="F85" i="5"/>
  <c r="G85" i="5" s="1"/>
  <c r="J85" i="5" s="1"/>
  <c r="X84" i="5"/>
  <c r="Q84" i="5"/>
  <c r="L84" i="5"/>
  <c r="G84" i="5"/>
  <c r="J84" i="5" s="1"/>
  <c r="F84" i="5"/>
  <c r="Q83" i="5"/>
  <c r="F83" i="5"/>
  <c r="G83" i="5" s="1"/>
  <c r="J83" i="5" s="1"/>
  <c r="Q82" i="5"/>
  <c r="F82" i="5"/>
  <c r="G82" i="5" s="1"/>
  <c r="J82" i="5" s="1"/>
  <c r="Q81" i="5"/>
  <c r="P81" i="5"/>
  <c r="J81" i="5"/>
  <c r="N81" i="5" s="1"/>
  <c r="G81" i="5"/>
  <c r="F81" i="5"/>
  <c r="L81" i="5" s="1"/>
  <c r="M81" i="5" s="1"/>
  <c r="Q80" i="5"/>
  <c r="P80" i="5"/>
  <c r="L80" i="5"/>
  <c r="M80" i="5" s="1"/>
  <c r="J80" i="5"/>
  <c r="N80" i="5" s="1"/>
  <c r="F80" i="5"/>
  <c r="G80" i="5" s="1"/>
  <c r="Q79" i="5"/>
  <c r="L79" i="5"/>
  <c r="M79" i="5" s="1"/>
  <c r="G79" i="5"/>
  <c r="J79" i="5" s="1"/>
  <c r="F79" i="5"/>
  <c r="Q78" i="5"/>
  <c r="F78" i="5"/>
  <c r="G78" i="5" s="1"/>
  <c r="J78" i="5" s="1"/>
  <c r="Q77" i="5"/>
  <c r="L77" i="5"/>
  <c r="G77" i="5"/>
  <c r="J77" i="5" s="1"/>
  <c r="P77" i="5" s="1"/>
  <c r="F77" i="5"/>
  <c r="W76" i="5"/>
  <c r="U150" i="5" s="1"/>
  <c r="Q76" i="5"/>
  <c r="F76" i="5"/>
  <c r="G76" i="5" s="1"/>
  <c r="J76" i="5" s="1"/>
  <c r="Q75" i="5"/>
  <c r="L75" i="5"/>
  <c r="G75" i="5"/>
  <c r="J75" i="5" s="1"/>
  <c r="F75" i="5"/>
  <c r="Q74" i="5"/>
  <c r="F74" i="5"/>
  <c r="G74" i="5" s="1"/>
  <c r="J74" i="5" s="1"/>
  <c r="Q73" i="5"/>
  <c r="F73" i="5"/>
  <c r="G73" i="5" s="1"/>
  <c r="J73" i="5" s="1"/>
  <c r="Q72" i="5"/>
  <c r="P72" i="5"/>
  <c r="J72" i="5"/>
  <c r="N72" i="5" s="1"/>
  <c r="G72" i="5"/>
  <c r="F72" i="5"/>
  <c r="L72" i="5" s="1"/>
  <c r="M72" i="5" s="1"/>
  <c r="W71" i="5"/>
  <c r="U155" i="5" s="1"/>
  <c r="Q71" i="5"/>
  <c r="L71" i="5"/>
  <c r="G71" i="5"/>
  <c r="J71" i="5" s="1"/>
  <c r="P71" i="5" s="1"/>
  <c r="F71" i="5"/>
  <c r="Q70" i="5"/>
  <c r="L70" i="5"/>
  <c r="G70" i="5"/>
  <c r="J70" i="5" s="1"/>
  <c r="F70" i="5"/>
  <c r="Q69" i="5"/>
  <c r="J69" i="5"/>
  <c r="O69" i="5" s="1"/>
  <c r="G69" i="5"/>
  <c r="F69" i="5"/>
  <c r="L69" i="5" s="1"/>
  <c r="M69" i="5" s="1"/>
  <c r="Q68" i="5"/>
  <c r="L68" i="5"/>
  <c r="M68" i="5" s="1"/>
  <c r="J68" i="5"/>
  <c r="O68" i="5" s="1"/>
  <c r="F68" i="5"/>
  <c r="G68" i="5" s="1"/>
  <c r="Q67" i="5"/>
  <c r="L67" i="5"/>
  <c r="M67" i="5" s="1"/>
  <c r="F67" i="5"/>
  <c r="G67" i="5" s="1"/>
  <c r="J67" i="5" s="1"/>
  <c r="Q66" i="5"/>
  <c r="L66" i="5"/>
  <c r="M66" i="5" s="1"/>
  <c r="G66" i="5"/>
  <c r="J66" i="5" s="1"/>
  <c r="F66" i="5"/>
  <c r="Q65" i="5"/>
  <c r="F65" i="5"/>
  <c r="G65" i="5" s="1"/>
  <c r="J65" i="5" s="1"/>
  <c r="Q64" i="5"/>
  <c r="F64" i="5"/>
  <c r="G64" i="5" s="1"/>
  <c r="J64" i="5" s="1"/>
  <c r="Q63" i="5"/>
  <c r="G63" i="5"/>
  <c r="J63" i="5" s="1"/>
  <c r="F63" i="5"/>
  <c r="L63" i="5" s="1"/>
  <c r="Q62" i="5"/>
  <c r="F62" i="5"/>
  <c r="G62" i="5" s="1"/>
  <c r="J62" i="5" s="1"/>
  <c r="Q61" i="5"/>
  <c r="L61" i="5"/>
  <c r="M61" i="5" s="1"/>
  <c r="F61" i="5"/>
  <c r="G61" i="5" s="1"/>
  <c r="J61" i="5" s="1"/>
  <c r="Q60" i="5"/>
  <c r="L60" i="5"/>
  <c r="F60" i="5"/>
  <c r="G60" i="5" s="1"/>
  <c r="J60" i="5" s="1"/>
  <c r="Q59" i="5"/>
  <c r="L59" i="5"/>
  <c r="M59" i="5" s="1"/>
  <c r="G59" i="5"/>
  <c r="J59" i="5" s="1"/>
  <c r="P59" i="5" s="1"/>
  <c r="F59" i="5"/>
  <c r="Q58" i="5"/>
  <c r="L58" i="5"/>
  <c r="M58" i="5" s="1"/>
  <c r="G58" i="5"/>
  <c r="J58" i="5" s="1"/>
  <c r="F58" i="5"/>
  <c r="Q57" i="5"/>
  <c r="G57" i="5"/>
  <c r="J57" i="5" s="1"/>
  <c r="F57" i="5"/>
  <c r="L57" i="5" s="1"/>
  <c r="Q56" i="5"/>
  <c r="L56" i="5"/>
  <c r="M56" i="5" s="1"/>
  <c r="F56" i="5"/>
  <c r="G56" i="5" s="1"/>
  <c r="J56" i="5" s="1"/>
  <c r="Q55" i="5"/>
  <c r="F55" i="5"/>
  <c r="G55" i="5" s="1"/>
  <c r="J55" i="5" s="1"/>
  <c r="W54" i="5"/>
  <c r="U169" i="5" s="1"/>
  <c r="Q54" i="5"/>
  <c r="F54" i="5"/>
  <c r="L54" i="5" s="1"/>
  <c r="W53" i="5"/>
  <c r="U200" i="5" s="1"/>
  <c r="Q53" i="5"/>
  <c r="F53" i="5"/>
  <c r="L53" i="5" s="1"/>
  <c r="W52" i="5"/>
  <c r="U170" i="5" s="1"/>
  <c r="Q52" i="5"/>
  <c r="F52" i="5"/>
  <c r="G52" i="5" s="1"/>
  <c r="J52" i="5" s="1"/>
  <c r="Q51" i="5"/>
  <c r="G51" i="5"/>
  <c r="J51" i="5" s="1"/>
  <c r="F51" i="5"/>
  <c r="L51" i="5" s="1"/>
  <c r="Q50" i="5"/>
  <c r="F50" i="5"/>
  <c r="L50" i="5" s="1"/>
  <c r="Q49" i="5"/>
  <c r="F49" i="5"/>
  <c r="G49" i="5" s="1"/>
  <c r="J49" i="5" s="1"/>
  <c r="Q48" i="5"/>
  <c r="F48" i="5"/>
  <c r="G48" i="5" s="1"/>
  <c r="J48" i="5" s="1"/>
  <c r="Q47" i="5"/>
  <c r="E47" i="5"/>
  <c r="D47" i="5"/>
  <c r="X46" i="5"/>
  <c r="Q46" i="5"/>
  <c r="F46" i="5"/>
  <c r="G46" i="5" s="1"/>
  <c r="J46" i="5" s="1"/>
  <c r="Q45" i="5"/>
  <c r="F45" i="5"/>
  <c r="G45" i="5" s="1"/>
  <c r="J45" i="5" s="1"/>
  <c r="Q44" i="5"/>
  <c r="G44" i="5"/>
  <c r="J44" i="5" s="1"/>
  <c r="F44" i="5"/>
  <c r="L44" i="5" s="1"/>
  <c r="Q43" i="5"/>
  <c r="D43" i="5"/>
  <c r="Q42" i="5"/>
  <c r="F42" i="5"/>
  <c r="G42" i="5" s="1"/>
  <c r="J42" i="5" s="1"/>
  <c r="Q41" i="5"/>
  <c r="J41" i="5"/>
  <c r="P41" i="5" s="1"/>
  <c r="F41" i="5"/>
  <c r="G41" i="5" s="1"/>
  <c r="Q40" i="5"/>
  <c r="E40" i="5"/>
  <c r="D40" i="5"/>
  <c r="Q39" i="5"/>
  <c r="F39" i="5"/>
  <c r="L39" i="5" s="1"/>
  <c r="Q38" i="5"/>
  <c r="O38" i="5"/>
  <c r="F38" i="5"/>
  <c r="G38" i="5" s="1"/>
  <c r="J38" i="5" s="1"/>
  <c r="Q37" i="5"/>
  <c r="P37" i="5"/>
  <c r="J37" i="5"/>
  <c r="F37" i="5"/>
  <c r="G37" i="5" s="1"/>
  <c r="Q36" i="5"/>
  <c r="G36" i="5"/>
  <c r="J36" i="5" s="1"/>
  <c r="F36" i="5"/>
  <c r="L36" i="5" s="1"/>
  <c r="Q35" i="5"/>
  <c r="L35" i="5"/>
  <c r="F35" i="5"/>
  <c r="G35" i="5" s="1"/>
  <c r="J35" i="5" s="1"/>
  <c r="W34" i="5"/>
  <c r="Q34" i="5"/>
  <c r="F34" i="5"/>
  <c r="G34" i="5" s="1"/>
  <c r="J34" i="5" s="1"/>
  <c r="Q33" i="5"/>
  <c r="G33" i="5"/>
  <c r="J33" i="5" s="1"/>
  <c r="F33" i="5"/>
  <c r="L33" i="5" s="1"/>
  <c r="Q32" i="5"/>
  <c r="F32" i="5"/>
  <c r="G32" i="5" s="1"/>
  <c r="J32" i="5" s="1"/>
  <c r="Q31" i="5"/>
  <c r="M31" i="5"/>
  <c r="G31" i="5"/>
  <c r="J31" i="5" s="1"/>
  <c r="F31" i="5"/>
  <c r="L31" i="5" s="1"/>
  <c r="Q30" i="5"/>
  <c r="F30" i="5"/>
  <c r="L30" i="5" s="1"/>
  <c r="Q29" i="5"/>
  <c r="F29" i="5"/>
  <c r="G29" i="5" s="1"/>
  <c r="J29" i="5" s="1"/>
  <c r="Q28" i="5"/>
  <c r="F28" i="5"/>
  <c r="G28" i="5" s="1"/>
  <c r="J28" i="5" s="1"/>
  <c r="Q27" i="5"/>
  <c r="G27" i="5"/>
  <c r="J27" i="5" s="1"/>
  <c r="F27" i="5"/>
  <c r="L27" i="5" s="1"/>
  <c r="Q26" i="5"/>
  <c r="F26" i="5"/>
  <c r="G26" i="5" s="1"/>
  <c r="J26" i="5" s="1"/>
  <c r="Q25" i="5"/>
  <c r="O25" i="5"/>
  <c r="G25" i="5"/>
  <c r="J25" i="5" s="1"/>
  <c r="F25" i="5"/>
  <c r="L25" i="5" s="1"/>
  <c r="Q24" i="5"/>
  <c r="F24" i="5"/>
  <c r="L24" i="5" s="1"/>
  <c r="Q23" i="5"/>
  <c r="O23" i="5"/>
  <c r="F23" i="5"/>
  <c r="G23" i="5" s="1"/>
  <c r="J23" i="5" s="1"/>
  <c r="J22" i="5"/>
  <c r="K22" i="5" s="1"/>
  <c r="S22" i="5" s="1"/>
  <c r="I22" i="5"/>
  <c r="H22" i="5"/>
  <c r="Q21" i="5"/>
  <c r="F21" i="5"/>
  <c r="G21" i="5" s="1"/>
  <c r="J21" i="5" s="1"/>
  <c r="Q20" i="5"/>
  <c r="J20" i="5"/>
  <c r="F20" i="5"/>
  <c r="G20" i="5" s="1"/>
  <c r="Q19" i="5"/>
  <c r="G19" i="5"/>
  <c r="J19" i="5" s="1"/>
  <c r="F19" i="5"/>
  <c r="L19" i="5" s="1"/>
  <c r="Q18" i="5"/>
  <c r="F18" i="5"/>
  <c r="G18" i="5" s="1"/>
  <c r="J18" i="5" s="1"/>
  <c r="Q17" i="5"/>
  <c r="G17" i="5"/>
  <c r="J17" i="5" s="1"/>
  <c r="O17" i="5" s="1"/>
  <c r="F17" i="5"/>
  <c r="L17" i="5" s="1"/>
  <c r="M17" i="5" s="1"/>
  <c r="Q16" i="5"/>
  <c r="F16" i="5"/>
  <c r="L16" i="5" s="1"/>
  <c r="Q15" i="5"/>
  <c r="E15" i="5"/>
  <c r="D15" i="5"/>
  <c r="W14" i="5"/>
  <c r="U141" i="5" s="1"/>
  <c r="Q14" i="5"/>
  <c r="F14" i="5"/>
  <c r="G14" i="5" s="1"/>
  <c r="J14" i="5" s="1"/>
  <c r="Q13" i="5"/>
  <c r="J13" i="5"/>
  <c r="F13" i="5"/>
  <c r="G13" i="5" s="1"/>
  <c r="Q12" i="5"/>
  <c r="L12" i="5"/>
  <c r="G12" i="5"/>
  <c r="J12" i="5" s="1"/>
  <c r="F12" i="5"/>
  <c r="Q11" i="5"/>
  <c r="N11" i="5"/>
  <c r="M11" i="5"/>
  <c r="L11" i="5"/>
  <c r="G11" i="5"/>
  <c r="J11" i="5" s="1"/>
  <c r="F11" i="5"/>
  <c r="J10" i="5"/>
  <c r="K10" i="5" s="1"/>
  <c r="S10" i="5" s="1"/>
  <c r="I10" i="5"/>
  <c r="H10" i="5" s="1"/>
  <c r="Q9" i="5"/>
  <c r="L9" i="5"/>
  <c r="F9" i="5"/>
  <c r="G9" i="5" s="1"/>
  <c r="J9" i="5" s="1"/>
  <c r="R8" i="5"/>
  <c r="J8" i="5"/>
  <c r="K8" i="5" s="1"/>
  <c r="I8" i="5"/>
  <c r="H8" i="5" s="1"/>
  <c r="D8" i="5"/>
  <c r="Q7" i="5"/>
  <c r="J7" i="5"/>
  <c r="N7" i="5" s="1"/>
  <c r="F7" i="5"/>
  <c r="G7" i="5" s="1"/>
  <c r="Q6" i="5"/>
  <c r="P6" i="5"/>
  <c r="L6" i="5"/>
  <c r="J6" i="5"/>
  <c r="F6" i="5"/>
  <c r="G6" i="5" s="1"/>
  <c r="Q5" i="5"/>
  <c r="O5" i="5"/>
  <c r="N5" i="5"/>
  <c r="M5" i="5"/>
  <c r="L5" i="5"/>
  <c r="J5" i="5"/>
  <c r="P5" i="5" s="1"/>
  <c r="K5" i="5" s="1"/>
  <c r="S5" i="5" s="1"/>
  <c r="F5" i="5"/>
  <c r="K4" i="5"/>
  <c r="S4" i="5" s="1"/>
  <c r="J4" i="5"/>
  <c r="I4" i="5"/>
  <c r="H4" i="5"/>
  <c r="Q3" i="5"/>
  <c r="N3" i="5"/>
  <c r="J3" i="5"/>
  <c r="Q2" i="5"/>
  <c r="N2" i="5"/>
  <c r="M2" i="5"/>
  <c r="L2" i="5"/>
  <c r="J2" i="5"/>
  <c r="K2" i="5" s="1"/>
  <c r="S2" i="5" s="1"/>
  <c r="F2" i="5"/>
  <c r="J1815" i="4"/>
  <c r="AF1801" i="4"/>
  <c r="AA1798" i="4"/>
  <c r="AB1797" i="4"/>
  <c r="AB1799" i="4" s="1"/>
  <c r="Z1796" i="4"/>
  <c r="Y1796" i="4"/>
  <c r="X1796" i="4"/>
  <c r="W1796" i="4"/>
  <c r="V1796" i="4"/>
  <c r="U1796" i="4"/>
  <c r="T1796" i="4"/>
  <c r="AC1795" i="4"/>
  <c r="Z1795" i="4"/>
  <c r="Y1795" i="4"/>
  <c r="X1795" i="4"/>
  <c r="W1795" i="4"/>
  <c r="V1795" i="4"/>
  <c r="U1795" i="4"/>
  <c r="T1795" i="4"/>
  <c r="AF1794" i="4"/>
  <c r="Z1794" i="4"/>
  <c r="Z1797" i="4" s="1"/>
  <c r="Z1799" i="4" s="1"/>
  <c r="Y1794" i="4"/>
  <c r="Y1797" i="4" s="1"/>
  <c r="Y1799" i="4" s="1"/>
  <c r="X1794" i="4"/>
  <c r="X1797" i="4" s="1"/>
  <c r="X1799" i="4" s="1"/>
  <c r="W1794" i="4"/>
  <c r="W1797" i="4" s="1"/>
  <c r="W1799" i="4" s="1"/>
  <c r="V1794" i="4"/>
  <c r="V1797" i="4" s="1"/>
  <c r="V1799" i="4" s="1"/>
  <c r="U1794" i="4"/>
  <c r="U1797" i="4" s="1"/>
  <c r="T1794" i="4"/>
  <c r="T1797" i="4" s="1"/>
  <c r="T1799" i="4" s="1"/>
  <c r="AC1792" i="4"/>
  <c r="AD1792" i="4" s="1"/>
  <c r="AA1791" i="4"/>
  <c r="AC1790" i="4"/>
  <c r="AD1795" i="4" s="1"/>
  <c r="AB1790" i="4"/>
  <c r="AB1792" i="4" s="1"/>
  <c r="H1790" i="4"/>
  <c r="AB1786" i="4"/>
  <c r="AB1785" i="4"/>
  <c r="B1784" i="4"/>
  <c r="U1782" i="4"/>
  <c r="AC1786" i="4" s="1"/>
  <c r="AB1779" i="4"/>
  <c r="R1779" i="4"/>
  <c r="Q1779" i="4"/>
  <c r="K1779" i="4"/>
  <c r="AB1776" i="4"/>
  <c r="R1776" i="4"/>
  <c r="U1790" i="4" s="1"/>
  <c r="K1776" i="4"/>
  <c r="AB1775" i="4"/>
  <c r="R1775" i="4"/>
  <c r="N1775" i="4"/>
  <c r="U1775" i="4" s="1"/>
  <c r="K1775" i="4"/>
  <c r="Q1775" i="4" s="1"/>
  <c r="AB1774" i="4"/>
  <c r="R1774" i="4"/>
  <c r="K1774" i="4"/>
  <c r="AB1773" i="4"/>
  <c r="R1773" i="4"/>
  <c r="K1773" i="4"/>
  <c r="Q1773" i="4" s="1"/>
  <c r="AB1772" i="4"/>
  <c r="R1772" i="4"/>
  <c r="K1772" i="4"/>
  <c r="AB1771" i="4"/>
  <c r="R1771" i="4"/>
  <c r="K1771" i="4"/>
  <c r="Q1771" i="4" s="1"/>
  <c r="AB1770" i="4"/>
  <c r="R1770" i="4"/>
  <c r="K1770" i="4"/>
  <c r="AB1769" i="4"/>
  <c r="R1769" i="4"/>
  <c r="K1769" i="4"/>
  <c r="Q1769" i="4" s="1"/>
  <c r="AB1768" i="4"/>
  <c r="R1768" i="4"/>
  <c r="K1768" i="4"/>
  <c r="AB1767" i="4"/>
  <c r="R1767" i="4"/>
  <c r="K1767" i="4"/>
  <c r="Q1767" i="4" s="1"/>
  <c r="AB1766" i="4"/>
  <c r="R1766" i="4"/>
  <c r="K1766" i="4"/>
  <c r="AB1765" i="4"/>
  <c r="R1765" i="4"/>
  <c r="K1765" i="4"/>
  <c r="Q1765" i="4" s="1"/>
  <c r="AB1764" i="4"/>
  <c r="R1764" i="4"/>
  <c r="K1764" i="4"/>
  <c r="AB1763" i="4"/>
  <c r="R1763" i="4"/>
  <c r="K1763" i="4"/>
  <c r="Q1763" i="4" s="1"/>
  <c r="AB1762" i="4"/>
  <c r="R1762" i="4"/>
  <c r="K1762" i="4"/>
  <c r="AB1761" i="4"/>
  <c r="R1761" i="4"/>
  <c r="K1761" i="4"/>
  <c r="Q1761" i="4" s="1"/>
  <c r="AB1760" i="4"/>
  <c r="R1760" i="4"/>
  <c r="K1760" i="4"/>
  <c r="AB1759" i="4"/>
  <c r="R1759" i="4"/>
  <c r="K1759" i="4"/>
  <c r="Q1759" i="4" s="1"/>
  <c r="AB1758" i="4"/>
  <c r="R1758" i="4"/>
  <c r="K1758" i="4"/>
  <c r="AB1757" i="4"/>
  <c r="R1757" i="4"/>
  <c r="K1757" i="4"/>
  <c r="Q1757" i="4" s="1"/>
  <c r="AB1756" i="4"/>
  <c r="R1756" i="4"/>
  <c r="K1756" i="4"/>
  <c r="AB1755" i="4"/>
  <c r="R1755" i="4"/>
  <c r="K1755" i="4"/>
  <c r="Q1755" i="4" s="1"/>
  <c r="AB1754" i="4"/>
  <c r="R1754" i="4"/>
  <c r="K1754" i="4"/>
  <c r="AB1753" i="4"/>
  <c r="R1753" i="4"/>
  <c r="K1753" i="4"/>
  <c r="Q1753" i="4" s="1"/>
  <c r="AB1752" i="4"/>
  <c r="R1752" i="4"/>
  <c r="K1752" i="4"/>
  <c r="AB1751" i="4"/>
  <c r="R1751" i="4"/>
  <c r="K1751" i="4"/>
  <c r="Q1751" i="4" s="1"/>
  <c r="AB1750" i="4"/>
  <c r="R1750" i="4"/>
  <c r="K1750" i="4"/>
  <c r="AB1749" i="4"/>
  <c r="R1749" i="4"/>
  <c r="K1749" i="4"/>
  <c r="Q1749" i="4" s="1"/>
  <c r="AB1748" i="4"/>
  <c r="R1748" i="4"/>
  <c r="K1748" i="4"/>
  <c r="AB1747" i="4"/>
  <c r="R1747" i="4"/>
  <c r="K1747" i="4"/>
  <c r="Q1747" i="4" s="1"/>
  <c r="AB1746" i="4"/>
  <c r="R1746" i="4"/>
  <c r="K1746" i="4"/>
  <c r="AB1745" i="4"/>
  <c r="R1745" i="4"/>
  <c r="K1745" i="4"/>
  <c r="Q1745" i="4" s="1"/>
  <c r="AB1744" i="4"/>
  <c r="R1744" i="4"/>
  <c r="K1744" i="4"/>
  <c r="AB1743" i="4"/>
  <c r="R1743" i="4"/>
  <c r="K1743" i="4"/>
  <c r="Q1743" i="4" s="1"/>
  <c r="AB1742" i="4"/>
  <c r="R1742" i="4"/>
  <c r="K1742" i="4"/>
  <c r="AB1741" i="4"/>
  <c r="R1741" i="4"/>
  <c r="K1741" i="4"/>
  <c r="Q1741" i="4" s="1"/>
  <c r="AB1740" i="4"/>
  <c r="R1740" i="4"/>
  <c r="K1740" i="4"/>
  <c r="AB1739" i="4"/>
  <c r="R1739" i="4"/>
  <c r="K1739" i="4"/>
  <c r="Q1739" i="4" s="1"/>
  <c r="AB1738" i="4"/>
  <c r="R1738" i="4"/>
  <c r="K1738" i="4"/>
  <c r="AB1737" i="4"/>
  <c r="R1737" i="4"/>
  <c r="K1737" i="4"/>
  <c r="Q1737" i="4" s="1"/>
  <c r="AB1736" i="4"/>
  <c r="R1736" i="4"/>
  <c r="K1736" i="4"/>
  <c r="AB1735" i="4"/>
  <c r="R1735" i="4"/>
  <c r="K1735" i="4"/>
  <c r="Q1735" i="4" s="1"/>
  <c r="AB1734" i="4"/>
  <c r="R1734" i="4"/>
  <c r="K1734" i="4"/>
  <c r="AB1733" i="4"/>
  <c r="R1733" i="4"/>
  <c r="K1733" i="4"/>
  <c r="Q1733" i="4" s="1"/>
  <c r="AB1732" i="4"/>
  <c r="R1732" i="4"/>
  <c r="K1732" i="4"/>
  <c r="AB1731" i="4"/>
  <c r="R1731" i="4"/>
  <c r="K1731" i="4"/>
  <c r="Q1731" i="4" s="1"/>
  <c r="AB1730" i="4"/>
  <c r="R1730" i="4"/>
  <c r="K1730" i="4"/>
  <c r="AB1729" i="4"/>
  <c r="R1729" i="4"/>
  <c r="K1729" i="4"/>
  <c r="Q1729" i="4" s="1"/>
  <c r="AB1728" i="4"/>
  <c r="R1728" i="4"/>
  <c r="K1728" i="4"/>
  <c r="AB1727" i="4"/>
  <c r="R1727" i="4"/>
  <c r="K1727" i="4"/>
  <c r="Q1727" i="4" s="1"/>
  <c r="AB1726" i="4"/>
  <c r="R1726" i="4"/>
  <c r="K1726" i="4"/>
  <c r="AB1725" i="4"/>
  <c r="R1725" i="4"/>
  <c r="K1725" i="4"/>
  <c r="Q1725" i="4" s="1"/>
  <c r="AB1724" i="4"/>
  <c r="R1724" i="4"/>
  <c r="K1724" i="4"/>
  <c r="AB1723" i="4"/>
  <c r="R1723" i="4"/>
  <c r="K1723" i="4"/>
  <c r="Q1723" i="4" s="1"/>
  <c r="AB1722" i="4"/>
  <c r="R1722" i="4"/>
  <c r="K1722" i="4"/>
  <c r="AB1721" i="4"/>
  <c r="R1721" i="4"/>
  <c r="K1721" i="4"/>
  <c r="Q1721" i="4" s="1"/>
  <c r="AB1720" i="4"/>
  <c r="R1720" i="4"/>
  <c r="K1720" i="4"/>
  <c r="AB1719" i="4"/>
  <c r="R1719" i="4"/>
  <c r="K1719" i="4"/>
  <c r="Q1719" i="4" s="1"/>
  <c r="AB1718" i="4"/>
  <c r="R1718" i="4"/>
  <c r="K1718" i="4"/>
  <c r="AB1717" i="4"/>
  <c r="R1717" i="4"/>
  <c r="K1717" i="4"/>
  <c r="Q1717" i="4" s="1"/>
  <c r="AB1716" i="4"/>
  <c r="R1716" i="4"/>
  <c r="K1716" i="4"/>
  <c r="AB1715" i="4"/>
  <c r="R1715" i="4"/>
  <c r="K1715" i="4"/>
  <c r="Q1715" i="4" s="1"/>
  <c r="AB1714" i="4"/>
  <c r="R1714" i="4"/>
  <c r="K1714" i="4"/>
  <c r="AB1713" i="4"/>
  <c r="R1713" i="4"/>
  <c r="K1713" i="4"/>
  <c r="Q1713" i="4" s="1"/>
  <c r="AB1712" i="4"/>
  <c r="R1712" i="4"/>
  <c r="K1712" i="4"/>
  <c r="AB1711" i="4"/>
  <c r="R1711" i="4"/>
  <c r="K1711" i="4"/>
  <c r="Q1711" i="4" s="1"/>
  <c r="AB1710" i="4"/>
  <c r="R1710" i="4"/>
  <c r="K1710" i="4"/>
  <c r="AB1709" i="4"/>
  <c r="R1709" i="4"/>
  <c r="K1709" i="4"/>
  <c r="Q1709" i="4" s="1"/>
  <c r="AB1708" i="4"/>
  <c r="R1708" i="4"/>
  <c r="K1708" i="4"/>
  <c r="AB1707" i="4"/>
  <c r="R1707" i="4"/>
  <c r="K1707" i="4"/>
  <c r="Q1707" i="4" s="1"/>
  <c r="AB1706" i="4"/>
  <c r="R1706" i="4"/>
  <c r="K1706" i="4"/>
  <c r="AB1705" i="4"/>
  <c r="R1705" i="4"/>
  <c r="K1705" i="4"/>
  <c r="Q1705" i="4" s="1"/>
  <c r="AB1704" i="4"/>
  <c r="R1704" i="4"/>
  <c r="K1704" i="4"/>
  <c r="AB1703" i="4"/>
  <c r="R1703" i="4"/>
  <c r="K1703" i="4"/>
  <c r="Q1703" i="4" s="1"/>
  <c r="AB1702" i="4"/>
  <c r="R1702" i="4"/>
  <c r="K1702" i="4"/>
  <c r="N1702" i="4" s="1"/>
  <c r="U1702" i="4" s="1"/>
  <c r="AB1701" i="4"/>
  <c r="R1701" i="4"/>
  <c r="K1701" i="4"/>
  <c r="Q1701" i="4" s="1"/>
  <c r="AB1700" i="4"/>
  <c r="R1700" i="4"/>
  <c r="O1700" i="4"/>
  <c r="T1700" i="4" s="1"/>
  <c r="K1700" i="4"/>
  <c r="N1700" i="4" s="1"/>
  <c r="U1700" i="4" s="1"/>
  <c r="AB1699" i="4"/>
  <c r="R1699" i="4"/>
  <c r="O1699" i="4"/>
  <c r="N1699" i="4"/>
  <c r="U1699" i="4" s="1"/>
  <c r="K1699" i="4"/>
  <c r="Q1699" i="4" s="1"/>
  <c r="AB1698" i="4"/>
  <c r="R1698" i="4"/>
  <c r="K1698" i="4"/>
  <c r="N1698" i="4" s="1"/>
  <c r="U1698" i="4" s="1"/>
  <c r="AB1697" i="4"/>
  <c r="R1697" i="4"/>
  <c r="K1697" i="4"/>
  <c r="Q1697" i="4" s="1"/>
  <c r="AB1696" i="4"/>
  <c r="R1696" i="4"/>
  <c r="K1696" i="4"/>
  <c r="N1696" i="4" s="1"/>
  <c r="AB1695" i="4"/>
  <c r="R1695" i="4"/>
  <c r="K1695" i="4"/>
  <c r="Q1695" i="4" s="1"/>
  <c r="AB1694" i="4"/>
  <c r="R1694" i="4"/>
  <c r="K1694" i="4"/>
  <c r="N1694" i="4" s="1"/>
  <c r="U1694" i="4" s="1"/>
  <c r="AB1693" i="4"/>
  <c r="R1693" i="4"/>
  <c r="K1693" i="4"/>
  <c r="Q1693" i="4" s="1"/>
  <c r="AB1692" i="4"/>
  <c r="R1692" i="4"/>
  <c r="K1692" i="4"/>
  <c r="N1692" i="4" s="1"/>
  <c r="U1692" i="4" s="1"/>
  <c r="AB1691" i="4"/>
  <c r="R1691" i="4"/>
  <c r="K1691" i="4"/>
  <c r="Q1691" i="4" s="1"/>
  <c r="AB1690" i="4"/>
  <c r="R1690" i="4"/>
  <c r="K1690" i="4"/>
  <c r="N1690" i="4" s="1"/>
  <c r="AB1689" i="4"/>
  <c r="R1689" i="4"/>
  <c r="K1689" i="4"/>
  <c r="Q1689" i="4" s="1"/>
  <c r="AB1688" i="4"/>
  <c r="R1688" i="4"/>
  <c r="K1688" i="4"/>
  <c r="N1688" i="4" s="1"/>
  <c r="AB1687" i="4"/>
  <c r="R1687" i="4"/>
  <c r="K1687" i="4"/>
  <c r="Q1687" i="4" s="1"/>
  <c r="AB1686" i="4"/>
  <c r="R1686" i="4"/>
  <c r="K1686" i="4"/>
  <c r="N1686" i="4" s="1"/>
  <c r="AB1685" i="4"/>
  <c r="R1685" i="4"/>
  <c r="K1685" i="4"/>
  <c r="Q1685" i="4" s="1"/>
  <c r="AB1684" i="4"/>
  <c r="R1684" i="4"/>
  <c r="K1684" i="4"/>
  <c r="N1684" i="4" s="1"/>
  <c r="AB1683" i="4"/>
  <c r="R1683" i="4"/>
  <c r="K1683" i="4"/>
  <c r="Q1683" i="4" s="1"/>
  <c r="AB1682" i="4"/>
  <c r="R1682" i="4"/>
  <c r="K1682" i="4"/>
  <c r="N1682" i="4" s="1"/>
  <c r="U1682" i="4" s="1"/>
  <c r="AB1681" i="4"/>
  <c r="R1681" i="4"/>
  <c r="K1681" i="4"/>
  <c r="Q1681" i="4" s="1"/>
  <c r="AB1680" i="4"/>
  <c r="R1680" i="4"/>
  <c r="K1680" i="4"/>
  <c r="N1680" i="4" s="1"/>
  <c r="AB1679" i="4"/>
  <c r="R1679" i="4"/>
  <c r="K1679" i="4"/>
  <c r="Q1679" i="4" s="1"/>
  <c r="AB1678" i="4"/>
  <c r="R1678" i="4"/>
  <c r="K1678" i="4"/>
  <c r="N1678" i="4" s="1"/>
  <c r="AB1677" i="4"/>
  <c r="R1677" i="4"/>
  <c r="K1677" i="4"/>
  <c r="Q1677" i="4" s="1"/>
  <c r="AB1676" i="4"/>
  <c r="U1676" i="4"/>
  <c r="R1676" i="4"/>
  <c r="Q1676" i="4"/>
  <c r="O1676" i="4"/>
  <c r="T1676" i="4" s="1"/>
  <c r="K1676" i="4"/>
  <c r="N1676" i="4" s="1"/>
  <c r="AB1675" i="4"/>
  <c r="R1675" i="4"/>
  <c r="Q1675" i="4"/>
  <c r="O1675" i="4"/>
  <c r="T1675" i="4" s="1"/>
  <c r="K1675" i="4"/>
  <c r="N1675" i="4" s="1"/>
  <c r="AB1674" i="4"/>
  <c r="R1674" i="4"/>
  <c r="K1674" i="4"/>
  <c r="N1674" i="4" s="1"/>
  <c r="U1674" i="4" s="1"/>
  <c r="AB1673" i="4"/>
  <c r="U1673" i="4"/>
  <c r="R1673" i="4"/>
  <c r="N1673" i="4"/>
  <c r="K1673" i="4"/>
  <c r="Q1673" i="4" s="1"/>
  <c r="AB1672" i="4"/>
  <c r="R1672" i="4"/>
  <c r="Q1672" i="4"/>
  <c r="K1672" i="4"/>
  <c r="N1672" i="4" s="1"/>
  <c r="U1672" i="4" s="1"/>
  <c r="AB1671" i="4"/>
  <c r="R1671" i="4"/>
  <c r="O1671" i="4"/>
  <c r="T1671" i="4" s="1"/>
  <c r="N1671" i="4"/>
  <c r="P1671" i="4" s="1"/>
  <c r="K1671" i="4"/>
  <c r="Q1671" i="4" s="1"/>
  <c r="AB1670" i="4"/>
  <c r="R1670" i="4"/>
  <c r="K1670" i="4"/>
  <c r="N1670" i="4" s="1"/>
  <c r="U1670" i="4" s="1"/>
  <c r="AB1669" i="4"/>
  <c r="R1669" i="4"/>
  <c r="Q1669" i="4"/>
  <c r="K1669" i="4"/>
  <c r="O1669" i="4" s="1"/>
  <c r="T1669" i="4" s="1"/>
  <c r="AB1668" i="4"/>
  <c r="R1668" i="4"/>
  <c r="K1668" i="4"/>
  <c r="N1668" i="4" s="1"/>
  <c r="U1668" i="4" s="1"/>
  <c r="AB1667" i="4"/>
  <c r="U1667" i="4"/>
  <c r="R1667" i="4"/>
  <c r="N1667" i="4"/>
  <c r="K1667" i="4"/>
  <c r="Q1667" i="4" s="1"/>
  <c r="AB1666" i="4"/>
  <c r="R1666" i="4"/>
  <c r="Q1666" i="4"/>
  <c r="O1666" i="4"/>
  <c r="T1666" i="4" s="1"/>
  <c r="K1666" i="4"/>
  <c r="N1666" i="4" s="1"/>
  <c r="U1666" i="4" s="1"/>
  <c r="AB1665" i="4"/>
  <c r="R1665" i="4"/>
  <c r="K1665" i="4"/>
  <c r="AB1664" i="4"/>
  <c r="R1664" i="4"/>
  <c r="K1664" i="4"/>
  <c r="AB1663" i="4"/>
  <c r="R1663" i="4"/>
  <c r="K1663" i="4"/>
  <c r="AB1662" i="4"/>
  <c r="R1662" i="4"/>
  <c r="K1662" i="4"/>
  <c r="AB1661" i="4"/>
  <c r="R1661" i="4"/>
  <c r="K1661" i="4"/>
  <c r="AB1660" i="4"/>
  <c r="R1660" i="4"/>
  <c r="K1660" i="4"/>
  <c r="AB1659" i="4"/>
  <c r="R1659" i="4"/>
  <c r="K1659" i="4"/>
  <c r="AB1658" i="4"/>
  <c r="R1658" i="4"/>
  <c r="K1658" i="4"/>
  <c r="AB1657" i="4"/>
  <c r="R1657" i="4"/>
  <c r="K1657" i="4"/>
  <c r="AB1656" i="4"/>
  <c r="R1656" i="4"/>
  <c r="K1656" i="4"/>
  <c r="AB1655" i="4"/>
  <c r="R1655" i="4"/>
  <c r="K1655" i="4"/>
  <c r="AB1654" i="4"/>
  <c r="R1654" i="4"/>
  <c r="K1654" i="4"/>
  <c r="AB1653" i="4"/>
  <c r="R1653" i="4"/>
  <c r="K1653" i="4"/>
  <c r="AB1652" i="4"/>
  <c r="R1652" i="4"/>
  <c r="K1652" i="4"/>
  <c r="AB1651" i="4"/>
  <c r="R1651" i="4"/>
  <c r="K1651" i="4"/>
  <c r="AB1650" i="4"/>
  <c r="R1650" i="4"/>
  <c r="K1650" i="4"/>
  <c r="AB1649" i="4"/>
  <c r="R1649" i="4"/>
  <c r="K1649" i="4"/>
  <c r="AB1648" i="4"/>
  <c r="R1648" i="4"/>
  <c r="K1648" i="4"/>
  <c r="AB1647" i="4"/>
  <c r="R1647" i="4"/>
  <c r="K1647" i="4"/>
  <c r="AB1646" i="4"/>
  <c r="R1646" i="4"/>
  <c r="K1646" i="4"/>
  <c r="AB1645" i="4"/>
  <c r="R1645" i="4"/>
  <c r="K1645" i="4"/>
  <c r="AB1644" i="4"/>
  <c r="R1644" i="4"/>
  <c r="K1644" i="4"/>
  <c r="AB1643" i="4"/>
  <c r="R1643" i="4"/>
  <c r="K1643" i="4"/>
  <c r="AB1642" i="4"/>
  <c r="R1642" i="4"/>
  <c r="K1642" i="4"/>
  <c r="AB1641" i="4"/>
  <c r="R1641" i="4"/>
  <c r="K1641" i="4"/>
  <c r="AB1640" i="4"/>
  <c r="R1640" i="4"/>
  <c r="K1640" i="4"/>
  <c r="AB1639" i="4"/>
  <c r="R1639" i="4"/>
  <c r="K1639" i="4"/>
  <c r="AB1638" i="4"/>
  <c r="R1638" i="4"/>
  <c r="K1638" i="4"/>
  <c r="AB1637" i="4"/>
  <c r="R1637" i="4"/>
  <c r="K1637" i="4"/>
  <c r="AB1636" i="4"/>
  <c r="R1636" i="4"/>
  <c r="K1636" i="4"/>
  <c r="AB1635" i="4"/>
  <c r="R1635" i="4"/>
  <c r="K1635" i="4"/>
  <c r="AB1634" i="4"/>
  <c r="R1634" i="4"/>
  <c r="K1634" i="4"/>
  <c r="AB1633" i="4"/>
  <c r="R1633" i="4"/>
  <c r="K1633" i="4"/>
  <c r="AB1632" i="4"/>
  <c r="R1632" i="4"/>
  <c r="K1632" i="4"/>
  <c r="AB1631" i="4"/>
  <c r="R1631" i="4"/>
  <c r="K1631" i="4"/>
  <c r="O1631" i="4" s="1"/>
  <c r="T1631" i="4" s="1"/>
  <c r="AB1630" i="4"/>
  <c r="R1630" i="4"/>
  <c r="K1630" i="4"/>
  <c r="AB1629" i="4"/>
  <c r="R1629" i="4"/>
  <c r="K1629" i="4"/>
  <c r="AB1628" i="4"/>
  <c r="R1628" i="4"/>
  <c r="K1628" i="4"/>
  <c r="AB1627" i="4"/>
  <c r="R1627" i="4"/>
  <c r="K1627" i="4"/>
  <c r="AB1626" i="4"/>
  <c r="R1626" i="4"/>
  <c r="K1626" i="4"/>
  <c r="AB1625" i="4"/>
  <c r="R1625" i="4"/>
  <c r="K1625" i="4"/>
  <c r="O1625" i="4" s="1"/>
  <c r="T1625" i="4" s="1"/>
  <c r="AB1624" i="4"/>
  <c r="R1624" i="4"/>
  <c r="K1624" i="4"/>
  <c r="AB1623" i="4"/>
  <c r="R1623" i="4"/>
  <c r="K1623" i="4"/>
  <c r="O1623" i="4" s="1"/>
  <c r="T1623" i="4" s="1"/>
  <c r="AB1622" i="4"/>
  <c r="R1622" i="4"/>
  <c r="K1622" i="4"/>
  <c r="Q1622" i="4" s="1"/>
  <c r="AB1621" i="4"/>
  <c r="R1621" i="4"/>
  <c r="K1621" i="4"/>
  <c r="N1621" i="4" s="1"/>
  <c r="U1621" i="4" s="1"/>
  <c r="AB1620" i="4"/>
  <c r="R1620" i="4"/>
  <c r="K1620" i="4"/>
  <c r="Q1620" i="4" s="1"/>
  <c r="AB1619" i="4"/>
  <c r="R1619" i="4"/>
  <c r="K1619" i="4"/>
  <c r="N1619" i="4" s="1"/>
  <c r="U1619" i="4" s="1"/>
  <c r="AB1618" i="4"/>
  <c r="R1618" i="4"/>
  <c r="K1618" i="4"/>
  <c r="Q1618" i="4" s="1"/>
  <c r="AB1617" i="4"/>
  <c r="R1617" i="4"/>
  <c r="K1617" i="4"/>
  <c r="N1617" i="4" s="1"/>
  <c r="U1617" i="4" s="1"/>
  <c r="AB1616" i="4"/>
  <c r="R1616" i="4"/>
  <c r="N1616" i="4"/>
  <c r="U1616" i="4" s="1"/>
  <c r="K1616" i="4"/>
  <c r="Q1616" i="4" s="1"/>
  <c r="AB1615" i="4"/>
  <c r="R1615" i="4"/>
  <c r="K1615" i="4"/>
  <c r="N1615" i="4" s="1"/>
  <c r="U1615" i="4" s="1"/>
  <c r="AB1614" i="4"/>
  <c r="R1614" i="4"/>
  <c r="K1614" i="4"/>
  <c r="Q1614" i="4" s="1"/>
  <c r="AB1613" i="4"/>
  <c r="R1613" i="4"/>
  <c r="O1613" i="4"/>
  <c r="T1613" i="4" s="1"/>
  <c r="K1613" i="4"/>
  <c r="N1613" i="4" s="1"/>
  <c r="AB1612" i="4"/>
  <c r="R1612" i="4"/>
  <c r="N1612" i="4"/>
  <c r="K1612" i="4"/>
  <c r="Q1612" i="4" s="1"/>
  <c r="AB1611" i="4"/>
  <c r="R1611" i="4"/>
  <c r="K1611" i="4"/>
  <c r="N1611" i="4" s="1"/>
  <c r="AB1610" i="4"/>
  <c r="R1610" i="4"/>
  <c r="K1610" i="4"/>
  <c r="Q1610" i="4" s="1"/>
  <c r="AB1609" i="4"/>
  <c r="R1609" i="4"/>
  <c r="Q1609" i="4"/>
  <c r="K1609" i="4"/>
  <c r="N1609" i="4" s="1"/>
  <c r="U1609" i="4" s="1"/>
  <c r="AB1608" i="4"/>
  <c r="R1608" i="4"/>
  <c r="K1608" i="4"/>
  <c r="Q1608" i="4" s="1"/>
  <c r="AB1607" i="4"/>
  <c r="R1607" i="4"/>
  <c r="K1607" i="4"/>
  <c r="N1607" i="4" s="1"/>
  <c r="U1607" i="4" s="1"/>
  <c r="AB1606" i="4"/>
  <c r="R1606" i="4"/>
  <c r="K1606" i="4"/>
  <c r="Q1606" i="4" s="1"/>
  <c r="AB1605" i="4"/>
  <c r="R1605" i="4"/>
  <c r="O1605" i="4"/>
  <c r="T1605" i="4" s="1"/>
  <c r="K1605" i="4"/>
  <c r="N1605" i="4" s="1"/>
  <c r="U1605" i="4" s="1"/>
  <c r="AB1604" i="4"/>
  <c r="R1604" i="4"/>
  <c r="K1604" i="4"/>
  <c r="Q1604" i="4" s="1"/>
  <c r="AB1603" i="4"/>
  <c r="R1603" i="4"/>
  <c r="K1603" i="4"/>
  <c r="N1603" i="4" s="1"/>
  <c r="U1603" i="4" s="1"/>
  <c r="AB1602" i="4"/>
  <c r="R1602" i="4"/>
  <c r="O1602" i="4"/>
  <c r="T1602" i="4" s="1"/>
  <c r="K1602" i="4"/>
  <c r="Q1602" i="4" s="1"/>
  <c r="AB1601" i="4"/>
  <c r="R1601" i="4"/>
  <c r="K1601" i="4"/>
  <c r="N1601" i="4" s="1"/>
  <c r="AB1600" i="4"/>
  <c r="R1600" i="4"/>
  <c r="K1600" i="4"/>
  <c r="Q1600" i="4" s="1"/>
  <c r="AB1599" i="4"/>
  <c r="R1599" i="4"/>
  <c r="K1599" i="4"/>
  <c r="N1599" i="4" s="1"/>
  <c r="AB1598" i="4"/>
  <c r="R1598" i="4"/>
  <c r="K1598" i="4"/>
  <c r="Q1598" i="4" s="1"/>
  <c r="AB1597" i="4"/>
  <c r="R1597" i="4"/>
  <c r="K1597" i="4"/>
  <c r="N1597" i="4" s="1"/>
  <c r="U1597" i="4" s="1"/>
  <c r="AB1596" i="4"/>
  <c r="R1596" i="4"/>
  <c r="K1596" i="4"/>
  <c r="Q1596" i="4" s="1"/>
  <c r="AB1595" i="4"/>
  <c r="R1595" i="4"/>
  <c r="K1595" i="4"/>
  <c r="N1595" i="4" s="1"/>
  <c r="U1595" i="4" s="1"/>
  <c r="AB1594" i="4"/>
  <c r="R1594" i="4"/>
  <c r="O1594" i="4"/>
  <c r="T1594" i="4" s="1"/>
  <c r="K1594" i="4"/>
  <c r="Q1594" i="4" s="1"/>
  <c r="AB1593" i="4"/>
  <c r="R1593" i="4"/>
  <c r="Q1593" i="4"/>
  <c r="O1593" i="4"/>
  <c r="T1593" i="4" s="1"/>
  <c r="K1593" i="4"/>
  <c r="N1593" i="4" s="1"/>
  <c r="U1593" i="4" s="1"/>
  <c r="AB1592" i="4"/>
  <c r="R1592" i="4"/>
  <c r="O1592" i="4"/>
  <c r="T1592" i="4" s="1"/>
  <c r="N1592" i="4"/>
  <c r="U1592" i="4" s="1"/>
  <c r="K1592" i="4"/>
  <c r="Q1592" i="4" s="1"/>
  <c r="AB1591" i="4"/>
  <c r="R1591" i="4"/>
  <c r="K1591" i="4"/>
  <c r="N1591" i="4" s="1"/>
  <c r="U1591" i="4" s="1"/>
  <c r="AB1590" i="4"/>
  <c r="R1590" i="4"/>
  <c r="O1590" i="4"/>
  <c r="T1590" i="4" s="1"/>
  <c r="K1590" i="4"/>
  <c r="Q1590" i="4" s="1"/>
  <c r="AB1589" i="4"/>
  <c r="R1589" i="4"/>
  <c r="K1589" i="4"/>
  <c r="N1589" i="4" s="1"/>
  <c r="AB1588" i="4"/>
  <c r="R1588" i="4"/>
  <c r="K1588" i="4"/>
  <c r="Q1588" i="4" s="1"/>
  <c r="AB1587" i="4"/>
  <c r="R1587" i="4"/>
  <c r="K1587" i="4"/>
  <c r="N1587" i="4" s="1"/>
  <c r="AB1586" i="4"/>
  <c r="R1586" i="4"/>
  <c r="K1586" i="4"/>
  <c r="Q1586" i="4" s="1"/>
  <c r="AB1585" i="4"/>
  <c r="R1585" i="4"/>
  <c r="K1585" i="4"/>
  <c r="N1585" i="4" s="1"/>
  <c r="U1585" i="4" s="1"/>
  <c r="AB1584" i="4"/>
  <c r="R1584" i="4"/>
  <c r="K1584" i="4"/>
  <c r="Q1584" i="4" s="1"/>
  <c r="AB1583" i="4"/>
  <c r="R1583" i="4"/>
  <c r="K1583" i="4"/>
  <c r="N1583" i="4" s="1"/>
  <c r="U1583" i="4" s="1"/>
  <c r="AB1582" i="4"/>
  <c r="R1582" i="4"/>
  <c r="K1582" i="4"/>
  <c r="Q1582" i="4" s="1"/>
  <c r="AB1581" i="4"/>
  <c r="R1581" i="4"/>
  <c r="K1581" i="4"/>
  <c r="N1581" i="4" s="1"/>
  <c r="U1581" i="4" s="1"/>
  <c r="AB1580" i="4"/>
  <c r="R1580" i="4"/>
  <c r="N1580" i="4"/>
  <c r="U1580" i="4" s="1"/>
  <c r="K1580" i="4"/>
  <c r="Q1580" i="4" s="1"/>
  <c r="AB1579" i="4"/>
  <c r="R1579" i="4"/>
  <c r="K1579" i="4"/>
  <c r="N1579" i="4" s="1"/>
  <c r="U1579" i="4" s="1"/>
  <c r="AB1578" i="4"/>
  <c r="R1578" i="4"/>
  <c r="K1578" i="4"/>
  <c r="Q1578" i="4" s="1"/>
  <c r="AB1577" i="4"/>
  <c r="R1577" i="4"/>
  <c r="K1577" i="4"/>
  <c r="N1577" i="4" s="1"/>
  <c r="AB1576" i="4"/>
  <c r="R1576" i="4"/>
  <c r="K1576" i="4"/>
  <c r="Q1576" i="4" s="1"/>
  <c r="AB1575" i="4"/>
  <c r="R1575" i="4"/>
  <c r="K1575" i="4"/>
  <c r="AB1574" i="4"/>
  <c r="R1574" i="4"/>
  <c r="K1574" i="4"/>
  <c r="AB1573" i="4"/>
  <c r="R1573" i="4"/>
  <c r="K1573" i="4"/>
  <c r="N1573" i="4" s="1"/>
  <c r="U1573" i="4" s="1"/>
  <c r="AB1572" i="4"/>
  <c r="R1572" i="4"/>
  <c r="K1572" i="4"/>
  <c r="Q1572" i="4" s="1"/>
  <c r="AB1571" i="4"/>
  <c r="R1571" i="4"/>
  <c r="K1571" i="4"/>
  <c r="N1571" i="4" s="1"/>
  <c r="U1571" i="4" s="1"/>
  <c r="AB1570" i="4"/>
  <c r="R1570" i="4"/>
  <c r="K1570" i="4"/>
  <c r="Q1570" i="4" s="1"/>
  <c r="AB1569" i="4"/>
  <c r="R1569" i="4"/>
  <c r="Q1569" i="4"/>
  <c r="O1569" i="4"/>
  <c r="T1569" i="4" s="1"/>
  <c r="K1569" i="4"/>
  <c r="N1569" i="4" s="1"/>
  <c r="U1569" i="4" s="1"/>
  <c r="AB1568" i="4"/>
  <c r="R1568" i="4"/>
  <c r="O1568" i="4"/>
  <c r="T1568" i="4" s="1"/>
  <c r="N1568" i="4"/>
  <c r="U1568" i="4" s="1"/>
  <c r="K1568" i="4"/>
  <c r="Q1568" i="4" s="1"/>
  <c r="AB1567" i="4"/>
  <c r="R1567" i="4"/>
  <c r="K1567" i="4"/>
  <c r="N1567" i="4" s="1"/>
  <c r="U1567" i="4" s="1"/>
  <c r="AB1566" i="4"/>
  <c r="R1566" i="4"/>
  <c r="O1566" i="4"/>
  <c r="T1566" i="4" s="1"/>
  <c r="K1566" i="4"/>
  <c r="Q1566" i="4" s="1"/>
  <c r="AB1565" i="4"/>
  <c r="R1565" i="4"/>
  <c r="K1565" i="4"/>
  <c r="N1565" i="4" s="1"/>
  <c r="AB1564" i="4"/>
  <c r="R1564" i="4"/>
  <c r="K1564" i="4"/>
  <c r="Q1564" i="4" s="1"/>
  <c r="AB1563" i="4"/>
  <c r="R1563" i="4"/>
  <c r="K1563" i="4"/>
  <c r="AB1562" i="4"/>
  <c r="R1562" i="4"/>
  <c r="K1562" i="4"/>
  <c r="AB1561" i="4"/>
  <c r="R1561" i="4"/>
  <c r="K1561" i="4"/>
  <c r="N1561" i="4" s="1"/>
  <c r="U1561" i="4" s="1"/>
  <c r="AB1560" i="4"/>
  <c r="R1560" i="4"/>
  <c r="K1560" i="4"/>
  <c r="Q1560" i="4" s="1"/>
  <c r="AB1559" i="4"/>
  <c r="R1559" i="4"/>
  <c r="K1559" i="4"/>
  <c r="N1559" i="4" s="1"/>
  <c r="U1559" i="4" s="1"/>
  <c r="AB1558" i="4"/>
  <c r="R1558" i="4"/>
  <c r="K1558" i="4"/>
  <c r="Q1558" i="4" s="1"/>
  <c r="AB1557" i="4"/>
  <c r="R1557" i="4"/>
  <c r="K1557" i="4"/>
  <c r="N1557" i="4" s="1"/>
  <c r="U1557" i="4" s="1"/>
  <c r="AB1556" i="4"/>
  <c r="R1556" i="4"/>
  <c r="N1556" i="4"/>
  <c r="U1556" i="4" s="1"/>
  <c r="K1556" i="4"/>
  <c r="Q1556" i="4" s="1"/>
  <c r="AB1555" i="4"/>
  <c r="R1555" i="4"/>
  <c r="K1555" i="4"/>
  <c r="N1555" i="4" s="1"/>
  <c r="U1555" i="4" s="1"/>
  <c r="AB1554" i="4"/>
  <c r="R1554" i="4"/>
  <c r="K1554" i="4"/>
  <c r="Q1554" i="4" s="1"/>
  <c r="AB1553" i="4"/>
  <c r="R1553" i="4"/>
  <c r="K1553" i="4"/>
  <c r="N1553" i="4" s="1"/>
  <c r="AB1552" i="4"/>
  <c r="R1552" i="4"/>
  <c r="N1552" i="4"/>
  <c r="U1552" i="4" s="1"/>
  <c r="K1552" i="4"/>
  <c r="Q1552" i="4" s="1"/>
  <c r="AB1551" i="4"/>
  <c r="R1551" i="4"/>
  <c r="K1551" i="4"/>
  <c r="AB1550" i="4"/>
  <c r="R1550" i="4"/>
  <c r="K1550" i="4"/>
  <c r="AB1549" i="4"/>
  <c r="R1549" i="4"/>
  <c r="Q1549" i="4"/>
  <c r="K1549" i="4"/>
  <c r="N1549" i="4" s="1"/>
  <c r="U1549" i="4" s="1"/>
  <c r="AB1548" i="4"/>
  <c r="R1548" i="4"/>
  <c r="K1548" i="4"/>
  <c r="Q1548" i="4" s="1"/>
  <c r="AB1547" i="4"/>
  <c r="R1547" i="4"/>
  <c r="K1547" i="4"/>
  <c r="N1547" i="4" s="1"/>
  <c r="U1547" i="4" s="1"/>
  <c r="AB1546" i="4"/>
  <c r="R1546" i="4"/>
  <c r="K1546" i="4"/>
  <c r="Q1546" i="4" s="1"/>
  <c r="AB1545" i="4"/>
  <c r="R1545" i="4"/>
  <c r="K1545" i="4"/>
  <c r="N1545" i="4" s="1"/>
  <c r="U1545" i="4" s="1"/>
  <c r="AB1544" i="4"/>
  <c r="R1544" i="4"/>
  <c r="K1544" i="4"/>
  <c r="Q1544" i="4" s="1"/>
  <c r="AB1543" i="4"/>
  <c r="R1543" i="4"/>
  <c r="N1543" i="4"/>
  <c r="K1543" i="4"/>
  <c r="Q1543" i="4" s="1"/>
  <c r="AB1542" i="4"/>
  <c r="R1542" i="4"/>
  <c r="K1542" i="4"/>
  <c r="Q1542" i="4" s="1"/>
  <c r="AB1541" i="4"/>
  <c r="R1541" i="4"/>
  <c r="Q1541" i="4"/>
  <c r="O1541" i="4"/>
  <c r="T1541" i="4" s="1"/>
  <c r="N1541" i="4"/>
  <c r="U1541" i="4" s="1"/>
  <c r="K1541" i="4"/>
  <c r="AB1540" i="4"/>
  <c r="R1540" i="4"/>
  <c r="K1540" i="4"/>
  <c r="Q1540" i="4" s="1"/>
  <c r="AB1539" i="4"/>
  <c r="R1539" i="4"/>
  <c r="Q1539" i="4"/>
  <c r="K1539" i="4"/>
  <c r="O1539" i="4" s="1"/>
  <c r="T1539" i="4" s="1"/>
  <c r="AB1538" i="4"/>
  <c r="R1538" i="4"/>
  <c r="K1538" i="4"/>
  <c r="Q1538" i="4" s="1"/>
  <c r="AB1537" i="4"/>
  <c r="T1537" i="4"/>
  <c r="R1537" i="4"/>
  <c r="Q1537" i="4"/>
  <c r="P1537" i="4"/>
  <c r="W1537" i="4" s="1"/>
  <c r="O1537" i="4"/>
  <c r="N1537" i="4"/>
  <c r="U1537" i="4" s="1"/>
  <c r="K1537" i="4"/>
  <c r="AB1536" i="4"/>
  <c r="R1536" i="4"/>
  <c r="Q1536" i="4"/>
  <c r="K1536" i="4"/>
  <c r="AB1535" i="4"/>
  <c r="T1535" i="4"/>
  <c r="R1535" i="4"/>
  <c r="Q1535" i="4"/>
  <c r="O1535" i="4"/>
  <c r="N1535" i="4"/>
  <c r="P1535" i="4" s="1"/>
  <c r="K1535" i="4"/>
  <c r="AB1534" i="4"/>
  <c r="R1534" i="4"/>
  <c r="Q1534" i="4"/>
  <c r="K1534" i="4"/>
  <c r="AB1533" i="4"/>
  <c r="R1533" i="4"/>
  <c r="Q1533" i="4"/>
  <c r="O1533" i="4"/>
  <c r="T1533" i="4" s="1"/>
  <c r="N1533" i="4"/>
  <c r="P1533" i="4" s="1"/>
  <c r="K1533" i="4"/>
  <c r="AB1532" i="4"/>
  <c r="R1532" i="4"/>
  <c r="K1532" i="4"/>
  <c r="AB1531" i="4"/>
  <c r="R1531" i="4"/>
  <c r="Q1531" i="4"/>
  <c r="O1531" i="4"/>
  <c r="T1531" i="4" s="1"/>
  <c r="N1531" i="4"/>
  <c r="U1531" i="4" s="1"/>
  <c r="K1531" i="4"/>
  <c r="AB1530" i="4"/>
  <c r="R1530" i="4"/>
  <c r="Q1530" i="4"/>
  <c r="K1530" i="4"/>
  <c r="AB1529" i="4"/>
  <c r="T1529" i="4"/>
  <c r="R1529" i="4"/>
  <c r="Q1529" i="4"/>
  <c r="P1529" i="4"/>
  <c r="W1529" i="4" s="1"/>
  <c r="O1529" i="4"/>
  <c r="N1529" i="4"/>
  <c r="U1529" i="4" s="1"/>
  <c r="K1529" i="4"/>
  <c r="AB1528" i="4"/>
  <c r="R1528" i="4"/>
  <c r="K1528" i="4"/>
  <c r="Q1528" i="4" s="1"/>
  <c r="AB1527" i="4"/>
  <c r="T1527" i="4"/>
  <c r="R1527" i="4"/>
  <c r="Q1527" i="4"/>
  <c r="O1527" i="4"/>
  <c r="N1527" i="4"/>
  <c r="U1527" i="4" s="1"/>
  <c r="K1527" i="4"/>
  <c r="AB1526" i="4"/>
  <c r="R1526" i="4"/>
  <c r="Q1526" i="4"/>
  <c r="K1526" i="4"/>
  <c r="AB1525" i="4"/>
  <c r="T1525" i="4"/>
  <c r="R1525" i="4"/>
  <c r="Q1525" i="4"/>
  <c r="O1525" i="4"/>
  <c r="N1525" i="4"/>
  <c r="P1525" i="4" s="1"/>
  <c r="K1525" i="4"/>
  <c r="AB1524" i="4"/>
  <c r="R1524" i="4"/>
  <c r="K1524" i="4"/>
  <c r="AB1523" i="4"/>
  <c r="T1523" i="4"/>
  <c r="R1523" i="4"/>
  <c r="Q1523" i="4"/>
  <c r="O1523" i="4"/>
  <c r="N1523" i="4"/>
  <c r="P1523" i="4" s="1"/>
  <c r="K1523" i="4"/>
  <c r="AB1522" i="4"/>
  <c r="R1522" i="4"/>
  <c r="Q1522" i="4"/>
  <c r="K1522" i="4"/>
  <c r="AB1521" i="4"/>
  <c r="R1521" i="4"/>
  <c r="Q1521" i="4"/>
  <c r="O1521" i="4"/>
  <c r="T1521" i="4" s="1"/>
  <c r="N1521" i="4"/>
  <c r="P1521" i="4" s="1"/>
  <c r="K1521" i="4"/>
  <c r="AB1520" i="4"/>
  <c r="R1520" i="4"/>
  <c r="K1520" i="4"/>
  <c r="AB1519" i="4"/>
  <c r="R1519" i="4"/>
  <c r="Q1519" i="4"/>
  <c r="O1519" i="4"/>
  <c r="T1519" i="4" s="1"/>
  <c r="N1519" i="4"/>
  <c r="U1519" i="4" s="1"/>
  <c r="K1519" i="4"/>
  <c r="AB1518" i="4"/>
  <c r="R1518" i="4"/>
  <c r="Q1518" i="4"/>
  <c r="K1518" i="4"/>
  <c r="AB1517" i="4"/>
  <c r="T1517" i="4"/>
  <c r="R1517" i="4"/>
  <c r="Q1517" i="4"/>
  <c r="P1517" i="4"/>
  <c r="W1517" i="4" s="1"/>
  <c r="O1517" i="4"/>
  <c r="N1517" i="4"/>
  <c r="U1517" i="4" s="1"/>
  <c r="K1517" i="4"/>
  <c r="AB1516" i="4"/>
  <c r="R1516" i="4"/>
  <c r="N1516" i="4"/>
  <c r="K1516" i="4"/>
  <c r="AB1515" i="4"/>
  <c r="U1515" i="4"/>
  <c r="R1515" i="4"/>
  <c r="Q1515" i="4"/>
  <c r="O1515" i="4"/>
  <c r="T1515" i="4" s="1"/>
  <c r="K1515" i="4"/>
  <c r="N1515" i="4" s="1"/>
  <c r="P1515" i="4" s="1"/>
  <c r="AB1514" i="4"/>
  <c r="R1514" i="4"/>
  <c r="K1514" i="4"/>
  <c r="Q1514" i="4" s="1"/>
  <c r="AB1513" i="4"/>
  <c r="R1513" i="4"/>
  <c r="Q1513" i="4"/>
  <c r="P1513" i="4"/>
  <c r="V1513" i="4" s="1"/>
  <c r="O1513" i="4"/>
  <c r="T1513" i="4" s="1"/>
  <c r="K1513" i="4"/>
  <c r="N1513" i="4" s="1"/>
  <c r="U1513" i="4" s="1"/>
  <c r="AB1512" i="4"/>
  <c r="R1512" i="4"/>
  <c r="N1512" i="4"/>
  <c r="U1512" i="4" s="1"/>
  <c r="K1512" i="4"/>
  <c r="Q1512" i="4" s="1"/>
  <c r="AB1511" i="4"/>
  <c r="U1511" i="4"/>
  <c r="R1511" i="4"/>
  <c r="Q1511" i="4"/>
  <c r="O1511" i="4"/>
  <c r="T1511" i="4" s="1"/>
  <c r="K1511" i="4"/>
  <c r="N1511" i="4" s="1"/>
  <c r="AB1510" i="4"/>
  <c r="R1510" i="4"/>
  <c r="K1510" i="4"/>
  <c r="Q1510" i="4" s="1"/>
  <c r="AB1509" i="4"/>
  <c r="R1509" i="4"/>
  <c r="K1509" i="4"/>
  <c r="N1509" i="4" s="1"/>
  <c r="AB1508" i="4"/>
  <c r="R1508" i="4"/>
  <c r="K1508" i="4"/>
  <c r="Q1508" i="4" s="1"/>
  <c r="AB1507" i="4"/>
  <c r="R1507" i="4"/>
  <c r="O1507" i="4"/>
  <c r="T1507" i="4" s="1"/>
  <c r="K1507" i="4"/>
  <c r="N1507" i="4" s="1"/>
  <c r="P1507" i="4" s="1"/>
  <c r="AB1506" i="4"/>
  <c r="R1506" i="4"/>
  <c r="N1506" i="4"/>
  <c r="K1506" i="4"/>
  <c r="Q1506" i="4" s="1"/>
  <c r="AB1505" i="4"/>
  <c r="R1505" i="4"/>
  <c r="K1505" i="4"/>
  <c r="N1505" i="4" s="1"/>
  <c r="AB1504" i="4"/>
  <c r="R1504" i="4"/>
  <c r="K1504" i="4"/>
  <c r="Q1504" i="4" s="1"/>
  <c r="AB1503" i="4"/>
  <c r="R1503" i="4"/>
  <c r="Q1503" i="4"/>
  <c r="O1503" i="4"/>
  <c r="T1503" i="4" s="1"/>
  <c r="K1503" i="4"/>
  <c r="N1503" i="4" s="1"/>
  <c r="U1503" i="4" s="1"/>
  <c r="AB1502" i="4"/>
  <c r="R1502" i="4"/>
  <c r="N1502" i="4"/>
  <c r="U1502" i="4" s="1"/>
  <c r="K1502" i="4"/>
  <c r="Q1502" i="4" s="1"/>
  <c r="AB1501" i="4"/>
  <c r="R1501" i="4"/>
  <c r="Q1501" i="4"/>
  <c r="K1501" i="4"/>
  <c r="N1501" i="4" s="1"/>
  <c r="U1501" i="4" s="1"/>
  <c r="AB1500" i="4"/>
  <c r="R1500" i="4"/>
  <c r="O1500" i="4"/>
  <c r="T1500" i="4" s="1"/>
  <c r="K1500" i="4"/>
  <c r="Q1500" i="4" s="1"/>
  <c r="AB1499" i="4"/>
  <c r="R1499" i="4"/>
  <c r="Q1499" i="4"/>
  <c r="O1499" i="4"/>
  <c r="T1499" i="4" s="1"/>
  <c r="K1499" i="4"/>
  <c r="N1499" i="4" s="1"/>
  <c r="U1499" i="4" s="1"/>
  <c r="AB1498" i="4"/>
  <c r="R1498" i="4"/>
  <c r="O1498" i="4"/>
  <c r="T1498" i="4" s="1"/>
  <c r="N1498" i="4"/>
  <c r="P1498" i="4" s="1"/>
  <c r="K1498" i="4"/>
  <c r="Q1498" i="4" s="1"/>
  <c r="AB1497" i="4"/>
  <c r="R1497" i="4"/>
  <c r="K1497" i="4"/>
  <c r="N1497" i="4" s="1"/>
  <c r="AB1496" i="4"/>
  <c r="R1496" i="4"/>
  <c r="K1496" i="4"/>
  <c r="Q1496" i="4" s="1"/>
  <c r="AB1495" i="4"/>
  <c r="R1495" i="4"/>
  <c r="O1495" i="4"/>
  <c r="T1495" i="4" s="1"/>
  <c r="K1495" i="4"/>
  <c r="N1495" i="4" s="1"/>
  <c r="P1495" i="4" s="1"/>
  <c r="AB1494" i="4"/>
  <c r="R1494" i="4"/>
  <c r="N1494" i="4"/>
  <c r="K1494" i="4"/>
  <c r="Q1494" i="4" s="1"/>
  <c r="AB1493" i="4"/>
  <c r="R1493" i="4"/>
  <c r="K1493" i="4"/>
  <c r="N1493" i="4" s="1"/>
  <c r="AB1492" i="4"/>
  <c r="R1492" i="4"/>
  <c r="K1492" i="4"/>
  <c r="Q1492" i="4" s="1"/>
  <c r="AB1491" i="4"/>
  <c r="R1491" i="4"/>
  <c r="Q1491" i="4"/>
  <c r="O1491" i="4"/>
  <c r="T1491" i="4" s="1"/>
  <c r="K1491" i="4"/>
  <c r="N1491" i="4" s="1"/>
  <c r="U1491" i="4" s="1"/>
  <c r="AB1490" i="4"/>
  <c r="R1490" i="4"/>
  <c r="N1490" i="4"/>
  <c r="U1490" i="4" s="1"/>
  <c r="K1490" i="4"/>
  <c r="Q1490" i="4" s="1"/>
  <c r="AB1489" i="4"/>
  <c r="R1489" i="4"/>
  <c r="Q1489" i="4"/>
  <c r="K1489" i="4"/>
  <c r="N1489" i="4" s="1"/>
  <c r="U1489" i="4" s="1"/>
  <c r="AB1488" i="4"/>
  <c r="R1488" i="4"/>
  <c r="O1488" i="4"/>
  <c r="T1488" i="4" s="1"/>
  <c r="K1488" i="4"/>
  <c r="Q1488" i="4" s="1"/>
  <c r="AB1487" i="4"/>
  <c r="R1487" i="4"/>
  <c r="Q1487" i="4"/>
  <c r="O1487" i="4"/>
  <c r="T1487" i="4" s="1"/>
  <c r="K1487" i="4"/>
  <c r="N1487" i="4" s="1"/>
  <c r="U1487" i="4" s="1"/>
  <c r="AB1486" i="4"/>
  <c r="R1486" i="4"/>
  <c r="O1486" i="4"/>
  <c r="T1486" i="4" s="1"/>
  <c r="N1486" i="4"/>
  <c r="P1486" i="4" s="1"/>
  <c r="K1486" i="4"/>
  <c r="Q1486" i="4" s="1"/>
  <c r="AB1485" i="4"/>
  <c r="R1485" i="4"/>
  <c r="K1485" i="4"/>
  <c r="N1485" i="4" s="1"/>
  <c r="AB1484" i="4"/>
  <c r="R1484" i="4"/>
  <c r="K1484" i="4"/>
  <c r="Q1484" i="4" s="1"/>
  <c r="AB1483" i="4"/>
  <c r="R1483" i="4"/>
  <c r="O1483" i="4"/>
  <c r="T1483" i="4" s="1"/>
  <c r="K1483" i="4"/>
  <c r="N1483" i="4" s="1"/>
  <c r="P1483" i="4" s="1"/>
  <c r="AB1482" i="4"/>
  <c r="R1482" i="4"/>
  <c r="N1482" i="4"/>
  <c r="K1482" i="4"/>
  <c r="Q1482" i="4" s="1"/>
  <c r="AB1481" i="4"/>
  <c r="R1481" i="4"/>
  <c r="K1481" i="4"/>
  <c r="N1481" i="4" s="1"/>
  <c r="AB1480" i="4"/>
  <c r="R1480" i="4"/>
  <c r="K1480" i="4"/>
  <c r="Q1480" i="4" s="1"/>
  <c r="AB1479" i="4"/>
  <c r="R1479" i="4"/>
  <c r="Q1479" i="4"/>
  <c r="O1479" i="4"/>
  <c r="T1479" i="4" s="1"/>
  <c r="K1479" i="4"/>
  <c r="N1479" i="4" s="1"/>
  <c r="U1479" i="4" s="1"/>
  <c r="AB1478" i="4"/>
  <c r="R1478" i="4"/>
  <c r="N1478" i="4"/>
  <c r="U1478" i="4" s="1"/>
  <c r="K1478" i="4"/>
  <c r="Q1478" i="4" s="1"/>
  <c r="AB1477" i="4"/>
  <c r="R1477" i="4"/>
  <c r="Q1477" i="4"/>
  <c r="K1477" i="4"/>
  <c r="N1477" i="4" s="1"/>
  <c r="U1477" i="4" s="1"/>
  <c r="AB1476" i="4"/>
  <c r="R1476" i="4"/>
  <c r="O1476" i="4"/>
  <c r="T1476" i="4" s="1"/>
  <c r="K1476" i="4"/>
  <c r="Q1476" i="4" s="1"/>
  <c r="AB1475" i="4"/>
  <c r="R1475" i="4"/>
  <c r="Q1475" i="4"/>
  <c r="O1475" i="4"/>
  <c r="T1475" i="4" s="1"/>
  <c r="K1475" i="4"/>
  <c r="N1475" i="4" s="1"/>
  <c r="U1475" i="4" s="1"/>
  <c r="AB1474" i="4"/>
  <c r="R1474" i="4"/>
  <c r="O1474" i="4"/>
  <c r="T1474" i="4" s="1"/>
  <c r="N1474" i="4"/>
  <c r="P1474" i="4" s="1"/>
  <c r="K1474" i="4"/>
  <c r="Q1474" i="4" s="1"/>
  <c r="AB1473" i="4"/>
  <c r="R1473" i="4"/>
  <c r="K1473" i="4"/>
  <c r="N1473" i="4" s="1"/>
  <c r="AB1472" i="4"/>
  <c r="R1472" i="4"/>
  <c r="K1472" i="4"/>
  <c r="Q1472" i="4" s="1"/>
  <c r="AB1471" i="4"/>
  <c r="R1471" i="4"/>
  <c r="O1471" i="4"/>
  <c r="T1471" i="4" s="1"/>
  <c r="K1471" i="4"/>
  <c r="N1471" i="4" s="1"/>
  <c r="P1471" i="4" s="1"/>
  <c r="AB1470" i="4"/>
  <c r="R1470" i="4"/>
  <c r="N1470" i="4"/>
  <c r="K1470" i="4"/>
  <c r="Q1470" i="4" s="1"/>
  <c r="AB1469" i="4"/>
  <c r="R1469" i="4"/>
  <c r="K1469" i="4"/>
  <c r="N1469" i="4" s="1"/>
  <c r="AB1468" i="4"/>
  <c r="R1468" i="4"/>
  <c r="K1468" i="4"/>
  <c r="Q1468" i="4" s="1"/>
  <c r="AB1467" i="4"/>
  <c r="R1467" i="4"/>
  <c r="Q1467" i="4"/>
  <c r="O1467" i="4"/>
  <c r="T1467" i="4" s="1"/>
  <c r="K1467" i="4"/>
  <c r="N1467" i="4" s="1"/>
  <c r="U1467" i="4" s="1"/>
  <c r="AB1466" i="4"/>
  <c r="R1466" i="4"/>
  <c r="N1466" i="4"/>
  <c r="U1466" i="4" s="1"/>
  <c r="K1466" i="4"/>
  <c r="Q1466" i="4" s="1"/>
  <c r="AB1465" i="4"/>
  <c r="R1465" i="4"/>
  <c r="Q1465" i="4"/>
  <c r="K1465" i="4"/>
  <c r="N1465" i="4" s="1"/>
  <c r="U1465" i="4" s="1"/>
  <c r="AB1464" i="4"/>
  <c r="R1464" i="4"/>
  <c r="O1464" i="4"/>
  <c r="T1464" i="4" s="1"/>
  <c r="K1464" i="4"/>
  <c r="Q1464" i="4" s="1"/>
  <c r="AB1463" i="4"/>
  <c r="R1463" i="4"/>
  <c r="Q1463" i="4"/>
  <c r="O1463" i="4"/>
  <c r="T1463" i="4" s="1"/>
  <c r="K1463" i="4"/>
  <c r="N1463" i="4" s="1"/>
  <c r="U1463" i="4" s="1"/>
  <c r="AB1462" i="4"/>
  <c r="R1462" i="4"/>
  <c r="O1462" i="4"/>
  <c r="T1462" i="4" s="1"/>
  <c r="N1462" i="4"/>
  <c r="P1462" i="4" s="1"/>
  <c r="K1462" i="4"/>
  <c r="Q1462" i="4" s="1"/>
  <c r="AB1461" i="4"/>
  <c r="R1461" i="4"/>
  <c r="K1461" i="4"/>
  <c r="N1461" i="4" s="1"/>
  <c r="AB1460" i="4"/>
  <c r="R1460" i="4"/>
  <c r="K1460" i="4"/>
  <c r="Q1460" i="4" s="1"/>
  <c r="AB1459" i="4"/>
  <c r="R1459" i="4"/>
  <c r="O1459" i="4"/>
  <c r="T1459" i="4" s="1"/>
  <c r="K1459" i="4"/>
  <c r="N1459" i="4" s="1"/>
  <c r="P1459" i="4" s="1"/>
  <c r="AB1458" i="4"/>
  <c r="R1458" i="4"/>
  <c r="N1458" i="4"/>
  <c r="K1458" i="4"/>
  <c r="Q1458" i="4" s="1"/>
  <c r="AB1457" i="4"/>
  <c r="R1457" i="4"/>
  <c r="K1457" i="4"/>
  <c r="N1457" i="4" s="1"/>
  <c r="AB1456" i="4"/>
  <c r="R1456" i="4"/>
  <c r="K1456" i="4"/>
  <c r="Q1456" i="4" s="1"/>
  <c r="AB1455" i="4"/>
  <c r="R1455" i="4"/>
  <c r="Q1455" i="4"/>
  <c r="O1455" i="4"/>
  <c r="T1455" i="4" s="1"/>
  <c r="K1455" i="4"/>
  <c r="N1455" i="4" s="1"/>
  <c r="U1455" i="4" s="1"/>
  <c r="AB1454" i="4"/>
  <c r="R1454" i="4"/>
  <c r="N1454" i="4"/>
  <c r="U1454" i="4" s="1"/>
  <c r="K1454" i="4"/>
  <c r="Q1454" i="4" s="1"/>
  <c r="AB1453" i="4"/>
  <c r="R1453" i="4"/>
  <c r="Q1453" i="4"/>
  <c r="K1453" i="4"/>
  <c r="N1453" i="4" s="1"/>
  <c r="U1453" i="4" s="1"/>
  <c r="AB1452" i="4"/>
  <c r="R1452" i="4"/>
  <c r="O1452" i="4"/>
  <c r="T1452" i="4" s="1"/>
  <c r="K1452" i="4"/>
  <c r="Q1452" i="4" s="1"/>
  <c r="AB1451" i="4"/>
  <c r="R1451" i="4"/>
  <c r="Q1451" i="4"/>
  <c r="O1451" i="4"/>
  <c r="T1451" i="4" s="1"/>
  <c r="K1451" i="4"/>
  <c r="N1451" i="4" s="1"/>
  <c r="U1451" i="4" s="1"/>
  <c r="AB1450" i="4"/>
  <c r="R1450" i="4"/>
  <c r="O1450" i="4"/>
  <c r="T1450" i="4" s="1"/>
  <c r="N1450" i="4"/>
  <c r="P1450" i="4" s="1"/>
  <c r="K1450" i="4"/>
  <c r="Q1450" i="4" s="1"/>
  <c r="AB1449" i="4"/>
  <c r="R1449" i="4"/>
  <c r="K1449" i="4"/>
  <c r="N1449" i="4" s="1"/>
  <c r="AB1448" i="4"/>
  <c r="R1448" i="4"/>
  <c r="K1448" i="4"/>
  <c r="Q1448" i="4" s="1"/>
  <c r="AB1447" i="4"/>
  <c r="R1447" i="4"/>
  <c r="O1447" i="4"/>
  <c r="T1447" i="4" s="1"/>
  <c r="K1447" i="4"/>
  <c r="N1447" i="4" s="1"/>
  <c r="P1447" i="4" s="1"/>
  <c r="AB1446" i="4"/>
  <c r="R1446" i="4"/>
  <c r="N1446" i="4"/>
  <c r="K1446" i="4"/>
  <c r="Q1446" i="4" s="1"/>
  <c r="AB1445" i="4"/>
  <c r="R1445" i="4"/>
  <c r="K1445" i="4"/>
  <c r="N1445" i="4" s="1"/>
  <c r="AB1444" i="4"/>
  <c r="R1444" i="4"/>
  <c r="K1444" i="4"/>
  <c r="Q1444" i="4" s="1"/>
  <c r="AB1443" i="4"/>
  <c r="R1443" i="4"/>
  <c r="Q1443" i="4"/>
  <c r="O1443" i="4"/>
  <c r="T1443" i="4" s="1"/>
  <c r="K1443" i="4"/>
  <c r="N1443" i="4" s="1"/>
  <c r="U1443" i="4" s="1"/>
  <c r="AB1442" i="4"/>
  <c r="R1442" i="4"/>
  <c r="N1442" i="4"/>
  <c r="U1442" i="4" s="1"/>
  <c r="K1442" i="4"/>
  <c r="Q1442" i="4" s="1"/>
  <c r="AB1441" i="4"/>
  <c r="R1441" i="4"/>
  <c r="Q1441" i="4"/>
  <c r="K1441" i="4"/>
  <c r="N1441" i="4" s="1"/>
  <c r="U1441" i="4" s="1"/>
  <c r="AB1440" i="4"/>
  <c r="R1440" i="4"/>
  <c r="O1440" i="4"/>
  <c r="T1440" i="4" s="1"/>
  <c r="K1440" i="4"/>
  <c r="Q1440" i="4" s="1"/>
  <c r="AB1439" i="4"/>
  <c r="R1439" i="4"/>
  <c r="Q1439" i="4"/>
  <c r="O1439" i="4"/>
  <c r="T1439" i="4" s="1"/>
  <c r="K1439" i="4"/>
  <c r="N1439" i="4" s="1"/>
  <c r="U1439" i="4" s="1"/>
  <c r="AB1438" i="4"/>
  <c r="R1438" i="4"/>
  <c r="O1438" i="4"/>
  <c r="T1438" i="4" s="1"/>
  <c r="N1438" i="4"/>
  <c r="P1438" i="4" s="1"/>
  <c r="K1438" i="4"/>
  <c r="Q1438" i="4" s="1"/>
  <c r="AB1437" i="4"/>
  <c r="R1437" i="4"/>
  <c r="K1437" i="4"/>
  <c r="N1437" i="4" s="1"/>
  <c r="AB1436" i="4"/>
  <c r="R1436" i="4"/>
  <c r="K1436" i="4"/>
  <c r="Q1436" i="4" s="1"/>
  <c r="AB1435" i="4"/>
  <c r="R1435" i="4"/>
  <c r="O1435" i="4"/>
  <c r="T1435" i="4" s="1"/>
  <c r="K1435" i="4"/>
  <c r="N1435" i="4" s="1"/>
  <c r="P1435" i="4" s="1"/>
  <c r="AB1434" i="4"/>
  <c r="R1434" i="4"/>
  <c r="N1434" i="4"/>
  <c r="K1434" i="4"/>
  <c r="Q1434" i="4" s="1"/>
  <c r="AB1433" i="4"/>
  <c r="R1433" i="4"/>
  <c r="K1433" i="4"/>
  <c r="N1433" i="4" s="1"/>
  <c r="AB1432" i="4"/>
  <c r="R1432" i="4"/>
  <c r="K1432" i="4"/>
  <c r="Q1432" i="4" s="1"/>
  <c r="AB1431" i="4"/>
  <c r="R1431" i="4"/>
  <c r="Q1431" i="4"/>
  <c r="O1431" i="4"/>
  <c r="T1431" i="4" s="1"/>
  <c r="K1431" i="4"/>
  <c r="N1431" i="4" s="1"/>
  <c r="U1431" i="4" s="1"/>
  <c r="AB1430" i="4"/>
  <c r="R1430" i="4"/>
  <c r="N1430" i="4"/>
  <c r="U1430" i="4" s="1"/>
  <c r="K1430" i="4"/>
  <c r="Q1430" i="4" s="1"/>
  <c r="AB1429" i="4"/>
  <c r="R1429" i="4"/>
  <c r="Q1429" i="4"/>
  <c r="K1429" i="4"/>
  <c r="N1429" i="4" s="1"/>
  <c r="U1429" i="4" s="1"/>
  <c r="AB1428" i="4"/>
  <c r="R1428" i="4"/>
  <c r="O1428" i="4"/>
  <c r="T1428" i="4" s="1"/>
  <c r="K1428" i="4"/>
  <c r="Q1428" i="4" s="1"/>
  <c r="AB1427" i="4"/>
  <c r="R1427" i="4"/>
  <c r="Q1427" i="4"/>
  <c r="O1427" i="4"/>
  <c r="T1427" i="4" s="1"/>
  <c r="K1427" i="4"/>
  <c r="N1427" i="4" s="1"/>
  <c r="U1427" i="4" s="1"/>
  <c r="AB1426" i="4"/>
  <c r="R1426" i="4"/>
  <c r="O1426" i="4"/>
  <c r="T1426" i="4" s="1"/>
  <c r="N1426" i="4"/>
  <c r="P1426" i="4" s="1"/>
  <c r="K1426" i="4"/>
  <c r="Q1426" i="4" s="1"/>
  <c r="AB1425" i="4"/>
  <c r="R1425" i="4"/>
  <c r="K1425" i="4"/>
  <c r="N1425" i="4" s="1"/>
  <c r="AB1424" i="4"/>
  <c r="R1424" i="4"/>
  <c r="K1424" i="4"/>
  <c r="Q1424" i="4" s="1"/>
  <c r="AB1423" i="4"/>
  <c r="R1423" i="4"/>
  <c r="O1423" i="4"/>
  <c r="T1423" i="4" s="1"/>
  <c r="K1423" i="4"/>
  <c r="N1423" i="4" s="1"/>
  <c r="P1423" i="4" s="1"/>
  <c r="AB1422" i="4"/>
  <c r="R1422" i="4"/>
  <c r="N1422" i="4"/>
  <c r="K1422" i="4"/>
  <c r="Q1422" i="4" s="1"/>
  <c r="AB1421" i="4"/>
  <c r="R1421" i="4"/>
  <c r="K1421" i="4"/>
  <c r="N1421" i="4" s="1"/>
  <c r="AB1420" i="4"/>
  <c r="Q1420" i="4"/>
  <c r="N1420" i="4"/>
  <c r="U1420" i="4" s="1"/>
  <c r="K1420" i="4"/>
  <c r="O1420" i="4" s="1"/>
  <c r="T1420" i="4" s="1"/>
  <c r="AB1419" i="4"/>
  <c r="Z1419" i="4"/>
  <c r="R1419" i="4"/>
  <c r="K1419" i="4"/>
  <c r="N1419" i="4" s="1"/>
  <c r="AB1418" i="4"/>
  <c r="R1418" i="4"/>
  <c r="K1418" i="4"/>
  <c r="Q1418" i="4" s="1"/>
  <c r="AB1417" i="4"/>
  <c r="R1417" i="4"/>
  <c r="Q1417" i="4"/>
  <c r="O1417" i="4"/>
  <c r="T1417" i="4" s="1"/>
  <c r="K1417" i="4"/>
  <c r="N1417" i="4" s="1"/>
  <c r="U1417" i="4" s="1"/>
  <c r="AB1416" i="4"/>
  <c r="R1416" i="4"/>
  <c r="N1416" i="4"/>
  <c r="U1416" i="4" s="1"/>
  <c r="K1416" i="4"/>
  <c r="Q1416" i="4" s="1"/>
  <c r="AB1415" i="4"/>
  <c r="R1415" i="4"/>
  <c r="Q1415" i="4"/>
  <c r="K1415" i="4"/>
  <c r="N1415" i="4" s="1"/>
  <c r="U1415" i="4" s="1"/>
  <c r="AB1412" i="4"/>
  <c r="W1412" i="4"/>
  <c r="U1412" i="4"/>
  <c r="T1412" i="4"/>
  <c r="Q1412" i="4"/>
  <c r="P1412" i="4"/>
  <c r="V1412" i="4" s="1"/>
  <c r="S1412" i="4" s="1"/>
  <c r="O1412" i="4"/>
  <c r="N1412" i="4"/>
  <c r="R1412" i="4" s="1"/>
  <c r="AB1409" i="4"/>
  <c r="W1409" i="4"/>
  <c r="U1409" i="4"/>
  <c r="T1409" i="4"/>
  <c r="Q1409" i="4"/>
  <c r="P1409" i="4"/>
  <c r="V1409" i="4" s="1"/>
  <c r="S1409" i="4" s="1"/>
  <c r="O1409" i="4"/>
  <c r="N1409" i="4"/>
  <c r="R1409" i="4" s="1"/>
  <c r="AB1408" i="4"/>
  <c r="U1408" i="4"/>
  <c r="T1408" i="4"/>
  <c r="Q1408" i="4"/>
  <c r="P1408" i="4"/>
  <c r="W1408" i="4" s="1"/>
  <c r="O1408" i="4"/>
  <c r="N1408" i="4"/>
  <c r="R1408" i="4" s="1"/>
  <c r="AB1407" i="4"/>
  <c r="W1407" i="4"/>
  <c r="U1407" i="4"/>
  <c r="T1407" i="4"/>
  <c r="R1407" i="4"/>
  <c r="Q1407" i="4"/>
  <c r="P1407" i="4"/>
  <c r="V1407" i="4" s="1"/>
  <c r="S1407" i="4" s="1"/>
  <c r="O1407" i="4"/>
  <c r="N1407" i="4"/>
  <c r="AB1406" i="4"/>
  <c r="U1406" i="4"/>
  <c r="T1406" i="4"/>
  <c r="Q1406" i="4"/>
  <c r="P1406" i="4"/>
  <c r="W1406" i="4" s="1"/>
  <c r="O1406" i="4"/>
  <c r="N1406" i="4"/>
  <c r="R1406" i="4" s="1"/>
  <c r="AB1405" i="4"/>
  <c r="W1405" i="4"/>
  <c r="U1405" i="4"/>
  <c r="T1405" i="4"/>
  <c r="R1405" i="4"/>
  <c r="Q1405" i="4"/>
  <c r="P1405" i="4"/>
  <c r="V1405" i="4" s="1"/>
  <c r="S1405" i="4" s="1"/>
  <c r="O1405" i="4"/>
  <c r="N1405" i="4"/>
  <c r="AB1404" i="4"/>
  <c r="V1404" i="4"/>
  <c r="U1404" i="4"/>
  <c r="T1404" i="4"/>
  <c r="Q1404" i="4"/>
  <c r="P1404" i="4"/>
  <c r="W1404" i="4" s="1"/>
  <c r="O1404" i="4"/>
  <c r="N1404" i="4"/>
  <c r="R1404" i="4" s="1"/>
  <c r="AB1403" i="4"/>
  <c r="W1403" i="4"/>
  <c r="U1403" i="4"/>
  <c r="T1403" i="4"/>
  <c r="S1403" i="4"/>
  <c r="R1403" i="4"/>
  <c r="Q1403" i="4"/>
  <c r="P1403" i="4"/>
  <c r="V1403" i="4" s="1"/>
  <c r="O1403" i="4"/>
  <c r="N1403" i="4"/>
  <c r="AB1402" i="4"/>
  <c r="W1402" i="4"/>
  <c r="U1402" i="4"/>
  <c r="T1402" i="4"/>
  <c r="Q1402" i="4"/>
  <c r="P1402" i="4"/>
  <c r="V1402" i="4" s="1"/>
  <c r="O1402" i="4"/>
  <c r="R1402" i="4" s="1"/>
  <c r="N1402" i="4"/>
  <c r="AB1401" i="4"/>
  <c r="U1401" i="4"/>
  <c r="T1401" i="4"/>
  <c r="Q1401" i="4"/>
  <c r="P1401" i="4"/>
  <c r="V1401" i="4" s="1"/>
  <c r="O1401" i="4"/>
  <c r="N1401" i="4"/>
  <c r="R1401" i="4" s="1"/>
  <c r="AB1400" i="4"/>
  <c r="W1400" i="4"/>
  <c r="U1400" i="4"/>
  <c r="T1400" i="4"/>
  <c r="Q1400" i="4"/>
  <c r="P1400" i="4"/>
  <c r="V1400" i="4" s="1"/>
  <c r="O1400" i="4"/>
  <c r="R1400" i="4" s="1"/>
  <c r="N1400" i="4"/>
  <c r="AB1399" i="4"/>
  <c r="U1399" i="4"/>
  <c r="T1399" i="4"/>
  <c r="R1399" i="4"/>
  <c r="S1399" i="4" s="1"/>
  <c r="Q1399" i="4"/>
  <c r="P1399" i="4"/>
  <c r="V1399" i="4" s="1"/>
  <c r="O1399" i="4"/>
  <c r="N1399" i="4"/>
  <c r="AB1398" i="4"/>
  <c r="W1398" i="4"/>
  <c r="U1398" i="4"/>
  <c r="T1398" i="4"/>
  <c r="Q1398" i="4"/>
  <c r="P1398" i="4"/>
  <c r="V1398" i="4" s="1"/>
  <c r="O1398" i="4"/>
  <c r="R1398" i="4" s="1"/>
  <c r="N1398" i="4"/>
  <c r="AB1397" i="4"/>
  <c r="U1397" i="4"/>
  <c r="T1397" i="4"/>
  <c r="Q1397" i="4"/>
  <c r="P1397" i="4"/>
  <c r="V1397" i="4" s="1"/>
  <c r="O1397" i="4"/>
  <c r="N1397" i="4"/>
  <c r="R1397" i="4" s="1"/>
  <c r="AB1396" i="4"/>
  <c r="W1396" i="4"/>
  <c r="V1396" i="4"/>
  <c r="U1396" i="4"/>
  <c r="T1396" i="4"/>
  <c r="Q1396" i="4"/>
  <c r="P1396" i="4"/>
  <c r="O1396" i="4"/>
  <c r="R1396" i="4" s="1"/>
  <c r="N1396" i="4"/>
  <c r="AB1395" i="4"/>
  <c r="U1395" i="4"/>
  <c r="T1395" i="4"/>
  <c r="Q1395" i="4"/>
  <c r="P1395" i="4"/>
  <c r="V1395" i="4" s="1"/>
  <c r="O1395" i="4"/>
  <c r="N1395" i="4"/>
  <c r="R1395" i="4" s="1"/>
  <c r="AB1394" i="4"/>
  <c r="W1394" i="4"/>
  <c r="U1394" i="4"/>
  <c r="T1394" i="4"/>
  <c r="Q1394" i="4"/>
  <c r="P1394" i="4"/>
  <c r="V1394" i="4" s="1"/>
  <c r="O1394" i="4"/>
  <c r="R1394" i="4" s="1"/>
  <c r="N1394" i="4"/>
  <c r="AB1393" i="4"/>
  <c r="U1393" i="4"/>
  <c r="T1393" i="4"/>
  <c r="R1393" i="4"/>
  <c r="S1393" i="4" s="1"/>
  <c r="Q1393" i="4"/>
  <c r="P1393" i="4"/>
  <c r="V1393" i="4" s="1"/>
  <c r="O1393" i="4"/>
  <c r="N1393" i="4"/>
  <c r="AB1392" i="4"/>
  <c r="W1392" i="4"/>
  <c r="U1392" i="4"/>
  <c r="T1392" i="4"/>
  <c r="Q1392" i="4"/>
  <c r="P1392" i="4"/>
  <c r="V1392" i="4" s="1"/>
  <c r="O1392" i="4"/>
  <c r="R1392" i="4" s="1"/>
  <c r="N1392" i="4"/>
  <c r="AB1391" i="4"/>
  <c r="U1391" i="4"/>
  <c r="T1391" i="4"/>
  <c r="Q1391" i="4"/>
  <c r="P1391" i="4"/>
  <c r="V1391" i="4" s="1"/>
  <c r="O1391" i="4"/>
  <c r="N1391" i="4"/>
  <c r="R1391" i="4" s="1"/>
  <c r="AB1390" i="4"/>
  <c r="W1390" i="4"/>
  <c r="V1390" i="4"/>
  <c r="S1390" i="4" s="1"/>
  <c r="U1390" i="4"/>
  <c r="T1390" i="4"/>
  <c r="Q1390" i="4"/>
  <c r="P1390" i="4"/>
  <c r="O1390" i="4"/>
  <c r="N1390" i="4"/>
  <c r="AB1389" i="4"/>
  <c r="U1389" i="4"/>
  <c r="T1389" i="4"/>
  <c r="S1389" i="4"/>
  <c r="Q1389" i="4"/>
  <c r="P1389" i="4"/>
  <c r="V1389" i="4" s="1"/>
  <c r="O1389" i="4"/>
  <c r="N1389" i="4"/>
  <c r="AB1388" i="4"/>
  <c r="U1388" i="4"/>
  <c r="T1388" i="4"/>
  <c r="Q1388" i="4"/>
  <c r="P1388" i="4"/>
  <c r="W1388" i="4" s="1"/>
  <c r="O1388" i="4"/>
  <c r="N1388" i="4"/>
  <c r="AB1387" i="4"/>
  <c r="W1387" i="4"/>
  <c r="V1387" i="4"/>
  <c r="S1387" i="4" s="1"/>
  <c r="X1387" i="4" s="1"/>
  <c r="Y1387" i="4" s="1"/>
  <c r="AA1387" i="4" s="1"/>
  <c r="U1387" i="4"/>
  <c r="T1387" i="4"/>
  <c r="Q1387" i="4"/>
  <c r="P1387" i="4"/>
  <c r="O1387" i="4"/>
  <c r="N1387" i="4"/>
  <c r="AB1386" i="4"/>
  <c r="W1386" i="4"/>
  <c r="U1386" i="4"/>
  <c r="T1386" i="4"/>
  <c r="R1386" i="4"/>
  <c r="Q1386" i="4"/>
  <c r="P1386" i="4"/>
  <c r="V1386" i="4" s="1"/>
  <c r="O1386" i="4"/>
  <c r="N1386" i="4"/>
  <c r="AB1385" i="4"/>
  <c r="V1385" i="4"/>
  <c r="S1385" i="4" s="1"/>
  <c r="U1385" i="4"/>
  <c r="T1385" i="4"/>
  <c r="Q1385" i="4"/>
  <c r="P1385" i="4"/>
  <c r="W1385" i="4" s="1"/>
  <c r="O1385" i="4"/>
  <c r="N1385" i="4"/>
  <c r="AB1384" i="4"/>
  <c r="W1384" i="4"/>
  <c r="U1384" i="4"/>
  <c r="T1384" i="4"/>
  <c r="Q1384" i="4"/>
  <c r="P1384" i="4"/>
  <c r="V1384" i="4" s="1"/>
  <c r="S1384" i="4" s="1"/>
  <c r="X1384" i="4" s="1"/>
  <c r="AC1384" i="4" s="1"/>
  <c r="O1384" i="4"/>
  <c r="N1384" i="4"/>
  <c r="AB1383" i="4"/>
  <c r="U1383" i="4"/>
  <c r="T1383" i="4"/>
  <c r="R1383" i="4"/>
  <c r="S1383" i="4" s="1"/>
  <c r="Q1383" i="4"/>
  <c r="P1383" i="4"/>
  <c r="V1383" i="4" s="1"/>
  <c r="O1383" i="4"/>
  <c r="N1383" i="4"/>
  <c r="AB1382" i="4"/>
  <c r="W1382" i="4"/>
  <c r="U1382" i="4"/>
  <c r="T1382" i="4"/>
  <c r="Q1382" i="4"/>
  <c r="P1382" i="4"/>
  <c r="V1382" i="4" s="1"/>
  <c r="O1382" i="4"/>
  <c r="R1382" i="4" s="1"/>
  <c r="N1382" i="4"/>
  <c r="AB1381" i="4"/>
  <c r="U1381" i="4"/>
  <c r="T1381" i="4"/>
  <c r="Q1381" i="4"/>
  <c r="P1381" i="4"/>
  <c r="V1381" i="4" s="1"/>
  <c r="O1381" i="4"/>
  <c r="N1381" i="4"/>
  <c r="R1381" i="4" s="1"/>
  <c r="AB1380" i="4"/>
  <c r="W1380" i="4"/>
  <c r="V1380" i="4"/>
  <c r="S1380" i="4" s="1"/>
  <c r="U1380" i="4"/>
  <c r="T1380" i="4"/>
  <c r="Q1380" i="4"/>
  <c r="P1380" i="4"/>
  <c r="O1380" i="4"/>
  <c r="N1380" i="4"/>
  <c r="AB1379" i="4"/>
  <c r="W1379" i="4"/>
  <c r="U1379" i="4"/>
  <c r="T1379" i="4"/>
  <c r="S1379" i="4"/>
  <c r="X1379" i="4" s="1"/>
  <c r="AC1379" i="4" s="1"/>
  <c r="R1379" i="4"/>
  <c r="Q1379" i="4"/>
  <c r="P1379" i="4"/>
  <c r="V1379" i="4" s="1"/>
  <c r="O1379" i="4"/>
  <c r="N1379" i="4"/>
  <c r="AB1378" i="4"/>
  <c r="U1378" i="4"/>
  <c r="T1378" i="4"/>
  <c r="Q1378" i="4"/>
  <c r="P1378" i="4"/>
  <c r="W1378" i="4" s="1"/>
  <c r="O1378" i="4"/>
  <c r="N1378" i="4"/>
  <c r="AB1377" i="4"/>
  <c r="W1377" i="4"/>
  <c r="U1377" i="4"/>
  <c r="T1377" i="4"/>
  <c r="R1377" i="4"/>
  <c r="S1377" i="4" s="1"/>
  <c r="X1377" i="4" s="1"/>
  <c r="AC1377" i="4" s="1"/>
  <c r="Q1377" i="4"/>
  <c r="Y1377" i="4" s="1"/>
  <c r="AA1377" i="4" s="1"/>
  <c r="P1377" i="4"/>
  <c r="V1377" i="4" s="1"/>
  <c r="O1377" i="4"/>
  <c r="N1377" i="4"/>
  <c r="AB1376" i="4"/>
  <c r="U1376" i="4"/>
  <c r="T1376" i="4"/>
  <c r="Q1376" i="4"/>
  <c r="P1376" i="4"/>
  <c r="W1376" i="4" s="1"/>
  <c r="O1376" i="4"/>
  <c r="N1376" i="4"/>
  <c r="AB1375" i="4"/>
  <c r="W1375" i="4"/>
  <c r="U1375" i="4"/>
  <c r="T1375" i="4"/>
  <c r="R1375" i="4"/>
  <c r="Q1375" i="4"/>
  <c r="P1375" i="4"/>
  <c r="V1375" i="4" s="1"/>
  <c r="S1375" i="4" s="1"/>
  <c r="X1375" i="4" s="1"/>
  <c r="AC1375" i="4" s="1"/>
  <c r="O1375" i="4"/>
  <c r="N1375" i="4"/>
  <c r="AB1374" i="4"/>
  <c r="V1374" i="4"/>
  <c r="S1374" i="4" s="1"/>
  <c r="U1374" i="4"/>
  <c r="T1374" i="4"/>
  <c r="Q1374" i="4"/>
  <c r="P1374" i="4"/>
  <c r="W1374" i="4" s="1"/>
  <c r="O1374" i="4"/>
  <c r="N1374" i="4"/>
  <c r="AB1373" i="4"/>
  <c r="V1373" i="4"/>
  <c r="S1373" i="4" s="1"/>
  <c r="X1373" i="4" s="1"/>
  <c r="AC1373" i="4" s="1"/>
  <c r="U1373" i="4"/>
  <c r="T1373" i="4"/>
  <c r="Q1373" i="4"/>
  <c r="P1373" i="4"/>
  <c r="W1373" i="4" s="1"/>
  <c r="O1373" i="4"/>
  <c r="N1373" i="4"/>
  <c r="AB1372" i="4"/>
  <c r="U1372" i="4"/>
  <c r="T1372" i="4"/>
  <c r="S1372" i="4"/>
  <c r="R1372" i="4"/>
  <c r="Q1372" i="4"/>
  <c r="P1372" i="4"/>
  <c r="V1372" i="4" s="1"/>
  <c r="O1372" i="4"/>
  <c r="N1372" i="4"/>
  <c r="AB1371" i="4"/>
  <c r="U1371" i="4"/>
  <c r="T1371" i="4"/>
  <c r="Q1371" i="4"/>
  <c r="P1371" i="4"/>
  <c r="V1371" i="4" s="1"/>
  <c r="O1371" i="4"/>
  <c r="R1371" i="4" s="1"/>
  <c r="N1371" i="4"/>
  <c r="AB1370" i="4"/>
  <c r="V1370" i="4"/>
  <c r="U1370" i="4"/>
  <c r="T1370" i="4"/>
  <c r="S1370" i="4"/>
  <c r="Q1370" i="4"/>
  <c r="Y1370" i="4" s="1"/>
  <c r="AA1370" i="4" s="1"/>
  <c r="P1370" i="4"/>
  <c r="W1370" i="4" s="1"/>
  <c r="X1370" i="4" s="1"/>
  <c r="AC1370" i="4" s="1"/>
  <c r="O1370" i="4"/>
  <c r="N1370" i="4"/>
  <c r="AB1369" i="4"/>
  <c r="V1369" i="4"/>
  <c r="S1369" i="4" s="1"/>
  <c r="X1369" i="4" s="1"/>
  <c r="AC1369" i="4" s="1"/>
  <c r="U1369" i="4"/>
  <c r="T1369" i="4"/>
  <c r="Q1369" i="4"/>
  <c r="P1369" i="4"/>
  <c r="W1369" i="4" s="1"/>
  <c r="O1369" i="4"/>
  <c r="N1369" i="4"/>
  <c r="AB1368" i="4"/>
  <c r="W1368" i="4"/>
  <c r="V1368" i="4"/>
  <c r="S1368" i="4" s="1"/>
  <c r="X1368" i="4" s="1"/>
  <c r="AC1368" i="4" s="1"/>
  <c r="U1368" i="4"/>
  <c r="T1368" i="4"/>
  <c r="Q1368" i="4"/>
  <c r="P1368" i="4"/>
  <c r="O1368" i="4"/>
  <c r="N1368" i="4"/>
  <c r="AB1367" i="4"/>
  <c r="U1367" i="4"/>
  <c r="T1367" i="4"/>
  <c r="Q1367" i="4"/>
  <c r="P1367" i="4"/>
  <c r="V1367" i="4" s="1"/>
  <c r="O1367" i="4"/>
  <c r="N1367" i="4"/>
  <c r="R1367" i="4" s="1"/>
  <c r="AB1366" i="4"/>
  <c r="W1366" i="4"/>
  <c r="U1366" i="4"/>
  <c r="T1366" i="4"/>
  <c r="Q1366" i="4"/>
  <c r="P1366" i="4"/>
  <c r="V1366" i="4" s="1"/>
  <c r="S1366" i="4" s="1"/>
  <c r="X1366" i="4" s="1"/>
  <c r="O1366" i="4"/>
  <c r="N1366" i="4"/>
  <c r="AB1365" i="4"/>
  <c r="W1365" i="4"/>
  <c r="U1365" i="4"/>
  <c r="T1365" i="4"/>
  <c r="R1365" i="4"/>
  <c r="S1365" i="4" s="1"/>
  <c r="Q1365" i="4"/>
  <c r="P1365" i="4"/>
  <c r="V1365" i="4" s="1"/>
  <c r="O1365" i="4"/>
  <c r="N1365" i="4"/>
  <c r="AB1364" i="4"/>
  <c r="U1364" i="4"/>
  <c r="T1364" i="4"/>
  <c r="S1364" i="4"/>
  <c r="Q1364" i="4"/>
  <c r="P1364" i="4"/>
  <c r="W1364" i="4" s="1"/>
  <c r="O1364" i="4"/>
  <c r="N1364" i="4"/>
  <c r="AB1363" i="4"/>
  <c r="W1363" i="4"/>
  <c r="V1363" i="4"/>
  <c r="S1363" i="4" s="1"/>
  <c r="X1363" i="4" s="1"/>
  <c r="Y1363" i="4" s="1"/>
  <c r="AA1363" i="4" s="1"/>
  <c r="U1363" i="4"/>
  <c r="T1363" i="4"/>
  <c r="Q1363" i="4"/>
  <c r="P1363" i="4"/>
  <c r="O1363" i="4"/>
  <c r="N1363" i="4"/>
  <c r="AB1362" i="4"/>
  <c r="W1362" i="4"/>
  <c r="U1362" i="4"/>
  <c r="T1362" i="4"/>
  <c r="S1362" i="4"/>
  <c r="X1362" i="4" s="1"/>
  <c r="AC1362" i="4" s="1"/>
  <c r="R1362" i="4"/>
  <c r="Q1362" i="4"/>
  <c r="Y1362" i="4" s="1"/>
  <c r="AA1362" i="4" s="1"/>
  <c r="P1362" i="4"/>
  <c r="V1362" i="4" s="1"/>
  <c r="O1362" i="4"/>
  <c r="N1362" i="4"/>
  <c r="AB1361" i="4"/>
  <c r="V1361" i="4"/>
  <c r="S1361" i="4" s="1"/>
  <c r="U1361" i="4"/>
  <c r="T1361" i="4"/>
  <c r="Q1361" i="4"/>
  <c r="P1361" i="4"/>
  <c r="W1361" i="4" s="1"/>
  <c r="O1361" i="4"/>
  <c r="N1361" i="4"/>
  <c r="AB1360" i="4"/>
  <c r="U1360" i="4"/>
  <c r="T1360" i="4"/>
  <c r="Q1360" i="4"/>
  <c r="P1360" i="4"/>
  <c r="V1360" i="4" s="1"/>
  <c r="S1360" i="4" s="1"/>
  <c r="O1360" i="4"/>
  <c r="N1360" i="4"/>
  <c r="AB1359" i="4"/>
  <c r="U1359" i="4"/>
  <c r="T1359" i="4"/>
  <c r="R1359" i="4"/>
  <c r="S1359" i="4" s="1"/>
  <c r="Q1359" i="4"/>
  <c r="P1359" i="4"/>
  <c r="V1359" i="4" s="1"/>
  <c r="O1359" i="4"/>
  <c r="N1359" i="4"/>
  <c r="AB1358" i="4"/>
  <c r="W1358" i="4"/>
  <c r="V1358" i="4"/>
  <c r="U1358" i="4"/>
  <c r="T1358" i="4"/>
  <c r="Q1358" i="4"/>
  <c r="P1358" i="4"/>
  <c r="O1358" i="4"/>
  <c r="R1358" i="4" s="1"/>
  <c r="N1358" i="4"/>
  <c r="AB1357" i="4"/>
  <c r="U1357" i="4"/>
  <c r="T1357" i="4"/>
  <c r="Q1357" i="4"/>
  <c r="P1357" i="4"/>
  <c r="W1357" i="4" s="1"/>
  <c r="O1357" i="4"/>
  <c r="N1357" i="4"/>
  <c r="R1357" i="4" s="1"/>
  <c r="AB1356" i="4"/>
  <c r="U1356" i="4"/>
  <c r="T1356" i="4"/>
  <c r="Q1356" i="4"/>
  <c r="P1356" i="4"/>
  <c r="W1356" i="4" s="1"/>
  <c r="O1356" i="4"/>
  <c r="R1356" i="4" s="1"/>
  <c r="N1356" i="4"/>
  <c r="AB1355" i="4"/>
  <c r="U1355" i="4"/>
  <c r="T1355" i="4"/>
  <c r="R1355" i="4"/>
  <c r="Q1355" i="4"/>
  <c r="P1355" i="4"/>
  <c r="W1355" i="4" s="1"/>
  <c r="O1355" i="4"/>
  <c r="N1355" i="4"/>
  <c r="AB1354" i="4"/>
  <c r="V1354" i="4"/>
  <c r="U1354" i="4"/>
  <c r="T1354" i="4"/>
  <c r="S1354" i="4"/>
  <c r="Q1354" i="4"/>
  <c r="P1354" i="4"/>
  <c r="W1354" i="4" s="1"/>
  <c r="O1354" i="4"/>
  <c r="R1354" i="4" s="1"/>
  <c r="N1354" i="4"/>
  <c r="AB1353" i="4"/>
  <c r="U1353" i="4"/>
  <c r="T1353" i="4"/>
  <c r="Q1353" i="4"/>
  <c r="P1353" i="4"/>
  <c r="W1353" i="4" s="1"/>
  <c r="O1353" i="4"/>
  <c r="N1353" i="4"/>
  <c r="R1353" i="4" s="1"/>
  <c r="AB1352" i="4"/>
  <c r="V1352" i="4"/>
  <c r="U1352" i="4"/>
  <c r="T1352" i="4"/>
  <c r="Q1352" i="4"/>
  <c r="P1352" i="4"/>
  <c r="W1352" i="4" s="1"/>
  <c r="O1352" i="4"/>
  <c r="R1352" i="4" s="1"/>
  <c r="S1352" i="4" s="1"/>
  <c r="N1352" i="4"/>
  <c r="AB1351" i="4"/>
  <c r="U1351" i="4"/>
  <c r="T1351" i="4"/>
  <c r="Q1351" i="4"/>
  <c r="P1351" i="4"/>
  <c r="W1351" i="4" s="1"/>
  <c r="O1351" i="4"/>
  <c r="N1351" i="4"/>
  <c r="R1351" i="4" s="1"/>
  <c r="AB1350" i="4"/>
  <c r="U1350" i="4"/>
  <c r="T1350" i="4"/>
  <c r="Q1350" i="4"/>
  <c r="P1350" i="4"/>
  <c r="W1350" i="4" s="1"/>
  <c r="O1350" i="4"/>
  <c r="N1350" i="4"/>
  <c r="AB1349" i="4"/>
  <c r="W1349" i="4"/>
  <c r="U1349" i="4"/>
  <c r="T1349" i="4"/>
  <c r="Q1349" i="4"/>
  <c r="Y1349" i="4" s="1"/>
  <c r="AA1349" i="4" s="1"/>
  <c r="P1349" i="4"/>
  <c r="V1349" i="4" s="1"/>
  <c r="S1349" i="4" s="1"/>
  <c r="X1349" i="4" s="1"/>
  <c r="AC1349" i="4" s="1"/>
  <c r="O1349" i="4"/>
  <c r="N1349" i="4"/>
  <c r="AB1348" i="4"/>
  <c r="W1348" i="4"/>
  <c r="U1348" i="4"/>
  <c r="T1348" i="4"/>
  <c r="Q1348" i="4"/>
  <c r="P1348" i="4"/>
  <c r="V1348" i="4" s="1"/>
  <c r="O1348" i="4"/>
  <c r="N1348" i="4"/>
  <c r="R1348" i="4" s="1"/>
  <c r="S1348" i="4" s="1"/>
  <c r="AB1347" i="4"/>
  <c r="V1347" i="4"/>
  <c r="U1347" i="4"/>
  <c r="T1347" i="4"/>
  <c r="Q1347" i="4"/>
  <c r="P1347" i="4"/>
  <c r="W1347" i="4" s="1"/>
  <c r="O1347" i="4"/>
  <c r="N1347" i="4"/>
  <c r="R1347" i="4" s="1"/>
  <c r="AB1346" i="4"/>
  <c r="W1346" i="4"/>
  <c r="U1346" i="4"/>
  <c r="T1346" i="4"/>
  <c r="Q1346" i="4"/>
  <c r="P1346" i="4"/>
  <c r="V1346" i="4" s="1"/>
  <c r="O1346" i="4"/>
  <c r="N1346" i="4"/>
  <c r="R1346" i="4" s="1"/>
  <c r="S1346" i="4" s="1"/>
  <c r="AB1345" i="4"/>
  <c r="W1345" i="4"/>
  <c r="V1345" i="4"/>
  <c r="S1345" i="4" s="1"/>
  <c r="X1345" i="4" s="1"/>
  <c r="AC1345" i="4" s="1"/>
  <c r="U1345" i="4"/>
  <c r="T1345" i="4"/>
  <c r="Q1345" i="4"/>
  <c r="P1345" i="4"/>
  <c r="O1345" i="4"/>
  <c r="N1345" i="4"/>
  <c r="AB1344" i="4"/>
  <c r="V1344" i="4"/>
  <c r="S1344" i="4" s="1"/>
  <c r="X1344" i="4" s="1"/>
  <c r="AC1344" i="4" s="1"/>
  <c r="U1344" i="4"/>
  <c r="T1344" i="4"/>
  <c r="Q1344" i="4"/>
  <c r="P1344" i="4"/>
  <c r="W1344" i="4" s="1"/>
  <c r="O1344" i="4"/>
  <c r="N1344" i="4"/>
  <c r="AB1343" i="4"/>
  <c r="V1343" i="4"/>
  <c r="S1343" i="4" s="1"/>
  <c r="X1343" i="4" s="1"/>
  <c r="AC1343" i="4" s="1"/>
  <c r="U1343" i="4"/>
  <c r="T1343" i="4"/>
  <c r="Q1343" i="4"/>
  <c r="P1343" i="4"/>
  <c r="W1343" i="4" s="1"/>
  <c r="O1343" i="4"/>
  <c r="N1343" i="4"/>
  <c r="AB1342" i="4"/>
  <c r="W1342" i="4"/>
  <c r="U1342" i="4"/>
  <c r="T1342" i="4"/>
  <c r="Q1342" i="4"/>
  <c r="P1342" i="4"/>
  <c r="V1342" i="4" s="1"/>
  <c r="O1342" i="4"/>
  <c r="R1342" i="4" s="1"/>
  <c r="N1342" i="4"/>
  <c r="AB1341" i="4"/>
  <c r="U1341" i="4"/>
  <c r="T1341" i="4"/>
  <c r="Q1341" i="4"/>
  <c r="P1341" i="4"/>
  <c r="W1341" i="4" s="1"/>
  <c r="O1341" i="4"/>
  <c r="R1341" i="4" s="1"/>
  <c r="N1341" i="4"/>
  <c r="AB1340" i="4"/>
  <c r="U1340" i="4"/>
  <c r="T1340" i="4"/>
  <c r="R1340" i="4"/>
  <c r="Q1340" i="4"/>
  <c r="P1340" i="4"/>
  <c r="W1340" i="4" s="1"/>
  <c r="O1340" i="4"/>
  <c r="N1340" i="4"/>
  <c r="AB1339" i="4"/>
  <c r="U1339" i="4"/>
  <c r="T1339" i="4"/>
  <c r="Q1339" i="4"/>
  <c r="P1339" i="4"/>
  <c r="W1339" i="4" s="1"/>
  <c r="O1339" i="4"/>
  <c r="R1339" i="4" s="1"/>
  <c r="N1339" i="4"/>
  <c r="AB1338" i="4"/>
  <c r="U1338" i="4"/>
  <c r="T1338" i="4"/>
  <c r="Q1338" i="4"/>
  <c r="P1338" i="4"/>
  <c r="W1338" i="4" s="1"/>
  <c r="O1338" i="4"/>
  <c r="N1338" i="4"/>
  <c r="R1338" i="4" s="1"/>
  <c r="AB1337" i="4"/>
  <c r="V1337" i="4"/>
  <c r="U1337" i="4"/>
  <c r="T1337" i="4"/>
  <c r="Q1337" i="4"/>
  <c r="P1337" i="4"/>
  <c r="W1337" i="4" s="1"/>
  <c r="O1337" i="4"/>
  <c r="R1337" i="4" s="1"/>
  <c r="N1337" i="4"/>
  <c r="AB1336" i="4"/>
  <c r="V1336" i="4"/>
  <c r="S1336" i="4" s="1"/>
  <c r="X1336" i="4" s="1"/>
  <c r="AC1336" i="4" s="1"/>
  <c r="U1336" i="4"/>
  <c r="T1336" i="4"/>
  <c r="Q1336" i="4"/>
  <c r="P1336" i="4"/>
  <c r="W1336" i="4" s="1"/>
  <c r="O1336" i="4"/>
  <c r="N1336" i="4"/>
  <c r="AB1335" i="4"/>
  <c r="U1335" i="4"/>
  <c r="T1335" i="4"/>
  <c r="Q1335" i="4"/>
  <c r="P1335" i="4"/>
  <c r="W1335" i="4" s="1"/>
  <c r="O1335" i="4"/>
  <c r="N1335" i="4"/>
  <c r="R1335" i="4" s="1"/>
  <c r="AB1334" i="4"/>
  <c r="W1334" i="4"/>
  <c r="U1334" i="4"/>
  <c r="T1334" i="4"/>
  <c r="Q1334" i="4"/>
  <c r="P1334" i="4"/>
  <c r="V1334" i="4" s="1"/>
  <c r="O1334" i="4"/>
  <c r="R1334" i="4" s="1"/>
  <c r="N1334" i="4"/>
  <c r="AB1333" i="4"/>
  <c r="X1333" i="4"/>
  <c r="AC1333" i="4" s="1"/>
  <c r="V1333" i="4"/>
  <c r="S1333" i="4" s="1"/>
  <c r="U1333" i="4"/>
  <c r="T1333" i="4"/>
  <c r="Q1333" i="4"/>
  <c r="P1333" i="4"/>
  <c r="W1333" i="4" s="1"/>
  <c r="O1333" i="4"/>
  <c r="N1333" i="4"/>
  <c r="AB1332" i="4"/>
  <c r="W1332" i="4"/>
  <c r="V1332" i="4"/>
  <c r="S1332" i="4" s="1"/>
  <c r="X1332" i="4" s="1"/>
  <c r="AC1332" i="4" s="1"/>
  <c r="U1332" i="4"/>
  <c r="T1332" i="4"/>
  <c r="Q1332" i="4"/>
  <c r="P1332" i="4"/>
  <c r="O1332" i="4"/>
  <c r="N1332" i="4"/>
  <c r="AB1331" i="4"/>
  <c r="U1331" i="4"/>
  <c r="T1331" i="4"/>
  <c r="R1331" i="4"/>
  <c r="Q1331" i="4"/>
  <c r="P1331" i="4"/>
  <c r="W1331" i="4" s="1"/>
  <c r="O1331" i="4"/>
  <c r="N1331" i="4"/>
  <c r="AB1330" i="4"/>
  <c r="U1330" i="4"/>
  <c r="T1330" i="4"/>
  <c r="Q1330" i="4"/>
  <c r="P1330" i="4"/>
  <c r="W1330" i="4" s="1"/>
  <c r="O1330" i="4"/>
  <c r="N1330" i="4"/>
  <c r="AB1329" i="4"/>
  <c r="U1329" i="4"/>
  <c r="T1329" i="4"/>
  <c r="Q1329" i="4"/>
  <c r="P1329" i="4"/>
  <c r="V1329" i="4" s="1"/>
  <c r="S1329" i="4" s="1"/>
  <c r="O1329" i="4"/>
  <c r="N1329" i="4"/>
  <c r="AB1328" i="4"/>
  <c r="W1328" i="4"/>
  <c r="U1328" i="4"/>
  <c r="T1328" i="4"/>
  <c r="Q1328" i="4"/>
  <c r="P1328" i="4"/>
  <c r="V1328" i="4" s="1"/>
  <c r="S1328" i="4" s="1"/>
  <c r="X1328" i="4" s="1"/>
  <c r="O1328" i="4"/>
  <c r="N1328" i="4"/>
  <c r="AB1327" i="4"/>
  <c r="V1327" i="4"/>
  <c r="U1327" i="4"/>
  <c r="T1327" i="4"/>
  <c r="Q1327" i="4"/>
  <c r="P1327" i="4"/>
  <c r="W1327" i="4" s="1"/>
  <c r="O1327" i="4"/>
  <c r="R1327" i="4" s="1"/>
  <c r="N1327" i="4"/>
  <c r="AB1326" i="4"/>
  <c r="V1326" i="4"/>
  <c r="S1326" i="4" s="1"/>
  <c r="X1326" i="4" s="1"/>
  <c r="AC1326" i="4" s="1"/>
  <c r="U1326" i="4"/>
  <c r="T1326" i="4"/>
  <c r="Q1326" i="4"/>
  <c r="P1326" i="4"/>
  <c r="W1326" i="4" s="1"/>
  <c r="O1326" i="4"/>
  <c r="N1326" i="4"/>
  <c r="AB1325" i="4"/>
  <c r="U1325" i="4"/>
  <c r="T1325" i="4"/>
  <c r="R1325" i="4"/>
  <c r="Q1325" i="4"/>
  <c r="P1325" i="4"/>
  <c r="W1325" i="4" s="1"/>
  <c r="O1325" i="4"/>
  <c r="N1325" i="4"/>
  <c r="AB1324" i="4"/>
  <c r="U1324" i="4"/>
  <c r="T1324" i="4"/>
  <c r="Q1324" i="4"/>
  <c r="P1324" i="4"/>
  <c r="V1324" i="4" s="1"/>
  <c r="S1324" i="4" s="1"/>
  <c r="O1324" i="4"/>
  <c r="N1324" i="4"/>
  <c r="AB1323" i="4"/>
  <c r="V1323" i="4"/>
  <c r="U1323" i="4"/>
  <c r="T1323" i="4"/>
  <c r="S1323" i="4"/>
  <c r="Q1323" i="4"/>
  <c r="P1323" i="4"/>
  <c r="W1323" i="4" s="1"/>
  <c r="O1323" i="4"/>
  <c r="N1323" i="4"/>
  <c r="AB1322" i="4"/>
  <c r="W1322" i="4"/>
  <c r="U1322" i="4"/>
  <c r="T1322" i="4"/>
  <c r="Q1322" i="4"/>
  <c r="P1322" i="4"/>
  <c r="V1322" i="4" s="1"/>
  <c r="O1322" i="4"/>
  <c r="R1322" i="4" s="1"/>
  <c r="N1322" i="4"/>
  <c r="AB1321" i="4"/>
  <c r="U1321" i="4"/>
  <c r="T1321" i="4"/>
  <c r="Q1321" i="4"/>
  <c r="P1321" i="4"/>
  <c r="W1321" i="4" s="1"/>
  <c r="O1321" i="4"/>
  <c r="N1321" i="4"/>
  <c r="R1321" i="4" s="1"/>
  <c r="AB1320" i="4"/>
  <c r="U1320" i="4"/>
  <c r="T1320" i="4"/>
  <c r="Q1320" i="4"/>
  <c r="P1320" i="4"/>
  <c r="W1320" i="4" s="1"/>
  <c r="O1320" i="4"/>
  <c r="N1320" i="4"/>
  <c r="AB1319" i="4"/>
  <c r="W1319" i="4"/>
  <c r="U1319" i="4"/>
  <c r="T1319" i="4"/>
  <c r="R1319" i="4"/>
  <c r="S1319" i="4" s="1"/>
  <c r="Q1319" i="4"/>
  <c r="P1319" i="4"/>
  <c r="V1319" i="4" s="1"/>
  <c r="O1319" i="4"/>
  <c r="N1319" i="4"/>
  <c r="AB1318" i="4"/>
  <c r="W1318" i="4"/>
  <c r="U1318" i="4"/>
  <c r="T1318" i="4"/>
  <c r="Q1318" i="4"/>
  <c r="P1318" i="4"/>
  <c r="V1318" i="4" s="1"/>
  <c r="S1318" i="4" s="1"/>
  <c r="X1318" i="4" s="1"/>
  <c r="AC1318" i="4" s="1"/>
  <c r="O1318" i="4"/>
  <c r="N1318" i="4"/>
  <c r="AB1317" i="4"/>
  <c r="V1317" i="4"/>
  <c r="S1317" i="4" s="1"/>
  <c r="X1317" i="4" s="1"/>
  <c r="AC1317" i="4" s="1"/>
  <c r="U1317" i="4"/>
  <c r="T1317" i="4"/>
  <c r="Q1317" i="4"/>
  <c r="P1317" i="4"/>
  <c r="W1317" i="4" s="1"/>
  <c r="O1317" i="4"/>
  <c r="N1317" i="4"/>
  <c r="AB1316" i="4"/>
  <c r="U1316" i="4"/>
  <c r="T1316" i="4"/>
  <c r="Q1316" i="4"/>
  <c r="P1316" i="4"/>
  <c r="W1316" i="4" s="1"/>
  <c r="O1316" i="4"/>
  <c r="N1316" i="4"/>
  <c r="R1316" i="4" s="1"/>
  <c r="AB1315" i="4"/>
  <c r="U1315" i="4"/>
  <c r="T1315" i="4"/>
  <c r="Q1315" i="4"/>
  <c r="P1315" i="4"/>
  <c r="W1315" i="4" s="1"/>
  <c r="O1315" i="4"/>
  <c r="N1315" i="4"/>
  <c r="AB1314" i="4"/>
  <c r="U1314" i="4"/>
  <c r="T1314" i="4"/>
  <c r="Q1314" i="4"/>
  <c r="P1314" i="4"/>
  <c r="V1314" i="4" s="1"/>
  <c r="S1314" i="4" s="1"/>
  <c r="O1314" i="4"/>
  <c r="N1314" i="4"/>
  <c r="AB1313" i="4"/>
  <c r="V1313" i="4"/>
  <c r="U1313" i="4"/>
  <c r="T1313" i="4"/>
  <c r="S1313" i="4"/>
  <c r="Q1313" i="4"/>
  <c r="P1313" i="4"/>
  <c r="W1313" i="4" s="1"/>
  <c r="O1313" i="4"/>
  <c r="N1313" i="4"/>
  <c r="AB1312" i="4"/>
  <c r="W1312" i="4"/>
  <c r="U1312" i="4"/>
  <c r="T1312" i="4"/>
  <c r="Q1312" i="4"/>
  <c r="P1312" i="4"/>
  <c r="V1312" i="4" s="1"/>
  <c r="O1312" i="4"/>
  <c r="R1312" i="4" s="1"/>
  <c r="N1312" i="4"/>
  <c r="AB1311" i="4"/>
  <c r="V1311" i="4"/>
  <c r="S1311" i="4" s="1"/>
  <c r="X1311" i="4" s="1"/>
  <c r="AC1311" i="4" s="1"/>
  <c r="U1311" i="4"/>
  <c r="T1311" i="4"/>
  <c r="Q1311" i="4"/>
  <c r="Y1311" i="4" s="1"/>
  <c r="AA1311" i="4" s="1"/>
  <c r="P1311" i="4"/>
  <c r="W1311" i="4" s="1"/>
  <c r="O1311" i="4"/>
  <c r="N1311" i="4"/>
  <c r="AB1310" i="4"/>
  <c r="W1310" i="4"/>
  <c r="V1310" i="4"/>
  <c r="S1310" i="4" s="1"/>
  <c r="X1310" i="4" s="1"/>
  <c r="AC1310" i="4" s="1"/>
  <c r="U1310" i="4"/>
  <c r="T1310" i="4"/>
  <c r="Q1310" i="4"/>
  <c r="P1310" i="4"/>
  <c r="O1310" i="4"/>
  <c r="N1310" i="4"/>
  <c r="AB1309" i="4"/>
  <c r="U1309" i="4"/>
  <c r="T1309" i="4"/>
  <c r="Q1309" i="4"/>
  <c r="P1309" i="4"/>
  <c r="W1309" i="4" s="1"/>
  <c r="O1309" i="4"/>
  <c r="N1309" i="4"/>
  <c r="AB1308" i="4"/>
  <c r="V1308" i="4"/>
  <c r="U1308" i="4"/>
  <c r="T1308" i="4"/>
  <c r="S1308" i="4"/>
  <c r="X1308" i="4" s="1"/>
  <c r="AC1308" i="4" s="1"/>
  <c r="Q1308" i="4"/>
  <c r="P1308" i="4"/>
  <c r="W1308" i="4" s="1"/>
  <c r="O1308" i="4"/>
  <c r="N1308" i="4"/>
  <c r="AB1307" i="4"/>
  <c r="W1307" i="4"/>
  <c r="U1307" i="4"/>
  <c r="T1307" i="4"/>
  <c r="Q1307" i="4"/>
  <c r="P1307" i="4"/>
  <c r="V1307" i="4" s="1"/>
  <c r="S1307" i="4" s="1"/>
  <c r="X1307" i="4" s="1"/>
  <c r="AC1307" i="4" s="1"/>
  <c r="O1307" i="4"/>
  <c r="N1307" i="4"/>
  <c r="AB1306" i="4"/>
  <c r="V1306" i="4"/>
  <c r="S1306" i="4" s="1"/>
  <c r="U1306" i="4"/>
  <c r="T1306" i="4"/>
  <c r="Q1306" i="4"/>
  <c r="P1306" i="4"/>
  <c r="W1306" i="4" s="1"/>
  <c r="O1306" i="4"/>
  <c r="N1306" i="4"/>
  <c r="AB1305" i="4"/>
  <c r="W1305" i="4"/>
  <c r="U1305" i="4"/>
  <c r="T1305" i="4"/>
  <c r="R1305" i="4"/>
  <c r="S1305" i="4" s="1"/>
  <c r="Q1305" i="4"/>
  <c r="P1305" i="4"/>
  <c r="V1305" i="4" s="1"/>
  <c r="O1305" i="4"/>
  <c r="N1305" i="4"/>
  <c r="AB1304" i="4"/>
  <c r="U1304" i="4"/>
  <c r="T1304" i="4"/>
  <c r="Q1304" i="4"/>
  <c r="P1304" i="4"/>
  <c r="W1304" i="4" s="1"/>
  <c r="O1304" i="4"/>
  <c r="N1304" i="4"/>
  <c r="AB1303" i="4"/>
  <c r="U1303" i="4"/>
  <c r="T1303" i="4"/>
  <c r="Q1303" i="4"/>
  <c r="P1303" i="4"/>
  <c r="W1303" i="4" s="1"/>
  <c r="O1303" i="4"/>
  <c r="N1303" i="4"/>
  <c r="R1303" i="4" s="1"/>
  <c r="AB1302" i="4"/>
  <c r="V1302" i="4"/>
  <c r="U1302" i="4"/>
  <c r="T1302" i="4"/>
  <c r="S1302" i="4"/>
  <c r="X1302" i="4" s="1"/>
  <c r="Q1302" i="4"/>
  <c r="P1302" i="4"/>
  <c r="W1302" i="4" s="1"/>
  <c r="O1302" i="4"/>
  <c r="N1302" i="4"/>
  <c r="AB1301" i="4"/>
  <c r="U1301" i="4"/>
  <c r="T1301" i="4"/>
  <c r="Q1301" i="4"/>
  <c r="P1301" i="4"/>
  <c r="W1301" i="4" s="1"/>
  <c r="O1301" i="4"/>
  <c r="N1301" i="4"/>
  <c r="R1301" i="4" s="1"/>
  <c r="AB1300" i="4"/>
  <c r="U1300" i="4"/>
  <c r="T1300" i="4"/>
  <c r="Q1300" i="4"/>
  <c r="P1300" i="4"/>
  <c r="W1300" i="4" s="1"/>
  <c r="O1300" i="4"/>
  <c r="N1300" i="4"/>
  <c r="AB1299" i="4"/>
  <c r="U1299" i="4"/>
  <c r="T1299" i="4"/>
  <c r="Q1299" i="4"/>
  <c r="P1299" i="4"/>
  <c r="W1299" i="4" s="1"/>
  <c r="O1299" i="4"/>
  <c r="N1299" i="4"/>
  <c r="AB1298" i="4"/>
  <c r="V1298" i="4"/>
  <c r="S1298" i="4" s="1"/>
  <c r="U1298" i="4"/>
  <c r="T1298" i="4"/>
  <c r="Q1298" i="4"/>
  <c r="P1298" i="4"/>
  <c r="W1298" i="4" s="1"/>
  <c r="O1298" i="4"/>
  <c r="N1298" i="4"/>
  <c r="AB1297" i="4"/>
  <c r="U1297" i="4"/>
  <c r="T1297" i="4"/>
  <c r="Q1297" i="4"/>
  <c r="P1297" i="4"/>
  <c r="W1297" i="4" s="1"/>
  <c r="O1297" i="4"/>
  <c r="N1297" i="4"/>
  <c r="AB1296" i="4"/>
  <c r="W1296" i="4"/>
  <c r="U1296" i="4"/>
  <c r="T1296" i="4"/>
  <c r="Q1296" i="4"/>
  <c r="P1296" i="4"/>
  <c r="V1296" i="4" s="1"/>
  <c r="O1296" i="4"/>
  <c r="N1296" i="4"/>
  <c r="R1296" i="4" s="1"/>
  <c r="AB1295" i="4"/>
  <c r="W1295" i="4"/>
  <c r="U1295" i="4"/>
  <c r="T1295" i="4"/>
  <c r="R1295" i="4"/>
  <c r="S1295" i="4" s="1"/>
  <c r="Q1295" i="4"/>
  <c r="P1295" i="4"/>
  <c r="V1295" i="4" s="1"/>
  <c r="O1295" i="4"/>
  <c r="N1295" i="4"/>
  <c r="AB1294" i="4"/>
  <c r="U1294" i="4"/>
  <c r="T1294" i="4"/>
  <c r="Q1294" i="4"/>
  <c r="P1294" i="4"/>
  <c r="W1294" i="4" s="1"/>
  <c r="O1294" i="4"/>
  <c r="N1294" i="4"/>
  <c r="AB1293" i="4"/>
  <c r="V1293" i="4"/>
  <c r="S1293" i="4" s="1"/>
  <c r="X1293" i="4" s="1"/>
  <c r="U1293" i="4"/>
  <c r="T1293" i="4"/>
  <c r="Q1293" i="4"/>
  <c r="P1293" i="4"/>
  <c r="W1293" i="4" s="1"/>
  <c r="O1293" i="4"/>
  <c r="N1293" i="4"/>
  <c r="AB1292" i="4"/>
  <c r="W1292" i="4"/>
  <c r="U1292" i="4"/>
  <c r="T1292" i="4"/>
  <c r="R1292" i="4"/>
  <c r="S1292" i="4" s="1"/>
  <c r="Q1292" i="4"/>
  <c r="P1292" i="4"/>
  <c r="V1292" i="4" s="1"/>
  <c r="O1292" i="4"/>
  <c r="N1292" i="4"/>
  <c r="AB1291" i="4"/>
  <c r="V1291" i="4"/>
  <c r="S1291" i="4" s="1"/>
  <c r="X1291" i="4" s="1"/>
  <c r="AC1291" i="4" s="1"/>
  <c r="U1291" i="4"/>
  <c r="T1291" i="4"/>
  <c r="Q1291" i="4"/>
  <c r="P1291" i="4"/>
  <c r="W1291" i="4" s="1"/>
  <c r="O1291" i="4"/>
  <c r="N1291" i="4"/>
  <c r="AB1290" i="4"/>
  <c r="U1290" i="4"/>
  <c r="T1290" i="4"/>
  <c r="Q1290" i="4"/>
  <c r="P1290" i="4"/>
  <c r="W1290" i="4" s="1"/>
  <c r="O1290" i="4"/>
  <c r="N1290" i="4"/>
  <c r="AB1289" i="4"/>
  <c r="V1289" i="4"/>
  <c r="U1289" i="4"/>
  <c r="T1289" i="4"/>
  <c r="S1289" i="4"/>
  <c r="X1289" i="4" s="1"/>
  <c r="Q1289" i="4"/>
  <c r="P1289" i="4"/>
  <c r="W1289" i="4" s="1"/>
  <c r="O1289" i="4"/>
  <c r="N1289" i="4"/>
  <c r="AB1288" i="4"/>
  <c r="V1288" i="4"/>
  <c r="S1288" i="4" s="1"/>
  <c r="X1288" i="4" s="1"/>
  <c r="AC1288" i="4" s="1"/>
  <c r="U1288" i="4"/>
  <c r="T1288" i="4"/>
  <c r="Q1288" i="4"/>
  <c r="P1288" i="4"/>
  <c r="W1288" i="4" s="1"/>
  <c r="O1288" i="4"/>
  <c r="N1288" i="4"/>
  <c r="AB1287" i="4"/>
  <c r="W1287" i="4"/>
  <c r="U1287" i="4"/>
  <c r="T1287" i="4"/>
  <c r="R1287" i="4"/>
  <c r="Q1287" i="4"/>
  <c r="P1287" i="4"/>
  <c r="V1287" i="4" s="1"/>
  <c r="O1287" i="4"/>
  <c r="N1287" i="4"/>
  <c r="AB1286" i="4"/>
  <c r="U1286" i="4"/>
  <c r="T1286" i="4"/>
  <c r="Q1286" i="4"/>
  <c r="P1286" i="4"/>
  <c r="W1286" i="4" s="1"/>
  <c r="O1286" i="4"/>
  <c r="N1286" i="4"/>
  <c r="AB1285" i="4"/>
  <c r="V1285" i="4"/>
  <c r="S1285" i="4" s="1"/>
  <c r="X1285" i="4" s="1"/>
  <c r="U1285" i="4"/>
  <c r="T1285" i="4"/>
  <c r="Q1285" i="4"/>
  <c r="P1285" i="4"/>
  <c r="W1285" i="4" s="1"/>
  <c r="O1285" i="4"/>
  <c r="N1285" i="4"/>
  <c r="AB1284" i="4"/>
  <c r="U1284" i="4"/>
  <c r="T1284" i="4"/>
  <c r="Q1284" i="4"/>
  <c r="P1284" i="4"/>
  <c r="W1284" i="4" s="1"/>
  <c r="O1284" i="4"/>
  <c r="N1284" i="4"/>
  <c r="AB1283" i="4"/>
  <c r="U1283" i="4"/>
  <c r="T1283" i="4"/>
  <c r="Q1283" i="4"/>
  <c r="P1283" i="4"/>
  <c r="W1283" i="4" s="1"/>
  <c r="O1283" i="4"/>
  <c r="N1283" i="4"/>
  <c r="AB1282" i="4"/>
  <c r="V1282" i="4"/>
  <c r="S1282" i="4" s="1"/>
  <c r="U1282" i="4"/>
  <c r="T1282" i="4"/>
  <c r="Q1282" i="4"/>
  <c r="P1282" i="4"/>
  <c r="W1282" i="4" s="1"/>
  <c r="O1282" i="4"/>
  <c r="N1282" i="4"/>
  <c r="AB1281" i="4"/>
  <c r="U1281" i="4"/>
  <c r="T1281" i="4"/>
  <c r="Q1281" i="4"/>
  <c r="P1281" i="4"/>
  <c r="W1281" i="4" s="1"/>
  <c r="O1281" i="4"/>
  <c r="N1281" i="4"/>
  <c r="AB1280" i="4"/>
  <c r="U1280" i="4"/>
  <c r="T1280" i="4"/>
  <c r="Q1280" i="4"/>
  <c r="P1280" i="4"/>
  <c r="W1280" i="4" s="1"/>
  <c r="O1280" i="4"/>
  <c r="N1280" i="4"/>
  <c r="AB1279" i="4"/>
  <c r="V1279" i="4"/>
  <c r="S1279" i="4" s="1"/>
  <c r="U1279" i="4"/>
  <c r="T1279" i="4"/>
  <c r="Q1279" i="4"/>
  <c r="P1279" i="4"/>
  <c r="W1279" i="4" s="1"/>
  <c r="O1279" i="4"/>
  <c r="N1279" i="4"/>
  <c r="AB1278" i="4"/>
  <c r="U1278" i="4"/>
  <c r="T1278" i="4"/>
  <c r="Q1278" i="4"/>
  <c r="P1278" i="4"/>
  <c r="W1278" i="4" s="1"/>
  <c r="O1278" i="4"/>
  <c r="N1278" i="4"/>
  <c r="AB1277" i="4"/>
  <c r="U1277" i="4"/>
  <c r="T1277" i="4"/>
  <c r="Q1277" i="4"/>
  <c r="P1277" i="4"/>
  <c r="W1277" i="4" s="1"/>
  <c r="O1277" i="4"/>
  <c r="N1277" i="4"/>
  <c r="AB1276" i="4"/>
  <c r="V1276" i="4"/>
  <c r="S1276" i="4" s="1"/>
  <c r="X1276" i="4" s="1"/>
  <c r="U1276" i="4"/>
  <c r="T1276" i="4"/>
  <c r="Q1276" i="4"/>
  <c r="P1276" i="4"/>
  <c r="W1276" i="4" s="1"/>
  <c r="O1276" i="4"/>
  <c r="N1276" i="4"/>
  <c r="AB1275" i="4"/>
  <c r="W1275" i="4"/>
  <c r="U1275" i="4"/>
  <c r="T1275" i="4"/>
  <c r="R1275" i="4"/>
  <c r="Q1275" i="4"/>
  <c r="P1275" i="4"/>
  <c r="V1275" i="4" s="1"/>
  <c r="O1275" i="4"/>
  <c r="N1275" i="4"/>
  <c r="AB1274" i="4"/>
  <c r="U1274" i="4"/>
  <c r="T1274" i="4"/>
  <c r="R1274" i="4"/>
  <c r="Q1274" i="4"/>
  <c r="P1274" i="4"/>
  <c r="W1274" i="4" s="1"/>
  <c r="O1274" i="4"/>
  <c r="N1274" i="4"/>
  <c r="AB1273" i="4"/>
  <c r="W1273" i="4"/>
  <c r="U1273" i="4"/>
  <c r="T1273" i="4"/>
  <c r="R1273" i="4"/>
  <c r="Q1273" i="4"/>
  <c r="P1273" i="4"/>
  <c r="V1273" i="4" s="1"/>
  <c r="O1273" i="4"/>
  <c r="N1273" i="4"/>
  <c r="AB1272" i="4"/>
  <c r="V1272" i="4"/>
  <c r="S1272" i="4" s="1"/>
  <c r="U1272" i="4"/>
  <c r="T1272" i="4"/>
  <c r="Q1272" i="4"/>
  <c r="P1272" i="4"/>
  <c r="W1272" i="4" s="1"/>
  <c r="O1272" i="4"/>
  <c r="N1272" i="4"/>
  <c r="AB1271" i="4"/>
  <c r="U1271" i="4"/>
  <c r="T1271" i="4"/>
  <c r="Q1271" i="4"/>
  <c r="P1271" i="4"/>
  <c r="W1271" i="4" s="1"/>
  <c r="O1271" i="4"/>
  <c r="N1271" i="4"/>
  <c r="AB1270" i="4"/>
  <c r="V1270" i="4"/>
  <c r="U1270" i="4"/>
  <c r="T1270" i="4"/>
  <c r="S1270" i="4"/>
  <c r="Q1270" i="4"/>
  <c r="P1270" i="4"/>
  <c r="W1270" i="4" s="1"/>
  <c r="O1270" i="4"/>
  <c r="N1270" i="4"/>
  <c r="AB1269" i="4"/>
  <c r="U1269" i="4"/>
  <c r="T1269" i="4"/>
  <c r="Q1269" i="4"/>
  <c r="P1269" i="4"/>
  <c r="W1269" i="4" s="1"/>
  <c r="O1269" i="4"/>
  <c r="N1269" i="4"/>
  <c r="R1269" i="4" s="1"/>
  <c r="AB1268" i="4"/>
  <c r="U1268" i="4"/>
  <c r="T1268" i="4"/>
  <c r="Q1268" i="4"/>
  <c r="P1268" i="4"/>
  <c r="W1268" i="4" s="1"/>
  <c r="O1268" i="4"/>
  <c r="N1268" i="4"/>
  <c r="AB1267" i="4"/>
  <c r="U1267" i="4"/>
  <c r="T1267" i="4"/>
  <c r="Q1267" i="4"/>
  <c r="P1267" i="4"/>
  <c r="W1267" i="4" s="1"/>
  <c r="O1267" i="4"/>
  <c r="N1267" i="4"/>
  <c r="AB1266" i="4"/>
  <c r="U1266" i="4"/>
  <c r="T1266" i="4"/>
  <c r="Q1266" i="4"/>
  <c r="P1266" i="4"/>
  <c r="W1266" i="4" s="1"/>
  <c r="O1266" i="4"/>
  <c r="N1266" i="4"/>
  <c r="R1266" i="4" s="1"/>
  <c r="AB1265" i="4"/>
  <c r="V1265" i="4"/>
  <c r="U1265" i="4"/>
  <c r="T1265" i="4"/>
  <c r="S1265" i="4"/>
  <c r="Q1265" i="4"/>
  <c r="P1265" i="4"/>
  <c r="W1265" i="4" s="1"/>
  <c r="O1265" i="4"/>
  <c r="N1265" i="4"/>
  <c r="AB1264" i="4"/>
  <c r="V1264" i="4"/>
  <c r="S1264" i="4" s="1"/>
  <c r="X1264" i="4" s="1"/>
  <c r="AC1264" i="4" s="1"/>
  <c r="U1264" i="4"/>
  <c r="T1264" i="4"/>
  <c r="Q1264" i="4"/>
  <c r="P1264" i="4"/>
  <c r="W1264" i="4" s="1"/>
  <c r="O1264" i="4"/>
  <c r="N1264" i="4"/>
  <c r="AB1263" i="4"/>
  <c r="U1263" i="4"/>
  <c r="T1263" i="4"/>
  <c r="Q1263" i="4"/>
  <c r="P1263" i="4"/>
  <c r="W1263" i="4" s="1"/>
  <c r="O1263" i="4"/>
  <c r="N1263" i="4"/>
  <c r="AB1262" i="4"/>
  <c r="V1262" i="4"/>
  <c r="U1262" i="4"/>
  <c r="T1262" i="4"/>
  <c r="S1262" i="4"/>
  <c r="Q1262" i="4"/>
  <c r="P1262" i="4"/>
  <c r="W1262" i="4" s="1"/>
  <c r="O1262" i="4"/>
  <c r="N1262" i="4"/>
  <c r="AB1261" i="4"/>
  <c r="V1261" i="4"/>
  <c r="S1261" i="4" s="1"/>
  <c r="X1261" i="4" s="1"/>
  <c r="AC1261" i="4" s="1"/>
  <c r="U1261" i="4"/>
  <c r="T1261" i="4"/>
  <c r="Q1261" i="4"/>
  <c r="P1261" i="4"/>
  <c r="W1261" i="4" s="1"/>
  <c r="O1261" i="4"/>
  <c r="N1261" i="4"/>
  <c r="AB1260" i="4"/>
  <c r="W1260" i="4"/>
  <c r="U1260" i="4"/>
  <c r="T1260" i="4"/>
  <c r="R1260" i="4"/>
  <c r="Q1260" i="4"/>
  <c r="P1260" i="4"/>
  <c r="V1260" i="4" s="1"/>
  <c r="O1260" i="4"/>
  <c r="N1260" i="4"/>
  <c r="AB1259" i="4"/>
  <c r="W1259" i="4"/>
  <c r="U1259" i="4"/>
  <c r="T1259" i="4"/>
  <c r="Q1259" i="4"/>
  <c r="P1259" i="4"/>
  <c r="V1259" i="4" s="1"/>
  <c r="O1259" i="4"/>
  <c r="N1259" i="4"/>
  <c r="R1259" i="4" s="1"/>
  <c r="AB1258" i="4"/>
  <c r="W1258" i="4"/>
  <c r="U1258" i="4"/>
  <c r="T1258" i="4"/>
  <c r="R1258" i="4"/>
  <c r="Q1258" i="4"/>
  <c r="P1258" i="4"/>
  <c r="V1258" i="4" s="1"/>
  <c r="O1258" i="4"/>
  <c r="N1258" i="4"/>
  <c r="AB1257" i="4"/>
  <c r="W1257" i="4"/>
  <c r="U1257" i="4"/>
  <c r="T1257" i="4"/>
  <c r="Q1257" i="4"/>
  <c r="P1257" i="4"/>
  <c r="V1257" i="4" s="1"/>
  <c r="O1257" i="4"/>
  <c r="N1257" i="4"/>
  <c r="R1257" i="4" s="1"/>
  <c r="AB1256" i="4"/>
  <c r="W1256" i="4"/>
  <c r="U1256" i="4"/>
  <c r="T1256" i="4"/>
  <c r="R1256" i="4"/>
  <c r="S1256" i="4" s="1"/>
  <c r="Q1256" i="4"/>
  <c r="P1256" i="4"/>
  <c r="V1256" i="4" s="1"/>
  <c r="O1256" i="4"/>
  <c r="N1256" i="4"/>
  <c r="AB1255" i="4"/>
  <c r="W1255" i="4"/>
  <c r="U1255" i="4"/>
  <c r="T1255" i="4"/>
  <c r="Q1255" i="4"/>
  <c r="P1255" i="4"/>
  <c r="V1255" i="4" s="1"/>
  <c r="O1255" i="4"/>
  <c r="N1255" i="4"/>
  <c r="R1255" i="4" s="1"/>
  <c r="AB1254" i="4"/>
  <c r="U1254" i="4"/>
  <c r="T1254" i="4"/>
  <c r="Q1254" i="4"/>
  <c r="P1254" i="4"/>
  <c r="W1254" i="4" s="1"/>
  <c r="O1254" i="4"/>
  <c r="N1254" i="4"/>
  <c r="AB1253" i="4"/>
  <c r="U1253" i="4"/>
  <c r="T1253" i="4"/>
  <c r="R1253" i="4"/>
  <c r="Q1253" i="4"/>
  <c r="P1253" i="4"/>
  <c r="V1253" i="4" s="1"/>
  <c r="S1253" i="4" s="1"/>
  <c r="O1253" i="4"/>
  <c r="N1253" i="4"/>
  <c r="AB1252" i="4"/>
  <c r="U1252" i="4"/>
  <c r="T1252" i="4"/>
  <c r="Q1252" i="4"/>
  <c r="P1252" i="4"/>
  <c r="W1252" i="4" s="1"/>
  <c r="O1252" i="4"/>
  <c r="N1252" i="4"/>
  <c r="R1252" i="4" s="1"/>
  <c r="AB1251" i="4"/>
  <c r="U1251" i="4"/>
  <c r="T1251" i="4"/>
  <c r="R1251" i="4"/>
  <c r="Q1251" i="4"/>
  <c r="P1251" i="4"/>
  <c r="V1251" i="4" s="1"/>
  <c r="S1251" i="4" s="1"/>
  <c r="O1251" i="4"/>
  <c r="N1251" i="4"/>
  <c r="AB1250" i="4"/>
  <c r="V1250" i="4"/>
  <c r="S1250" i="4" s="1"/>
  <c r="U1250" i="4"/>
  <c r="T1250" i="4"/>
  <c r="Q1250" i="4"/>
  <c r="P1250" i="4"/>
  <c r="W1250" i="4" s="1"/>
  <c r="O1250" i="4"/>
  <c r="N1250" i="4"/>
  <c r="AB1249" i="4"/>
  <c r="U1249" i="4"/>
  <c r="T1249" i="4"/>
  <c r="Q1249" i="4"/>
  <c r="P1249" i="4"/>
  <c r="W1249" i="4" s="1"/>
  <c r="O1249" i="4"/>
  <c r="N1249" i="4"/>
  <c r="AB1248" i="4"/>
  <c r="W1248" i="4"/>
  <c r="U1248" i="4"/>
  <c r="T1248" i="4"/>
  <c r="Q1248" i="4"/>
  <c r="P1248" i="4"/>
  <c r="V1248" i="4" s="1"/>
  <c r="O1248" i="4"/>
  <c r="N1248" i="4"/>
  <c r="R1248" i="4" s="1"/>
  <c r="AB1247" i="4"/>
  <c r="W1247" i="4"/>
  <c r="U1247" i="4"/>
  <c r="T1247" i="4"/>
  <c r="R1247" i="4"/>
  <c r="S1247" i="4" s="1"/>
  <c r="Q1247" i="4"/>
  <c r="P1247" i="4"/>
  <c r="V1247" i="4" s="1"/>
  <c r="O1247" i="4"/>
  <c r="N1247" i="4"/>
  <c r="AB1246" i="4"/>
  <c r="W1246" i="4"/>
  <c r="U1246" i="4"/>
  <c r="T1246" i="4"/>
  <c r="Q1246" i="4"/>
  <c r="P1246" i="4"/>
  <c r="V1246" i="4" s="1"/>
  <c r="O1246" i="4"/>
  <c r="N1246" i="4"/>
  <c r="R1246" i="4" s="1"/>
  <c r="AB1245" i="4"/>
  <c r="W1245" i="4"/>
  <c r="U1245" i="4"/>
  <c r="T1245" i="4"/>
  <c r="R1245" i="4"/>
  <c r="Q1245" i="4"/>
  <c r="P1245" i="4"/>
  <c r="V1245" i="4" s="1"/>
  <c r="O1245" i="4"/>
  <c r="N1245" i="4"/>
  <c r="AB1244" i="4"/>
  <c r="W1244" i="4"/>
  <c r="U1244" i="4"/>
  <c r="T1244" i="4"/>
  <c r="Q1244" i="4"/>
  <c r="P1244" i="4"/>
  <c r="V1244" i="4" s="1"/>
  <c r="O1244" i="4"/>
  <c r="N1244" i="4"/>
  <c r="R1244" i="4" s="1"/>
  <c r="AB1243" i="4"/>
  <c r="W1243" i="4"/>
  <c r="U1243" i="4"/>
  <c r="T1243" i="4"/>
  <c r="R1243" i="4"/>
  <c r="Q1243" i="4"/>
  <c r="P1243" i="4"/>
  <c r="V1243" i="4" s="1"/>
  <c r="O1243" i="4"/>
  <c r="N1243" i="4"/>
  <c r="AB1242" i="4"/>
  <c r="U1242" i="4"/>
  <c r="T1242" i="4"/>
  <c r="Q1242" i="4"/>
  <c r="P1242" i="4"/>
  <c r="W1242" i="4" s="1"/>
  <c r="O1242" i="4"/>
  <c r="N1242" i="4"/>
  <c r="AB1241" i="4"/>
  <c r="V1241" i="4"/>
  <c r="S1241" i="4" s="1"/>
  <c r="X1241" i="4" s="1"/>
  <c r="U1241" i="4"/>
  <c r="T1241" i="4"/>
  <c r="Q1241" i="4"/>
  <c r="P1241" i="4"/>
  <c r="W1241" i="4" s="1"/>
  <c r="O1241" i="4"/>
  <c r="N1241" i="4"/>
  <c r="AB1240" i="4"/>
  <c r="U1240" i="4"/>
  <c r="T1240" i="4"/>
  <c r="Q1240" i="4"/>
  <c r="P1240" i="4"/>
  <c r="W1240" i="4" s="1"/>
  <c r="O1240" i="4"/>
  <c r="N1240" i="4"/>
  <c r="AB1239" i="4"/>
  <c r="U1239" i="4"/>
  <c r="T1239" i="4"/>
  <c r="Q1239" i="4"/>
  <c r="P1239" i="4"/>
  <c r="W1239" i="4" s="1"/>
  <c r="O1239" i="4"/>
  <c r="N1239" i="4"/>
  <c r="AB1238" i="4"/>
  <c r="U1238" i="4"/>
  <c r="T1238" i="4"/>
  <c r="Q1238" i="4"/>
  <c r="P1238" i="4"/>
  <c r="W1238" i="4" s="1"/>
  <c r="O1238" i="4"/>
  <c r="N1238" i="4"/>
  <c r="R1238" i="4" s="1"/>
  <c r="AB1237" i="4"/>
  <c r="U1237" i="4"/>
  <c r="T1237" i="4"/>
  <c r="R1237" i="4"/>
  <c r="Q1237" i="4"/>
  <c r="P1237" i="4"/>
  <c r="V1237" i="4" s="1"/>
  <c r="S1237" i="4" s="1"/>
  <c r="O1237" i="4"/>
  <c r="N1237" i="4"/>
  <c r="AB1236" i="4"/>
  <c r="U1236" i="4"/>
  <c r="T1236" i="4"/>
  <c r="Q1236" i="4"/>
  <c r="P1236" i="4"/>
  <c r="W1236" i="4" s="1"/>
  <c r="O1236" i="4"/>
  <c r="N1236" i="4"/>
  <c r="R1236" i="4" s="1"/>
  <c r="AB1235" i="4"/>
  <c r="U1235" i="4"/>
  <c r="T1235" i="4"/>
  <c r="R1235" i="4"/>
  <c r="Q1235" i="4"/>
  <c r="P1235" i="4"/>
  <c r="V1235" i="4" s="1"/>
  <c r="S1235" i="4" s="1"/>
  <c r="O1235" i="4"/>
  <c r="N1235" i="4"/>
  <c r="AB1234" i="4"/>
  <c r="V1234" i="4"/>
  <c r="S1234" i="4" s="1"/>
  <c r="U1234" i="4"/>
  <c r="T1234" i="4"/>
  <c r="Q1234" i="4"/>
  <c r="P1234" i="4"/>
  <c r="W1234" i="4" s="1"/>
  <c r="O1234" i="4"/>
  <c r="N1234" i="4"/>
  <c r="AB1233" i="4"/>
  <c r="U1233" i="4"/>
  <c r="T1233" i="4"/>
  <c r="Q1233" i="4"/>
  <c r="P1233" i="4"/>
  <c r="W1233" i="4" s="1"/>
  <c r="O1233" i="4"/>
  <c r="N1233" i="4"/>
  <c r="AB1232" i="4"/>
  <c r="W1232" i="4"/>
  <c r="U1232" i="4"/>
  <c r="T1232" i="4"/>
  <c r="Q1232" i="4"/>
  <c r="P1232" i="4"/>
  <c r="V1232" i="4" s="1"/>
  <c r="O1232" i="4"/>
  <c r="N1232" i="4"/>
  <c r="R1232" i="4" s="1"/>
  <c r="AB1231" i="4"/>
  <c r="U1231" i="4"/>
  <c r="T1231" i="4"/>
  <c r="Q1231" i="4"/>
  <c r="P1231" i="4"/>
  <c r="W1231" i="4" s="1"/>
  <c r="O1231" i="4"/>
  <c r="N1231" i="4"/>
  <c r="AB1230" i="4"/>
  <c r="V1230" i="4"/>
  <c r="U1230" i="4"/>
  <c r="T1230" i="4"/>
  <c r="S1230" i="4"/>
  <c r="X1230" i="4" s="1"/>
  <c r="Q1230" i="4"/>
  <c r="P1230" i="4"/>
  <c r="W1230" i="4" s="1"/>
  <c r="O1230" i="4"/>
  <c r="N1230" i="4"/>
  <c r="AB1229" i="4"/>
  <c r="U1229" i="4"/>
  <c r="T1229" i="4"/>
  <c r="Q1229" i="4"/>
  <c r="P1229" i="4"/>
  <c r="W1229" i="4" s="1"/>
  <c r="O1229" i="4"/>
  <c r="N1229" i="4"/>
  <c r="R1229" i="4" s="1"/>
  <c r="AB1228" i="4"/>
  <c r="U1228" i="4"/>
  <c r="T1228" i="4"/>
  <c r="Q1228" i="4"/>
  <c r="P1228" i="4"/>
  <c r="W1228" i="4" s="1"/>
  <c r="O1228" i="4"/>
  <c r="N1228" i="4"/>
  <c r="AB1227" i="4"/>
  <c r="U1227" i="4"/>
  <c r="T1227" i="4"/>
  <c r="Q1227" i="4"/>
  <c r="P1227" i="4"/>
  <c r="W1227" i="4" s="1"/>
  <c r="O1227" i="4"/>
  <c r="N1227" i="4"/>
  <c r="AB1226" i="4"/>
  <c r="U1226" i="4"/>
  <c r="T1226" i="4"/>
  <c r="Q1226" i="4"/>
  <c r="P1226" i="4"/>
  <c r="W1226" i="4" s="1"/>
  <c r="O1226" i="4"/>
  <c r="N1226" i="4"/>
  <c r="R1226" i="4" s="1"/>
  <c r="AB1225" i="4"/>
  <c r="V1225" i="4"/>
  <c r="U1225" i="4"/>
  <c r="T1225" i="4"/>
  <c r="S1225" i="4"/>
  <c r="X1225" i="4" s="1"/>
  <c r="Q1225" i="4"/>
  <c r="P1225" i="4"/>
  <c r="W1225" i="4" s="1"/>
  <c r="O1225" i="4"/>
  <c r="N1225" i="4"/>
  <c r="AB1224" i="4"/>
  <c r="U1224" i="4"/>
  <c r="T1224" i="4"/>
  <c r="Q1224" i="4"/>
  <c r="P1224" i="4"/>
  <c r="W1224" i="4" s="1"/>
  <c r="O1224" i="4"/>
  <c r="N1224" i="4"/>
  <c r="R1224" i="4" s="1"/>
  <c r="AB1223" i="4"/>
  <c r="U1223" i="4"/>
  <c r="T1223" i="4"/>
  <c r="Q1223" i="4"/>
  <c r="P1223" i="4"/>
  <c r="W1223" i="4" s="1"/>
  <c r="O1223" i="4"/>
  <c r="N1223" i="4"/>
  <c r="AB1222" i="4"/>
  <c r="U1222" i="4"/>
  <c r="T1222" i="4"/>
  <c r="Q1222" i="4"/>
  <c r="P1222" i="4"/>
  <c r="W1222" i="4" s="1"/>
  <c r="O1222" i="4"/>
  <c r="N1222" i="4"/>
  <c r="AB1221" i="4"/>
  <c r="V1221" i="4"/>
  <c r="S1221" i="4" s="1"/>
  <c r="U1221" i="4"/>
  <c r="T1221" i="4"/>
  <c r="Q1221" i="4"/>
  <c r="P1221" i="4"/>
  <c r="W1221" i="4" s="1"/>
  <c r="O1221" i="4"/>
  <c r="N1221" i="4"/>
  <c r="AB1220" i="4"/>
  <c r="U1220" i="4"/>
  <c r="T1220" i="4"/>
  <c r="Q1220" i="4"/>
  <c r="P1220" i="4"/>
  <c r="W1220" i="4" s="1"/>
  <c r="O1220" i="4"/>
  <c r="N1220" i="4"/>
  <c r="AB1219" i="4"/>
  <c r="U1219" i="4"/>
  <c r="T1219" i="4"/>
  <c r="Q1219" i="4"/>
  <c r="P1219" i="4"/>
  <c r="W1219" i="4" s="1"/>
  <c r="O1219" i="4"/>
  <c r="N1219" i="4"/>
  <c r="AB1218" i="4"/>
  <c r="V1218" i="4"/>
  <c r="S1218" i="4" s="1"/>
  <c r="U1218" i="4"/>
  <c r="T1218" i="4"/>
  <c r="Q1218" i="4"/>
  <c r="P1218" i="4"/>
  <c r="W1218" i="4" s="1"/>
  <c r="O1218" i="4"/>
  <c r="N1218" i="4"/>
  <c r="AB1217" i="4"/>
  <c r="U1217" i="4"/>
  <c r="T1217" i="4"/>
  <c r="Q1217" i="4"/>
  <c r="P1217" i="4"/>
  <c r="W1217" i="4" s="1"/>
  <c r="O1217" i="4"/>
  <c r="N1217" i="4"/>
  <c r="AB1216" i="4"/>
  <c r="U1216" i="4"/>
  <c r="T1216" i="4"/>
  <c r="Q1216" i="4"/>
  <c r="P1216" i="4"/>
  <c r="W1216" i="4" s="1"/>
  <c r="O1216" i="4"/>
  <c r="N1216" i="4"/>
  <c r="AB1215" i="4"/>
  <c r="V1215" i="4"/>
  <c r="S1215" i="4" s="1"/>
  <c r="X1215" i="4" s="1"/>
  <c r="U1215" i="4"/>
  <c r="T1215" i="4"/>
  <c r="Q1215" i="4"/>
  <c r="P1215" i="4"/>
  <c r="W1215" i="4" s="1"/>
  <c r="O1215" i="4"/>
  <c r="N1215" i="4"/>
  <c r="AB1214" i="4"/>
  <c r="W1214" i="4"/>
  <c r="U1214" i="4"/>
  <c r="T1214" i="4"/>
  <c r="R1214" i="4"/>
  <c r="Q1214" i="4"/>
  <c r="P1214" i="4"/>
  <c r="V1214" i="4" s="1"/>
  <c r="O1214" i="4"/>
  <c r="N1214" i="4"/>
  <c r="AB1213" i="4"/>
  <c r="V1213" i="4"/>
  <c r="S1213" i="4" s="1"/>
  <c r="X1213" i="4" s="1"/>
  <c r="AC1213" i="4" s="1"/>
  <c r="U1213" i="4"/>
  <c r="T1213" i="4"/>
  <c r="Q1213" i="4"/>
  <c r="P1213" i="4"/>
  <c r="W1213" i="4" s="1"/>
  <c r="O1213" i="4"/>
  <c r="N1213" i="4"/>
  <c r="AB1212" i="4"/>
  <c r="W1212" i="4"/>
  <c r="U1212" i="4"/>
  <c r="T1212" i="4"/>
  <c r="R1212" i="4"/>
  <c r="Q1212" i="4"/>
  <c r="P1212" i="4"/>
  <c r="V1212" i="4" s="1"/>
  <c r="O1212" i="4"/>
  <c r="N1212" i="4"/>
  <c r="AB1211" i="4"/>
  <c r="U1211" i="4"/>
  <c r="T1211" i="4"/>
  <c r="Q1211" i="4"/>
  <c r="P1211" i="4"/>
  <c r="W1211" i="4" s="1"/>
  <c r="O1211" i="4"/>
  <c r="N1211" i="4"/>
  <c r="AB1210" i="4"/>
  <c r="U1210" i="4"/>
  <c r="T1210" i="4"/>
  <c r="Q1210" i="4"/>
  <c r="P1210" i="4"/>
  <c r="W1210" i="4" s="1"/>
  <c r="O1210" i="4"/>
  <c r="N1210" i="4"/>
  <c r="R1210" i="4" s="1"/>
  <c r="AB1209" i="4"/>
  <c r="U1209" i="4"/>
  <c r="T1209" i="4"/>
  <c r="Q1209" i="4"/>
  <c r="P1209" i="4"/>
  <c r="W1209" i="4" s="1"/>
  <c r="O1209" i="4"/>
  <c r="N1209" i="4"/>
  <c r="AB1208" i="4"/>
  <c r="W1208" i="4"/>
  <c r="U1208" i="4"/>
  <c r="T1208" i="4"/>
  <c r="Q1208" i="4"/>
  <c r="P1208" i="4"/>
  <c r="V1208" i="4" s="1"/>
  <c r="O1208" i="4"/>
  <c r="N1208" i="4"/>
  <c r="R1208" i="4" s="1"/>
  <c r="AB1207" i="4"/>
  <c r="U1207" i="4"/>
  <c r="T1207" i="4"/>
  <c r="Q1207" i="4"/>
  <c r="P1207" i="4"/>
  <c r="W1207" i="4" s="1"/>
  <c r="O1207" i="4"/>
  <c r="N1207" i="4"/>
  <c r="R1207" i="4" s="1"/>
  <c r="AB1206" i="4"/>
  <c r="U1206" i="4"/>
  <c r="T1206" i="4"/>
  <c r="R1206" i="4"/>
  <c r="Q1206" i="4"/>
  <c r="P1206" i="4"/>
  <c r="V1206" i="4" s="1"/>
  <c r="S1206" i="4" s="1"/>
  <c r="O1206" i="4"/>
  <c r="N1206" i="4"/>
  <c r="AB1205" i="4"/>
  <c r="V1205" i="4"/>
  <c r="S1205" i="4" s="1"/>
  <c r="X1205" i="4" s="1"/>
  <c r="U1205" i="4"/>
  <c r="T1205" i="4"/>
  <c r="Q1205" i="4"/>
  <c r="P1205" i="4"/>
  <c r="W1205" i="4" s="1"/>
  <c r="O1205" i="4"/>
  <c r="N1205" i="4"/>
  <c r="AB1204" i="4"/>
  <c r="W1204" i="4"/>
  <c r="U1204" i="4"/>
  <c r="T1204" i="4"/>
  <c r="R1204" i="4"/>
  <c r="Q1204" i="4"/>
  <c r="P1204" i="4"/>
  <c r="V1204" i="4" s="1"/>
  <c r="O1204" i="4"/>
  <c r="N1204" i="4"/>
  <c r="AB1203" i="4"/>
  <c r="U1203" i="4"/>
  <c r="T1203" i="4"/>
  <c r="R1203" i="4"/>
  <c r="Q1203" i="4"/>
  <c r="P1203" i="4"/>
  <c r="V1203" i="4" s="1"/>
  <c r="S1203" i="4" s="1"/>
  <c r="O1203" i="4"/>
  <c r="N1203" i="4"/>
  <c r="AB1202" i="4"/>
  <c r="U1202" i="4"/>
  <c r="T1202" i="4"/>
  <c r="Q1202" i="4"/>
  <c r="P1202" i="4"/>
  <c r="W1202" i="4" s="1"/>
  <c r="O1202" i="4"/>
  <c r="N1202" i="4"/>
  <c r="R1202" i="4" s="1"/>
  <c r="AB1201" i="4"/>
  <c r="W1201" i="4"/>
  <c r="U1201" i="4"/>
  <c r="T1201" i="4"/>
  <c r="R1201" i="4"/>
  <c r="Q1201" i="4"/>
  <c r="P1201" i="4"/>
  <c r="V1201" i="4" s="1"/>
  <c r="O1201" i="4"/>
  <c r="N1201" i="4"/>
  <c r="AB1200" i="4"/>
  <c r="V1200" i="4"/>
  <c r="S1200" i="4" s="1"/>
  <c r="X1200" i="4" s="1"/>
  <c r="AC1200" i="4" s="1"/>
  <c r="U1200" i="4"/>
  <c r="T1200" i="4"/>
  <c r="Q1200" i="4"/>
  <c r="P1200" i="4"/>
  <c r="W1200" i="4" s="1"/>
  <c r="O1200" i="4"/>
  <c r="N1200" i="4"/>
  <c r="AB1199" i="4"/>
  <c r="U1199" i="4"/>
  <c r="T1199" i="4"/>
  <c r="Q1199" i="4"/>
  <c r="P1199" i="4"/>
  <c r="W1199" i="4" s="1"/>
  <c r="O1199" i="4"/>
  <c r="N1199" i="4"/>
  <c r="R1199" i="4" s="1"/>
  <c r="AB1198" i="4"/>
  <c r="W1198" i="4"/>
  <c r="U1198" i="4"/>
  <c r="T1198" i="4"/>
  <c r="R1198" i="4"/>
  <c r="Q1198" i="4"/>
  <c r="P1198" i="4"/>
  <c r="V1198" i="4" s="1"/>
  <c r="O1198" i="4"/>
  <c r="N1198" i="4"/>
  <c r="AB1197" i="4"/>
  <c r="W1197" i="4"/>
  <c r="U1197" i="4"/>
  <c r="T1197" i="4"/>
  <c r="Q1197" i="4"/>
  <c r="P1197" i="4"/>
  <c r="V1197" i="4" s="1"/>
  <c r="O1197" i="4"/>
  <c r="N1197" i="4"/>
  <c r="R1197" i="4" s="1"/>
  <c r="AB1196" i="4"/>
  <c r="W1196" i="4"/>
  <c r="U1196" i="4"/>
  <c r="T1196" i="4"/>
  <c r="R1196" i="4"/>
  <c r="Q1196" i="4"/>
  <c r="P1196" i="4"/>
  <c r="V1196" i="4" s="1"/>
  <c r="O1196" i="4"/>
  <c r="N1196" i="4"/>
  <c r="AB1195" i="4"/>
  <c r="U1195" i="4"/>
  <c r="T1195" i="4"/>
  <c r="Q1195" i="4"/>
  <c r="P1195" i="4"/>
  <c r="W1195" i="4" s="1"/>
  <c r="O1195" i="4"/>
  <c r="N1195" i="4"/>
  <c r="AB1194" i="4"/>
  <c r="V1194" i="4"/>
  <c r="S1194" i="4" s="1"/>
  <c r="X1194" i="4" s="1"/>
  <c r="U1194" i="4"/>
  <c r="T1194" i="4"/>
  <c r="Q1194" i="4"/>
  <c r="P1194" i="4"/>
  <c r="W1194" i="4" s="1"/>
  <c r="O1194" i="4"/>
  <c r="N1194" i="4"/>
  <c r="AB1193" i="4"/>
  <c r="W1193" i="4"/>
  <c r="U1193" i="4"/>
  <c r="T1193" i="4"/>
  <c r="R1193" i="4"/>
  <c r="Q1193" i="4"/>
  <c r="P1193" i="4"/>
  <c r="V1193" i="4" s="1"/>
  <c r="O1193" i="4"/>
  <c r="N1193" i="4"/>
  <c r="AB1192" i="4"/>
  <c r="W1192" i="4"/>
  <c r="U1192" i="4"/>
  <c r="T1192" i="4"/>
  <c r="Q1192" i="4"/>
  <c r="P1192" i="4"/>
  <c r="V1192" i="4" s="1"/>
  <c r="O1192" i="4"/>
  <c r="N1192" i="4"/>
  <c r="R1192" i="4" s="1"/>
  <c r="AB1191" i="4"/>
  <c r="W1191" i="4"/>
  <c r="U1191" i="4"/>
  <c r="T1191" i="4"/>
  <c r="R1191" i="4"/>
  <c r="Q1191" i="4"/>
  <c r="P1191" i="4"/>
  <c r="V1191" i="4" s="1"/>
  <c r="O1191" i="4"/>
  <c r="N1191" i="4"/>
  <c r="AB1190" i="4"/>
  <c r="U1190" i="4"/>
  <c r="T1190" i="4"/>
  <c r="Q1190" i="4"/>
  <c r="P1190" i="4"/>
  <c r="W1190" i="4" s="1"/>
  <c r="O1190" i="4"/>
  <c r="N1190" i="4"/>
  <c r="AB1189" i="4"/>
  <c r="U1189" i="4"/>
  <c r="T1189" i="4"/>
  <c r="Q1189" i="4"/>
  <c r="P1189" i="4"/>
  <c r="W1189" i="4" s="1"/>
  <c r="O1189" i="4"/>
  <c r="N1189" i="4"/>
  <c r="R1189" i="4" s="1"/>
  <c r="AB1188" i="4"/>
  <c r="W1188" i="4"/>
  <c r="U1188" i="4"/>
  <c r="T1188" i="4"/>
  <c r="R1188" i="4"/>
  <c r="S1188" i="4" s="1"/>
  <c r="Q1188" i="4"/>
  <c r="P1188" i="4"/>
  <c r="V1188" i="4" s="1"/>
  <c r="O1188" i="4"/>
  <c r="N1188" i="4"/>
  <c r="AB1187" i="4"/>
  <c r="V1187" i="4"/>
  <c r="S1187" i="4" s="1"/>
  <c r="U1187" i="4"/>
  <c r="T1187" i="4"/>
  <c r="Q1187" i="4"/>
  <c r="P1187" i="4"/>
  <c r="W1187" i="4" s="1"/>
  <c r="O1187" i="4"/>
  <c r="N1187" i="4"/>
  <c r="AB1186" i="4"/>
  <c r="U1186" i="4"/>
  <c r="T1186" i="4"/>
  <c r="Q1186" i="4"/>
  <c r="P1186" i="4"/>
  <c r="W1186" i="4" s="1"/>
  <c r="O1186" i="4"/>
  <c r="N1186" i="4"/>
  <c r="R1186" i="4" s="1"/>
  <c r="AB1185" i="4"/>
  <c r="W1185" i="4"/>
  <c r="U1185" i="4"/>
  <c r="T1185" i="4"/>
  <c r="R1185" i="4"/>
  <c r="S1185" i="4" s="1"/>
  <c r="Q1185" i="4"/>
  <c r="P1185" i="4"/>
  <c r="V1185" i="4" s="1"/>
  <c r="O1185" i="4"/>
  <c r="N1185" i="4"/>
  <c r="AB1184" i="4"/>
  <c r="W1184" i="4"/>
  <c r="U1184" i="4"/>
  <c r="T1184" i="4"/>
  <c r="Q1184" i="4"/>
  <c r="P1184" i="4"/>
  <c r="V1184" i="4" s="1"/>
  <c r="O1184" i="4"/>
  <c r="N1184" i="4"/>
  <c r="R1184" i="4" s="1"/>
  <c r="AB1183" i="4"/>
  <c r="U1183" i="4"/>
  <c r="T1183" i="4"/>
  <c r="Q1183" i="4"/>
  <c r="P1183" i="4"/>
  <c r="W1183" i="4" s="1"/>
  <c r="O1183" i="4"/>
  <c r="N1183" i="4"/>
  <c r="R1183" i="4" s="1"/>
  <c r="AB1182" i="4"/>
  <c r="U1182" i="4"/>
  <c r="T1182" i="4"/>
  <c r="R1182" i="4"/>
  <c r="Q1182" i="4"/>
  <c r="P1182" i="4"/>
  <c r="V1182" i="4" s="1"/>
  <c r="S1182" i="4" s="1"/>
  <c r="O1182" i="4"/>
  <c r="N1182" i="4"/>
  <c r="AB1181" i="4"/>
  <c r="V1181" i="4"/>
  <c r="S1181" i="4" s="1"/>
  <c r="X1181" i="4" s="1"/>
  <c r="U1181" i="4"/>
  <c r="T1181" i="4"/>
  <c r="Q1181" i="4"/>
  <c r="P1181" i="4"/>
  <c r="W1181" i="4" s="1"/>
  <c r="O1181" i="4"/>
  <c r="N1181" i="4"/>
  <c r="AB1180" i="4"/>
  <c r="W1180" i="4"/>
  <c r="U1180" i="4"/>
  <c r="T1180" i="4"/>
  <c r="R1180" i="4"/>
  <c r="S1180" i="4" s="1"/>
  <c r="Q1180" i="4"/>
  <c r="P1180" i="4"/>
  <c r="V1180" i="4" s="1"/>
  <c r="O1180" i="4"/>
  <c r="N1180" i="4"/>
  <c r="AB1179" i="4"/>
  <c r="U1179" i="4"/>
  <c r="T1179" i="4"/>
  <c r="R1179" i="4"/>
  <c r="Q1179" i="4"/>
  <c r="P1179" i="4"/>
  <c r="V1179" i="4" s="1"/>
  <c r="S1179" i="4" s="1"/>
  <c r="O1179" i="4"/>
  <c r="N1179" i="4"/>
  <c r="AB1178" i="4"/>
  <c r="U1178" i="4"/>
  <c r="T1178" i="4"/>
  <c r="Q1178" i="4"/>
  <c r="P1178" i="4"/>
  <c r="W1178" i="4" s="1"/>
  <c r="O1178" i="4"/>
  <c r="N1178" i="4"/>
  <c r="R1178" i="4" s="1"/>
  <c r="AB1177" i="4"/>
  <c r="W1177" i="4"/>
  <c r="U1177" i="4"/>
  <c r="T1177" i="4"/>
  <c r="R1177" i="4"/>
  <c r="S1177" i="4" s="1"/>
  <c r="Q1177" i="4"/>
  <c r="P1177" i="4"/>
  <c r="V1177" i="4" s="1"/>
  <c r="O1177" i="4"/>
  <c r="N1177" i="4"/>
  <c r="AB1176" i="4"/>
  <c r="U1176" i="4"/>
  <c r="T1176" i="4"/>
  <c r="Q1176" i="4"/>
  <c r="P1176" i="4"/>
  <c r="W1176" i="4" s="1"/>
  <c r="O1176" i="4"/>
  <c r="N1176" i="4"/>
  <c r="R1176" i="4" s="1"/>
  <c r="AB1175" i="4"/>
  <c r="W1175" i="4"/>
  <c r="U1175" i="4"/>
  <c r="T1175" i="4"/>
  <c r="R1175" i="4"/>
  <c r="Q1175" i="4"/>
  <c r="P1175" i="4"/>
  <c r="V1175" i="4" s="1"/>
  <c r="O1175" i="4"/>
  <c r="N1175" i="4"/>
  <c r="AB1174" i="4"/>
  <c r="U1174" i="4"/>
  <c r="T1174" i="4"/>
  <c r="R1174" i="4"/>
  <c r="Q1174" i="4"/>
  <c r="P1174" i="4"/>
  <c r="V1174" i="4" s="1"/>
  <c r="S1174" i="4" s="1"/>
  <c r="O1174" i="4"/>
  <c r="N1174" i="4"/>
  <c r="AB1173" i="4"/>
  <c r="U1173" i="4"/>
  <c r="T1173" i="4"/>
  <c r="Q1173" i="4"/>
  <c r="P1173" i="4"/>
  <c r="W1173" i="4" s="1"/>
  <c r="O1173" i="4"/>
  <c r="N1173" i="4"/>
  <c r="R1173" i="4" s="1"/>
  <c r="AB1172" i="4"/>
  <c r="U1172" i="4"/>
  <c r="T1172" i="4"/>
  <c r="Q1172" i="4"/>
  <c r="P1172" i="4"/>
  <c r="W1172" i="4" s="1"/>
  <c r="O1172" i="4"/>
  <c r="N1172" i="4"/>
  <c r="AB1171" i="4"/>
  <c r="W1171" i="4"/>
  <c r="U1171" i="4"/>
  <c r="T1171" i="4"/>
  <c r="Q1171" i="4"/>
  <c r="P1171" i="4"/>
  <c r="V1171" i="4" s="1"/>
  <c r="O1171" i="4"/>
  <c r="N1171" i="4"/>
  <c r="R1171" i="4" s="1"/>
  <c r="AB1170" i="4"/>
  <c r="U1170" i="4"/>
  <c r="T1170" i="4"/>
  <c r="Q1170" i="4"/>
  <c r="P1170" i="4"/>
  <c r="W1170" i="4" s="1"/>
  <c r="O1170" i="4"/>
  <c r="N1170" i="4"/>
  <c r="R1170" i="4" s="1"/>
  <c r="AB1169" i="4"/>
  <c r="W1169" i="4"/>
  <c r="U1169" i="4"/>
  <c r="T1169" i="4"/>
  <c r="R1169" i="4"/>
  <c r="S1169" i="4" s="1"/>
  <c r="Q1169" i="4"/>
  <c r="P1169" i="4"/>
  <c r="V1169" i="4" s="1"/>
  <c r="O1169" i="4"/>
  <c r="N1169" i="4"/>
  <c r="AB1168" i="4"/>
  <c r="V1168" i="4"/>
  <c r="S1168" i="4" s="1"/>
  <c r="U1168" i="4"/>
  <c r="T1168" i="4"/>
  <c r="Q1168" i="4"/>
  <c r="P1168" i="4"/>
  <c r="W1168" i="4" s="1"/>
  <c r="O1168" i="4"/>
  <c r="N1168" i="4"/>
  <c r="AB1167" i="4"/>
  <c r="W1167" i="4"/>
  <c r="U1167" i="4"/>
  <c r="T1167" i="4"/>
  <c r="R1167" i="4"/>
  <c r="S1167" i="4" s="1"/>
  <c r="Q1167" i="4"/>
  <c r="P1167" i="4"/>
  <c r="V1167" i="4" s="1"/>
  <c r="O1167" i="4"/>
  <c r="N1167" i="4"/>
  <c r="AB1166" i="4"/>
  <c r="U1166" i="4"/>
  <c r="T1166" i="4"/>
  <c r="R1166" i="4"/>
  <c r="Q1166" i="4"/>
  <c r="P1166" i="4"/>
  <c r="V1166" i="4" s="1"/>
  <c r="S1166" i="4" s="1"/>
  <c r="O1166" i="4"/>
  <c r="N1166" i="4"/>
  <c r="AB1165" i="4"/>
  <c r="U1165" i="4"/>
  <c r="T1165" i="4"/>
  <c r="Q1165" i="4"/>
  <c r="P1165" i="4"/>
  <c r="W1165" i="4" s="1"/>
  <c r="O1165" i="4"/>
  <c r="N1165" i="4"/>
  <c r="R1165" i="4" s="1"/>
  <c r="AB1164" i="4"/>
  <c r="V1164" i="4"/>
  <c r="U1164" i="4"/>
  <c r="T1164" i="4"/>
  <c r="S1164" i="4"/>
  <c r="X1164" i="4" s="1"/>
  <c r="Q1164" i="4"/>
  <c r="P1164" i="4"/>
  <c r="W1164" i="4" s="1"/>
  <c r="O1164" i="4"/>
  <c r="N1164" i="4"/>
  <c r="AB1163" i="4"/>
  <c r="W1163" i="4"/>
  <c r="U1163" i="4"/>
  <c r="T1163" i="4"/>
  <c r="Q1163" i="4"/>
  <c r="P1163" i="4"/>
  <c r="V1163" i="4" s="1"/>
  <c r="O1163" i="4"/>
  <c r="N1163" i="4"/>
  <c r="R1163" i="4" s="1"/>
  <c r="AB1162" i="4"/>
  <c r="U1162" i="4"/>
  <c r="T1162" i="4"/>
  <c r="Q1162" i="4"/>
  <c r="P1162" i="4"/>
  <c r="W1162" i="4" s="1"/>
  <c r="O1162" i="4"/>
  <c r="N1162" i="4"/>
  <c r="R1162" i="4" s="1"/>
  <c r="AB1161" i="4"/>
  <c r="U1161" i="4"/>
  <c r="T1161" i="4"/>
  <c r="R1161" i="4"/>
  <c r="Q1161" i="4"/>
  <c r="P1161" i="4"/>
  <c r="V1161" i="4" s="1"/>
  <c r="S1161" i="4" s="1"/>
  <c r="O1161" i="4"/>
  <c r="N1161" i="4"/>
  <c r="AB1160" i="4"/>
  <c r="V1160" i="4"/>
  <c r="S1160" i="4" s="1"/>
  <c r="X1160" i="4" s="1"/>
  <c r="U1160" i="4"/>
  <c r="T1160" i="4"/>
  <c r="Q1160" i="4"/>
  <c r="P1160" i="4"/>
  <c r="W1160" i="4" s="1"/>
  <c r="O1160" i="4"/>
  <c r="N1160" i="4"/>
  <c r="AB1159" i="4"/>
  <c r="W1159" i="4"/>
  <c r="U1159" i="4"/>
  <c r="T1159" i="4"/>
  <c r="R1159" i="4"/>
  <c r="S1159" i="4" s="1"/>
  <c r="Q1159" i="4"/>
  <c r="P1159" i="4"/>
  <c r="V1159" i="4" s="1"/>
  <c r="O1159" i="4"/>
  <c r="N1159" i="4"/>
  <c r="AB1158" i="4"/>
  <c r="V1158" i="4"/>
  <c r="S1158" i="4" s="1"/>
  <c r="X1158" i="4" s="1"/>
  <c r="AC1158" i="4" s="1"/>
  <c r="U1158" i="4"/>
  <c r="T1158" i="4"/>
  <c r="Q1158" i="4"/>
  <c r="P1158" i="4"/>
  <c r="W1158" i="4" s="1"/>
  <c r="O1158" i="4"/>
  <c r="N1158" i="4"/>
  <c r="AB1157" i="4"/>
  <c r="W1157" i="4"/>
  <c r="U1157" i="4"/>
  <c r="T1157" i="4"/>
  <c r="R1157" i="4"/>
  <c r="Q1157" i="4"/>
  <c r="P1157" i="4"/>
  <c r="V1157" i="4" s="1"/>
  <c r="O1157" i="4"/>
  <c r="N1157" i="4"/>
  <c r="AB1156" i="4"/>
  <c r="Z1156" i="4"/>
  <c r="V1156" i="4"/>
  <c r="S1156" i="4" s="1"/>
  <c r="X1156" i="4" s="1"/>
  <c r="AC1156" i="4" s="1"/>
  <c r="U1156" i="4"/>
  <c r="T1156" i="4"/>
  <c r="Q1156" i="4"/>
  <c r="P1156" i="4"/>
  <c r="W1156" i="4" s="1"/>
  <c r="O1156" i="4"/>
  <c r="N1156" i="4"/>
  <c r="AB1155" i="4"/>
  <c r="U1155" i="4"/>
  <c r="T1155" i="4"/>
  <c r="Q1155" i="4"/>
  <c r="P1155" i="4"/>
  <c r="W1155" i="4" s="1"/>
  <c r="O1155" i="4"/>
  <c r="N1155" i="4"/>
  <c r="R1155" i="4" s="1"/>
  <c r="AB1154" i="4"/>
  <c r="W1154" i="4"/>
  <c r="U1154" i="4"/>
  <c r="T1154" i="4"/>
  <c r="R1154" i="4"/>
  <c r="S1154" i="4" s="1"/>
  <c r="Q1154" i="4"/>
  <c r="P1154" i="4"/>
  <c r="V1154" i="4" s="1"/>
  <c r="O1154" i="4"/>
  <c r="N1154" i="4"/>
  <c r="AB1153" i="4"/>
  <c r="U1153" i="4"/>
  <c r="T1153" i="4"/>
  <c r="Q1153" i="4"/>
  <c r="P1153" i="4"/>
  <c r="W1153" i="4" s="1"/>
  <c r="O1153" i="4"/>
  <c r="N1153" i="4"/>
  <c r="R1153" i="4" s="1"/>
  <c r="AB1152" i="4"/>
  <c r="W1152" i="4"/>
  <c r="U1152" i="4"/>
  <c r="T1152" i="4"/>
  <c r="R1152" i="4"/>
  <c r="Q1152" i="4"/>
  <c r="P1152" i="4"/>
  <c r="V1152" i="4" s="1"/>
  <c r="O1152" i="4"/>
  <c r="N1152" i="4"/>
  <c r="AB1151" i="4"/>
  <c r="W1151" i="4"/>
  <c r="U1151" i="4"/>
  <c r="T1151" i="4"/>
  <c r="Q1151" i="4"/>
  <c r="P1151" i="4"/>
  <c r="V1151" i="4" s="1"/>
  <c r="O1151" i="4"/>
  <c r="N1151" i="4"/>
  <c r="R1151" i="4" s="1"/>
  <c r="AB1150" i="4"/>
  <c r="W1150" i="4"/>
  <c r="U1150" i="4"/>
  <c r="T1150" i="4"/>
  <c r="R1150" i="4"/>
  <c r="S1150" i="4" s="1"/>
  <c r="Q1150" i="4"/>
  <c r="P1150" i="4"/>
  <c r="V1150" i="4" s="1"/>
  <c r="O1150" i="4"/>
  <c r="N1150" i="4"/>
  <c r="AB1149" i="4"/>
  <c r="U1149" i="4"/>
  <c r="T1149" i="4"/>
  <c r="Q1149" i="4"/>
  <c r="P1149" i="4"/>
  <c r="W1149" i="4" s="1"/>
  <c r="O1149" i="4"/>
  <c r="N1149" i="4"/>
  <c r="AB1148" i="4"/>
  <c r="U1148" i="4"/>
  <c r="T1148" i="4"/>
  <c r="Q1148" i="4"/>
  <c r="P1148" i="4"/>
  <c r="W1148" i="4" s="1"/>
  <c r="O1148" i="4"/>
  <c r="N1148" i="4"/>
  <c r="R1148" i="4" s="1"/>
  <c r="AB1147" i="4"/>
  <c r="V1147" i="4"/>
  <c r="U1147" i="4"/>
  <c r="T1147" i="4"/>
  <c r="S1147" i="4"/>
  <c r="X1147" i="4" s="1"/>
  <c r="Q1147" i="4"/>
  <c r="P1147" i="4"/>
  <c r="W1147" i="4" s="1"/>
  <c r="O1147" i="4"/>
  <c r="N1147" i="4"/>
  <c r="AB1146" i="4"/>
  <c r="U1146" i="4"/>
  <c r="T1146" i="4"/>
  <c r="Q1146" i="4"/>
  <c r="P1146" i="4"/>
  <c r="W1146" i="4" s="1"/>
  <c r="O1146" i="4"/>
  <c r="N1146" i="4"/>
  <c r="R1146" i="4" s="1"/>
  <c r="AB1145" i="4"/>
  <c r="W1145" i="4"/>
  <c r="U1145" i="4"/>
  <c r="T1145" i="4"/>
  <c r="R1145" i="4"/>
  <c r="S1145" i="4" s="1"/>
  <c r="Q1145" i="4"/>
  <c r="P1145" i="4"/>
  <c r="V1145" i="4" s="1"/>
  <c r="O1145" i="4"/>
  <c r="N1145" i="4"/>
  <c r="AB1144" i="4"/>
  <c r="W1144" i="4"/>
  <c r="U1144" i="4"/>
  <c r="T1144" i="4"/>
  <c r="Q1144" i="4"/>
  <c r="P1144" i="4"/>
  <c r="V1144" i="4" s="1"/>
  <c r="O1144" i="4"/>
  <c r="N1144" i="4"/>
  <c r="R1144" i="4" s="1"/>
  <c r="AB1143" i="4"/>
  <c r="W1143" i="4"/>
  <c r="U1143" i="4"/>
  <c r="T1143" i="4"/>
  <c r="R1143" i="4"/>
  <c r="Q1143" i="4"/>
  <c r="P1143" i="4"/>
  <c r="V1143" i="4" s="1"/>
  <c r="O1143" i="4"/>
  <c r="N1143" i="4"/>
  <c r="AB1142" i="4"/>
  <c r="U1142" i="4"/>
  <c r="T1142" i="4"/>
  <c r="Q1142" i="4"/>
  <c r="P1142" i="4"/>
  <c r="W1142" i="4" s="1"/>
  <c r="O1142" i="4"/>
  <c r="N1142" i="4"/>
  <c r="AB1141" i="4"/>
  <c r="V1141" i="4"/>
  <c r="S1141" i="4" s="1"/>
  <c r="X1141" i="4" s="1"/>
  <c r="U1141" i="4"/>
  <c r="T1141" i="4"/>
  <c r="Q1141" i="4"/>
  <c r="P1141" i="4"/>
  <c r="W1141" i="4" s="1"/>
  <c r="O1141" i="4"/>
  <c r="N1141" i="4"/>
  <c r="AB1140" i="4"/>
  <c r="U1140" i="4"/>
  <c r="T1140" i="4"/>
  <c r="Q1140" i="4"/>
  <c r="P1140" i="4"/>
  <c r="W1140" i="4" s="1"/>
  <c r="O1140" i="4"/>
  <c r="N1140" i="4"/>
  <c r="AB1139" i="4"/>
  <c r="U1139" i="4"/>
  <c r="T1139" i="4"/>
  <c r="Q1139" i="4"/>
  <c r="P1139" i="4"/>
  <c r="W1139" i="4" s="1"/>
  <c r="O1139" i="4"/>
  <c r="N1139" i="4"/>
  <c r="AB1138" i="4"/>
  <c r="V1138" i="4"/>
  <c r="S1138" i="4" s="1"/>
  <c r="U1138" i="4"/>
  <c r="T1138" i="4"/>
  <c r="Q1138" i="4"/>
  <c r="P1138" i="4"/>
  <c r="W1138" i="4" s="1"/>
  <c r="O1138" i="4"/>
  <c r="N1138" i="4"/>
  <c r="AB1137" i="4"/>
  <c r="U1137" i="4"/>
  <c r="T1137" i="4"/>
  <c r="Q1137" i="4"/>
  <c r="P1137" i="4"/>
  <c r="W1137" i="4" s="1"/>
  <c r="O1137" i="4"/>
  <c r="N1137" i="4"/>
  <c r="AB1136" i="4"/>
  <c r="U1136" i="4"/>
  <c r="T1136" i="4"/>
  <c r="R1136" i="4"/>
  <c r="Q1136" i="4"/>
  <c r="P1136" i="4"/>
  <c r="V1136" i="4" s="1"/>
  <c r="S1136" i="4" s="1"/>
  <c r="O1136" i="4"/>
  <c r="N1136" i="4"/>
  <c r="AB1135" i="4"/>
  <c r="U1135" i="4"/>
  <c r="T1135" i="4"/>
  <c r="Q1135" i="4"/>
  <c r="P1135" i="4"/>
  <c r="W1135" i="4" s="1"/>
  <c r="O1135" i="4"/>
  <c r="N1135" i="4"/>
  <c r="R1135" i="4" s="1"/>
  <c r="AB1134" i="4"/>
  <c r="W1134" i="4"/>
  <c r="U1134" i="4"/>
  <c r="T1134" i="4"/>
  <c r="R1134" i="4"/>
  <c r="S1134" i="4" s="1"/>
  <c r="Q1134" i="4"/>
  <c r="P1134" i="4"/>
  <c r="V1134" i="4" s="1"/>
  <c r="O1134" i="4"/>
  <c r="N1134" i="4"/>
  <c r="AB1133" i="4"/>
  <c r="U1133" i="4"/>
  <c r="T1133" i="4"/>
  <c r="Q1133" i="4"/>
  <c r="P1133" i="4"/>
  <c r="W1133" i="4" s="1"/>
  <c r="O1133" i="4"/>
  <c r="N1133" i="4"/>
  <c r="R1133" i="4" s="1"/>
  <c r="AB1132" i="4"/>
  <c r="W1132" i="4"/>
  <c r="U1132" i="4"/>
  <c r="T1132" i="4"/>
  <c r="R1132" i="4"/>
  <c r="Q1132" i="4"/>
  <c r="P1132" i="4"/>
  <c r="V1132" i="4" s="1"/>
  <c r="O1132" i="4"/>
  <c r="N1132" i="4"/>
  <c r="AB1131" i="4"/>
  <c r="U1131" i="4"/>
  <c r="T1131" i="4"/>
  <c r="Q1131" i="4"/>
  <c r="P1131" i="4"/>
  <c r="W1131" i="4" s="1"/>
  <c r="O1131" i="4"/>
  <c r="N1131" i="4"/>
  <c r="R1131" i="4" s="1"/>
  <c r="AB1130" i="4"/>
  <c r="W1130" i="4"/>
  <c r="U1130" i="4"/>
  <c r="T1130" i="4"/>
  <c r="R1130" i="4"/>
  <c r="S1130" i="4" s="1"/>
  <c r="Q1130" i="4"/>
  <c r="P1130" i="4"/>
  <c r="V1130" i="4" s="1"/>
  <c r="O1130" i="4"/>
  <c r="N1130" i="4"/>
  <c r="AB1129" i="4"/>
  <c r="U1129" i="4"/>
  <c r="T1129" i="4"/>
  <c r="Q1129" i="4"/>
  <c r="P1129" i="4"/>
  <c r="W1129" i="4" s="1"/>
  <c r="O1129" i="4"/>
  <c r="N1129" i="4"/>
  <c r="R1129" i="4" s="1"/>
  <c r="AB1128" i="4"/>
  <c r="U1128" i="4"/>
  <c r="T1128" i="4"/>
  <c r="Q1128" i="4"/>
  <c r="P1128" i="4"/>
  <c r="W1128" i="4" s="1"/>
  <c r="O1128" i="4"/>
  <c r="N1128" i="4"/>
  <c r="AB1127" i="4"/>
  <c r="U1127" i="4"/>
  <c r="T1127" i="4"/>
  <c r="Q1127" i="4"/>
  <c r="P1127" i="4"/>
  <c r="W1127" i="4" s="1"/>
  <c r="O1127" i="4"/>
  <c r="N1127" i="4"/>
  <c r="AB1126" i="4"/>
  <c r="U1126" i="4"/>
  <c r="T1126" i="4"/>
  <c r="Q1126" i="4"/>
  <c r="P1126" i="4"/>
  <c r="W1126" i="4" s="1"/>
  <c r="O1126" i="4"/>
  <c r="N1126" i="4"/>
  <c r="R1126" i="4" s="1"/>
  <c r="AB1125" i="4"/>
  <c r="U1125" i="4"/>
  <c r="T1125" i="4"/>
  <c r="R1125" i="4"/>
  <c r="Q1125" i="4"/>
  <c r="P1125" i="4"/>
  <c r="V1125" i="4" s="1"/>
  <c r="S1125" i="4" s="1"/>
  <c r="O1125" i="4"/>
  <c r="N1125" i="4"/>
  <c r="AB1124" i="4"/>
  <c r="U1124" i="4"/>
  <c r="T1124" i="4"/>
  <c r="Q1124" i="4"/>
  <c r="P1124" i="4"/>
  <c r="W1124" i="4" s="1"/>
  <c r="O1124" i="4"/>
  <c r="N1124" i="4"/>
  <c r="R1124" i="4" s="1"/>
  <c r="AB1123" i="4"/>
  <c r="U1123" i="4"/>
  <c r="T1123" i="4"/>
  <c r="R1123" i="4"/>
  <c r="Q1123" i="4"/>
  <c r="P1123" i="4"/>
  <c r="V1123" i="4" s="1"/>
  <c r="S1123" i="4" s="1"/>
  <c r="O1123" i="4"/>
  <c r="N1123" i="4"/>
  <c r="AB1122" i="4"/>
  <c r="U1122" i="4"/>
  <c r="T1122" i="4"/>
  <c r="Q1122" i="4"/>
  <c r="P1122" i="4"/>
  <c r="W1122" i="4" s="1"/>
  <c r="O1122" i="4"/>
  <c r="N1122" i="4"/>
  <c r="R1122" i="4" s="1"/>
  <c r="AB1121" i="4"/>
  <c r="U1121" i="4"/>
  <c r="T1121" i="4"/>
  <c r="R1121" i="4"/>
  <c r="Q1121" i="4"/>
  <c r="P1121" i="4"/>
  <c r="V1121" i="4" s="1"/>
  <c r="S1121" i="4" s="1"/>
  <c r="O1121" i="4"/>
  <c r="N1121" i="4"/>
  <c r="AB1120" i="4"/>
  <c r="U1120" i="4"/>
  <c r="T1120" i="4"/>
  <c r="Q1120" i="4"/>
  <c r="P1120" i="4"/>
  <c r="W1120" i="4" s="1"/>
  <c r="O1120" i="4"/>
  <c r="N1120" i="4"/>
  <c r="R1120" i="4" s="1"/>
  <c r="AB1119" i="4"/>
  <c r="W1119" i="4"/>
  <c r="U1119" i="4"/>
  <c r="T1119" i="4"/>
  <c r="R1119" i="4"/>
  <c r="S1119" i="4" s="1"/>
  <c r="Q1119" i="4"/>
  <c r="P1119" i="4"/>
  <c r="V1119" i="4" s="1"/>
  <c r="O1119" i="4"/>
  <c r="N1119" i="4"/>
  <c r="AB1118" i="4"/>
  <c r="W1118" i="4"/>
  <c r="U1118" i="4"/>
  <c r="T1118" i="4"/>
  <c r="Q1118" i="4"/>
  <c r="P1118" i="4"/>
  <c r="V1118" i="4" s="1"/>
  <c r="O1118" i="4"/>
  <c r="N1118" i="4"/>
  <c r="R1118" i="4" s="1"/>
  <c r="AB1117" i="4"/>
  <c r="U1117" i="4"/>
  <c r="T1117" i="4"/>
  <c r="Q1117" i="4"/>
  <c r="P1117" i="4"/>
  <c r="W1117" i="4" s="1"/>
  <c r="O1117" i="4"/>
  <c r="N1117" i="4"/>
  <c r="R1117" i="4" s="1"/>
  <c r="AB1116" i="4"/>
  <c r="W1116" i="4"/>
  <c r="U1116" i="4"/>
  <c r="T1116" i="4"/>
  <c r="R1116" i="4"/>
  <c r="S1116" i="4" s="1"/>
  <c r="Q1116" i="4"/>
  <c r="P1116" i="4"/>
  <c r="V1116" i="4" s="1"/>
  <c r="O1116" i="4"/>
  <c r="N1116" i="4"/>
  <c r="AB1115" i="4"/>
  <c r="U1115" i="4"/>
  <c r="T1115" i="4"/>
  <c r="Q1115" i="4"/>
  <c r="P1115" i="4"/>
  <c r="W1115" i="4" s="1"/>
  <c r="O1115" i="4"/>
  <c r="N1115" i="4"/>
  <c r="R1115" i="4" s="1"/>
  <c r="AB1114" i="4"/>
  <c r="W1114" i="4"/>
  <c r="U1114" i="4"/>
  <c r="T1114" i="4"/>
  <c r="R1114" i="4"/>
  <c r="Q1114" i="4"/>
  <c r="P1114" i="4"/>
  <c r="V1114" i="4" s="1"/>
  <c r="O1114" i="4"/>
  <c r="N1114" i="4"/>
  <c r="AB1113" i="4"/>
  <c r="W1113" i="4"/>
  <c r="U1113" i="4"/>
  <c r="T1113" i="4"/>
  <c r="Q1113" i="4"/>
  <c r="P1113" i="4"/>
  <c r="V1113" i="4" s="1"/>
  <c r="O1113" i="4"/>
  <c r="N1113" i="4"/>
  <c r="R1113" i="4" s="1"/>
  <c r="AB1112" i="4"/>
  <c r="W1112" i="4"/>
  <c r="U1112" i="4"/>
  <c r="T1112" i="4"/>
  <c r="R1112" i="4"/>
  <c r="Q1112" i="4"/>
  <c r="P1112" i="4"/>
  <c r="V1112" i="4" s="1"/>
  <c r="O1112" i="4"/>
  <c r="N1112" i="4"/>
  <c r="AB1111" i="4"/>
  <c r="W1111" i="4"/>
  <c r="U1111" i="4"/>
  <c r="T1111" i="4"/>
  <c r="Q1111" i="4"/>
  <c r="P1111" i="4"/>
  <c r="V1111" i="4" s="1"/>
  <c r="O1111" i="4"/>
  <c r="N1111" i="4"/>
  <c r="R1111" i="4" s="1"/>
  <c r="AB1110" i="4"/>
  <c r="W1110" i="4"/>
  <c r="U1110" i="4"/>
  <c r="T1110" i="4"/>
  <c r="R1110" i="4"/>
  <c r="S1110" i="4" s="1"/>
  <c r="Q1110" i="4"/>
  <c r="P1110" i="4"/>
  <c r="V1110" i="4" s="1"/>
  <c r="O1110" i="4"/>
  <c r="N1110" i="4"/>
  <c r="AB1109" i="4"/>
  <c r="W1109" i="4"/>
  <c r="U1109" i="4"/>
  <c r="T1109" i="4"/>
  <c r="Q1109" i="4"/>
  <c r="P1109" i="4"/>
  <c r="V1109" i="4" s="1"/>
  <c r="O1109" i="4"/>
  <c r="N1109" i="4"/>
  <c r="R1109" i="4" s="1"/>
  <c r="AB1108" i="4"/>
  <c r="U1108" i="4"/>
  <c r="T1108" i="4"/>
  <c r="Q1108" i="4"/>
  <c r="P1108" i="4"/>
  <c r="W1108" i="4" s="1"/>
  <c r="O1108" i="4"/>
  <c r="N1108" i="4"/>
  <c r="R1108" i="4" s="1"/>
  <c r="AB1107" i="4"/>
  <c r="U1107" i="4"/>
  <c r="T1107" i="4"/>
  <c r="R1107" i="4"/>
  <c r="Q1107" i="4"/>
  <c r="P1107" i="4"/>
  <c r="V1107" i="4" s="1"/>
  <c r="S1107" i="4" s="1"/>
  <c r="O1107" i="4"/>
  <c r="N1107" i="4"/>
  <c r="AB1106" i="4"/>
  <c r="U1106" i="4"/>
  <c r="T1106" i="4"/>
  <c r="Q1106" i="4"/>
  <c r="P1106" i="4"/>
  <c r="W1106" i="4" s="1"/>
  <c r="O1106" i="4"/>
  <c r="N1106" i="4"/>
  <c r="R1106" i="4" s="1"/>
  <c r="AB1105" i="4"/>
  <c r="U1105" i="4"/>
  <c r="T1105" i="4"/>
  <c r="R1105" i="4"/>
  <c r="Q1105" i="4"/>
  <c r="P1105" i="4"/>
  <c r="V1105" i="4" s="1"/>
  <c r="S1105" i="4" s="1"/>
  <c r="O1105" i="4"/>
  <c r="N1105" i="4"/>
  <c r="AB1104" i="4"/>
  <c r="U1104" i="4"/>
  <c r="T1104" i="4"/>
  <c r="Q1104" i="4"/>
  <c r="P1104" i="4"/>
  <c r="W1104" i="4" s="1"/>
  <c r="O1104" i="4"/>
  <c r="N1104" i="4"/>
  <c r="R1104" i="4" s="1"/>
  <c r="AB1103" i="4"/>
  <c r="W1103" i="4"/>
  <c r="U1103" i="4"/>
  <c r="T1103" i="4"/>
  <c r="R1103" i="4"/>
  <c r="S1103" i="4" s="1"/>
  <c r="Q1103" i="4"/>
  <c r="P1103" i="4"/>
  <c r="V1103" i="4" s="1"/>
  <c r="O1103" i="4"/>
  <c r="N1103" i="4"/>
  <c r="AB1102" i="4"/>
  <c r="U1102" i="4"/>
  <c r="T1102" i="4"/>
  <c r="Q1102" i="4"/>
  <c r="P1102" i="4"/>
  <c r="W1102" i="4" s="1"/>
  <c r="O1102" i="4"/>
  <c r="N1102" i="4"/>
  <c r="R1102" i="4" s="1"/>
  <c r="AB1101" i="4"/>
  <c r="W1101" i="4"/>
  <c r="U1101" i="4"/>
  <c r="T1101" i="4"/>
  <c r="R1101" i="4"/>
  <c r="S1101" i="4" s="1"/>
  <c r="Q1101" i="4"/>
  <c r="P1101" i="4"/>
  <c r="V1101" i="4" s="1"/>
  <c r="O1101" i="4"/>
  <c r="N1101" i="4"/>
  <c r="AB1100" i="4"/>
  <c r="U1100" i="4"/>
  <c r="T1100" i="4"/>
  <c r="R1100" i="4"/>
  <c r="Q1100" i="4"/>
  <c r="P1100" i="4"/>
  <c r="V1100" i="4" s="1"/>
  <c r="S1100" i="4" s="1"/>
  <c r="O1100" i="4"/>
  <c r="N1100" i="4"/>
  <c r="AB1099" i="4"/>
  <c r="U1099" i="4"/>
  <c r="T1099" i="4"/>
  <c r="Q1099" i="4"/>
  <c r="P1099" i="4"/>
  <c r="W1099" i="4" s="1"/>
  <c r="O1099" i="4"/>
  <c r="N1099" i="4"/>
  <c r="R1099" i="4" s="1"/>
  <c r="AB1098" i="4"/>
  <c r="V1098" i="4"/>
  <c r="U1098" i="4"/>
  <c r="T1098" i="4"/>
  <c r="S1098" i="4"/>
  <c r="X1098" i="4" s="1"/>
  <c r="Q1098" i="4"/>
  <c r="P1098" i="4"/>
  <c r="W1098" i="4" s="1"/>
  <c r="O1098" i="4"/>
  <c r="N1098" i="4"/>
  <c r="AB1097" i="4"/>
  <c r="W1097" i="4"/>
  <c r="U1097" i="4"/>
  <c r="T1097" i="4"/>
  <c r="Q1097" i="4"/>
  <c r="P1097" i="4"/>
  <c r="V1097" i="4" s="1"/>
  <c r="O1097" i="4"/>
  <c r="N1097" i="4"/>
  <c r="R1097" i="4" s="1"/>
  <c r="AB1096" i="4"/>
  <c r="U1096" i="4"/>
  <c r="T1096" i="4"/>
  <c r="Q1096" i="4"/>
  <c r="P1096" i="4"/>
  <c r="W1096" i="4" s="1"/>
  <c r="O1096" i="4"/>
  <c r="N1096" i="4"/>
  <c r="R1096" i="4" s="1"/>
  <c r="AB1095" i="4"/>
  <c r="U1095" i="4"/>
  <c r="T1095" i="4"/>
  <c r="R1095" i="4"/>
  <c r="Q1095" i="4"/>
  <c r="P1095" i="4"/>
  <c r="V1095" i="4" s="1"/>
  <c r="S1095" i="4" s="1"/>
  <c r="O1095" i="4"/>
  <c r="N1095" i="4"/>
  <c r="AB1094" i="4"/>
  <c r="U1094" i="4"/>
  <c r="T1094" i="4"/>
  <c r="Q1094" i="4"/>
  <c r="P1094" i="4"/>
  <c r="W1094" i="4" s="1"/>
  <c r="O1094" i="4"/>
  <c r="N1094" i="4"/>
  <c r="R1094" i="4" s="1"/>
  <c r="AB1093" i="4"/>
  <c r="W1093" i="4"/>
  <c r="U1093" i="4"/>
  <c r="T1093" i="4"/>
  <c r="R1093" i="4"/>
  <c r="Q1093" i="4"/>
  <c r="P1093" i="4"/>
  <c r="V1093" i="4" s="1"/>
  <c r="O1093" i="4"/>
  <c r="N1093" i="4"/>
  <c r="AB1092" i="4"/>
  <c r="W1092" i="4"/>
  <c r="U1092" i="4"/>
  <c r="T1092" i="4"/>
  <c r="Q1092" i="4"/>
  <c r="P1092" i="4"/>
  <c r="V1092" i="4" s="1"/>
  <c r="O1092" i="4"/>
  <c r="N1092" i="4"/>
  <c r="R1092" i="4" s="1"/>
  <c r="AB1091" i="4"/>
  <c r="W1091" i="4"/>
  <c r="U1091" i="4"/>
  <c r="T1091" i="4"/>
  <c r="R1091" i="4"/>
  <c r="S1091" i="4" s="1"/>
  <c r="Q1091" i="4"/>
  <c r="P1091" i="4"/>
  <c r="V1091" i="4" s="1"/>
  <c r="O1091" i="4"/>
  <c r="N1091" i="4"/>
  <c r="AB1090" i="4"/>
  <c r="U1090" i="4"/>
  <c r="T1090" i="4"/>
  <c r="Q1090" i="4"/>
  <c r="P1090" i="4"/>
  <c r="W1090" i="4" s="1"/>
  <c r="O1090" i="4"/>
  <c r="N1090" i="4"/>
  <c r="AB1089" i="4"/>
  <c r="U1089" i="4"/>
  <c r="T1089" i="4"/>
  <c r="Q1089" i="4"/>
  <c r="P1089" i="4"/>
  <c r="W1089" i="4" s="1"/>
  <c r="O1089" i="4"/>
  <c r="N1089" i="4"/>
  <c r="R1089" i="4" s="1"/>
  <c r="AB1088" i="4"/>
  <c r="U1088" i="4"/>
  <c r="T1088" i="4"/>
  <c r="R1088" i="4"/>
  <c r="Q1088" i="4"/>
  <c r="P1088" i="4"/>
  <c r="V1088" i="4" s="1"/>
  <c r="S1088" i="4" s="1"/>
  <c r="O1088" i="4"/>
  <c r="N1088" i="4"/>
  <c r="AB1087" i="4"/>
  <c r="U1087" i="4"/>
  <c r="T1087" i="4"/>
  <c r="Q1087" i="4"/>
  <c r="P1087" i="4"/>
  <c r="W1087" i="4" s="1"/>
  <c r="O1087" i="4"/>
  <c r="N1087" i="4"/>
  <c r="R1087" i="4" s="1"/>
  <c r="AB1086" i="4"/>
  <c r="W1086" i="4"/>
  <c r="U1086" i="4"/>
  <c r="T1086" i="4"/>
  <c r="R1086" i="4"/>
  <c r="Q1086" i="4"/>
  <c r="P1086" i="4"/>
  <c r="V1086" i="4" s="1"/>
  <c r="O1086" i="4"/>
  <c r="N1086" i="4"/>
  <c r="AB1085" i="4"/>
  <c r="U1085" i="4"/>
  <c r="T1085" i="4"/>
  <c r="Q1085" i="4"/>
  <c r="P1085" i="4"/>
  <c r="W1085" i="4" s="1"/>
  <c r="O1085" i="4"/>
  <c r="N1085" i="4"/>
  <c r="R1085" i="4" s="1"/>
  <c r="AB1084" i="4"/>
  <c r="W1084" i="4"/>
  <c r="U1084" i="4"/>
  <c r="T1084" i="4"/>
  <c r="R1084" i="4"/>
  <c r="S1084" i="4" s="1"/>
  <c r="Q1084" i="4"/>
  <c r="P1084" i="4"/>
  <c r="V1084" i="4" s="1"/>
  <c r="O1084" i="4"/>
  <c r="N1084" i="4"/>
  <c r="AB1083" i="4"/>
  <c r="W1083" i="4"/>
  <c r="U1083" i="4"/>
  <c r="T1083" i="4"/>
  <c r="Q1083" i="4"/>
  <c r="P1083" i="4"/>
  <c r="V1083" i="4" s="1"/>
  <c r="O1083" i="4"/>
  <c r="N1083" i="4"/>
  <c r="R1083" i="4" s="1"/>
  <c r="AB1082" i="4"/>
  <c r="U1082" i="4"/>
  <c r="T1082" i="4"/>
  <c r="Q1082" i="4"/>
  <c r="P1082" i="4"/>
  <c r="W1082" i="4" s="1"/>
  <c r="O1082" i="4"/>
  <c r="N1082" i="4"/>
  <c r="R1082" i="4" s="1"/>
  <c r="AB1081" i="4"/>
  <c r="U1081" i="4"/>
  <c r="T1081" i="4"/>
  <c r="R1081" i="4"/>
  <c r="Q1081" i="4"/>
  <c r="P1081" i="4"/>
  <c r="V1081" i="4" s="1"/>
  <c r="S1081" i="4" s="1"/>
  <c r="O1081" i="4"/>
  <c r="N1081" i="4"/>
  <c r="AB1080" i="4"/>
  <c r="U1080" i="4"/>
  <c r="T1080" i="4"/>
  <c r="Q1080" i="4"/>
  <c r="P1080" i="4"/>
  <c r="W1080" i="4" s="1"/>
  <c r="O1080" i="4"/>
  <c r="N1080" i="4"/>
  <c r="R1080" i="4" s="1"/>
  <c r="AB1079" i="4"/>
  <c r="W1079" i="4"/>
  <c r="U1079" i="4"/>
  <c r="T1079" i="4"/>
  <c r="R1079" i="4"/>
  <c r="S1079" i="4" s="1"/>
  <c r="Q1079" i="4"/>
  <c r="P1079" i="4"/>
  <c r="V1079" i="4" s="1"/>
  <c r="O1079" i="4"/>
  <c r="N1079" i="4"/>
  <c r="AB1078" i="4"/>
  <c r="U1078" i="4"/>
  <c r="T1078" i="4"/>
  <c r="Q1078" i="4"/>
  <c r="P1078" i="4"/>
  <c r="W1078" i="4" s="1"/>
  <c r="O1078" i="4"/>
  <c r="N1078" i="4"/>
  <c r="R1078" i="4" s="1"/>
  <c r="AB1077" i="4"/>
  <c r="W1077" i="4"/>
  <c r="U1077" i="4"/>
  <c r="T1077" i="4"/>
  <c r="R1077" i="4"/>
  <c r="Q1077" i="4"/>
  <c r="P1077" i="4"/>
  <c r="V1077" i="4" s="1"/>
  <c r="O1077" i="4"/>
  <c r="N1077" i="4"/>
  <c r="AB1076" i="4"/>
  <c r="Z1076" i="4"/>
  <c r="U1076" i="4"/>
  <c r="T1076" i="4"/>
  <c r="Q1076" i="4"/>
  <c r="P1076" i="4"/>
  <c r="W1076" i="4" s="1"/>
  <c r="O1076" i="4"/>
  <c r="N1076" i="4"/>
  <c r="R1076" i="4" s="1"/>
  <c r="AB1075" i="4"/>
  <c r="U1075" i="4"/>
  <c r="T1075" i="4"/>
  <c r="R1075" i="4"/>
  <c r="Q1075" i="4"/>
  <c r="P1075" i="4"/>
  <c r="V1075" i="4" s="1"/>
  <c r="S1075" i="4" s="1"/>
  <c r="O1075" i="4"/>
  <c r="N1075" i="4"/>
  <c r="AB1074" i="4"/>
  <c r="U1074" i="4"/>
  <c r="T1074" i="4"/>
  <c r="Q1074" i="4"/>
  <c r="P1074" i="4"/>
  <c r="W1074" i="4" s="1"/>
  <c r="O1074" i="4"/>
  <c r="N1074" i="4"/>
  <c r="R1074" i="4" s="1"/>
  <c r="AB1073" i="4"/>
  <c r="U1073" i="4"/>
  <c r="T1073" i="4"/>
  <c r="R1073" i="4"/>
  <c r="Q1073" i="4"/>
  <c r="P1073" i="4"/>
  <c r="V1073" i="4" s="1"/>
  <c r="S1073" i="4" s="1"/>
  <c r="O1073" i="4"/>
  <c r="N1073" i="4"/>
  <c r="AB1072" i="4"/>
  <c r="V1072" i="4"/>
  <c r="S1072" i="4" s="1"/>
  <c r="U1072" i="4"/>
  <c r="T1072" i="4"/>
  <c r="Q1072" i="4"/>
  <c r="P1072" i="4"/>
  <c r="W1072" i="4" s="1"/>
  <c r="O1072" i="4"/>
  <c r="N1072" i="4"/>
  <c r="AB1071" i="4"/>
  <c r="U1071" i="4"/>
  <c r="T1071" i="4"/>
  <c r="Q1071" i="4"/>
  <c r="P1071" i="4"/>
  <c r="W1071" i="4" s="1"/>
  <c r="O1071" i="4"/>
  <c r="N1071" i="4"/>
  <c r="AB1070" i="4"/>
  <c r="W1070" i="4"/>
  <c r="U1070" i="4"/>
  <c r="T1070" i="4"/>
  <c r="Q1070" i="4"/>
  <c r="P1070" i="4"/>
  <c r="V1070" i="4" s="1"/>
  <c r="O1070" i="4"/>
  <c r="N1070" i="4"/>
  <c r="R1070" i="4" s="1"/>
  <c r="AB1069" i="4"/>
  <c r="W1069" i="4"/>
  <c r="U1069" i="4"/>
  <c r="T1069" i="4"/>
  <c r="R1069" i="4"/>
  <c r="S1069" i="4" s="1"/>
  <c r="Q1069" i="4"/>
  <c r="P1069" i="4"/>
  <c r="V1069" i="4" s="1"/>
  <c r="O1069" i="4"/>
  <c r="N1069" i="4"/>
  <c r="AB1068" i="4"/>
  <c r="U1068" i="4"/>
  <c r="T1068" i="4"/>
  <c r="R1068" i="4"/>
  <c r="Q1068" i="4"/>
  <c r="P1068" i="4"/>
  <c r="V1068" i="4" s="1"/>
  <c r="S1068" i="4" s="1"/>
  <c r="O1068" i="4"/>
  <c r="N1068" i="4"/>
  <c r="AB1067" i="4"/>
  <c r="U1067" i="4"/>
  <c r="T1067" i="4"/>
  <c r="Q1067" i="4"/>
  <c r="P1067" i="4"/>
  <c r="W1067" i="4" s="1"/>
  <c r="O1067" i="4"/>
  <c r="N1067" i="4"/>
  <c r="R1067" i="4" s="1"/>
  <c r="AB1066" i="4"/>
  <c r="W1066" i="4"/>
  <c r="U1066" i="4"/>
  <c r="T1066" i="4"/>
  <c r="R1066" i="4"/>
  <c r="S1066" i="4" s="1"/>
  <c r="Q1066" i="4"/>
  <c r="P1066" i="4"/>
  <c r="V1066" i="4" s="1"/>
  <c r="O1066" i="4"/>
  <c r="N1066" i="4"/>
  <c r="AB1065" i="4"/>
  <c r="W1065" i="4"/>
  <c r="U1065" i="4"/>
  <c r="T1065" i="4"/>
  <c r="Q1065" i="4"/>
  <c r="P1065" i="4"/>
  <c r="V1065" i="4" s="1"/>
  <c r="O1065" i="4"/>
  <c r="N1065" i="4"/>
  <c r="R1065" i="4" s="1"/>
  <c r="AB1064" i="4"/>
  <c r="W1064" i="4"/>
  <c r="U1064" i="4"/>
  <c r="T1064" i="4"/>
  <c r="R1064" i="4"/>
  <c r="S1064" i="4" s="1"/>
  <c r="Q1064" i="4"/>
  <c r="P1064" i="4"/>
  <c r="V1064" i="4" s="1"/>
  <c r="O1064" i="4"/>
  <c r="N1064" i="4"/>
  <c r="AB1063" i="4"/>
  <c r="W1063" i="4"/>
  <c r="U1063" i="4"/>
  <c r="T1063" i="4"/>
  <c r="Q1063" i="4"/>
  <c r="P1063" i="4"/>
  <c r="V1063" i="4" s="1"/>
  <c r="O1063" i="4"/>
  <c r="N1063" i="4"/>
  <c r="R1063" i="4" s="1"/>
  <c r="AB1062" i="4"/>
  <c r="U1062" i="4"/>
  <c r="T1062" i="4"/>
  <c r="Q1062" i="4"/>
  <c r="P1062" i="4"/>
  <c r="W1062" i="4" s="1"/>
  <c r="O1062" i="4"/>
  <c r="N1062" i="4"/>
  <c r="R1062" i="4" s="1"/>
  <c r="AB1061" i="4"/>
  <c r="U1061" i="4"/>
  <c r="T1061" i="4"/>
  <c r="R1061" i="4"/>
  <c r="Q1061" i="4"/>
  <c r="P1061" i="4"/>
  <c r="V1061" i="4" s="1"/>
  <c r="S1061" i="4" s="1"/>
  <c r="O1061" i="4"/>
  <c r="N1061" i="4"/>
  <c r="AB1060" i="4"/>
  <c r="U1060" i="4"/>
  <c r="T1060" i="4"/>
  <c r="Q1060" i="4"/>
  <c r="P1060" i="4"/>
  <c r="W1060" i="4" s="1"/>
  <c r="O1060" i="4"/>
  <c r="N1060" i="4"/>
  <c r="R1060" i="4" s="1"/>
  <c r="AB1059" i="4"/>
  <c r="W1059" i="4"/>
  <c r="U1059" i="4"/>
  <c r="T1059" i="4"/>
  <c r="R1059" i="4"/>
  <c r="S1059" i="4" s="1"/>
  <c r="Q1059" i="4"/>
  <c r="P1059" i="4"/>
  <c r="V1059" i="4" s="1"/>
  <c r="O1059" i="4"/>
  <c r="N1059" i="4"/>
  <c r="AB1058" i="4"/>
  <c r="W1058" i="4"/>
  <c r="U1058" i="4"/>
  <c r="T1058" i="4"/>
  <c r="Q1058" i="4"/>
  <c r="P1058" i="4"/>
  <c r="V1058" i="4" s="1"/>
  <c r="O1058" i="4"/>
  <c r="N1058" i="4"/>
  <c r="R1058" i="4" s="1"/>
  <c r="AB1057" i="4"/>
  <c r="U1057" i="4"/>
  <c r="T1057" i="4"/>
  <c r="Q1057" i="4"/>
  <c r="P1057" i="4"/>
  <c r="W1057" i="4" s="1"/>
  <c r="O1057" i="4"/>
  <c r="N1057" i="4"/>
  <c r="AB1056" i="4"/>
  <c r="W1056" i="4"/>
  <c r="U1056" i="4"/>
  <c r="T1056" i="4"/>
  <c r="R1056" i="4"/>
  <c r="S1056" i="4" s="1"/>
  <c r="Q1056" i="4"/>
  <c r="P1056" i="4"/>
  <c r="V1056" i="4" s="1"/>
  <c r="O1056" i="4"/>
  <c r="N1056" i="4"/>
  <c r="AB1055" i="4"/>
  <c r="W1055" i="4"/>
  <c r="U1055" i="4"/>
  <c r="T1055" i="4"/>
  <c r="Q1055" i="4"/>
  <c r="P1055" i="4"/>
  <c r="V1055" i="4" s="1"/>
  <c r="O1055" i="4"/>
  <c r="N1055" i="4"/>
  <c r="R1055" i="4" s="1"/>
  <c r="AB1054" i="4"/>
  <c r="W1054" i="4"/>
  <c r="U1054" i="4"/>
  <c r="T1054" i="4"/>
  <c r="R1054" i="4"/>
  <c r="S1054" i="4" s="1"/>
  <c r="Q1054" i="4"/>
  <c r="P1054" i="4"/>
  <c r="V1054" i="4" s="1"/>
  <c r="O1054" i="4"/>
  <c r="N1054" i="4"/>
  <c r="AB1053" i="4"/>
  <c r="W1053" i="4"/>
  <c r="U1053" i="4"/>
  <c r="T1053" i="4"/>
  <c r="Q1053" i="4"/>
  <c r="P1053" i="4"/>
  <c r="V1053" i="4" s="1"/>
  <c r="O1053" i="4"/>
  <c r="N1053" i="4"/>
  <c r="R1053" i="4" s="1"/>
  <c r="AB1052" i="4"/>
  <c r="W1052" i="4"/>
  <c r="U1052" i="4"/>
  <c r="T1052" i="4"/>
  <c r="R1052" i="4"/>
  <c r="S1052" i="4" s="1"/>
  <c r="Q1052" i="4"/>
  <c r="P1052" i="4"/>
  <c r="V1052" i="4" s="1"/>
  <c r="O1052" i="4"/>
  <c r="N1052" i="4"/>
  <c r="AB1051" i="4"/>
  <c r="U1051" i="4"/>
  <c r="T1051" i="4"/>
  <c r="R1051" i="4"/>
  <c r="Q1051" i="4"/>
  <c r="P1051" i="4"/>
  <c r="V1051" i="4" s="1"/>
  <c r="S1051" i="4" s="1"/>
  <c r="O1051" i="4"/>
  <c r="N1051" i="4"/>
  <c r="AB1050" i="4"/>
  <c r="V1050" i="4"/>
  <c r="S1050" i="4" s="1"/>
  <c r="U1050" i="4"/>
  <c r="T1050" i="4"/>
  <c r="Q1050" i="4"/>
  <c r="P1050" i="4"/>
  <c r="W1050" i="4" s="1"/>
  <c r="O1050" i="4"/>
  <c r="N1050" i="4"/>
  <c r="AB1049" i="4"/>
  <c r="W1049" i="4"/>
  <c r="U1049" i="4"/>
  <c r="T1049" i="4"/>
  <c r="R1049" i="4"/>
  <c r="S1049" i="4" s="1"/>
  <c r="Q1049" i="4"/>
  <c r="P1049" i="4"/>
  <c r="V1049" i="4" s="1"/>
  <c r="O1049" i="4"/>
  <c r="N1049" i="4"/>
  <c r="AB1048" i="4"/>
  <c r="U1048" i="4"/>
  <c r="T1048" i="4"/>
  <c r="Q1048" i="4"/>
  <c r="P1048" i="4"/>
  <c r="W1048" i="4" s="1"/>
  <c r="O1048" i="4"/>
  <c r="N1048" i="4"/>
  <c r="R1048" i="4" s="1"/>
  <c r="AB1047" i="4"/>
  <c r="W1047" i="4"/>
  <c r="U1047" i="4"/>
  <c r="T1047" i="4"/>
  <c r="R1047" i="4"/>
  <c r="Q1047" i="4"/>
  <c r="P1047" i="4"/>
  <c r="V1047" i="4" s="1"/>
  <c r="O1047" i="4"/>
  <c r="N1047" i="4"/>
  <c r="AB1046" i="4"/>
  <c r="U1046" i="4"/>
  <c r="T1046" i="4"/>
  <c r="Q1046" i="4"/>
  <c r="P1046" i="4"/>
  <c r="W1046" i="4" s="1"/>
  <c r="O1046" i="4"/>
  <c r="N1046" i="4"/>
  <c r="R1046" i="4" s="1"/>
  <c r="AB1045" i="4"/>
  <c r="W1045" i="4"/>
  <c r="U1045" i="4"/>
  <c r="T1045" i="4"/>
  <c r="R1045" i="4"/>
  <c r="Q1045" i="4"/>
  <c r="P1045" i="4"/>
  <c r="V1045" i="4" s="1"/>
  <c r="O1045" i="4"/>
  <c r="N1045" i="4"/>
  <c r="AB1044" i="4"/>
  <c r="U1044" i="4"/>
  <c r="T1044" i="4"/>
  <c r="Q1044" i="4"/>
  <c r="P1044" i="4"/>
  <c r="W1044" i="4" s="1"/>
  <c r="O1044" i="4"/>
  <c r="N1044" i="4"/>
  <c r="R1044" i="4" s="1"/>
  <c r="AB1043" i="4"/>
  <c r="W1043" i="4"/>
  <c r="U1043" i="4"/>
  <c r="T1043" i="4"/>
  <c r="R1043" i="4"/>
  <c r="S1043" i="4" s="1"/>
  <c r="Q1043" i="4"/>
  <c r="P1043" i="4"/>
  <c r="V1043" i="4" s="1"/>
  <c r="O1043" i="4"/>
  <c r="N1043" i="4"/>
  <c r="AB1042" i="4"/>
  <c r="U1042" i="4"/>
  <c r="T1042" i="4"/>
  <c r="Q1042" i="4"/>
  <c r="P1042" i="4"/>
  <c r="W1042" i="4" s="1"/>
  <c r="O1042" i="4"/>
  <c r="N1042" i="4"/>
  <c r="R1042" i="4" s="1"/>
  <c r="AB1041" i="4"/>
  <c r="W1041" i="4"/>
  <c r="U1041" i="4"/>
  <c r="T1041" i="4"/>
  <c r="R1041" i="4"/>
  <c r="Q1041" i="4"/>
  <c r="P1041" i="4"/>
  <c r="V1041" i="4" s="1"/>
  <c r="O1041" i="4"/>
  <c r="N1041" i="4"/>
  <c r="AB1040" i="4"/>
  <c r="U1040" i="4"/>
  <c r="T1040" i="4"/>
  <c r="R1040" i="4"/>
  <c r="Q1040" i="4"/>
  <c r="P1040" i="4"/>
  <c r="V1040" i="4" s="1"/>
  <c r="S1040" i="4" s="1"/>
  <c r="O1040" i="4"/>
  <c r="N1040" i="4"/>
  <c r="AB1039" i="4"/>
  <c r="U1039" i="4"/>
  <c r="T1039" i="4"/>
  <c r="Q1039" i="4"/>
  <c r="P1039" i="4"/>
  <c r="W1039" i="4" s="1"/>
  <c r="O1039" i="4"/>
  <c r="N1039" i="4"/>
  <c r="R1039" i="4" s="1"/>
  <c r="AB1038" i="4"/>
  <c r="W1038" i="4"/>
  <c r="U1038" i="4"/>
  <c r="T1038" i="4"/>
  <c r="R1038" i="4"/>
  <c r="Q1038" i="4"/>
  <c r="P1038" i="4"/>
  <c r="V1038" i="4" s="1"/>
  <c r="O1038" i="4"/>
  <c r="N1038" i="4"/>
  <c r="AB1037" i="4"/>
  <c r="U1037" i="4"/>
  <c r="T1037" i="4"/>
  <c r="Q1037" i="4"/>
  <c r="P1037" i="4"/>
  <c r="W1037" i="4" s="1"/>
  <c r="O1037" i="4"/>
  <c r="N1037" i="4"/>
  <c r="R1037" i="4" s="1"/>
  <c r="AB1036" i="4"/>
  <c r="W1036" i="4"/>
  <c r="U1036" i="4"/>
  <c r="T1036" i="4"/>
  <c r="R1036" i="4"/>
  <c r="Q1036" i="4"/>
  <c r="P1036" i="4"/>
  <c r="V1036" i="4" s="1"/>
  <c r="O1036" i="4"/>
  <c r="N1036" i="4"/>
  <c r="AB1035" i="4"/>
  <c r="U1035" i="4"/>
  <c r="T1035" i="4"/>
  <c r="R1035" i="4"/>
  <c r="Q1035" i="4"/>
  <c r="P1035" i="4"/>
  <c r="V1035" i="4" s="1"/>
  <c r="S1035" i="4" s="1"/>
  <c r="O1035" i="4"/>
  <c r="N1035" i="4"/>
  <c r="AB1034" i="4"/>
  <c r="U1034" i="4"/>
  <c r="T1034" i="4"/>
  <c r="Q1034" i="4"/>
  <c r="P1034" i="4"/>
  <c r="W1034" i="4" s="1"/>
  <c r="O1034" i="4"/>
  <c r="N1034" i="4"/>
  <c r="R1034" i="4" s="1"/>
  <c r="AB1033" i="4"/>
  <c r="W1033" i="4"/>
  <c r="U1033" i="4"/>
  <c r="T1033" i="4"/>
  <c r="R1033" i="4"/>
  <c r="Q1033" i="4"/>
  <c r="P1033" i="4"/>
  <c r="V1033" i="4" s="1"/>
  <c r="O1033" i="4"/>
  <c r="N1033" i="4"/>
  <c r="AB1032" i="4"/>
  <c r="U1032" i="4"/>
  <c r="T1032" i="4"/>
  <c r="Q1032" i="4"/>
  <c r="P1032" i="4"/>
  <c r="W1032" i="4" s="1"/>
  <c r="O1032" i="4"/>
  <c r="N1032" i="4"/>
  <c r="R1032" i="4" s="1"/>
  <c r="AB1031" i="4"/>
  <c r="W1031" i="4"/>
  <c r="U1031" i="4"/>
  <c r="T1031" i="4"/>
  <c r="R1031" i="4"/>
  <c r="S1031" i="4" s="1"/>
  <c r="Q1031" i="4"/>
  <c r="P1031" i="4"/>
  <c r="V1031" i="4" s="1"/>
  <c r="O1031" i="4"/>
  <c r="N1031" i="4"/>
  <c r="AB1030" i="4"/>
  <c r="U1030" i="4"/>
  <c r="T1030" i="4"/>
  <c r="R1030" i="4"/>
  <c r="Q1030" i="4"/>
  <c r="P1030" i="4"/>
  <c r="V1030" i="4" s="1"/>
  <c r="S1030" i="4" s="1"/>
  <c r="O1030" i="4"/>
  <c r="N1030" i="4"/>
  <c r="AB1029" i="4"/>
  <c r="U1029" i="4"/>
  <c r="T1029" i="4"/>
  <c r="Q1029" i="4"/>
  <c r="P1029" i="4"/>
  <c r="W1029" i="4" s="1"/>
  <c r="O1029" i="4"/>
  <c r="N1029" i="4"/>
  <c r="R1029" i="4" s="1"/>
  <c r="AB1028" i="4"/>
  <c r="W1028" i="4"/>
  <c r="U1028" i="4"/>
  <c r="T1028" i="4"/>
  <c r="R1028" i="4"/>
  <c r="S1028" i="4" s="1"/>
  <c r="Q1028" i="4"/>
  <c r="P1028" i="4"/>
  <c r="V1028" i="4" s="1"/>
  <c r="O1028" i="4"/>
  <c r="N1028" i="4"/>
  <c r="AB1027" i="4"/>
  <c r="W1027" i="4"/>
  <c r="U1027" i="4"/>
  <c r="T1027" i="4"/>
  <c r="Q1027" i="4"/>
  <c r="P1027" i="4"/>
  <c r="V1027" i="4" s="1"/>
  <c r="O1027" i="4"/>
  <c r="N1027" i="4"/>
  <c r="R1027" i="4" s="1"/>
  <c r="AB1026" i="4"/>
  <c r="U1026" i="4"/>
  <c r="T1026" i="4"/>
  <c r="Q1026" i="4"/>
  <c r="P1026" i="4"/>
  <c r="W1026" i="4" s="1"/>
  <c r="O1026" i="4"/>
  <c r="N1026" i="4"/>
  <c r="R1026" i="4" s="1"/>
  <c r="AB1025" i="4"/>
  <c r="U1025" i="4"/>
  <c r="T1025" i="4"/>
  <c r="R1025" i="4"/>
  <c r="Q1025" i="4"/>
  <c r="P1025" i="4"/>
  <c r="V1025" i="4" s="1"/>
  <c r="S1025" i="4" s="1"/>
  <c r="O1025" i="4"/>
  <c r="N1025" i="4"/>
  <c r="AB1024" i="4"/>
  <c r="U1024" i="4"/>
  <c r="T1024" i="4"/>
  <c r="Q1024" i="4"/>
  <c r="P1024" i="4"/>
  <c r="W1024" i="4" s="1"/>
  <c r="O1024" i="4"/>
  <c r="N1024" i="4"/>
  <c r="R1024" i="4" s="1"/>
  <c r="AB1023" i="4"/>
  <c r="W1023" i="4"/>
  <c r="U1023" i="4"/>
  <c r="T1023" i="4"/>
  <c r="R1023" i="4"/>
  <c r="Q1023" i="4"/>
  <c r="P1023" i="4"/>
  <c r="V1023" i="4" s="1"/>
  <c r="O1023" i="4"/>
  <c r="N1023" i="4"/>
  <c r="AB1022" i="4"/>
  <c r="U1022" i="4"/>
  <c r="T1022" i="4"/>
  <c r="R1022" i="4"/>
  <c r="Q1022" i="4"/>
  <c r="P1022" i="4"/>
  <c r="V1022" i="4" s="1"/>
  <c r="S1022" i="4" s="1"/>
  <c r="O1022" i="4"/>
  <c r="N1022" i="4"/>
  <c r="AB1021" i="4"/>
  <c r="U1021" i="4"/>
  <c r="T1021" i="4"/>
  <c r="Q1021" i="4"/>
  <c r="P1021" i="4"/>
  <c r="W1021" i="4" s="1"/>
  <c r="O1021" i="4"/>
  <c r="N1021" i="4"/>
  <c r="R1021" i="4" s="1"/>
  <c r="AB1020" i="4"/>
  <c r="U1020" i="4"/>
  <c r="T1020" i="4"/>
  <c r="R1020" i="4"/>
  <c r="Q1020" i="4"/>
  <c r="P1020" i="4"/>
  <c r="V1020" i="4" s="1"/>
  <c r="S1020" i="4" s="1"/>
  <c r="O1020" i="4"/>
  <c r="N1020" i="4"/>
  <c r="AB1019" i="4"/>
  <c r="U1019" i="4"/>
  <c r="T1019" i="4"/>
  <c r="Q1019" i="4"/>
  <c r="P1019" i="4"/>
  <c r="W1019" i="4" s="1"/>
  <c r="O1019" i="4"/>
  <c r="N1019" i="4"/>
  <c r="R1019" i="4" s="1"/>
  <c r="AB1018" i="4"/>
  <c r="W1018" i="4"/>
  <c r="U1018" i="4"/>
  <c r="T1018" i="4"/>
  <c r="R1018" i="4"/>
  <c r="Q1018" i="4"/>
  <c r="P1018" i="4"/>
  <c r="V1018" i="4" s="1"/>
  <c r="O1018" i="4"/>
  <c r="N1018" i="4"/>
  <c r="AB1017" i="4"/>
  <c r="U1017" i="4"/>
  <c r="T1017" i="4"/>
  <c r="Q1017" i="4"/>
  <c r="P1017" i="4"/>
  <c r="W1017" i="4" s="1"/>
  <c r="O1017" i="4"/>
  <c r="N1017" i="4"/>
  <c r="R1017" i="4" s="1"/>
  <c r="AB1016" i="4"/>
  <c r="W1016" i="4"/>
  <c r="U1016" i="4"/>
  <c r="T1016" i="4"/>
  <c r="R1016" i="4"/>
  <c r="Q1016" i="4"/>
  <c r="P1016" i="4"/>
  <c r="V1016" i="4" s="1"/>
  <c r="O1016" i="4"/>
  <c r="N1016" i="4"/>
  <c r="AB1015" i="4"/>
  <c r="U1015" i="4"/>
  <c r="T1015" i="4"/>
  <c r="Q1015" i="4"/>
  <c r="P1015" i="4"/>
  <c r="W1015" i="4" s="1"/>
  <c r="O1015" i="4"/>
  <c r="N1015" i="4"/>
  <c r="R1015" i="4" s="1"/>
  <c r="AB1014" i="4"/>
  <c r="W1014" i="4"/>
  <c r="U1014" i="4"/>
  <c r="T1014" i="4"/>
  <c r="R1014" i="4"/>
  <c r="Q1014" i="4"/>
  <c r="P1014" i="4"/>
  <c r="V1014" i="4" s="1"/>
  <c r="O1014" i="4"/>
  <c r="N1014" i="4"/>
  <c r="AB1013" i="4"/>
  <c r="U1013" i="4"/>
  <c r="T1013" i="4"/>
  <c r="Q1013" i="4"/>
  <c r="P1013" i="4"/>
  <c r="W1013" i="4" s="1"/>
  <c r="O1013" i="4"/>
  <c r="N1013" i="4"/>
  <c r="R1013" i="4" s="1"/>
  <c r="AB1012" i="4"/>
  <c r="W1012" i="4"/>
  <c r="U1012" i="4"/>
  <c r="T1012" i="4"/>
  <c r="R1012" i="4"/>
  <c r="Q1012" i="4"/>
  <c r="P1012" i="4"/>
  <c r="V1012" i="4" s="1"/>
  <c r="O1012" i="4"/>
  <c r="N1012" i="4"/>
  <c r="AB1011" i="4"/>
  <c r="U1011" i="4"/>
  <c r="T1011" i="4"/>
  <c r="Q1011" i="4"/>
  <c r="P1011" i="4"/>
  <c r="W1011" i="4" s="1"/>
  <c r="O1011" i="4"/>
  <c r="N1011" i="4"/>
  <c r="AB1010" i="4"/>
  <c r="U1010" i="4"/>
  <c r="T1010" i="4"/>
  <c r="Q1010" i="4"/>
  <c r="P1010" i="4"/>
  <c r="W1010" i="4" s="1"/>
  <c r="O1010" i="4"/>
  <c r="N1010" i="4"/>
  <c r="R1010" i="4" s="1"/>
  <c r="AB1009" i="4"/>
  <c r="W1009" i="4"/>
  <c r="U1009" i="4"/>
  <c r="T1009" i="4"/>
  <c r="R1009" i="4"/>
  <c r="S1009" i="4" s="1"/>
  <c r="Q1009" i="4"/>
  <c r="P1009" i="4"/>
  <c r="V1009" i="4" s="1"/>
  <c r="O1009" i="4"/>
  <c r="N1009" i="4"/>
  <c r="AB1008" i="4"/>
  <c r="W1008" i="4"/>
  <c r="U1008" i="4"/>
  <c r="T1008" i="4"/>
  <c r="Q1008" i="4"/>
  <c r="P1008" i="4"/>
  <c r="V1008" i="4" s="1"/>
  <c r="O1008" i="4"/>
  <c r="N1008" i="4"/>
  <c r="R1008" i="4" s="1"/>
  <c r="AB1007" i="4"/>
  <c r="V1007" i="4"/>
  <c r="S1007" i="4" s="1"/>
  <c r="U1007" i="4"/>
  <c r="T1007" i="4"/>
  <c r="Q1007" i="4"/>
  <c r="P1007" i="4"/>
  <c r="W1007" i="4" s="1"/>
  <c r="O1007" i="4"/>
  <c r="N1007" i="4"/>
  <c r="AB1006" i="4"/>
  <c r="W1006" i="4"/>
  <c r="U1006" i="4"/>
  <c r="T1006" i="4"/>
  <c r="R1006" i="4"/>
  <c r="S1006" i="4" s="1"/>
  <c r="Q1006" i="4"/>
  <c r="P1006" i="4"/>
  <c r="V1006" i="4" s="1"/>
  <c r="O1006" i="4"/>
  <c r="N1006" i="4"/>
  <c r="AB1005" i="4"/>
  <c r="Z1005" i="4"/>
  <c r="U1005" i="4"/>
  <c r="T1005" i="4"/>
  <c r="Q1005" i="4"/>
  <c r="P1005" i="4"/>
  <c r="W1005" i="4" s="1"/>
  <c r="O1005" i="4"/>
  <c r="N1005" i="4"/>
  <c r="AB1004" i="4"/>
  <c r="U1004" i="4"/>
  <c r="T1004" i="4"/>
  <c r="S1004" i="4"/>
  <c r="R1004" i="4"/>
  <c r="Q1004" i="4"/>
  <c r="P1004" i="4"/>
  <c r="V1004" i="4" s="1"/>
  <c r="O1004" i="4"/>
  <c r="N1004" i="4"/>
  <c r="AB1003" i="4"/>
  <c r="U1003" i="4"/>
  <c r="T1003" i="4"/>
  <c r="Q1003" i="4"/>
  <c r="P1003" i="4"/>
  <c r="W1003" i="4" s="1"/>
  <c r="O1003" i="4"/>
  <c r="N1003" i="4"/>
  <c r="AB1002" i="4"/>
  <c r="W1002" i="4"/>
  <c r="U1002" i="4"/>
  <c r="T1002" i="4"/>
  <c r="R1002" i="4"/>
  <c r="S1002" i="4" s="1"/>
  <c r="Q1002" i="4"/>
  <c r="P1002" i="4"/>
  <c r="V1002" i="4" s="1"/>
  <c r="O1002" i="4"/>
  <c r="N1002" i="4"/>
  <c r="AB1001" i="4"/>
  <c r="W1001" i="4"/>
  <c r="U1001" i="4"/>
  <c r="T1001" i="4"/>
  <c r="S1001" i="4"/>
  <c r="Q1001" i="4"/>
  <c r="P1001" i="4"/>
  <c r="V1001" i="4" s="1"/>
  <c r="O1001" i="4"/>
  <c r="N1001" i="4"/>
  <c r="R1001" i="4" s="1"/>
  <c r="AB1000" i="4"/>
  <c r="U1000" i="4"/>
  <c r="T1000" i="4"/>
  <c r="R1000" i="4"/>
  <c r="Q1000" i="4"/>
  <c r="P1000" i="4"/>
  <c r="W1000" i="4" s="1"/>
  <c r="O1000" i="4"/>
  <c r="N1000" i="4"/>
  <c r="AB999" i="4"/>
  <c r="U999" i="4"/>
  <c r="T999" i="4"/>
  <c r="R999" i="4"/>
  <c r="Q999" i="4"/>
  <c r="P999" i="4"/>
  <c r="V999" i="4" s="1"/>
  <c r="S999" i="4" s="1"/>
  <c r="O999" i="4"/>
  <c r="N999" i="4"/>
  <c r="AB998" i="4"/>
  <c r="U998" i="4"/>
  <c r="T998" i="4"/>
  <c r="Q998" i="4"/>
  <c r="P998" i="4"/>
  <c r="W998" i="4" s="1"/>
  <c r="O998" i="4"/>
  <c r="N998" i="4"/>
  <c r="AB997" i="4"/>
  <c r="W997" i="4"/>
  <c r="U997" i="4"/>
  <c r="T997" i="4"/>
  <c r="R997" i="4"/>
  <c r="Q997" i="4"/>
  <c r="P997" i="4"/>
  <c r="V997" i="4" s="1"/>
  <c r="O997" i="4"/>
  <c r="N997" i="4"/>
  <c r="AB996" i="4"/>
  <c r="W996" i="4"/>
  <c r="U996" i="4"/>
  <c r="T996" i="4"/>
  <c r="Q996" i="4"/>
  <c r="P996" i="4"/>
  <c r="V996" i="4" s="1"/>
  <c r="O996" i="4"/>
  <c r="N996" i="4"/>
  <c r="R996" i="4" s="1"/>
  <c r="S996" i="4" s="1"/>
  <c r="AB995" i="4"/>
  <c r="U995" i="4"/>
  <c r="T995" i="4"/>
  <c r="Q995" i="4"/>
  <c r="P995" i="4"/>
  <c r="W995" i="4" s="1"/>
  <c r="O995" i="4"/>
  <c r="N995" i="4"/>
  <c r="R995" i="4" s="1"/>
  <c r="AB994" i="4"/>
  <c r="U994" i="4"/>
  <c r="T994" i="4"/>
  <c r="R994" i="4"/>
  <c r="Q994" i="4"/>
  <c r="P994" i="4"/>
  <c r="V994" i="4" s="1"/>
  <c r="S994" i="4" s="1"/>
  <c r="O994" i="4"/>
  <c r="N994" i="4"/>
  <c r="AB993" i="4"/>
  <c r="U993" i="4"/>
  <c r="T993" i="4"/>
  <c r="Q993" i="4"/>
  <c r="P993" i="4"/>
  <c r="W993" i="4" s="1"/>
  <c r="O993" i="4"/>
  <c r="N993" i="4"/>
  <c r="AB992" i="4"/>
  <c r="U992" i="4"/>
  <c r="T992" i="4"/>
  <c r="R992" i="4"/>
  <c r="Q992" i="4"/>
  <c r="P992" i="4"/>
  <c r="W992" i="4" s="1"/>
  <c r="O992" i="4"/>
  <c r="N992" i="4"/>
  <c r="AB991" i="4"/>
  <c r="U991" i="4"/>
  <c r="T991" i="4"/>
  <c r="R991" i="4"/>
  <c r="S991" i="4" s="1"/>
  <c r="Q991" i="4"/>
  <c r="P991" i="4"/>
  <c r="V991" i="4" s="1"/>
  <c r="O991" i="4"/>
  <c r="N991" i="4"/>
  <c r="AB990" i="4"/>
  <c r="V990" i="4"/>
  <c r="S990" i="4" s="1"/>
  <c r="U990" i="4"/>
  <c r="T990" i="4"/>
  <c r="Q990" i="4"/>
  <c r="P990" i="4"/>
  <c r="W990" i="4" s="1"/>
  <c r="O990" i="4"/>
  <c r="N990" i="4"/>
  <c r="AB989" i="4"/>
  <c r="U989" i="4"/>
  <c r="T989" i="4"/>
  <c r="Q989" i="4"/>
  <c r="P989" i="4"/>
  <c r="W989" i="4" s="1"/>
  <c r="O989" i="4"/>
  <c r="N989" i="4"/>
  <c r="AB988" i="4"/>
  <c r="U988" i="4"/>
  <c r="T988" i="4"/>
  <c r="S988" i="4"/>
  <c r="R988" i="4"/>
  <c r="Q988" i="4"/>
  <c r="P988" i="4"/>
  <c r="V988" i="4" s="1"/>
  <c r="O988" i="4"/>
  <c r="N988" i="4"/>
  <c r="AB987" i="4"/>
  <c r="U987" i="4"/>
  <c r="T987" i="4"/>
  <c r="Q987" i="4"/>
  <c r="P987" i="4"/>
  <c r="W987" i="4" s="1"/>
  <c r="O987" i="4"/>
  <c r="N987" i="4"/>
  <c r="AB986" i="4"/>
  <c r="V986" i="4"/>
  <c r="U986" i="4"/>
  <c r="T986" i="4"/>
  <c r="R986" i="4"/>
  <c r="Q986" i="4"/>
  <c r="P986" i="4"/>
  <c r="W986" i="4" s="1"/>
  <c r="O986" i="4"/>
  <c r="N986" i="4"/>
  <c r="AB985" i="4"/>
  <c r="Z985" i="4"/>
  <c r="U985" i="4"/>
  <c r="T985" i="4"/>
  <c r="Q985" i="4"/>
  <c r="P985" i="4"/>
  <c r="W985" i="4" s="1"/>
  <c r="O985" i="4"/>
  <c r="N985" i="4"/>
  <c r="R985" i="4" s="1"/>
  <c r="AB984" i="4"/>
  <c r="V984" i="4"/>
  <c r="U984" i="4"/>
  <c r="T984" i="4"/>
  <c r="R984" i="4"/>
  <c r="Q984" i="4"/>
  <c r="P984" i="4"/>
  <c r="W984" i="4" s="1"/>
  <c r="O984" i="4"/>
  <c r="N984" i="4"/>
  <c r="AB983" i="4"/>
  <c r="U983" i="4"/>
  <c r="T983" i="4"/>
  <c r="S983" i="4"/>
  <c r="R983" i="4"/>
  <c r="Q983" i="4"/>
  <c r="P983" i="4"/>
  <c r="V983" i="4" s="1"/>
  <c r="O983" i="4"/>
  <c r="N983" i="4"/>
  <c r="AB982" i="4"/>
  <c r="U982" i="4"/>
  <c r="T982" i="4"/>
  <c r="Q982" i="4"/>
  <c r="P982" i="4"/>
  <c r="W982" i="4" s="1"/>
  <c r="O982" i="4"/>
  <c r="N982" i="4"/>
  <c r="AB981" i="4"/>
  <c r="V981" i="4"/>
  <c r="U981" i="4"/>
  <c r="T981" i="4"/>
  <c r="R981" i="4"/>
  <c r="Q981" i="4"/>
  <c r="P981" i="4"/>
  <c r="W981" i="4" s="1"/>
  <c r="O981" i="4"/>
  <c r="N981" i="4"/>
  <c r="AB980" i="4"/>
  <c r="U980" i="4"/>
  <c r="T980" i="4"/>
  <c r="Q980" i="4"/>
  <c r="P980" i="4"/>
  <c r="V980" i="4" s="1"/>
  <c r="O980" i="4"/>
  <c r="N980" i="4"/>
  <c r="R980" i="4" s="1"/>
  <c r="AB979" i="4"/>
  <c r="U979" i="4"/>
  <c r="T979" i="4"/>
  <c r="Q979" i="4"/>
  <c r="P979" i="4"/>
  <c r="W979" i="4" s="1"/>
  <c r="O979" i="4"/>
  <c r="N979" i="4"/>
  <c r="R979" i="4" s="1"/>
  <c r="AB978" i="4"/>
  <c r="W978" i="4"/>
  <c r="U978" i="4"/>
  <c r="T978" i="4"/>
  <c r="R978" i="4"/>
  <c r="S978" i="4" s="1"/>
  <c r="X978" i="4" s="1"/>
  <c r="AC978" i="4" s="1"/>
  <c r="Q978" i="4"/>
  <c r="P978" i="4"/>
  <c r="V978" i="4" s="1"/>
  <c r="O978" i="4"/>
  <c r="N978" i="4"/>
  <c r="AB977" i="4"/>
  <c r="W977" i="4"/>
  <c r="U977" i="4"/>
  <c r="T977" i="4"/>
  <c r="Q977" i="4"/>
  <c r="P977" i="4"/>
  <c r="V977" i="4" s="1"/>
  <c r="O977" i="4"/>
  <c r="N977" i="4"/>
  <c r="AB976" i="4"/>
  <c r="W976" i="4"/>
  <c r="V976" i="4"/>
  <c r="U976" i="4"/>
  <c r="T976" i="4"/>
  <c r="Q976" i="4"/>
  <c r="P976" i="4"/>
  <c r="O976" i="4"/>
  <c r="N976" i="4"/>
  <c r="R976" i="4" s="1"/>
  <c r="AB975" i="4"/>
  <c r="Z975" i="4"/>
  <c r="W975" i="4"/>
  <c r="U975" i="4"/>
  <c r="T975" i="4"/>
  <c r="Q975" i="4"/>
  <c r="P975" i="4"/>
  <c r="V975" i="4" s="1"/>
  <c r="O975" i="4"/>
  <c r="N975" i="4"/>
  <c r="R975" i="4" s="1"/>
  <c r="S975" i="4" s="1"/>
  <c r="AB974" i="4"/>
  <c r="W974" i="4"/>
  <c r="U974" i="4"/>
  <c r="T974" i="4"/>
  <c r="Q974" i="4"/>
  <c r="P974" i="4"/>
  <c r="V974" i="4" s="1"/>
  <c r="O974" i="4"/>
  <c r="N974" i="4"/>
  <c r="AB973" i="4"/>
  <c r="W973" i="4"/>
  <c r="U973" i="4"/>
  <c r="T973" i="4"/>
  <c r="R973" i="4"/>
  <c r="S973" i="4" s="1"/>
  <c r="Q973" i="4"/>
  <c r="P973" i="4"/>
  <c r="V973" i="4" s="1"/>
  <c r="O973" i="4"/>
  <c r="N973" i="4"/>
  <c r="AB972" i="4"/>
  <c r="U972" i="4"/>
  <c r="T972" i="4"/>
  <c r="Q972" i="4"/>
  <c r="P972" i="4"/>
  <c r="W972" i="4" s="1"/>
  <c r="O972" i="4"/>
  <c r="N972" i="4"/>
  <c r="AB971" i="4"/>
  <c r="V971" i="4"/>
  <c r="U971" i="4"/>
  <c r="T971" i="4"/>
  <c r="R971" i="4"/>
  <c r="Q971" i="4"/>
  <c r="P971" i="4"/>
  <c r="W971" i="4" s="1"/>
  <c r="O971" i="4"/>
  <c r="N971" i="4"/>
  <c r="AB970" i="4"/>
  <c r="W970" i="4"/>
  <c r="U970" i="4"/>
  <c r="T970" i="4"/>
  <c r="Q970" i="4"/>
  <c r="P970" i="4"/>
  <c r="V970" i="4" s="1"/>
  <c r="O970" i="4"/>
  <c r="N970" i="4"/>
  <c r="R970" i="4" s="1"/>
  <c r="S970" i="4" s="1"/>
  <c r="AB969" i="4"/>
  <c r="W969" i="4"/>
  <c r="U969" i="4"/>
  <c r="T969" i="4"/>
  <c r="Q969" i="4"/>
  <c r="P969" i="4"/>
  <c r="V969" i="4" s="1"/>
  <c r="O969" i="4"/>
  <c r="N969" i="4"/>
  <c r="AB968" i="4"/>
  <c r="W968" i="4"/>
  <c r="U968" i="4"/>
  <c r="T968" i="4"/>
  <c r="R968" i="4"/>
  <c r="S968" i="4" s="1"/>
  <c r="Q968" i="4"/>
  <c r="P968" i="4"/>
  <c r="V968" i="4" s="1"/>
  <c r="O968" i="4"/>
  <c r="N968" i="4"/>
  <c r="AB967" i="4"/>
  <c r="U967" i="4"/>
  <c r="T967" i="4"/>
  <c r="Q967" i="4"/>
  <c r="P967" i="4"/>
  <c r="W967" i="4" s="1"/>
  <c r="O967" i="4"/>
  <c r="N967" i="4"/>
  <c r="AB966" i="4"/>
  <c r="V966" i="4"/>
  <c r="U966" i="4"/>
  <c r="T966" i="4"/>
  <c r="R966" i="4"/>
  <c r="Q966" i="4"/>
  <c r="P966" i="4"/>
  <c r="W966" i="4" s="1"/>
  <c r="O966" i="4"/>
  <c r="N966" i="4"/>
  <c r="AB965" i="4"/>
  <c r="W965" i="4"/>
  <c r="U965" i="4"/>
  <c r="T965" i="4"/>
  <c r="Q965" i="4"/>
  <c r="P965" i="4"/>
  <c r="V965" i="4" s="1"/>
  <c r="O965" i="4"/>
  <c r="N965" i="4"/>
  <c r="R965" i="4" s="1"/>
  <c r="S965" i="4" s="1"/>
  <c r="AB964" i="4"/>
  <c r="W964" i="4"/>
  <c r="U964" i="4"/>
  <c r="T964" i="4"/>
  <c r="Q964" i="4"/>
  <c r="P964" i="4"/>
  <c r="V964" i="4" s="1"/>
  <c r="O964" i="4"/>
  <c r="N964" i="4"/>
  <c r="AB963" i="4"/>
  <c r="U963" i="4"/>
  <c r="T963" i="4"/>
  <c r="R963" i="4"/>
  <c r="S963" i="4" s="1"/>
  <c r="Q963" i="4"/>
  <c r="P963" i="4"/>
  <c r="V963" i="4" s="1"/>
  <c r="O963" i="4"/>
  <c r="N963" i="4"/>
  <c r="AB962" i="4"/>
  <c r="U962" i="4"/>
  <c r="T962" i="4"/>
  <c r="Q962" i="4"/>
  <c r="P962" i="4"/>
  <c r="W962" i="4" s="1"/>
  <c r="O962" i="4"/>
  <c r="N962" i="4"/>
  <c r="AB961" i="4"/>
  <c r="W961" i="4"/>
  <c r="U961" i="4"/>
  <c r="T961" i="4"/>
  <c r="R961" i="4"/>
  <c r="Q961" i="4"/>
  <c r="Y961" i="4" s="1"/>
  <c r="P961" i="4"/>
  <c r="V961" i="4" s="1"/>
  <c r="S961" i="4" s="1"/>
  <c r="X961" i="4" s="1"/>
  <c r="AC961" i="4" s="1"/>
  <c r="O961" i="4"/>
  <c r="N961" i="4"/>
  <c r="AB960" i="4"/>
  <c r="V960" i="4"/>
  <c r="U960" i="4"/>
  <c r="T960" i="4"/>
  <c r="Q960" i="4"/>
  <c r="P960" i="4"/>
  <c r="W960" i="4" s="1"/>
  <c r="O960" i="4"/>
  <c r="N960" i="4"/>
  <c r="R960" i="4" s="1"/>
  <c r="AB959" i="4"/>
  <c r="W959" i="4"/>
  <c r="U959" i="4"/>
  <c r="T959" i="4"/>
  <c r="S959" i="4"/>
  <c r="X959" i="4" s="1"/>
  <c r="AC959" i="4" s="1"/>
  <c r="R959" i="4"/>
  <c r="Q959" i="4"/>
  <c r="Y959" i="4" s="1"/>
  <c r="AA959" i="4" s="1"/>
  <c r="P959" i="4"/>
  <c r="V959" i="4" s="1"/>
  <c r="O959" i="4"/>
  <c r="N959" i="4"/>
  <c r="AB958" i="4"/>
  <c r="U958" i="4"/>
  <c r="T958" i="4"/>
  <c r="Q958" i="4"/>
  <c r="P958" i="4"/>
  <c r="W958" i="4" s="1"/>
  <c r="O958" i="4"/>
  <c r="N958" i="4"/>
  <c r="AB957" i="4"/>
  <c r="U957" i="4"/>
  <c r="T957" i="4"/>
  <c r="R957" i="4"/>
  <c r="Q957" i="4"/>
  <c r="P957" i="4"/>
  <c r="W957" i="4" s="1"/>
  <c r="O957" i="4"/>
  <c r="N957" i="4"/>
  <c r="AB956" i="4"/>
  <c r="U956" i="4"/>
  <c r="T956" i="4"/>
  <c r="Q956" i="4"/>
  <c r="P956" i="4"/>
  <c r="V956" i="4" s="1"/>
  <c r="O956" i="4"/>
  <c r="N956" i="4"/>
  <c r="R956" i="4" s="1"/>
  <c r="AB955" i="4"/>
  <c r="W955" i="4"/>
  <c r="V955" i="4"/>
  <c r="U955" i="4"/>
  <c r="T955" i="4"/>
  <c r="Q955" i="4"/>
  <c r="P955" i="4"/>
  <c r="O955" i="4"/>
  <c r="N955" i="4"/>
  <c r="R955" i="4" s="1"/>
  <c r="AB954" i="4"/>
  <c r="U954" i="4"/>
  <c r="T954" i="4"/>
  <c r="S954" i="4"/>
  <c r="Q954" i="4"/>
  <c r="P954" i="4"/>
  <c r="V954" i="4" s="1"/>
  <c r="O954" i="4"/>
  <c r="N954" i="4"/>
  <c r="AB953" i="4"/>
  <c r="V953" i="4"/>
  <c r="U953" i="4"/>
  <c r="T953" i="4"/>
  <c r="S953" i="4"/>
  <c r="X953" i="4" s="1"/>
  <c r="AC953" i="4" s="1"/>
  <c r="Q953" i="4"/>
  <c r="Y953" i="4" s="1"/>
  <c r="P953" i="4"/>
  <c r="W953" i="4" s="1"/>
  <c r="O953" i="4"/>
  <c r="N953" i="4"/>
  <c r="AB952" i="4"/>
  <c r="V952" i="4"/>
  <c r="S952" i="4" s="1"/>
  <c r="U952" i="4"/>
  <c r="T952" i="4"/>
  <c r="Q952" i="4"/>
  <c r="P952" i="4"/>
  <c r="W952" i="4" s="1"/>
  <c r="O952" i="4"/>
  <c r="N952" i="4"/>
  <c r="AB951" i="4"/>
  <c r="W951" i="4"/>
  <c r="U951" i="4"/>
  <c r="T951" i="4"/>
  <c r="Q951" i="4"/>
  <c r="P951" i="4"/>
  <c r="V951" i="4" s="1"/>
  <c r="S951" i="4" s="1"/>
  <c r="X951" i="4" s="1"/>
  <c r="AC951" i="4" s="1"/>
  <c r="O951" i="4"/>
  <c r="N951" i="4"/>
  <c r="AB950" i="4"/>
  <c r="W950" i="4"/>
  <c r="U950" i="4"/>
  <c r="T950" i="4"/>
  <c r="S950" i="4"/>
  <c r="X950" i="4" s="1"/>
  <c r="AC950" i="4" s="1"/>
  <c r="Q950" i="4"/>
  <c r="P950" i="4"/>
  <c r="V950" i="4" s="1"/>
  <c r="O950" i="4"/>
  <c r="N950" i="4"/>
  <c r="AB949" i="4"/>
  <c r="U949" i="4"/>
  <c r="T949" i="4"/>
  <c r="Q949" i="4"/>
  <c r="P949" i="4"/>
  <c r="W949" i="4" s="1"/>
  <c r="O949" i="4"/>
  <c r="N949" i="4"/>
  <c r="AB948" i="4"/>
  <c r="V948" i="4"/>
  <c r="S948" i="4" s="1"/>
  <c r="U948" i="4"/>
  <c r="T948" i="4"/>
  <c r="Q948" i="4"/>
  <c r="P948" i="4"/>
  <c r="W948" i="4" s="1"/>
  <c r="O948" i="4"/>
  <c r="N948" i="4"/>
  <c r="AB947" i="4"/>
  <c r="W947" i="4"/>
  <c r="V947" i="4"/>
  <c r="S947" i="4" s="1"/>
  <c r="X947" i="4" s="1"/>
  <c r="AC947" i="4" s="1"/>
  <c r="U947" i="4"/>
  <c r="T947" i="4"/>
  <c r="Q947" i="4"/>
  <c r="P947" i="4"/>
  <c r="O947" i="4"/>
  <c r="N947" i="4"/>
  <c r="AB946" i="4"/>
  <c r="U946" i="4"/>
  <c r="T946" i="4"/>
  <c r="Q946" i="4"/>
  <c r="P946" i="4"/>
  <c r="V946" i="4" s="1"/>
  <c r="O946" i="4"/>
  <c r="N946" i="4"/>
  <c r="R946" i="4" s="1"/>
  <c r="AB945" i="4"/>
  <c r="V945" i="4"/>
  <c r="S945" i="4" s="1"/>
  <c r="U945" i="4"/>
  <c r="T945" i="4"/>
  <c r="Q945" i="4"/>
  <c r="P945" i="4"/>
  <c r="W945" i="4" s="1"/>
  <c r="O945" i="4"/>
  <c r="N945" i="4"/>
  <c r="AB944" i="4"/>
  <c r="U944" i="4"/>
  <c r="T944" i="4"/>
  <c r="R944" i="4"/>
  <c r="Q944" i="4"/>
  <c r="P944" i="4"/>
  <c r="W944" i="4" s="1"/>
  <c r="O944" i="4"/>
  <c r="N944" i="4"/>
  <c r="AB943" i="4"/>
  <c r="V943" i="4"/>
  <c r="U943" i="4"/>
  <c r="T943" i="4"/>
  <c r="S943" i="4"/>
  <c r="Q943" i="4"/>
  <c r="Y943" i="4" s="1"/>
  <c r="P943" i="4"/>
  <c r="W943" i="4" s="1"/>
  <c r="X943" i="4" s="1"/>
  <c r="AC943" i="4" s="1"/>
  <c r="O943" i="4"/>
  <c r="N943" i="4"/>
  <c r="AB942" i="4"/>
  <c r="W942" i="4"/>
  <c r="U942" i="4"/>
  <c r="T942" i="4"/>
  <c r="R942" i="4"/>
  <c r="Q942" i="4"/>
  <c r="P942" i="4"/>
  <c r="V942" i="4" s="1"/>
  <c r="S942" i="4" s="1"/>
  <c r="O942" i="4"/>
  <c r="N942" i="4"/>
  <c r="AB941" i="4"/>
  <c r="W941" i="4"/>
  <c r="U941" i="4"/>
  <c r="T941" i="4"/>
  <c r="Q941" i="4"/>
  <c r="P941" i="4"/>
  <c r="V941" i="4" s="1"/>
  <c r="S941" i="4" s="1"/>
  <c r="X941" i="4" s="1"/>
  <c r="AC941" i="4" s="1"/>
  <c r="O941" i="4"/>
  <c r="N941" i="4"/>
  <c r="AB940" i="4"/>
  <c r="W940" i="4"/>
  <c r="U940" i="4"/>
  <c r="T940" i="4"/>
  <c r="R940" i="4"/>
  <c r="Q940" i="4"/>
  <c r="P940" i="4"/>
  <c r="V940" i="4" s="1"/>
  <c r="O940" i="4"/>
  <c r="N940" i="4"/>
  <c r="AB939" i="4"/>
  <c r="U939" i="4"/>
  <c r="T939" i="4"/>
  <c r="Q939" i="4"/>
  <c r="P939" i="4"/>
  <c r="W939" i="4" s="1"/>
  <c r="O939" i="4"/>
  <c r="N939" i="4"/>
  <c r="AB938" i="4"/>
  <c r="U938" i="4"/>
  <c r="T938" i="4"/>
  <c r="Q938" i="4"/>
  <c r="P938" i="4"/>
  <c r="V938" i="4" s="1"/>
  <c r="S938" i="4" s="1"/>
  <c r="O938" i="4"/>
  <c r="N938" i="4"/>
  <c r="AB937" i="4"/>
  <c r="U937" i="4"/>
  <c r="T937" i="4"/>
  <c r="R937" i="4"/>
  <c r="Q937" i="4"/>
  <c r="P937" i="4"/>
  <c r="W937" i="4" s="1"/>
  <c r="O937" i="4"/>
  <c r="N937" i="4"/>
  <c r="AB936" i="4"/>
  <c r="W936" i="4"/>
  <c r="U936" i="4"/>
  <c r="T936" i="4"/>
  <c r="Q936" i="4"/>
  <c r="P936" i="4"/>
  <c r="V936" i="4" s="1"/>
  <c r="O936" i="4"/>
  <c r="N936" i="4"/>
  <c r="AB935" i="4"/>
  <c r="V935" i="4"/>
  <c r="U935" i="4"/>
  <c r="T935" i="4"/>
  <c r="Q935" i="4"/>
  <c r="P935" i="4"/>
  <c r="W935" i="4" s="1"/>
  <c r="O935" i="4"/>
  <c r="N935" i="4"/>
  <c r="AB934" i="4"/>
  <c r="W934" i="4"/>
  <c r="U934" i="4"/>
  <c r="T934" i="4"/>
  <c r="Q934" i="4"/>
  <c r="P934" i="4"/>
  <c r="V934" i="4" s="1"/>
  <c r="O934" i="4"/>
  <c r="R934" i="4" s="1"/>
  <c r="N934" i="4"/>
  <c r="AB933" i="4"/>
  <c r="X933" i="4"/>
  <c r="AC933" i="4" s="1"/>
  <c r="V933" i="4"/>
  <c r="S933" i="4" s="1"/>
  <c r="U933" i="4"/>
  <c r="T933" i="4"/>
  <c r="Q933" i="4"/>
  <c r="P933" i="4"/>
  <c r="W933" i="4" s="1"/>
  <c r="O933" i="4"/>
  <c r="N933" i="4"/>
  <c r="AB932" i="4"/>
  <c r="V932" i="4"/>
  <c r="U932" i="4"/>
  <c r="T932" i="4"/>
  <c r="Q932" i="4"/>
  <c r="P932" i="4"/>
  <c r="W932" i="4" s="1"/>
  <c r="O932" i="4"/>
  <c r="N932" i="4"/>
  <c r="AB931" i="4"/>
  <c r="V931" i="4"/>
  <c r="S931" i="4" s="1"/>
  <c r="X931" i="4" s="1"/>
  <c r="AC931" i="4" s="1"/>
  <c r="U931" i="4"/>
  <c r="T931" i="4"/>
  <c r="Q931" i="4"/>
  <c r="Y931" i="4" s="1"/>
  <c r="P931" i="4"/>
  <c r="W931" i="4" s="1"/>
  <c r="O931" i="4"/>
  <c r="N931" i="4"/>
  <c r="AB930" i="4"/>
  <c r="X930" i="4"/>
  <c r="AC930" i="4" s="1"/>
  <c r="V930" i="4"/>
  <c r="S930" i="4" s="1"/>
  <c r="U930" i="4"/>
  <c r="T930" i="4"/>
  <c r="Q930" i="4"/>
  <c r="P930" i="4"/>
  <c r="W930" i="4" s="1"/>
  <c r="O930" i="4"/>
  <c r="N930" i="4"/>
  <c r="AB929" i="4"/>
  <c r="V929" i="4"/>
  <c r="S929" i="4" s="1"/>
  <c r="X929" i="4" s="1"/>
  <c r="U929" i="4"/>
  <c r="T929" i="4"/>
  <c r="Q929" i="4"/>
  <c r="P929" i="4"/>
  <c r="W929" i="4" s="1"/>
  <c r="O929" i="4"/>
  <c r="N929" i="4"/>
  <c r="AB928" i="4"/>
  <c r="W928" i="4"/>
  <c r="U928" i="4"/>
  <c r="T928" i="4"/>
  <c r="S928" i="4"/>
  <c r="X928" i="4" s="1"/>
  <c r="AC928" i="4" s="1"/>
  <c r="Q928" i="4"/>
  <c r="Y928" i="4" s="1"/>
  <c r="P928" i="4"/>
  <c r="V928" i="4" s="1"/>
  <c r="O928" i="4"/>
  <c r="N928" i="4"/>
  <c r="AB927" i="4"/>
  <c r="V927" i="4"/>
  <c r="U927" i="4"/>
  <c r="T927" i="4"/>
  <c r="S927" i="4"/>
  <c r="X927" i="4" s="1"/>
  <c r="AC927" i="4" s="1"/>
  <c r="Q927" i="4"/>
  <c r="Y927" i="4" s="1"/>
  <c r="P927" i="4"/>
  <c r="W927" i="4" s="1"/>
  <c r="O927" i="4"/>
  <c r="N927" i="4"/>
  <c r="AB926" i="4"/>
  <c r="V926" i="4"/>
  <c r="S926" i="4" s="1"/>
  <c r="U926" i="4"/>
  <c r="T926" i="4"/>
  <c r="X926" i="4" s="1"/>
  <c r="AC926" i="4" s="1"/>
  <c r="Q926" i="4"/>
  <c r="P926" i="4"/>
  <c r="W926" i="4" s="1"/>
  <c r="O926" i="4"/>
  <c r="N926" i="4"/>
  <c r="AB925" i="4"/>
  <c r="U925" i="4"/>
  <c r="T925" i="4"/>
  <c r="R925" i="4"/>
  <c r="Q925" i="4"/>
  <c r="P925" i="4"/>
  <c r="W925" i="4" s="1"/>
  <c r="O925" i="4"/>
  <c r="N925" i="4"/>
  <c r="AB924" i="4"/>
  <c r="W924" i="4"/>
  <c r="U924" i="4"/>
  <c r="T924" i="4"/>
  <c r="S924" i="4"/>
  <c r="X924" i="4" s="1"/>
  <c r="AC924" i="4" s="1"/>
  <c r="Q924" i="4"/>
  <c r="P924" i="4"/>
  <c r="V924" i="4" s="1"/>
  <c r="O924" i="4"/>
  <c r="N924" i="4"/>
  <c r="AB923" i="4"/>
  <c r="V923" i="4"/>
  <c r="U923" i="4"/>
  <c r="T923" i="4"/>
  <c r="S923" i="4"/>
  <c r="Q923" i="4"/>
  <c r="P923" i="4"/>
  <c r="W923" i="4" s="1"/>
  <c r="O923" i="4"/>
  <c r="N923" i="4"/>
  <c r="AB922" i="4"/>
  <c r="U922" i="4"/>
  <c r="T922" i="4"/>
  <c r="S922" i="4"/>
  <c r="Q922" i="4"/>
  <c r="P922" i="4"/>
  <c r="V922" i="4" s="1"/>
  <c r="O922" i="4"/>
  <c r="N922" i="4"/>
  <c r="AB921" i="4"/>
  <c r="U921" i="4"/>
  <c r="T921" i="4"/>
  <c r="Q921" i="4"/>
  <c r="P921" i="4"/>
  <c r="V921" i="4" s="1"/>
  <c r="S921" i="4" s="1"/>
  <c r="O921" i="4"/>
  <c r="N921" i="4"/>
  <c r="AB920" i="4"/>
  <c r="V920" i="4"/>
  <c r="S920" i="4" s="1"/>
  <c r="X920" i="4" s="1"/>
  <c r="AC920" i="4" s="1"/>
  <c r="U920" i="4"/>
  <c r="T920" i="4"/>
  <c r="Q920" i="4"/>
  <c r="P920" i="4"/>
  <c r="W920" i="4" s="1"/>
  <c r="O920" i="4"/>
  <c r="N920" i="4"/>
  <c r="AB919" i="4"/>
  <c r="U919" i="4"/>
  <c r="T919" i="4"/>
  <c r="Q919" i="4"/>
  <c r="P919" i="4"/>
  <c r="W919" i="4" s="1"/>
  <c r="O919" i="4"/>
  <c r="N919" i="4"/>
  <c r="AB918" i="4"/>
  <c r="V918" i="4"/>
  <c r="U918" i="4"/>
  <c r="T918" i="4"/>
  <c r="S918" i="4"/>
  <c r="X918" i="4" s="1"/>
  <c r="Q918" i="4"/>
  <c r="P918" i="4"/>
  <c r="W918" i="4" s="1"/>
  <c r="O918" i="4"/>
  <c r="N918" i="4"/>
  <c r="AB917" i="4"/>
  <c r="W917" i="4"/>
  <c r="U917" i="4"/>
  <c r="T917" i="4"/>
  <c r="Q917" i="4"/>
  <c r="P917" i="4"/>
  <c r="V917" i="4" s="1"/>
  <c r="O917" i="4"/>
  <c r="N917" i="4"/>
  <c r="R917" i="4" s="1"/>
  <c r="AB916" i="4"/>
  <c r="V916" i="4"/>
  <c r="S916" i="4" s="1"/>
  <c r="U916" i="4"/>
  <c r="T916" i="4"/>
  <c r="Q916" i="4"/>
  <c r="P916" i="4"/>
  <c r="W916" i="4" s="1"/>
  <c r="O916" i="4"/>
  <c r="N916" i="4"/>
  <c r="AB915" i="4"/>
  <c r="V915" i="4"/>
  <c r="S915" i="4" s="1"/>
  <c r="U915" i="4"/>
  <c r="T915" i="4"/>
  <c r="Q915" i="4"/>
  <c r="P915" i="4"/>
  <c r="W915" i="4" s="1"/>
  <c r="O915" i="4"/>
  <c r="N915" i="4"/>
  <c r="AB914" i="4"/>
  <c r="V914" i="4"/>
  <c r="S914" i="4" s="1"/>
  <c r="X914" i="4" s="1"/>
  <c r="AC914" i="4" s="1"/>
  <c r="U914" i="4"/>
  <c r="T914" i="4"/>
  <c r="Q914" i="4"/>
  <c r="P914" i="4"/>
  <c r="W914" i="4" s="1"/>
  <c r="O914" i="4"/>
  <c r="N914" i="4"/>
  <c r="AB913" i="4"/>
  <c r="U913" i="4"/>
  <c r="T913" i="4"/>
  <c r="Q913" i="4"/>
  <c r="P913" i="4"/>
  <c r="W913" i="4" s="1"/>
  <c r="O913" i="4"/>
  <c r="N913" i="4"/>
  <c r="AB912" i="4"/>
  <c r="W912" i="4"/>
  <c r="U912" i="4"/>
  <c r="T912" i="4"/>
  <c r="R912" i="4"/>
  <c r="S912" i="4" s="1"/>
  <c r="Q912" i="4"/>
  <c r="P912" i="4"/>
  <c r="V912" i="4" s="1"/>
  <c r="O912" i="4"/>
  <c r="N912" i="4"/>
  <c r="AB911" i="4"/>
  <c r="W911" i="4"/>
  <c r="U911" i="4"/>
  <c r="T911" i="4"/>
  <c r="S911" i="4"/>
  <c r="X911" i="4" s="1"/>
  <c r="AC911" i="4" s="1"/>
  <c r="Q911" i="4"/>
  <c r="P911" i="4"/>
  <c r="V911" i="4" s="1"/>
  <c r="O911" i="4"/>
  <c r="N911" i="4"/>
  <c r="AB910" i="4"/>
  <c r="U910" i="4"/>
  <c r="T910" i="4"/>
  <c r="Q910" i="4"/>
  <c r="P910" i="4"/>
  <c r="W910" i="4" s="1"/>
  <c r="O910" i="4"/>
  <c r="N910" i="4"/>
  <c r="AB909" i="4"/>
  <c r="U909" i="4"/>
  <c r="T909" i="4"/>
  <c r="Q909" i="4"/>
  <c r="P909" i="4"/>
  <c r="W909" i="4" s="1"/>
  <c r="O909" i="4"/>
  <c r="N909" i="4"/>
  <c r="R909" i="4" s="1"/>
  <c r="AB908" i="4"/>
  <c r="U908" i="4"/>
  <c r="T908" i="4"/>
  <c r="S908" i="4"/>
  <c r="Q908" i="4"/>
  <c r="P908" i="4"/>
  <c r="V908" i="4" s="1"/>
  <c r="O908" i="4"/>
  <c r="N908" i="4"/>
  <c r="AB907" i="4"/>
  <c r="V907" i="4"/>
  <c r="S907" i="4" s="1"/>
  <c r="X907" i="4" s="1"/>
  <c r="U907" i="4"/>
  <c r="T907" i="4"/>
  <c r="Q907" i="4"/>
  <c r="P907" i="4"/>
  <c r="W907" i="4" s="1"/>
  <c r="O907" i="4"/>
  <c r="N907" i="4"/>
  <c r="AB906" i="4"/>
  <c r="U906" i="4"/>
  <c r="T906" i="4"/>
  <c r="Q906" i="4"/>
  <c r="P906" i="4"/>
  <c r="W906" i="4" s="1"/>
  <c r="O906" i="4"/>
  <c r="R906" i="4" s="1"/>
  <c r="N906" i="4"/>
  <c r="AB905" i="4"/>
  <c r="V905" i="4"/>
  <c r="U905" i="4"/>
  <c r="T905" i="4"/>
  <c r="S905" i="4"/>
  <c r="X905" i="4" s="1"/>
  <c r="AC905" i="4" s="1"/>
  <c r="Q905" i="4"/>
  <c r="Y905" i="4" s="1"/>
  <c r="AA905" i="4" s="1"/>
  <c r="P905" i="4"/>
  <c r="W905" i="4" s="1"/>
  <c r="O905" i="4"/>
  <c r="N905" i="4"/>
  <c r="AB904" i="4"/>
  <c r="U904" i="4"/>
  <c r="T904" i="4"/>
  <c r="Q904" i="4"/>
  <c r="P904" i="4"/>
  <c r="W904" i="4" s="1"/>
  <c r="O904" i="4"/>
  <c r="N904" i="4"/>
  <c r="R904" i="4" s="1"/>
  <c r="AB903" i="4"/>
  <c r="W903" i="4"/>
  <c r="U903" i="4"/>
  <c r="T903" i="4"/>
  <c r="Q903" i="4"/>
  <c r="P903" i="4"/>
  <c r="V903" i="4" s="1"/>
  <c r="O903" i="4"/>
  <c r="N903" i="4"/>
  <c r="R903" i="4" s="1"/>
  <c r="AB902" i="4"/>
  <c r="V902" i="4"/>
  <c r="S902" i="4" s="1"/>
  <c r="U902" i="4"/>
  <c r="T902" i="4"/>
  <c r="Q902" i="4"/>
  <c r="P902" i="4"/>
  <c r="W902" i="4" s="1"/>
  <c r="O902" i="4"/>
  <c r="N902" i="4"/>
  <c r="AB901" i="4"/>
  <c r="W901" i="4"/>
  <c r="U901" i="4"/>
  <c r="T901" i="4"/>
  <c r="R901" i="4"/>
  <c r="S901" i="4" s="1"/>
  <c r="Q901" i="4"/>
  <c r="P901" i="4"/>
  <c r="V901" i="4" s="1"/>
  <c r="O901" i="4"/>
  <c r="N901" i="4"/>
  <c r="AB900" i="4"/>
  <c r="V900" i="4"/>
  <c r="U900" i="4"/>
  <c r="T900" i="4"/>
  <c r="S900" i="4"/>
  <c r="X900" i="4" s="1"/>
  <c r="AC900" i="4" s="1"/>
  <c r="Q900" i="4"/>
  <c r="P900" i="4"/>
  <c r="W900" i="4" s="1"/>
  <c r="O900" i="4"/>
  <c r="N900" i="4"/>
  <c r="AB899" i="4"/>
  <c r="W899" i="4"/>
  <c r="U899" i="4"/>
  <c r="T899" i="4"/>
  <c r="Q899" i="4"/>
  <c r="P899" i="4"/>
  <c r="V899" i="4" s="1"/>
  <c r="S899" i="4" s="1"/>
  <c r="X899" i="4" s="1"/>
  <c r="AC899" i="4" s="1"/>
  <c r="O899" i="4"/>
  <c r="N899" i="4"/>
  <c r="AB898" i="4"/>
  <c r="V898" i="4"/>
  <c r="S898" i="4" s="1"/>
  <c r="U898" i="4"/>
  <c r="T898" i="4"/>
  <c r="Q898" i="4"/>
  <c r="P898" i="4"/>
  <c r="W898" i="4" s="1"/>
  <c r="O898" i="4"/>
  <c r="N898" i="4"/>
  <c r="AB897" i="4"/>
  <c r="W897" i="4"/>
  <c r="U897" i="4"/>
  <c r="T897" i="4"/>
  <c r="Q897" i="4"/>
  <c r="P897" i="4"/>
  <c r="V897" i="4" s="1"/>
  <c r="O897" i="4"/>
  <c r="N897" i="4"/>
  <c r="R897" i="4" s="1"/>
  <c r="AB896" i="4"/>
  <c r="V896" i="4"/>
  <c r="S896" i="4" s="1"/>
  <c r="X896" i="4" s="1"/>
  <c r="U896" i="4"/>
  <c r="T896" i="4"/>
  <c r="Q896" i="4"/>
  <c r="P896" i="4"/>
  <c r="W896" i="4" s="1"/>
  <c r="O896" i="4"/>
  <c r="N896" i="4"/>
  <c r="AB895" i="4"/>
  <c r="W895" i="4"/>
  <c r="U895" i="4"/>
  <c r="T895" i="4"/>
  <c r="R895" i="4"/>
  <c r="Q895" i="4"/>
  <c r="P895" i="4"/>
  <c r="V895" i="4" s="1"/>
  <c r="O895" i="4"/>
  <c r="N895" i="4"/>
  <c r="AB894" i="4"/>
  <c r="V894" i="4"/>
  <c r="U894" i="4"/>
  <c r="T894" i="4"/>
  <c r="S894" i="4"/>
  <c r="X894" i="4" s="1"/>
  <c r="AC894" i="4" s="1"/>
  <c r="Q894" i="4"/>
  <c r="P894" i="4"/>
  <c r="W894" i="4" s="1"/>
  <c r="O894" i="4"/>
  <c r="N894" i="4"/>
  <c r="AB893" i="4"/>
  <c r="W893" i="4"/>
  <c r="U893" i="4"/>
  <c r="T893" i="4"/>
  <c r="Q893" i="4"/>
  <c r="P893" i="4"/>
  <c r="V893" i="4" s="1"/>
  <c r="S893" i="4" s="1"/>
  <c r="X893" i="4" s="1"/>
  <c r="AC893" i="4" s="1"/>
  <c r="O893" i="4"/>
  <c r="N893" i="4"/>
  <c r="AB892" i="4"/>
  <c r="U892" i="4"/>
  <c r="T892" i="4"/>
  <c r="Q892" i="4"/>
  <c r="P892" i="4"/>
  <c r="W892" i="4" s="1"/>
  <c r="O892" i="4"/>
  <c r="N892" i="4"/>
  <c r="AB891" i="4"/>
  <c r="U891" i="4"/>
  <c r="T891" i="4"/>
  <c r="S891" i="4"/>
  <c r="Q891" i="4"/>
  <c r="P891" i="4"/>
  <c r="V891" i="4" s="1"/>
  <c r="O891" i="4"/>
  <c r="N891" i="4"/>
  <c r="AB890" i="4"/>
  <c r="V890" i="4"/>
  <c r="U890" i="4"/>
  <c r="T890" i="4"/>
  <c r="S890" i="4"/>
  <c r="X890" i="4" s="1"/>
  <c r="AC890" i="4" s="1"/>
  <c r="Q890" i="4"/>
  <c r="Y890" i="4" s="1"/>
  <c r="P890" i="4"/>
  <c r="W890" i="4" s="1"/>
  <c r="O890" i="4"/>
  <c r="N890" i="4"/>
  <c r="AB889" i="4"/>
  <c r="V889" i="4"/>
  <c r="U889" i="4"/>
  <c r="T889" i="4"/>
  <c r="Q889" i="4"/>
  <c r="P889" i="4"/>
  <c r="W889" i="4" s="1"/>
  <c r="O889" i="4"/>
  <c r="N889" i="4"/>
  <c r="R889" i="4" s="1"/>
  <c r="AB888" i="4"/>
  <c r="V888" i="4"/>
  <c r="S888" i="4" s="1"/>
  <c r="X888" i="4" s="1"/>
  <c r="AC888" i="4" s="1"/>
  <c r="U888" i="4"/>
  <c r="T888" i="4"/>
  <c r="Q888" i="4"/>
  <c r="P888" i="4"/>
  <c r="W888" i="4" s="1"/>
  <c r="O888" i="4"/>
  <c r="N888" i="4"/>
  <c r="AB887" i="4"/>
  <c r="V887" i="4"/>
  <c r="S887" i="4" s="1"/>
  <c r="X887" i="4" s="1"/>
  <c r="AC887" i="4" s="1"/>
  <c r="U887" i="4"/>
  <c r="T887" i="4"/>
  <c r="Q887" i="4"/>
  <c r="P887" i="4"/>
  <c r="W887" i="4" s="1"/>
  <c r="O887" i="4"/>
  <c r="N887" i="4"/>
  <c r="AB886" i="4"/>
  <c r="V886" i="4"/>
  <c r="U886" i="4"/>
  <c r="T886" i="4"/>
  <c r="Q886" i="4"/>
  <c r="P886" i="4"/>
  <c r="W886" i="4" s="1"/>
  <c r="O886" i="4"/>
  <c r="N886" i="4"/>
  <c r="AB885" i="4"/>
  <c r="W885" i="4"/>
  <c r="U885" i="4"/>
  <c r="T885" i="4"/>
  <c r="R885" i="4"/>
  <c r="S885" i="4" s="1"/>
  <c r="Q885" i="4"/>
  <c r="P885" i="4"/>
  <c r="V885" i="4" s="1"/>
  <c r="O885" i="4"/>
  <c r="N885" i="4"/>
  <c r="AB884" i="4"/>
  <c r="U884" i="4"/>
  <c r="T884" i="4"/>
  <c r="Q884" i="4"/>
  <c r="P884" i="4"/>
  <c r="W884" i="4" s="1"/>
  <c r="O884" i="4"/>
  <c r="N884" i="4"/>
  <c r="AB883" i="4"/>
  <c r="U883" i="4"/>
  <c r="T883" i="4"/>
  <c r="Q883" i="4"/>
  <c r="P883" i="4"/>
  <c r="V883" i="4" s="1"/>
  <c r="O883" i="4"/>
  <c r="N883" i="4"/>
  <c r="R883" i="4" s="1"/>
  <c r="AB882" i="4"/>
  <c r="U882" i="4"/>
  <c r="T882" i="4"/>
  <c r="Q882" i="4"/>
  <c r="P882" i="4"/>
  <c r="V882" i="4" s="1"/>
  <c r="O882" i="4"/>
  <c r="N882" i="4"/>
  <c r="R882" i="4" s="1"/>
  <c r="AB881" i="4"/>
  <c r="U881" i="4"/>
  <c r="Q881" i="4"/>
  <c r="P881" i="4"/>
  <c r="T881" i="4" s="1"/>
  <c r="O881" i="4"/>
  <c r="R881" i="4" s="1"/>
  <c r="N881" i="4"/>
  <c r="AB880" i="4"/>
  <c r="V880" i="4"/>
  <c r="Q880" i="4"/>
  <c r="P880" i="4"/>
  <c r="O880" i="4"/>
  <c r="N880" i="4"/>
  <c r="R880" i="4" s="1"/>
  <c r="AB879" i="4"/>
  <c r="U879" i="4"/>
  <c r="R879" i="4"/>
  <c r="Q879" i="4"/>
  <c r="P879" i="4"/>
  <c r="V879" i="4" s="1"/>
  <c r="O879" i="4"/>
  <c r="N879" i="4"/>
  <c r="AB878" i="4"/>
  <c r="T878" i="4"/>
  <c r="Q878" i="4"/>
  <c r="P878" i="4"/>
  <c r="V878" i="4" s="1"/>
  <c r="O878" i="4"/>
  <c r="N878" i="4"/>
  <c r="R878" i="4" s="1"/>
  <c r="S878" i="4" s="1"/>
  <c r="AB877" i="4"/>
  <c r="Q877" i="4"/>
  <c r="P877" i="4"/>
  <c r="V877" i="4" s="1"/>
  <c r="O877" i="4"/>
  <c r="N877" i="4"/>
  <c r="R877" i="4" s="1"/>
  <c r="AB876" i="4"/>
  <c r="U876" i="4"/>
  <c r="R876" i="4"/>
  <c r="Q876" i="4"/>
  <c r="P876" i="4"/>
  <c r="V876" i="4" s="1"/>
  <c r="O876" i="4"/>
  <c r="N876" i="4"/>
  <c r="AB875" i="4"/>
  <c r="T875" i="4"/>
  <c r="Q875" i="4"/>
  <c r="P875" i="4"/>
  <c r="V875" i="4" s="1"/>
  <c r="O875" i="4"/>
  <c r="N875" i="4"/>
  <c r="R875" i="4" s="1"/>
  <c r="S875" i="4" s="1"/>
  <c r="AB874" i="4"/>
  <c r="Q874" i="4"/>
  <c r="P874" i="4"/>
  <c r="V874" i="4" s="1"/>
  <c r="O874" i="4"/>
  <c r="N874" i="4"/>
  <c r="R874" i="4" s="1"/>
  <c r="AB873" i="4"/>
  <c r="U873" i="4"/>
  <c r="R873" i="4"/>
  <c r="Q873" i="4"/>
  <c r="P873" i="4"/>
  <c r="V873" i="4" s="1"/>
  <c r="O873" i="4"/>
  <c r="N873" i="4"/>
  <c r="AB872" i="4"/>
  <c r="T872" i="4"/>
  <c r="Q872" i="4"/>
  <c r="P872" i="4"/>
  <c r="V872" i="4" s="1"/>
  <c r="O872" i="4"/>
  <c r="N872" i="4"/>
  <c r="R872" i="4" s="1"/>
  <c r="S872" i="4" s="1"/>
  <c r="AB871" i="4"/>
  <c r="Q871" i="4"/>
  <c r="P871" i="4"/>
  <c r="V871" i="4" s="1"/>
  <c r="O871" i="4"/>
  <c r="N871" i="4"/>
  <c r="R871" i="4" s="1"/>
  <c r="AB870" i="4"/>
  <c r="U870" i="4"/>
  <c r="R870" i="4"/>
  <c r="Q870" i="4"/>
  <c r="P870" i="4"/>
  <c r="V870" i="4" s="1"/>
  <c r="O870" i="4"/>
  <c r="N870" i="4"/>
  <c r="AB869" i="4"/>
  <c r="Z869" i="4"/>
  <c r="U869" i="4"/>
  <c r="Q869" i="4"/>
  <c r="P869" i="4"/>
  <c r="T869" i="4" s="1"/>
  <c r="O869" i="4"/>
  <c r="R869" i="4" s="1"/>
  <c r="N869" i="4"/>
  <c r="AB868" i="4"/>
  <c r="U868" i="4"/>
  <c r="T868" i="4"/>
  <c r="Q868" i="4"/>
  <c r="P868" i="4"/>
  <c r="V868" i="4" s="1"/>
  <c r="O868" i="4"/>
  <c r="N868" i="4"/>
  <c r="R868" i="4" s="1"/>
  <c r="S868" i="4" s="1"/>
  <c r="AB867" i="4"/>
  <c r="V867" i="4"/>
  <c r="Q867" i="4"/>
  <c r="P867" i="4"/>
  <c r="O867" i="4"/>
  <c r="N867" i="4"/>
  <c r="R867" i="4" s="1"/>
  <c r="S867" i="4" s="1"/>
  <c r="AB866" i="4"/>
  <c r="Z866" i="4"/>
  <c r="S866" i="4"/>
  <c r="Q866" i="4"/>
  <c r="P866" i="4"/>
  <c r="O866" i="4"/>
  <c r="N866" i="4"/>
  <c r="R866" i="4" s="1"/>
  <c r="AB865" i="4"/>
  <c r="U865" i="4"/>
  <c r="Q865" i="4"/>
  <c r="P865" i="4"/>
  <c r="V865" i="4" s="1"/>
  <c r="O865" i="4"/>
  <c r="R865" i="4" s="1"/>
  <c r="N865" i="4"/>
  <c r="AB864" i="4"/>
  <c r="T864" i="4"/>
  <c r="Q864" i="4"/>
  <c r="P864" i="4"/>
  <c r="V864" i="4" s="1"/>
  <c r="O864" i="4"/>
  <c r="N864" i="4"/>
  <c r="R864" i="4" s="1"/>
  <c r="S864" i="4" s="1"/>
  <c r="AB863" i="4"/>
  <c r="S863" i="4"/>
  <c r="Q863" i="4"/>
  <c r="P863" i="4"/>
  <c r="O863" i="4"/>
  <c r="N863" i="4"/>
  <c r="R863" i="4" s="1"/>
  <c r="AB862" i="4"/>
  <c r="U862" i="4"/>
  <c r="Q862" i="4"/>
  <c r="P862" i="4"/>
  <c r="V862" i="4" s="1"/>
  <c r="O862" i="4"/>
  <c r="R862" i="4" s="1"/>
  <c r="N862" i="4"/>
  <c r="AB861" i="4"/>
  <c r="T861" i="4"/>
  <c r="Q861" i="4"/>
  <c r="P861" i="4"/>
  <c r="V861" i="4" s="1"/>
  <c r="O861" i="4"/>
  <c r="N861" i="4"/>
  <c r="R861" i="4" s="1"/>
  <c r="S861" i="4" s="1"/>
  <c r="AB860" i="4"/>
  <c r="S860" i="4"/>
  <c r="Q860" i="4"/>
  <c r="P860" i="4"/>
  <c r="O860" i="4"/>
  <c r="N860" i="4"/>
  <c r="R860" i="4" s="1"/>
  <c r="AB859" i="4"/>
  <c r="U859" i="4"/>
  <c r="Q859" i="4"/>
  <c r="P859" i="4"/>
  <c r="V859" i="4" s="1"/>
  <c r="O859" i="4"/>
  <c r="R859" i="4" s="1"/>
  <c r="N859" i="4"/>
  <c r="AB858" i="4"/>
  <c r="T858" i="4"/>
  <c r="Q858" i="4"/>
  <c r="P858" i="4"/>
  <c r="V858" i="4" s="1"/>
  <c r="O858" i="4"/>
  <c r="N858" i="4"/>
  <c r="R858" i="4" s="1"/>
  <c r="S858" i="4" s="1"/>
  <c r="AB857" i="4"/>
  <c r="S857" i="4"/>
  <c r="Q857" i="4"/>
  <c r="P857" i="4"/>
  <c r="O857" i="4"/>
  <c r="N857" i="4"/>
  <c r="R857" i="4" s="1"/>
  <c r="AB856" i="4"/>
  <c r="U856" i="4"/>
  <c r="Q856" i="4"/>
  <c r="P856" i="4"/>
  <c r="V856" i="4" s="1"/>
  <c r="O856" i="4"/>
  <c r="R856" i="4" s="1"/>
  <c r="N856" i="4"/>
  <c r="AB855" i="4"/>
  <c r="T855" i="4"/>
  <c r="Q855" i="4"/>
  <c r="P855" i="4"/>
  <c r="V855" i="4" s="1"/>
  <c r="O855" i="4"/>
  <c r="N855" i="4"/>
  <c r="R855" i="4" s="1"/>
  <c r="S855" i="4" s="1"/>
  <c r="AB854" i="4"/>
  <c r="S854" i="4"/>
  <c r="Q854" i="4"/>
  <c r="P854" i="4"/>
  <c r="O854" i="4"/>
  <c r="N854" i="4"/>
  <c r="R854" i="4" s="1"/>
  <c r="AB853" i="4"/>
  <c r="U853" i="4"/>
  <c r="T853" i="4"/>
  <c r="Q853" i="4"/>
  <c r="P853" i="4"/>
  <c r="V853" i="4" s="1"/>
  <c r="O853" i="4"/>
  <c r="N853" i="4"/>
  <c r="R853" i="4" s="1"/>
  <c r="S853" i="4" s="1"/>
  <c r="AB852" i="4"/>
  <c r="Q852" i="4"/>
  <c r="P852" i="4"/>
  <c r="V852" i="4" s="1"/>
  <c r="O852" i="4"/>
  <c r="N852" i="4"/>
  <c r="R852" i="4" s="1"/>
  <c r="AB851" i="4"/>
  <c r="T851" i="4"/>
  <c r="Q851" i="4"/>
  <c r="P851" i="4"/>
  <c r="V851" i="4" s="1"/>
  <c r="O851" i="4"/>
  <c r="N851" i="4"/>
  <c r="R851" i="4" s="1"/>
  <c r="S851" i="4" s="1"/>
  <c r="AB850" i="4"/>
  <c r="V850" i="4"/>
  <c r="Q850" i="4"/>
  <c r="P850" i="4"/>
  <c r="O850" i="4"/>
  <c r="N850" i="4"/>
  <c r="R850" i="4" s="1"/>
  <c r="S850" i="4" s="1"/>
  <c r="AB849" i="4"/>
  <c r="U849" i="4"/>
  <c r="R849" i="4"/>
  <c r="Q849" i="4"/>
  <c r="P849" i="4"/>
  <c r="V849" i="4" s="1"/>
  <c r="O849" i="4"/>
  <c r="N849" i="4"/>
  <c r="AB848" i="4"/>
  <c r="V848" i="4"/>
  <c r="S848" i="4"/>
  <c r="Q848" i="4"/>
  <c r="P848" i="4"/>
  <c r="O848" i="4"/>
  <c r="N848" i="4"/>
  <c r="R848" i="4" s="1"/>
  <c r="AB847" i="4"/>
  <c r="U847" i="4"/>
  <c r="Q847" i="4"/>
  <c r="P847" i="4"/>
  <c r="T847" i="4" s="1"/>
  <c r="O847" i="4"/>
  <c r="R847" i="4" s="1"/>
  <c r="N847" i="4"/>
  <c r="AB846" i="4"/>
  <c r="U846" i="4"/>
  <c r="T846" i="4"/>
  <c r="Q846" i="4"/>
  <c r="P846" i="4"/>
  <c r="V846" i="4" s="1"/>
  <c r="O846" i="4"/>
  <c r="N846" i="4"/>
  <c r="R846" i="4" s="1"/>
  <c r="S846" i="4" s="1"/>
  <c r="AB845" i="4"/>
  <c r="U845" i="4"/>
  <c r="R845" i="4"/>
  <c r="Q845" i="4"/>
  <c r="P845" i="4"/>
  <c r="V845" i="4" s="1"/>
  <c r="O845" i="4"/>
  <c r="N845" i="4"/>
  <c r="AB844" i="4"/>
  <c r="T844" i="4"/>
  <c r="Q844" i="4"/>
  <c r="P844" i="4"/>
  <c r="V844" i="4" s="1"/>
  <c r="O844" i="4"/>
  <c r="N844" i="4"/>
  <c r="R844" i="4" s="1"/>
  <c r="S844" i="4" s="1"/>
  <c r="AB843" i="4"/>
  <c r="Q843" i="4"/>
  <c r="P843" i="4"/>
  <c r="V843" i="4" s="1"/>
  <c r="O843" i="4"/>
  <c r="N843" i="4"/>
  <c r="R843" i="4" s="1"/>
  <c r="AB842" i="4"/>
  <c r="U842" i="4"/>
  <c r="T842" i="4"/>
  <c r="Q842" i="4"/>
  <c r="P842" i="4"/>
  <c r="V842" i="4" s="1"/>
  <c r="O842" i="4"/>
  <c r="N842" i="4"/>
  <c r="R842" i="4" s="1"/>
  <c r="S842" i="4" s="1"/>
  <c r="AB841" i="4"/>
  <c r="Q841" i="4"/>
  <c r="P841" i="4"/>
  <c r="V841" i="4" s="1"/>
  <c r="O841" i="4"/>
  <c r="N841" i="4"/>
  <c r="R841" i="4" s="1"/>
  <c r="S841" i="4" s="1"/>
  <c r="AB840" i="4"/>
  <c r="U840" i="4"/>
  <c r="R840" i="4"/>
  <c r="Q840" i="4"/>
  <c r="P840" i="4"/>
  <c r="T840" i="4" s="1"/>
  <c r="O840" i="4"/>
  <c r="N840" i="4"/>
  <c r="AB839" i="4"/>
  <c r="V839" i="4"/>
  <c r="S839" i="4"/>
  <c r="Q839" i="4"/>
  <c r="P839" i="4"/>
  <c r="O839" i="4"/>
  <c r="N839" i="4"/>
  <c r="R839" i="4" s="1"/>
  <c r="AB838" i="4"/>
  <c r="U838" i="4"/>
  <c r="T838" i="4"/>
  <c r="Q838" i="4"/>
  <c r="P838" i="4"/>
  <c r="V838" i="4" s="1"/>
  <c r="O838" i="4"/>
  <c r="N838" i="4"/>
  <c r="R838" i="4" s="1"/>
  <c r="S838" i="4" s="1"/>
  <c r="AB837" i="4"/>
  <c r="V837" i="4"/>
  <c r="S837" i="4"/>
  <c r="Q837" i="4"/>
  <c r="P837" i="4"/>
  <c r="O837" i="4"/>
  <c r="N837" i="4"/>
  <c r="R837" i="4" s="1"/>
  <c r="AB836" i="4"/>
  <c r="U836" i="4"/>
  <c r="Q836" i="4"/>
  <c r="P836" i="4"/>
  <c r="T836" i="4" s="1"/>
  <c r="O836" i="4"/>
  <c r="R836" i="4" s="1"/>
  <c r="N836" i="4"/>
  <c r="AB835" i="4"/>
  <c r="U835" i="4"/>
  <c r="T835" i="4"/>
  <c r="Q835" i="4"/>
  <c r="P835" i="4"/>
  <c r="V835" i="4" s="1"/>
  <c r="O835" i="4"/>
  <c r="N835" i="4"/>
  <c r="R835" i="4" s="1"/>
  <c r="S835" i="4" s="1"/>
  <c r="AB834" i="4"/>
  <c r="V834" i="4"/>
  <c r="Q834" i="4"/>
  <c r="P834" i="4"/>
  <c r="O834" i="4"/>
  <c r="N834" i="4"/>
  <c r="R834" i="4" s="1"/>
  <c r="S834" i="4" s="1"/>
  <c r="AD831" i="4"/>
  <c r="W831" i="4"/>
  <c r="P831" i="4"/>
  <c r="M831" i="4"/>
  <c r="N831" i="4" s="1"/>
  <c r="AD830" i="4"/>
  <c r="W830" i="4"/>
  <c r="T830" i="4"/>
  <c r="P830" i="4"/>
  <c r="M830" i="4"/>
  <c r="AD827" i="4"/>
  <c r="U827" i="4"/>
  <c r="R827" i="4"/>
  <c r="P827" i="4"/>
  <c r="W827" i="4" s="1"/>
  <c r="N827" i="4"/>
  <c r="M827" i="4"/>
  <c r="AD826" i="4"/>
  <c r="V826" i="4"/>
  <c r="P826" i="4"/>
  <c r="M826" i="4"/>
  <c r="N826" i="4" s="1"/>
  <c r="AD825" i="4"/>
  <c r="W825" i="4"/>
  <c r="T825" i="4"/>
  <c r="P825" i="4"/>
  <c r="M825" i="4"/>
  <c r="AD824" i="4"/>
  <c r="V824" i="4"/>
  <c r="T824" i="4"/>
  <c r="P824" i="4"/>
  <c r="W824" i="4" s="1"/>
  <c r="M824" i="4"/>
  <c r="AD823" i="4"/>
  <c r="T823" i="4"/>
  <c r="P823" i="4"/>
  <c r="W823" i="4" s="1"/>
  <c r="M823" i="4"/>
  <c r="AD822" i="4"/>
  <c r="U822" i="4"/>
  <c r="R822" i="4"/>
  <c r="P822" i="4"/>
  <c r="W822" i="4" s="1"/>
  <c r="N822" i="4"/>
  <c r="M822" i="4"/>
  <c r="AD821" i="4"/>
  <c r="V821" i="4"/>
  <c r="R821" i="4"/>
  <c r="P821" i="4"/>
  <c r="T821" i="4" s="1"/>
  <c r="N821" i="4"/>
  <c r="M821" i="4"/>
  <c r="AD820" i="4"/>
  <c r="V820" i="4"/>
  <c r="R820" i="4"/>
  <c r="P820" i="4"/>
  <c r="W820" i="4" s="1"/>
  <c r="N820" i="4"/>
  <c r="M820" i="4"/>
  <c r="AD819" i="4"/>
  <c r="V819" i="4"/>
  <c r="R819" i="4"/>
  <c r="P819" i="4"/>
  <c r="T819" i="4" s="1"/>
  <c r="N819" i="4"/>
  <c r="M819" i="4"/>
  <c r="AD818" i="4"/>
  <c r="V818" i="4"/>
  <c r="P818" i="4"/>
  <c r="N818" i="4"/>
  <c r="M818" i="4"/>
  <c r="R818" i="4" s="1"/>
  <c r="AD817" i="4"/>
  <c r="W817" i="4"/>
  <c r="U817" i="4"/>
  <c r="T817" i="4"/>
  <c r="P817" i="4"/>
  <c r="V817" i="4" s="1"/>
  <c r="M817" i="4"/>
  <c r="AD816" i="4"/>
  <c r="T816" i="4"/>
  <c r="P816" i="4"/>
  <c r="W816" i="4" s="1"/>
  <c r="M816" i="4"/>
  <c r="AD815" i="4"/>
  <c r="U815" i="4"/>
  <c r="R815" i="4"/>
  <c r="P815" i="4"/>
  <c r="W815" i="4" s="1"/>
  <c r="N815" i="4"/>
  <c r="M815" i="4"/>
  <c r="AD814" i="4"/>
  <c r="V814" i="4"/>
  <c r="P814" i="4"/>
  <c r="M814" i="4"/>
  <c r="N814" i="4" s="1"/>
  <c r="AD813" i="4"/>
  <c r="W813" i="4"/>
  <c r="T813" i="4"/>
  <c r="P813" i="4"/>
  <c r="M813" i="4"/>
  <c r="AD812" i="4"/>
  <c r="U812" i="4"/>
  <c r="R812" i="4"/>
  <c r="P812" i="4"/>
  <c r="W812" i="4" s="1"/>
  <c r="N812" i="4"/>
  <c r="M812" i="4"/>
  <c r="AD811" i="4"/>
  <c r="V811" i="4"/>
  <c r="P811" i="4"/>
  <c r="M811" i="4"/>
  <c r="N811" i="4" s="1"/>
  <c r="AD810" i="4"/>
  <c r="W810" i="4"/>
  <c r="P810" i="4"/>
  <c r="N810" i="4"/>
  <c r="M810" i="4"/>
  <c r="R810" i="4" s="1"/>
  <c r="AD809" i="4"/>
  <c r="W809" i="4"/>
  <c r="U809" i="4"/>
  <c r="T809" i="4"/>
  <c r="P809" i="4"/>
  <c r="V809" i="4" s="1"/>
  <c r="M809" i="4"/>
  <c r="AD808" i="4"/>
  <c r="W808" i="4"/>
  <c r="U808" i="4"/>
  <c r="R808" i="4"/>
  <c r="P808" i="4"/>
  <c r="T808" i="4" s="1"/>
  <c r="N808" i="4"/>
  <c r="M808" i="4"/>
  <c r="AD807" i="4"/>
  <c r="V807" i="4"/>
  <c r="R807" i="4"/>
  <c r="P807" i="4"/>
  <c r="W807" i="4" s="1"/>
  <c r="N807" i="4"/>
  <c r="M807" i="4"/>
  <c r="AD806" i="4"/>
  <c r="P806" i="4"/>
  <c r="M806" i="4"/>
  <c r="N806" i="4" s="1"/>
  <c r="AD805" i="4"/>
  <c r="P805" i="4"/>
  <c r="W805" i="4" s="1"/>
  <c r="N805" i="4"/>
  <c r="M805" i="4"/>
  <c r="R805" i="4" s="1"/>
  <c r="AD804" i="4"/>
  <c r="P804" i="4"/>
  <c r="M804" i="4"/>
  <c r="N804" i="4" s="1"/>
  <c r="AD803" i="4"/>
  <c r="P803" i="4"/>
  <c r="N803" i="4"/>
  <c r="M803" i="4"/>
  <c r="R803" i="4" s="1"/>
  <c r="AD802" i="4"/>
  <c r="W802" i="4"/>
  <c r="U802" i="4"/>
  <c r="T802" i="4"/>
  <c r="P802" i="4"/>
  <c r="V802" i="4" s="1"/>
  <c r="M802" i="4"/>
  <c r="AD801" i="4"/>
  <c r="T801" i="4"/>
  <c r="P801" i="4"/>
  <c r="W801" i="4" s="1"/>
  <c r="M801" i="4"/>
  <c r="AD800" i="4"/>
  <c r="U800" i="4"/>
  <c r="R800" i="4"/>
  <c r="P800" i="4"/>
  <c r="W800" i="4" s="1"/>
  <c r="N800" i="4"/>
  <c r="M800" i="4"/>
  <c r="AD799" i="4"/>
  <c r="V799" i="4"/>
  <c r="P799" i="4"/>
  <c r="M799" i="4"/>
  <c r="N799" i="4" s="1"/>
  <c r="AD798" i="4"/>
  <c r="W798" i="4"/>
  <c r="T798" i="4"/>
  <c r="P798" i="4"/>
  <c r="M798" i="4"/>
  <c r="AD797" i="4"/>
  <c r="U797" i="4"/>
  <c r="R797" i="4"/>
  <c r="P797" i="4"/>
  <c r="W797" i="4" s="1"/>
  <c r="N797" i="4"/>
  <c r="M797" i="4"/>
  <c r="AD796" i="4"/>
  <c r="P796" i="4"/>
  <c r="M796" i="4"/>
  <c r="N796" i="4" s="1"/>
  <c r="AD795" i="4"/>
  <c r="P795" i="4"/>
  <c r="W795" i="4" s="1"/>
  <c r="N795" i="4"/>
  <c r="M795" i="4"/>
  <c r="R795" i="4" s="1"/>
  <c r="AD794" i="4"/>
  <c r="P794" i="4"/>
  <c r="M794" i="4"/>
  <c r="N794" i="4" s="1"/>
  <c r="AD793" i="4"/>
  <c r="W793" i="4"/>
  <c r="T793" i="4"/>
  <c r="P793" i="4"/>
  <c r="M793" i="4"/>
  <c r="AD792" i="4"/>
  <c r="U792" i="4"/>
  <c r="R792" i="4"/>
  <c r="P792" i="4"/>
  <c r="W792" i="4" s="1"/>
  <c r="N792" i="4"/>
  <c r="M792" i="4"/>
  <c r="AD791" i="4"/>
  <c r="V791" i="4"/>
  <c r="P791" i="4"/>
  <c r="M791" i="4"/>
  <c r="N791" i="4" s="1"/>
  <c r="AD790" i="4"/>
  <c r="W790" i="4"/>
  <c r="P790" i="4"/>
  <c r="N790" i="4"/>
  <c r="M790" i="4"/>
  <c r="R790" i="4" s="1"/>
  <c r="AD789" i="4"/>
  <c r="P789" i="4"/>
  <c r="W789" i="4" s="1"/>
  <c r="M789" i="4"/>
  <c r="N789" i="4" s="1"/>
  <c r="AD788" i="4"/>
  <c r="P788" i="4"/>
  <c r="W788" i="4" s="1"/>
  <c r="N788" i="4"/>
  <c r="M788" i="4"/>
  <c r="R788" i="4" s="1"/>
  <c r="AD787" i="4"/>
  <c r="W787" i="4"/>
  <c r="U787" i="4"/>
  <c r="T787" i="4"/>
  <c r="P787" i="4"/>
  <c r="V787" i="4" s="1"/>
  <c r="M787" i="4"/>
  <c r="AD786" i="4"/>
  <c r="T786" i="4"/>
  <c r="P786" i="4"/>
  <c r="W786" i="4" s="1"/>
  <c r="M786" i="4"/>
  <c r="AD785" i="4"/>
  <c r="V785" i="4"/>
  <c r="T785" i="4"/>
  <c r="P785" i="4"/>
  <c r="W785" i="4" s="1"/>
  <c r="M785" i="4"/>
  <c r="AD784" i="4"/>
  <c r="T784" i="4"/>
  <c r="P784" i="4"/>
  <c r="W784" i="4" s="1"/>
  <c r="M784" i="4"/>
  <c r="AD783" i="4"/>
  <c r="V783" i="4"/>
  <c r="T783" i="4"/>
  <c r="P783" i="4"/>
  <c r="W783" i="4" s="1"/>
  <c r="M783" i="4"/>
  <c r="AD782" i="4"/>
  <c r="T782" i="4"/>
  <c r="P782" i="4"/>
  <c r="W782" i="4" s="1"/>
  <c r="M782" i="4"/>
  <c r="AD781" i="4"/>
  <c r="U781" i="4"/>
  <c r="R781" i="4"/>
  <c r="P781" i="4"/>
  <c r="W781" i="4" s="1"/>
  <c r="N781" i="4"/>
  <c r="M781" i="4"/>
  <c r="AD780" i="4"/>
  <c r="V780" i="4"/>
  <c r="R780" i="4"/>
  <c r="P780" i="4"/>
  <c r="T780" i="4" s="1"/>
  <c r="N780" i="4"/>
  <c r="M780" i="4"/>
  <c r="AD779" i="4"/>
  <c r="V779" i="4"/>
  <c r="R779" i="4"/>
  <c r="P779" i="4"/>
  <c r="W779" i="4" s="1"/>
  <c r="N779" i="4"/>
  <c r="M779" i="4"/>
  <c r="AD778" i="4"/>
  <c r="V778" i="4"/>
  <c r="R778" i="4"/>
  <c r="P778" i="4"/>
  <c r="T778" i="4" s="1"/>
  <c r="N778" i="4"/>
  <c r="M778" i="4"/>
  <c r="AD777" i="4"/>
  <c r="V777" i="4"/>
  <c r="R777" i="4"/>
  <c r="P777" i="4"/>
  <c r="W777" i="4" s="1"/>
  <c r="N777" i="4"/>
  <c r="M777" i="4"/>
  <c r="AD776" i="4"/>
  <c r="V776" i="4"/>
  <c r="R776" i="4"/>
  <c r="P776" i="4"/>
  <c r="T776" i="4" s="1"/>
  <c r="N776" i="4"/>
  <c r="M776" i="4"/>
  <c r="AD775" i="4"/>
  <c r="V775" i="4"/>
  <c r="P775" i="4"/>
  <c r="N775" i="4"/>
  <c r="M775" i="4"/>
  <c r="R775" i="4" s="1"/>
  <c r="S775" i="4" s="1"/>
  <c r="AD774" i="4"/>
  <c r="W774" i="4"/>
  <c r="U774" i="4"/>
  <c r="T774" i="4"/>
  <c r="P774" i="4"/>
  <c r="V774" i="4" s="1"/>
  <c r="M774" i="4"/>
  <c r="AD773" i="4"/>
  <c r="T773" i="4"/>
  <c r="P773" i="4"/>
  <c r="W773" i="4" s="1"/>
  <c r="M773" i="4"/>
  <c r="AD772" i="4"/>
  <c r="U772" i="4"/>
  <c r="R772" i="4"/>
  <c r="P772" i="4"/>
  <c r="W772" i="4" s="1"/>
  <c r="N772" i="4"/>
  <c r="M772" i="4"/>
  <c r="AD771" i="4"/>
  <c r="V771" i="4"/>
  <c r="R771" i="4"/>
  <c r="P771" i="4"/>
  <c r="T771" i="4" s="1"/>
  <c r="N771" i="4"/>
  <c r="M771" i="4"/>
  <c r="AD770" i="4"/>
  <c r="V770" i="4"/>
  <c r="R770" i="4"/>
  <c r="P770" i="4"/>
  <c r="W770" i="4" s="1"/>
  <c r="N770" i="4"/>
  <c r="M770" i="4"/>
  <c r="AD769" i="4"/>
  <c r="V769" i="4"/>
  <c r="R769" i="4"/>
  <c r="P769" i="4"/>
  <c r="T769" i="4" s="1"/>
  <c r="N769" i="4"/>
  <c r="M769" i="4"/>
  <c r="AD768" i="4"/>
  <c r="P768" i="4"/>
  <c r="N768" i="4"/>
  <c r="M768" i="4"/>
  <c r="R768" i="4" s="1"/>
  <c r="AD767" i="4"/>
  <c r="P767" i="4"/>
  <c r="M767" i="4"/>
  <c r="N767" i="4" s="1"/>
  <c r="AD766" i="4"/>
  <c r="W766" i="4"/>
  <c r="T766" i="4"/>
  <c r="P766" i="4"/>
  <c r="M766" i="4"/>
  <c r="AD765" i="4"/>
  <c r="V765" i="4"/>
  <c r="T765" i="4"/>
  <c r="P765" i="4"/>
  <c r="W765" i="4" s="1"/>
  <c r="M765" i="4"/>
  <c r="AD764" i="4"/>
  <c r="T764" i="4"/>
  <c r="P764" i="4"/>
  <c r="W764" i="4" s="1"/>
  <c r="M764" i="4"/>
  <c r="AD763" i="4"/>
  <c r="V763" i="4"/>
  <c r="T763" i="4"/>
  <c r="P763" i="4"/>
  <c r="W763" i="4" s="1"/>
  <c r="M763" i="4"/>
  <c r="AD762" i="4"/>
  <c r="W762" i="4"/>
  <c r="U762" i="4"/>
  <c r="R762" i="4"/>
  <c r="P762" i="4"/>
  <c r="T762" i="4" s="1"/>
  <c r="N762" i="4"/>
  <c r="M762" i="4"/>
  <c r="AD761" i="4"/>
  <c r="V761" i="4"/>
  <c r="P761" i="4"/>
  <c r="N761" i="4"/>
  <c r="M761" i="4"/>
  <c r="R761" i="4" s="1"/>
  <c r="S761" i="4" s="1"/>
  <c r="AD760" i="4"/>
  <c r="P760" i="4"/>
  <c r="W760" i="4" s="1"/>
  <c r="M760" i="4"/>
  <c r="N760" i="4" s="1"/>
  <c r="AD759" i="4"/>
  <c r="P759" i="4"/>
  <c r="W759" i="4" s="1"/>
  <c r="N759" i="4"/>
  <c r="M759" i="4"/>
  <c r="R759" i="4" s="1"/>
  <c r="AD758" i="4"/>
  <c r="W758" i="4"/>
  <c r="U758" i="4"/>
  <c r="T758" i="4"/>
  <c r="P758" i="4"/>
  <c r="V758" i="4" s="1"/>
  <c r="M758" i="4"/>
  <c r="AD757" i="4"/>
  <c r="T757" i="4"/>
  <c r="P757" i="4"/>
  <c r="W757" i="4" s="1"/>
  <c r="M757" i="4"/>
  <c r="AD756" i="4"/>
  <c r="V756" i="4"/>
  <c r="T756" i="4"/>
  <c r="P756" i="4"/>
  <c r="W756" i="4" s="1"/>
  <c r="M756" i="4"/>
  <c r="AD755" i="4"/>
  <c r="W755" i="4"/>
  <c r="U755" i="4"/>
  <c r="R755" i="4"/>
  <c r="P755" i="4"/>
  <c r="T755" i="4" s="1"/>
  <c r="N755" i="4"/>
  <c r="M755" i="4"/>
  <c r="AD754" i="4"/>
  <c r="V754" i="4"/>
  <c r="P754" i="4"/>
  <c r="N754" i="4"/>
  <c r="M754" i="4"/>
  <c r="R754" i="4" s="1"/>
  <c r="AD753" i="4"/>
  <c r="W753" i="4"/>
  <c r="U753" i="4"/>
  <c r="T753" i="4"/>
  <c r="P753" i="4"/>
  <c r="V753" i="4" s="1"/>
  <c r="M753" i="4"/>
  <c r="AD752" i="4"/>
  <c r="T752" i="4"/>
  <c r="P752" i="4"/>
  <c r="W752" i="4" s="1"/>
  <c r="M752" i="4"/>
  <c r="AD751" i="4"/>
  <c r="V751" i="4"/>
  <c r="T751" i="4"/>
  <c r="P751" i="4"/>
  <c r="W751" i="4" s="1"/>
  <c r="M751" i="4"/>
  <c r="AD750" i="4"/>
  <c r="T750" i="4"/>
  <c r="P750" i="4"/>
  <c r="W750" i="4" s="1"/>
  <c r="M750" i="4"/>
  <c r="AD749" i="4"/>
  <c r="V749" i="4"/>
  <c r="T749" i="4"/>
  <c r="P749" i="4"/>
  <c r="W749" i="4" s="1"/>
  <c r="M749" i="4"/>
  <c r="AD748" i="4"/>
  <c r="W748" i="4"/>
  <c r="U748" i="4"/>
  <c r="R748" i="4"/>
  <c r="P748" i="4"/>
  <c r="T748" i="4" s="1"/>
  <c r="N748" i="4"/>
  <c r="M748" i="4"/>
  <c r="AD747" i="4"/>
  <c r="V747" i="4"/>
  <c r="R747" i="4"/>
  <c r="P747" i="4"/>
  <c r="W747" i="4" s="1"/>
  <c r="N747" i="4"/>
  <c r="M747" i="4"/>
  <c r="AD746" i="4"/>
  <c r="V746" i="4"/>
  <c r="R746" i="4"/>
  <c r="P746" i="4"/>
  <c r="T746" i="4" s="1"/>
  <c r="N746" i="4"/>
  <c r="M746" i="4"/>
  <c r="AD745" i="4"/>
  <c r="V745" i="4"/>
  <c r="R745" i="4"/>
  <c r="P745" i="4"/>
  <c r="W745" i="4" s="1"/>
  <c r="N745" i="4"/>
  <c r="M745" i="4"/>
  <c r="AD744" i="4"/>
  <c r="V744" i="4"/>
  <c r="R744" i="4"/>
  <c r="P744" i="4"/>
  <c r="T744" i="4" s="1"/>
  <c r="N744" i="4"/>
  <c r="M744" i="4"/>
  <c r="AD743" i="4"/>
  <c r="V743" i="4"/>
  <c r="R743" i="4"/>
  <c r="P743" i="4"/>
  <c r="W743" i="4" s="1"/>
  <c r="N743" i="4"/>
  <c r="M743" i="4"/>
  <c r="AD742" i="4"/>
  <c r="V742" i="4"/>
  <c r="P742" i="4"/>
  <c r="M742" i="4"/>
  <c r="N742" i="4" s="1"/>
  <c r="AD741" i="4"/>
  <c r="W741" i="4"/>
  <c r="T741" i="4"/>
  <c r="P741" i="4"/>
  <c r="M741" i="4"/>
  <c r="AD740" i="4"/>
  <c r="U740" i="4"/>
  <c r="R740" i="4"/>
  <c r="P740" i="4"/>
  <c r="W740" i="4" s="1"/>
  <c r="N740" i="4"/>
  <c r="M740" i="4"/>
  <c r="AD739" i="4"/>
  <c r="P739" i="4"/>
  <c r="M739" i="4"/>
  <c r="N739" i="4" s="1"/>
  <c r="AD738" i="4"/>
  <c r="P738" i="4"/>
  <c r="N738" i="4"/>
  <c r="M738" i="4"/>
  <c r="R738" i="4" s="1"/>
  <c r="AD737" i="4"/>
  <c r="P737" i="4"/>
  <c r="M737" i="4"/>
  <c r="N737" i="4" s="1"/>
  <c r="AD736" i="4"/>
  <c r="P736" i="4"/>
  <c r="N736" i="4"/>
  <c r="M736" i="4"/>
  <c r="R736" i="4" s="1"/>
  <c r="AD735" i="4"/>
  <c r="W735" i="4"/>
  <c r="P735" i="4"/>
  <c r="M735" i="4"/>
  <c r="N735" i="4" s="1"/>
  <c r="AD734" i="4"/>
  <c r="W734" i="4"/>
  <c r="T734" i="4"/>
  <c r="P734" i="4"/>
  <c r="M734" i="4"/>
  <c r="AD733" i="4"/>
  <c r="U733" i="4"/>
  <c r="R733" i="4"/>
  <c r="P733" i="4"/>
  <c r="W733" i="4" s="1"/>
  <c r="N733" i="4"/>
  <c r="M733" i="4"/>
  <c r="AD732" i="4"/>
  <c r="P732" i="4"/>
  <c r="M732" i="4"/>
  <c r="N732" i="4" s="1"/>
  <c r="AD731" i="4"/>
  <c r="P731" i="4"/>
  <c r="N731" i="4"/>
  <c r="M731" i="4"/>
  <c r="R731" i="4" s="1"/>
  <c r="AD730" i="4"/>
  <c r="W730" i="4"/>
  <c r="U730" i="4"/>
  <c r="T730" i="4"/>
  <c r="P730" i="4"/>
  <c r="V730" i="4" s="1"/>
  <c r="M730" i="4"/>
  <c r="AD729" i="4"/>
  <c r="W729" i="4"/>
  <c r="U729" i="4"/>
  <c r="R729" i="4"/>
  <c r="P729" i="4"/>
  <c r="T729" i="4" s="1"/>
  <c r="N729" i="4"/>
  <c r="M729" i="4"/>
  <c r="AD728" i="4"/>
  <c r="V728" i="4"/>
  <c r="S728" i="4" s="1"/>
  <c r="P728" i="4"/>
  <c r="N728" i="4"/>
  <c r="M728" i="4"/>
  <c r="R728" i="4" s="1"/>
  <c r="AD727" i="4"/>
  <c r="W727" i="4"/>
  <c r="U727" i="4"/>
  <c r="T727" i="4"/>
  <c r="P727" i="4"/>
  <c r="V727" i="4" s="1"/>
  <c r="M727" i="4"/>
  <c r="AD726" i="4"/>
  <c r="W726" i="4"/>
  <c r="U726" i="4"/>
  <c r="R726" i="4"/>
  <c r="P726" i="4"/>
  <c r="T726" i="4" s="1"/>
  <c r="N726" i="4"/>
  <c r="M726" i="4"/>
  <c r="AD725" i="4"/>
  <c r="V725" i="4"/>
  <c r="S725" i="4"/>
  <c r="P725" i="4"/>
  <c r="N725" i="4"/>
  <c r="M725" i="4"/>
  <c r="R725" i="4" s="1"/>
  <c r="AD724" i="4"/>
  <c r="W724" i="4"/>
  <c r="U724" i="4"/>
  <c r="T724" i="4"/>
  <c r="P724" i="4"/>
  <c r="V724" i="4" s="1"/>
  <c r="M724" i="4"/>
  <c r="AD723" i="4"/>
  <c r="W723" i="4"/>
  <c r="U723" i="4"/>
  <c r="R723" i="4"/>
  <c r="P723" i="4"/>
  <c r="T723" i="4" s="1"/>
  <c r="N723" i="4"/>
  <c r="M723" i="4"/>
  <c r="AD722" i="4"/>
  <c r="V722" i="4"/>
  <c r="R722" i="4"/>
  <c r="P722" i="4"/>
  <c r="W722" i="4" s="1"/>
  <c r="N722" i="4"/>
  <c r="M722" i="4"/>
  <c r="AD721" i="4"/>
  <c r="V721" i="4"/>
  <c r="R721" i="4"/>
  <c r="P721" i="4"/>
  <c r="T721" i="4" s="1"/>
  <c r="N721" i="4"/>
  <c r="M721" i="4"/>
  <c r="AD720" i="4"/>
  <c r="V720" i="4"/>
  <c r="R720" i="4"/>
  <c r="P720" i="4"/>
  <c r="W720" i="4" s="1"/>
  <c r="N720" i="4"/>
  <c r="M720" i="4"/>
  <c r="AD719" i="4"/>
  <c r="V719" i="4"/>
  <c r="S719" i="4" s="1"/>
  <c r="R719" i="4"/>
  <c r="P719" i="4"/>
  <c r="T719" i="4" s="1"/>
  <c r="N719" i="4"/>
  <c r="M719" i="4"/>
  <c r="AD718" i="4"/>
  <c r="V718" i="4"/>
  <c r="R718" i="4"/>
  <c r="P718" i="4"/>
  <c r="T718" i="4" s="1"/>
  <c r="N718" i="4"/>
  <c r="M718" i="4"/>
  <c r="AD717" i="4"/>
  <c r="P717" i="4"/>
  <c r="M717" i="4"/>
  <c r="AD716" i="4"/>
  <c r="W716" i="4"/>
  <c r="T716" i="4"/>
  <c r="R716" i="4"/>
  <c r="P716" i="4"/>
  <c r="M716" i="4"/>
  <c r="N716" i="4" s="1"/>
  <c r="AD715" i="4"/>
  <c r="V715" i="4"/>
  <c r="T715" i="4"/>
  <c r="P715" i="4"/>
  <c r="W715" i="4" s="1"/>
  <c r="M715" i="4"/>
  <c r="R715" i="4" s="1"/>
  <c r="AD714" i="4"/>
  <c r="T714" i="4"/>
  <c r="R714" i="4"/>
  <c r="P714" i="4"/>
  <c r="W714" i="4" s="1"/>
  <c r="M714" i="4"/>
  <c r="N714" i="4" s="1"/>
  <c r="AD713" i="4"/>
  <c r="V713" i="4"/>
  <c r="T713" i="4"/>
  <c r="P713" i="4"/>
  <c r="W713" i="4" s="1"/>
  <c r="N713" i="4"/>
  <c r="M713" i="4"/>
  <c r="R713" i="4" s="1"/>
  <c r="AD712" i="4"/>
  <c r="W712" i="4"/>
  <c r="U712" i="4"/>
  <c r="R712" i="4"/>
  <c r="P712" i="4"/>
  <c r="T712" i="4" s="1"/>
  <c r="N712" i="4"/>
  <c r="M712" i="4"/>
  <c r="AD711" i="4"/>
  <c r="W711" i="4"/>
  <c r="V711" i="4"/>
  <c r="P711" i="4"/>
  <c r="N711" i="4"/>
  <c r="M711" i="4"/>
  <c r="R711" i="4" s="1"/>
  <c r="S711" i="4" s="1"/>
  <c r="AD710" i="4"/>
  <c r="W710" i="4"/>
  <c r="U710" i="4"/>
  <c r="T710" i="4"/>
  <c r="P710" i="4"/>
  <c r="V710" i="4" s="1"/>
  <c r="N710" i="4"/>
  <c r="M710" i="4"/>
  <c r="R710" i="4" s="1"/>
  <c r="AD709" i="4"/>
  <c r="W709" i="4"/>
  <c r="U709" i="4"/>
  <c r="R709" i="4"/>
  <c r="P709" i="4"/>
  <c r="T709" i="4" s="1"/>
  <c r="N709" i="4"/>
  <c r="M709" i="4"/>
  <c r="AD708" i="4"/>
  <c r="W708" i="4"/>
  <c r="V708" i="4"/>
  <c r="P708" i="4"/>
  <c r="N708" i="4"/>
  <c r="M708" i="4"/>
  <c r="R708" i="4" s="1"/>
  <c r="S708" i="4" s="1"/>
  <c r="AD707" i="4"/>
  <c r="W707" i="4"/>
  <c r="U707" i="4"/>
  <c r="T707" i="4"/>
  <c r="P707" i="4"/>
  <c r="V707" i="4" s="1"/>
  <c r="M707" i="4"/>
  <c r="R707" i="4" s="1"/>
  <c r="AD706" i="4"/>
  <c r="W706" i="4"/>
  <c r="U706" i="4"/>
  <c r="R706" i="4"/>
  <c r="P706" i="4"/>
  <c r="T706" i="4" s="1"/>
  <c r="N706" i="4"/>
  <c r="M706" i="4"/>
  <c r="AD705" i="4"/>
  <c r="P705" i="4"/>
  <c r="N705" i="4"/>
  <c r="M705" i="4"/>
  <c r="R705" i="4" s="1"/>
  <c r="AD704" i="4"/>
  <c r="W704" i="4"/>
  <c r="U704" i="4"/>
  <c r="T704" i="4"/>
  <c r="P704" i="4"/>
  <c r="V704" i="4" s="1"/>
  <c r="M704" i="4"/>
  <c r="R704" i="4" s="1"/>
  <c r="AD703" i="4"/>
  <c r="T703" i="4"/>
  <c r="R703" i="4"/>
  <c r="P703" i="4"/>
  <c r="W703" i="4" s="1"/>
  <c r="M703" i="4"/>
  <c r="N703" i="4" s="1"/>
  <c r="AD702" i="4"/>
  <c r="V702" i="4"/>
  <c r="U702" i="4"/>
  <c r="R702" i="4"/>
  <c r="P702" i="4"/>
  <c r="N702" i="4"/>
  <c r="M702" i="4"/>
  <c r="AD701" i="4"/>
  <c r="V701" i="4"/>
  <c r="R701" i="4"/>
  <c r="P701" i="4"/>
  <c r="T701" i="4" s="1"/>
  <c r="N701" i="4"/>
  <c r="M701" i="4"/>
  <c r="AD700" i="4"/>
  <c r="P700" i="4"/>
  <c r="W700" i="4" s="1"/>
  <c r="N700" i="4"/>
  <c r="M700" i="4"/>
  <c r="R700" i="4" s="1"/>
  <c r="AD699" i="4"/>
  <c r="W699" i="4"/>
  <c r="U699" i="4"/>
  <c r="T699" i="4"/>
  <c r="P699" i="4"/>
  <c r="V699" i="4" s="1"/>
  <c r="N699" i="4"/>
  <c r="M699" i="4"/>
  <c r="R699" i="4" s="1"/>
  <c r="AD698" i="4"/>
  <c r="W698" i="4"/>
  <c r="U698" i="4"/>
  <c r="R698" i="4"/>
  <c r="P698" i="4"/>
  <c r="T698" i="4" s="1"/>
  <c r="N698" i="4"/>
  <c r="M698" i="4"/>
  <c r="AD697" i="4"/>
  <c r="R697" i="4"/>
  <c r="P697" i="4"/>
  <c r="T697" i="4" s="1"/>
  <c r="N697" i="4"/>
  <c r="M697" i="4"/>
  <c r="AD696" i="4"/>
  <c r="V696" i="4"/>
  <c r="S696" i="4" s="1"/>
  <c r="R696" i="4"/>
  <c r="P696" i="4"/>
  <c r="T696" i="4" s="1"/>
  <c r="N696" i="4"/>
  <c r="M696" i="4"/>
  <c r="AD695" i="4"/>
  <c r="W695" i="4"/>
  <c r="V695" i="4"/>
  <c r="T695" i="4"/>
  <c r="P695" i="4"/>
  <c r="M695" i="4"/>
  <c r="N695" i="4" s="1"/>
  <c r="AD694" i="4"/>
  <c r="V694" i="4"/>
  <c r="R694" i="4"/>
  <c r="P694" i="4"/>
  <c r="T694" i="4" s="1"/>
  <c r="N694" i="4"/>
  <c r="M694" i="4"/>
  <c r="AD693" i="4"/>
  <c r="V693" i="4"/>
  <c r="T693" i="4"/>
  <c r="R693" i="4"/>
  <c r="P693" i="4"/>
  <c r="W693" i="4" s="1"/>
  <c r="M693" i="4"/>
  <c r="N693" i="4" s="1"/>
  <c r="AD692" i="4"/>
  <c r="T692" i="4"/>
  <c r="R692" i="4"/>
  <c r="P692" i="4"/>
  <c r="M692" i="4"/>
  <c r="N692" i="4" s="1"/>
  <c r="AD691" i="4"/>
  <c r="R691" i="4"/>
  <c r="P691" i="4"/>
  <c r="W691" i="4" s="1"/>
  <c r="M691" i="4"/>
  <c r="N691" i="4" s="1"/>
  <c r="AD690" i="4"/>
  <c r="R690" i="4"/>
  <c r="P690" i="4"/>
  <c r="V690" i="4" s="1"/>
  <c r="N690" i="4"/>
  <c r="M690" i="4"/>
  <c r="AD689" i="4"/>
  <c r="R689" i="4"/>
  <c r="P689" i="4"/>
  <c r="V689" i="4" s="1"/>
  <c r="M689" i="4"/>
  <c r="N689" i="4" s="1"/>
  <c r="AD688" i="4"/>
  <c r="P688" i="4"/>
  <c r="W688" i="4" s="1"/>
  <c r="M688" i="4"/>
  <c r="N688" i="4" s="1"/>
  <c r="AD687" i="4"/>
  <c r="V687" i="4"/>
  <c r="U687" i="4"/>
  <c r="T687" i="4"/>
  <c r="P687" i="4"/>
  <c r="N687" i="4"/>
  <c r="M687" i="4"/>
  <c r="R687" i="4" s="1"/>
  <c r="AD686" i="4"/>
  <c r="V686" i="4"/>
  <c r="T686" i="4"/>
  <c r="P686" i="4"/>
  <c r="M686" i="4"/>
  <c r="N686" i="4" s="1"/>
  <c r="AD685" i="4"/>
  <c r="V685" i="4"/>
  <c r="S685" i="4" s="1"/>
  <c r="P685" i="4"/>
  <c r="N685" i="4"/>
  <c r="M685" i="4"/>
  <c r="R685" i="4" s="1"/>
  <c r="AD684" i="4"/>
  <c r="S684" i="4"/>
  <c r="R684" i="4"/>
  <c r="P684" i="4"/>
  <c r="V684" i="4" s="1"/>
  <c r="M684" i="4"/>
  <c r="N684" i="4" s="1"/>
  <c r="AD683" i="4"/>
  <c r="P683" i="4"/>
  <c r="W683" i="4" s="1"/>
  <c r="N683" i="4"/>
  <c r="M683" i="4"/>
  <c r="R683" i="4" s="1"/>
  <c r="AD682" i="4"/>
  <c r="W682" i="4"/>
  <c r="U682" i="4"/>
  <c r="T682" i="4"/>
  <c r="P682" i="4"/>
  <c r="V682" i="4" s="1"/>
  <c r="M682" i="4"/>
  <c r="R682" i="4" s="1"/>
  <c r="S682" i="4" s="1"/>
  <c r="Y682" i="4" s="1"/>
  <c r="Z682" i="4" s="1"/>
  <c r="AA682" i="4" s="1"/>
  <c r="AD681" i="4"/>
  <c r="W681" i="4"/>
  <c r="U681" i="4"/>
  <c r="R681" i="4"/>
  <c r="P681" i="4"/>
  <c r="T681" i="4" s="1"/>
  <c r="N681" i="4"/>
  <c r="M681" i="4"/>
  <c r="AD680" i="4"/>
  <c r="V680" i="4"/>
  <c r="S680" i="4" s="1"/>
  <c r="R680" i="4"/>
  <c r="P680" i="4"/>
  <c r="T680" i="4" s="1"/>
  <c r="N680" i="4"/>
  <c r="M680" i="4"/>
  <c r="AD679" i="4"/>
  <c r="W679" i="4"/>
  <c r="U679" i="4"/>
  <c r="T679" i="4"/>
  <c r="P679" i="4"/>
  <c r="V679" i="4" s="1"/>
  <c r="N679" i="4"/>
  <c r="M679" i="4"/>
  <c r="R679" i="4" s="1"/>
  <c r="AD678" i="4"/>
  <c r="W678" i="4"/>
  <c r="U678" i="4"/>
  <c r="R678" i="4"/>
  <c r="P678" i="4"/>
  <c r="T678" i="4" s="1"/>
  <c r="N678" i="4"/>
  <c r="M678" i="4"/>
  <c r="AD677" i="4"/>
  <c r="P677" i="4"/>
  <c r="M677" i="4"/>
  <c r="R677" i="4" s="1"/>
  <c r="AD676" i="4"/>
  <c r="V676" i="4"/>
  <c r="S676" i="4" s="1"/>
  <c r="R676" i="4"/>
  <c r="P676" i="4"/>
  <c r="T676" i="4" s="1"/>
  <c r="N676" i="4"/>
  <c r="M676" i="4"/>
  <c r="AD675" i="4"/>
  <c r="W675" i="4"/>
  <c r="V675" i="4"/>
  <c r="T675" i="4"/>
  <c r="P675" i="4"/>
  <c r="N675" i="4"/>
  <c r="M675" i="4"/>
  <c r="R675" i="4" s="1"/>
  <c r="AD674" i="4"/>
  <c r="V674" i="4"/>
  <c r="S674" i="4"/>
  <c r="R674" i="4"/>
  <c r="P674" i="4"/>
  <c r="T674" i="4" s="1"/>
  <c r="N674" i="4"/>
  <c r="M674" i="4"/>
  <c r="AD673" i="4"/>
  <c r="W673" i="4"/>
  <c r="V673" i="4"/>
  <c r="T673" i="4"/>
  <c r="P673" i="4"/>
  <c r="M673" i="4"/>
  <c r="N673" i="4" s="1"/>
  <c r="AD672" i="4"/>
  <c r="V672" i="4"/>
  <c r="R672" i="4"/>
  <c r="P672" i="4"/>
  <c r="T672" i="4" s="1"/>
  <c r="N672" i="4"/>
  <c r="M672" i="4"/>
  <c r="AD671" i="4"/>
  <c r="W671" i="4"/>
  <c r="V671" i="4"/>
  <c r="U671" i="4"/>
  <c r="P671" i="4"/>
  <c r="T671" i="4" s="1"/>
  <c r="N671" i="4"/>
  <c r="M671" i="4"/>
  <c r="R671" i="4" s="1"/>
  <c r="S671" i="4" s="1"/>
  <c r="AD670" i="4"/>
  <c r="W670" i="4"/>
  <c r="U670" i="4"/>
  <c r="T670" i="4"/>
  <c r="P670" i="4"/>
  <c r="V670" i="4" s="1"/>
  <c r="M670" i="4"/>
  <c r="R670" i="4" s="1"/>
  <c r="S670" i="4" s="1"/>
  <c r="AD669" i="4"/>
  <c r="W669" i="4"/>
  <c r="U669" i="4"/>
  <c r="R669" i="4"/>
  <c r="P669" i="4"/>
  <c r="T669" i="4" s="1"/>
  <c r="N669" i="4"/>
  <c r="M669" i="4"/>
  <c r="AD668" i="4"/>
  <c r="V668" i="4"/>
  <c r="T668" i="4"/>
  <c r="R668" i="4"/>
  <c r="P668" i="4"/>
  <c r="W668" i="4" s="1"/>
  <c r="M668" i="4"/>
  <c r="N668" i="4" s="1"/>
  <c r="AD667" i="4"/>
  <c r="V667" i="4"/>
  <c r="S667" i="4"/>
  <c r="R667" i="4"/>
  <c r="P667" i="4"/>
  <c r="T667" i="4" s="1"/>
  <c r="N667" i="4"/>
  <c r="M667" i="4"/>
  <c r="AD666" i="4"/>
  <c r="U666" i="4"/>
  <c r="P666" i="4"/>
  <c r="T666" i="4" s="1"/>
  <c r="N666" i="4"/>
  <c r="M666" i="4"/>
  <c r="R666" i="4" s="1"/>
  <c r="AD665" i="4"/>
  <c r="W665" i="4"/>
  <c r="U665" i="4"/>
  <c r="T665" i="4"/>
  <c r="Q665" i="4" s="1"/>
  <c r="S665" i="4"/>
  <c r="Y665" i="4" s="1"/>
  <c r="Z665" i="4" s="1"/>
  <c r="AA665" i="4" s="1"/>
  <c r="P665" i="4"/>
  <c r="V665" i="4" s="1"/>
  <c r="M665" i="4"/>
  <c r="R665" i="4" s="1"/>
  <c r="AD664" i="4"/>
  <c r="R664" i="4"/>
  <c r="S664" i="4" s="1"/>
  <c r="P664" i="4"/>
  <c r="V664" i="4" s="1"/>
  <c r="M664" i="4"/>
  <c r="N664" i="4" s="1"/>
  <c r="AD663" i="4"/>
  <c r="V663" i="4"/>
  <c r="T663" i="4"/>
  <c r="P663" i="4"/>
  <c r="W663" i="4" s="1"/>
  <c r="N663" i="4"/>
  <c r="M663" i="4"/>
  <c r="R663" i="4" s="1"/>
  <c r="S663" i="4" s="1"/>
  <c r="AD662" i="4"/>
  <c r="P662" i="4"/>
  <c r="V662" i="4" s="1"/>
  <c r="M662" i="4"/>
  <c r="N662" i="4" s="1"/>
  <c r="AD661" i="4"/>
  <c r="V661" i="4"/>
  <c r="T661" i="4"/>
  <c r="P661" i="4"/>
  <c r="W661" i="4" s="1"/>
  <c r="N661" i="4"/>
  <c r="M661" i="4"/>
  <c r="R661" i="4" s="1"/>
  <c r="S661" i="4" s="1"/>
  <c r="X661" i="4" s="1"/>
  <c r="AC661" i="4" s="1"/>
  <c r="AD660" i="4"/>
  <c r="W660" i="4"/>
  <c r="T660" i="4"/>
  <c r="R660" i="4"/>
  <c r="S660" i="4" s="1"/>
  <c r="P660" i="4"/>
  <c r="V660" i="4" s="1"/>
  <c r="M660" i="4"/>
  <c r="N660" i="4" s="1"/>
  <c r="AD659" i="4"/>
  <c r="U659" i="4"/>
  <c r="T659" i="4"/>
  <c r="R659" i="4"/>
  <c r="P659" i="4"/>
  <c r="M659" i="4"/>
  <c r="N659" i="4" s="1"/>
  <c r="AD658" i="4"/>
  <c r="V658" i="4"/>
  <c r="S658" i="4"/>
  <c r="R658" i="4"/>
  <c r="P658" i="4"/>
  <c r="T658" i="4" s="1"/>
  <c r="N658" i="4"/>
  <c r="M658" i="4"/>
  <c r="AD657" i="4"/>
  <c r="T657" i="4"/>
  <c r="R657" i="4"/>
  <c r="P657" i="4"/>
  <c r="V657" i="4" s="1"/>
  <c r="N657" i="4"/>
  <c r="M657" i="4"/>
  <c r="AD656" i="4"/>
  <c r="R656" i="4"/>
  <c r="P656" i="4"/>
  <c r="V656" i="4" s="1"/>
  <c r="S656" i="4" s="1"/>
  <c r="M656" i="4"/>
  <c r="N656" i="4" s="1"/>
  <c r="AD655" i="4"/>
  <c r="W655" i="4"/>
  <c r="P655" i="4"/>
  <c r="V655" i="4" s="1"/>
  <c r="M655" i="4"/>
  <c r="N655" i="4" s="1"/>
  <c r="AD654" i="4"/>
  <c r="P654" i="4"/>
  <c r="V654" i="4" s="1"/>
  <c r="M654" i="4"/>
  <c r="R654" i="4" s="1"/>
  <c r="AD653" i="4"/>
  <c r="P653" i="4"/>
  <c r="V653" i="4" s="1"/>
  <c r="M653" i="4"/>
  <c r="N653" i="4" s="1"/>
  <c r="AD652" i="4"/>
  <c r="W652" i="4"/>
  <c r="V652" i="4"/>
  <c r="T652" i="4"/>
  <c r="P652" i="4"/>
  <c r="M652" i="4"/>
  <c r="N652" i="4" s="1"/>
  <c r="AD651" i="4"/>
  <c r="V651" i="4"/>
  <c r="U651" i="4"/>
  <c r="T651" i="4"/>
  <c r="P651" i="4"/>
  <c r="M651" i="4"/>
  <c r="N651" i="4" s="1"/>
  <c r="AD650" i="4"/>
  <c r="V650" i="4"/>
  <c r="S650" i="4" s="1"/>
  <c r="T650" i="4"/>
  <c r="R650" i="4"/>
  <c r="P650" i="4"/>
  <c r="M650" i="4"/>
  <c r="N650" i="4" s="1"/>
  <c r="AD649" i="4"/>
  <c r="T649" i="4"/>
  <c r="R649" i="4"/>
  <c r="P649" i="4"/>
  <c r="W649" i="4" s="1"/>
  <c r="M649" i="4"/>
  <c r="N649" i="4" s="1"/>
  <c r="AD648" i="4"/>
  <c r="T648" i="4"/>
  <c r="R648" i="4"/>
  <c r="P648" i="4"/>
  <c r="V648" i="4" s="1"/>
  <c r="N648" i="4"/>
  <c r="M648" i="4"/>
  <c r="AD647" i="4"/>
  <c r="V647" i="4"/>
  <c r="R647" i="4"/>
  <c r="S647" i="4" s="1"/>
  <c r="P647" i="4"/>
  <c r="T647" i="4" s="1"/>
  <c r="N647" i="4"/>
  <c r="M647" i="4"/>
  <c r="AD646" i="4"/>
  <c r="R646" i="4"/>
  <c r="P646" i="4"/>
  <c r="T646" i="4" s="1"/>
  <c r="N646" i="4"/>
  <c r="M646" i="4"/>
  <c r="AD645" i="4"/>
  <c r="R645" i="4"/>
  <c r="P645" i="4"/>
  <c r="V645" i="4" s="1"/>
  <c r="M645" i="4"/>
  <c r="N645" i="4" s="1"/>
  <c r="AD644" i="4"/>
  <c r="W644" i="4"/>
  <c r="V644" i="4"/>
  <c r="P644" i="4"/>
  <c r="N644" i="4"/>
  <c r="M644" i="4"/>
  <c r="R644" i="4" s="1"/>
  <c r="S644" i="4" s="1"/>
  <c r="AD643" i="4"/>
  <c r="W643" i="4"/>
  <c r="U643" i="4"/>
  <c r="T643" i="4"/>
  <c r="P643" i="4"/>
  <c r="V643" i="4" s="1"/>
  <c r="N643" i="4"/>
  <c r="M643" i="4"/>
  <c r="R643" i="4" s="1"/>
  <c r="S643" i="4" s="1"/>
  <c r="AD642" i="4"/>
  <c r="W642" i="4"/>
  <c r="T642" i="4"/>
  <c r="R642" i="4"/>
  <c r="S642" i="4" s="1"/>
  <c r="P642" i="4"/>
  <c r="V642" i="4" s="1"/>
  <c r="M642" i="4"/>
  <c r="N642" i="4" s="1"/>
  <c r="AD641" i="4"/>
  <c r="U641" i="4"/>
  <c r="T641" i="4"/>
  <c r="R641" i="4"/>
  <c r="P641" i="4"/>
  <c r="M641" i="4"/>
  <c r="N641" i="4" s="1"/>
  <c r="AD640" i="4"/>
  <c r="T640" i="4"/>
  <c r="R640" i="4"/>
  <c r="P640" i="4"/>
  <c r="M640" i="4"/>
  <c r="N640" i="4" s="1"/>
  <c r="AD639" i="4"/>
  <c r="P639" i="4"/>
  <c r="W639" i="4" s="1"/>
  <c r="N639" i="4"/>
  <c r="M639" i="4"/>
  <c r="R639" i="4" s="1"/>
  <c r="AD638" i="4"/>
  <c r="W638" i="4"/>
  <c r="U638" i="4"/>
  <c r="T638" i="4"/>
  <c r="P638" i="4"/>
  <c r="V638" i="4" s="1"/>
  <c r="N638" i="4"/>
  <c r="M638" i="4"/>
  <c r="R638" i="4" s="1"/>
  <c r="AD637" i="4"/>
  <c r="P637" i="4"/>
  <c r="V637" i="4" s="1"/>
  <c r="M637" i="4"/>
  <c r="N637" i="4" s="1"/>
  <c r="AD636" i="4"/>
  <c r="V636" i="4"/>
  <c r="U636" i="4"/>
  <c r="T636" i="4"/>
  <c r="P636" i="4"/>
  <c r="N636" i="4"/>
  <c r="M636" i="4"/>
  <c r="R636" i="4" s="1"/>
  <c r="AD635" i="4"/>
  <c r="V635" i="4"/>
  <c r="S635" i="4"/>
  <c r="R635" i="4"/>
  <c r="P635" i="4"/>
  <c r="T635" i="4" s="1"/>
  <c r="N635" i="4"/>
  <c r="M635" i="4"/>
  <c r="AD634" i="4"/>
  <c r="W634" i="4"/>
  <c r="V634" i="4"/>
  <c r="T634" i="4"/>
  <c r="P634" i="4"/>
  <c r="M634" i="4"/>
  <c r="N634" i="4" s="1"/>
  <c r="AD633" i="4"/>
  <c r="V633" i="4"/>
  <c r="S633" i="4" s="1"/>
  <c r="T633" i="4"/>
  <c r="R633" i="4"/>
  <c r="P633" i="4"/>
  <c r="M633" i="4"/>
  <c r="N633" i="4" s="1"/>
  <c r="AD632" i="4"/>
  <c r="T632" i="4"/>
  <c r="R632" i="4"/>
  <c r="P632" i="4"/>
  <c r="W632" i="4" s="1"/>
  <c r="M632" i="4"/>
  <c r="N632" i="4" s="1"/>
  <c r="AD631" i="4"/>
  <c r="T631" i="4"/>
  <c r="R631" i="4"/>
  <c r="P631" i="4"/>
  <c r="V631" i="4" s="1"/>
  <c r="N631" i="4"/>
  <c r="M631" i="4"/>
  <c r="AD630" i="4"/>
  <c r="V630" i="4"/>
  <c r="R630" i="4"/>
  <c r="S630" i="4" s="1"/>
  <c r="P630" i="4"/>
  <c r="T630" i="4" s="1"/>
  <c r="N630" i="4"/>
  <c r="M630" i="4"/>
  <c r="AD629" i="4"/>
  <c r="P629" i="4"/>
  <c r="T629" i="4" s="1"/>
  <c r="N629" i="4"/>
  <c r="M629" i="4"/>
  <c r="R629" i="4" s="1"/>
  <c r="AD628" i="4"/>
  <c r="R628" i="4"/>
  <c r="P628" i="4"/>
  <c r="V628" i="4" s="1"/>
  <c r="M628" i="4"/>
  <c r="N628" i="4" s="1"/>
  <c r="AD627" i="4"/>
  <c r="W627" i="4"/>
  <c r="V627" i="4"/>
  <c r="P627" i="4"/>
  <c r="N627" i="4"/>
  <c r="M627" i="4"/>
  <c r="R627" i="4" s="1"/>
  <c r="S627" i="4" s="1"/>
  <c r="AD626" i="4"/>
  <c r="W626" i="4"/>
  <c r="U626" i="4"/>
  <c r="T626" i="4"/>
  <c r="P626" i="4"/>
  <c r="V626" i="4" s="1"/>
  <c r="N626" i="4"/>
  <c r="M626" i="4"/>
  <c r="R626" i="4" s="1"/>
  <c r="S626" i="4" s="1"/>
  <c r="AD625" i="4"/>
  <c r="W625" i="4"/>
  <c r="T625" i="4"/>
  <c r="R625" i="4"/>
  <c r="S625" i="4" s="1"/>
  <c r="P625" i="4"/>
  <c r="V625" i="4" s="1"/>
  <c r="M625" i="4"/>
  <c r="N625" i="4" s="1"/>
  <c r="AD624" i="4"/>
  <c r="U624" i="4"/>
  <c r="T624" i="4"/>
  <c r="R624" i="4"/>
  <c r="P624" i="4"/>
  <c r="M624" i="4"/>
  <c r="N624" i="4" s="1"/>
  <c r="AD623" i="4"/>
  <c r="T623" i="4"/>
  <c r="R623" i="4"/>
  <c r="P623" i="4"/>
  <c r="M623" i="4"/>
  <c r="N623" i="4" s="1"/>
  <c r="AD622" i="4"/>
  <c r="P622" i="4"/>
  <c r="W622" i="4" s="1"/>
  <c r="N622" i="4"/>
  <c r="M622" i="4"/>
  <c r="R622" i="4" s="1"/>
  <c r="AD621" i="4"/>
  <c r="W621" i="4"/>
  <c r="U621" i="4"/>
  <c r="T621" i="4"/>
  <c r="P621" i="4"/>
  <c r="V621" i="4" s="1"/>
  <c r="N621" i="4"/>
  <c r="M621" i="4"/>
  <c r="R621" i="4" s="1"/>
  <c r="AD620" i="4"/>
  <c r="P620" i="4"/>
  <c r="V620" i="4" s="1"/>
  <c r="M620" i="4"/>
  <c r="N620" i="4" s="1"/>
  <c r="AD619" i="4"/>
  <c r="V619" i="4"/>
  <c r="T619" i="4"/>
  <c r="P619" i="4"/>
  <c r="W619" i="4" s="1"/>
  <c r="N619" i="4"/>
  <c r="M619" i="4"/>
  <c r="R619" i="4" s="1"/>
  <c r="S619" i="4" s="1"/>
  <c r="X619" i="4" s="1"/>
  <c r="AC619" i="4" s="1"/>
  <c r="AD618" i="4"/>
  <c r="W618" i="4"/>
  <c r="U618" i="4"/>
  <c r="T618" i="4"/>
  <c r="R618" i="4"/>
  <c r="P618" i="4"/>
  <c r="V618" i="4" s="1"/>
  <c r="S618" i="4" s="1"/>
  <c r="N618" i="4"/>
  <c r="M618" i="4"/>
  <c r="AD617" i="4"/>
  <c r="V617" i="4"/>
  <c r="S617" i="4" s="1"/>
  <c r="R617" i="4"/>
  <c r="P617" i="4"/>
  <c r="T617" i="4" s="1"/>
  <c r="N617" i="4"/>
  <c r="M617" i="4"/>
  <c r="AD616" i="4"/>
  <c r="P616" i="4"/>
  <c r="V616" i="4" s="1"/>
  <c r="M616" i="4"/>
  <c r="N616" i="4" s="1"/>
  <c r="AD615" i="4"/>
  <c r="W615" i="4"/>
  <c r="V615" i="4"/>
  <c r="T615" i="4"/>
  <c r="P615" i="4"/>
  <c r="M615" i="4"/>
  <c r="N615" i="4" s="1"/>
  <c r="AD614" i="4"/>
  <c r="R614" i="4"/>
  <c r="P614" i="4"/>
  <c r="N614" i="4"/>
  <c r="M614" i="4"/>
  <c r="AD613" i="4"/>
  <c r="V613" i="4"/>
  <c r="T613" i="4"/>
  <c r="P613" i="4"/>
  <c r="W613" i="4" s="1"/>
  <c r="N613" i="4"/>
  <c r="M613" i="4"/>
  <c r="R613" i="4" s="1"/>
  <c r="AD612" i="4"/>
  <c r="R612" i="4"/>
  <c r="P612" i="4"/>
  <c r="W612" i="4" s="1"/>
  <c r="N612" i="4"/>
  <c r="M612" i="4"/>
  <c r="AD611" i="4"/>
  <c r="V611" i="4"/>
  <c r="T611" i="4"/>
  <c r="P611" i="4"/>
  <c r="W611" i="4" s="1"/>
  <c r="N611" i="4"/>
  <c r="M611" i="4"/>
  <c r="R611" i="4" s="1"/>
  <c r="AD610" i="4"/>
  <c r="R610" i="4"/>
  <c r="P610" i="4"/>
  <c r="W610" i="4" s="1"/>
  <c r="N610" i="4"/>
  <c r="M610" i="4"/>
  <c r="AD609" i="4"/>
  <c r="P609" i="4"/>
  <c r="W609" i="4" s="1"/>
  <c r="M609" i="4"/>
  <c r="N609" i="4" s="1"/>
  <c r="AD608" i="4"/>
  <c r="R608" i="4"/>
  <c r="P608" i="4"/>
  <c r="T608" i="4" s="1"/>
  <c r="M608" i="4"/>
  <c r="N608" i="4" s="1"/>
  <c r="AD607" i="4"/>
  <c r="W607" i="4"/>
  <c r="P607" i="4"/>
  <c r="V607" i="4" s="1"/>
  <c r="N607" i="4"/>
  <c r="M607" i="4"/>
  <c r="R607" i="4" s="1"/>
  <c r="AD606" i="4"/>
  <c r="V606" i="4"/>
  <c r="T606" i="4"/>
  <c r="P606" i="4"/>
  <c r="W606" i="4" s="1"/>
  <c r="M606" i="4"/>
  <c r="N606" i="4" s="1"/>
  <c r="AD605" i="4"/>
  <c r="R605" i="4"/>
  <c r="P605" i="4"/>
  <c r="N605" i="4"/>
  <c r="M605" i="4"/>
  <c r="AD604" i="4"/>
  <c r="P604" i="4"/>
  <c r="W604" i="4" s="1"/>
  <c r="M604" i="4"/>
  <c r="N604" i="4" s="1"/>
  <c r="AD603" i="4"/>
  <c r="W603" i="4"/>
  <c r="U603" i="4"/>
  <c r="T603" i="4"/>
  <c r="P603" i="4"/>
  <c r="V603" i="4" s="1"/>
  <c r="M603" i="4"/>
  <c r="N603" i="4" s="1"/>
  <c r="AD602" i="4"/>
  <c r="V602" i="4"/>
  <c r="P602" i="4"/>
  <c r="N602" i="4"/>
  <c r="M602" i="4"/>
  <c r="R602" i="4" s="1"/>
  <c r="AD601" i="4"/>
  <c r="V601" i="4"/>
  <c r="T601" i="4"/>
  <c r="P601" i="4"/>
  <c r="W601" i="4" s="1"/>
  <c r="M601" i="4"/>
  <c r="N601" i="4" s="1"/>
  <c r="AD600" i="4"/>
  <c r="V600" i="4"/>
  <c r="P600" i="4"/>
  <c r="N600" i="4"/>
  <c r="M600" i="4"/>
  <c r="R600" i="4" s="1"/>
  <c r="AD599" i="4"/>
  <c r="V599" i="4"/>
  <c r="T599" i="4"/>
  <c r="P599" i="4"/>
  <c r="W599" i="4" s="1"/>
  <c r="M599" i="4"/>
  <c r="N599" i="4" s="1"/>
  <c r="AD598" i="4"/>
  <c r="V598" i="4"/>
  <c r="P598" i="4"/>
  <c r="N598" i="4"/>
  <c r="M598" i="4"/>
  <c r="R598" i="4" s="1"/>
  <c r="AD597" i="4"/>
  <c r="V597" i="4"/>
  <c r="T597" i="4"/>
  <c r="P597" i="4"/>
  <c r="W597" i="4" s="1"/>
  <c r="M597" i="4"/>
  <c r="N597" i="4" s="1"/>
  <c r="AD596" i="4"/>
  <c r="R596" i="4"/>
  <c r="P596" i="4"/>
  <c r="N596" i="4"/>
  <c r="M596" i="4"/>
  <c r="AD595" i="4"/>
  <c r="P595" i="4"/>
  <c r="W595" i="4" s="1"/>
  <c r="M595" i="4"/>
  <c r="N595" i="4" s="1"/>
  <c r="AD594" i="4"/>
  <c r="R594" i="4"/>
  <c r="P594" i="4"/>
  <c r="T594" i="4" s="1"/>
  <c r="M594" i="4"/>
  <c r="N594" i="4" s="1"/>
  <c r="AD593" i="4"/>
  <c r="W593" i="4"/>
  <c r="U593" i="4"/>
  <c r="P593" i="4"/>
  <c r="V593" i="4" s="1"/>
  <c r="N593" i="4"/>
  <c r="M593" i="4"/>
  <c r="R593" i="4" s="1"/>
  <c r="AD592" i="4"/>
  <c r="V592" i="4"/>
  <c r="T592" i="4"/>
  <c r="P592" i="4"/>
  <c r="W592" i="4" s="1"/>
  <c r="M592" i="4"/>
  <c r="N592" i="4" s="1"/>
  <c r="AD591" i="4"/>
  <c r="R591" i="4"/>
  <c r="P591" i="4"/>
  <c r="N591" i="4"/>
  <c r="M591" i="4"/>
  <c r="AD590" i="4"/>
  <c r="V590" i="4"/>
  <c r="T590" i="4"/>
  <c r="P590" i="4"/>
  <c r="W590" i="4" s="1"/>
  <c r="N590" i="4"/>
  <c r="M590" i="4"/>
  <c r="R590" i="4" s="1"/>
  <c r="AD589" i="4"/>
  <c r="W589" i="4"/>
  <c r="R589" i="4"/>
  <c r="P589" i="4"/>
  <c r="T589" i="4" s="1"/>
  <c r="M589" i="4"/>
  <c r="N589" i="4" s="1"/>
  <c r="AD588" i="4"/>
  <c r="W588" i="4"/>
  <c r="U588" i="4"/>
  <c r="P588" i="4"/>
  <c r="V588" i="4" s="1"/>
  <c r="N588" i="4"/>
  <c r="M588" i="4"/>
  <c r="R588" i="4" s="1"/>
  <c r="AD587" i="4"/>
  <c r="U587" i="4"/>
  <c r="T587" i="4"/>
  <c r="P587" i="4"/>
  <c r="V587" i="4" s="1"/>
  <c r="N587" i="4"/>
  <c r="M587" i="4"/>
  <c r="R587" i="4" s="1"/>
  <c r="AD586" i="4"/>
  <c r="R586" i="4"/>
  <c r="P586" i="4"/>
  <c r="W586" i="4" s="1"/>
  <c r="N586" i="4"/>
  <c r="M586" i="4"/>
  <c r="AD585" i="4"/>
  <c r="V585" i="4"/>
  <c r="T585" i="4"/>
  <c r="P585" i="4"/>
  <c r="W585" i="4" s="1"/>
  <c r="N585" i="4"/>
  <c r="M585" i="4"/>
  <c r="R585" i="4" s="1"/>
  <c r="AD584" i="4"/>
  <c r="R584" i="4"/>
  <c r="P584" i="4"/>
  <c r="W584" i="4" s="1"/>
  <c r="N584" i="4"/>
  <c r="M584" i="4"/>
  <c r="AD583" i="4"/>
  <c r="V583" i="4"/>
  <c r="T583" i="4"/>
  <c r="P583" i="4"/>
  <c r="W583" i="4" s="1"/>
  <c r="N583" i="4"/>
  <c r="M583" i="4"/>
  <c r="R583" i="4" s="1"/>
  <c r="AD582" i="4"/>
  <c r="W582" i="4"/>
  <c r="R582" i="4"/>
  <c r="P582" i="4"/>
  <c r="T582" i="4" s="1"/>
  <c r="M582" i="4"/>
  <c r="N582" i="4" s="1"/>
  <c r="AD581" i="4"/>
  <c r="W581" i="4"/>
  <c r="U581" i="4"/>
  <c r="P581" i="4"/>
  <c r="V581" i="4" s="1"/>
  <c r="N581" i="4"/>
  <c r="M581" i="4"/>
  <c r="R581" i="4" s="1"/>
  <c r="AD580" i="4"/>
  <c r="U580" i="4"/>
  <c r="T580" i="4"/>
  <c r="P580" i="4"/>
  <c r="V580" i="4" s="1"/>
  <c r="N580" i="4"/>
  <c r="M580" i="4"/>
  <c r="R580" i="4" s="1"/>
  <c r="AD579" i="4"/>
  <c r="W579" i="4"/>
  <c r="R579" i="4"/>
  <c r="P579" i="4"/>
  <c r="T579" i="4" s="1"/>
  <c r="M579" i="4"/>
  <c r="N579" i="4" s="1"/>
  <c r="AD578" i="4"/>
  <c r="W578" i="4"/>
  <c r="U578" i="4"/>
  <c r="P578" i="4"/>
  <c r="V578" i="4" s="1"/>
  <c r="N578" i="4"/>
  <c r="M578" i="4"/>
  <c r="R578" i="4" s="1"/>
  <c r="AD577" i="4"/>
  <c r="V577" i="4"/>
  <c r="T577" i="4"/>
  <c r="P577" i="4"/>
  <c r="W577" i="4" s="1"/>
  <c r="M577" i="4"/>
  <c r="N577" i="4" s="1"/>
  <c r="AD576" i="4"/>
  <c r="R576" i="4"/>
  <c r="P576" i="4"/>
  <c r="N576" i="4"/>
  <c r="M576" i="4"/>
  <c r="AD575" i="4"/>
  <c r="P575" i="4"/>
  <c r="W575" i="4" s="1"/>
  <c r="M575" i="4"/>
  <c r="N575" i="4" s="1"/>
  <c r="AD574" i="4"/>
  <c r="W574" i="4"/>
  <c r="U574" i="4"/>
  <c r="T574" i="4"/>
  <c r="P574" i="4"/>
  <c r="V574" i="4" s="1"/>
  <c r="M574" i="4"/>
  <c r="N574" i="4" s="1"/>
  <c r="AD573" i="4"/>
  <c r="V573" i="4"/>
  <c r="P573" i="4"/>
  <c r="N573" i="4"/>
  <c r="M573" i="4"/>
  <c r="R573" i="4" s="1"/>
  <c r="AD572" i="4"/>
  <c r="V572" i="4"/>
  <c r="T572" i="4"/>
  <c r="P572" i="4"/>
  <c r="W572" i="4" s="1"/>
  <c r="M572" i="4"/>
  <c r="N572" i="4" s="1"/>
  <c r="AD571" i="4"/>
  <c r="V571" i="4"/>
  <c r="P571" i="4"/>
  <c r="N571" i="4"/>
  <c r="M571" i="4"/>
  <c r="R571" i="4" s="1"/>
  <c r="AD570" i="4"/>
  <c r="U570" i="4"/>
  <c r="T570" i="4"/>
  <c r="P570" i="4"/>
  <c r="V570" i="4" s="1"/>
  <c r="N570" i="4"/>
  <c r="M570" i="4"/>
  <c r="R570" i="4" s="1"/>
  <c r="AD569" i="4"/>
  <c r="W569" i="4"/>
  <c r="R569" i="4"/>
  <c r="P569" i="4"/>
  <c r="T569" i="4" s="1"/>
  <c r="M569" i="4"/>
  <c r="N569" i="4" s="1"/>
  <c r="AD568" i="4"/>
  <c r="W568" i="4"/>
  <c r="U568" i="4"/>
  <c r="P568" i="4"/>
  <c r="V568" i="4" s="1"/>
  <c r="N568" i="4"/>
  <c r="M568" i="4"/>
  <c r="R568" i="4" s="1"/>
  <c r="AD567" i="4"/>
  <c r="U567" i="4"/>
  <c r="T567" i="4"/>
  <c r="P567" i="4"/>
  <c r="V567" i="4" s="1"/>
  <c r="N567" i="4"/>
  <c r="M567" i="4"/>
  <c r="R567" i="4" s="1"/>
  <c r="AD566" i="4"/>
  <c r="W566" i="4"/>
  <c r="R566" i="4"/>
  <c r="P566" i="4"/>
  <c r="T566" i="4" s="1"/>
  <c r="M566" i="4"/>
  <c r="N566" i="4" s="1"/>
  <c r="AD565" i="4"/>
  <c r="W565" i="4"/>
  <c r="U565" i="4"/>
  <c r="P565" i="4"/>
  <c r="V565" i="4" s="1"/>
  <c r="N565" i="4"/>
  <c r="M565" i="4"/>
  <c r="R565" i="4" s="1"/>
  <c r="AD564" i="4"/>
  <c r="V564" i="4"/>
  <c r="T564" i="4"/>
  <c r="P564" i="4"/>
  <c r="W564" i="4" s="1"/>
  <c r="M564" i="4"/>
  <c r="N564" i="4" s="1"/>
  <c r="AD563" i="4"/>
  <c r="R563" i="4"/>
  <c r="P563" i="4"/>
  <c r="N563" i="4"/>
  <c r="M563" i="4"/>
  <c r="AD562" i="4"/>
  <c r="P562" i="4"/>
  <c r="W562" i="4" s="1"/>
  <c r="M562" i="4"/>
  <c r="N562" i="4" s="1"/>
  <c r="AD561" i="4"/>
  <c r="W561" i="4"/>
  <c r="U561" i="4"/>
  <c r="T561" i="4"/>
  <c r="P561" i="4"/>
  <c r="V561" i="4" s="1"/>
  <c r="M561" i="4"/>
  <c r="N561" i="4" s="1"/>
  <c r="AD560" i="4"/>
  <c r="V560" i="4"/>
  <c r="P560" i="4"/>
  <c r="N560" i="4"/>
  <c r="M560" i="4"/>
  <c r="R560" i="4" s="1"/>
  <c r="AD559" i="4"/>
  <c r="U559" i="4"/>
  <c r="T559" i="4"/>
  <c r="P559" i="4"/>
  <c r="V559" i="4" s="1"/>
  <c r="N559" i="4"/>
  <c r="M559" i="4"/>
  <c r="R559" i="4" s="1"/>
  <c r="AD558" i="4"/>
  <c r="W558" i="4"/>
  <c r="R558" i="4"/>
  <c r="P558" i="4"/>
  <c r="T558" i="4" s="1"/>
  <c r="M558" i="4"/>
  <c r="N558" i="4" s="1"/>
  <c r="AD557" i="4"/>
  <c r="W557" i="4"/>
  <c r="U557" i="4"/>
  <c r="P557" i="4"/>
  <c r="V557" i="4" s="1"/>
  <c r="N557" i="4"/>
  <c r="M557" i="4"/>
  <c r="R557" i="4" s="1"/>
  <c r="AD556" i="4"/>
  <c r="V556" i="4"/>
  <c r="T556" i="4"/>
  <c r="P556" i="4"/>
  <c r="W556" i="4" s="1"/>
  <c r="M556" i="4"/>
  <c r="N556" i="4" s="1"/>
  <c r="AD555" i="4"/>
  <c r="V555" i="4"/>
  <c r="P555" i="4"/>
  <c r="N555" i="4"/>
  <c r="M555" i="4"/>
  <c r="R555" i="4" s="1"/>
  <c r="AD554" i="4"/>
  <c r="U554" i="4"/>
  <c r="T554" i="4"/>
  <c r="P554" i="4"/>
  <c r="V554" i="4" s="1"/>
  <c r="N554" i="4"/>
  <c r="M554" i="4"/>
  <c r="R554" i="4" s="1"/>
  <c r="AD553" i="4"/>
  <c r="W553" i="4"/>
  <c r="R553" i="4"/>
  <c r="P553" i="4"/>
  <c r="T553" i="4" s="1"/>
  <c r="M553" i="4"/>
  <c r="N553" i="4" s="1"/>
  <c r="AD552" i="4"/>
  <c r="W552" i="4"/>
  <c r="U552" i="4"/>
  <c r="P552" i="4"/>
  <c r="V552" i="4" s="1"/>
  <c r="N552" i="4"/>
  <c r="M552" i="4"/>
  <c r="R552" i="4" s="1"/>
  <c r="AD551" i="4"/>
  <c r="U551" i="4"/>
  <c r="T551" i="4"/>
  <c r="P551" i="4"/>
  <c r="V551" i="4" s="1"/>
  <c r="N551" i="4"/>
  <c r="M551" i="4"/>
  <c r="R551" i="4" s="1"/>
  <c r="AD550" i="4"/>
  <c r="R550" i="4"/>
  <c r="P550" i="4"/>
  <c r="W550" i="4" s="1"/>
  <c r="N550" i="4"/>
  <c r="M550" i="4"/>
  <c r="AD549" i="4"/>
  <c r="P549" i="4"/>
  <c r="W549" i="4" s="1"/>
  <c r="M549" i="4"/>
  <c r="N549" i="4" s="1"/>
  <c r="AD548" i="4"/>
  <c r="W548" i="4"/>
  <c r="U548" i="4"/>
  <c r="T548" i="4"/>
  <c r="P548" i="4"/>
  <c r="V548" i="4" s="1"/>
  <c r="M548" i="4"/>
  <c r="N548" i="4" s="1"/>
  <c r="AD547" i="4"/>
  <c r="R547" i="4"/>
  <c r="P547" i="4"/>
  <c r="N547" i="4"/>
  <c r="M547" i="4"/>
  <c r="AD546" i="4"/>
  <c r="V546" i="4"/>
  <c r="T546" i="4"/>
  <c r="P546" i="4"/>
  <c r="W546" i="4" s="1"/>
  <c r="N546" i="4"/>
  <c r="M546" i="4"/>
  <c r="R546" i="4" s="1"/>
  <c r="AD545" i="4"/>
  <c r="R545" i="4"/>
  <c r="P545" i="4"/>
  <c r="W545" i="4" s="1"/>
  <c r="N545" i="4"/>
  <c r="M545" i="4"/>
  <c r="AD544" i="4"/>
  <c r="P544" i="4"/>
  <c r="W544" i="4" s="1"/>
  <c r="M544" i="4"/>
  <c r="N544" i="4" s="1"/>
  <c r="AD543" i="4"/>
  <c r="W543" i="4"/>
  <c r="U543" i="4"/>
  <c r="T543" i="4"/>
  <c r="P543" i="4"/>
  <c r="V543" i="4" s="1"/>
  <c r="M543" i="4"/>
  <c r="N543" i="4" s="1"/>
  <c r="AD542" i="4"/>
  <c r="R542" i="4"/>
  <c r="P542" i="4"/>
  <c r="N542" i="4"/>
  <c r="M542" i="4"/>
  <c r="AD541" i="4"/>
  <c r="P541" i="4"/>
  <c r="W541" i="4" s="1"/>
  <c r="M541" i="4"/>
  <c r="N541" i="4" s="1"/>
  <c r="AD540" i="4"/>
  <c r="W540" i="4"/>
  <c r="U540" i="4"/>
  <c r="T540" i="4"/>
  <c r="P540" i="4"/>
  <c r="V540" i="4" s="1"/>
  <c r="M540" i="4"/>
  <c r="N540" i="4" s="1"/>
  <c r="AD539" i="4"/>
  <c r="V539" i="4"/>
  <c r="P539" i="4"/>
  <c r="N539" i="4"/>
  <c r="M539" i="4"/>
  <c r="R539" i="4" s="1"/>
  <c r="AD538" i="4"/>
  <c r="U538" i="4"/>
  <c r="T538" i="4"/>
  <c r="P538" i="4"/>
  <c r="V538" i="4" s="1"/>
  <c r="N538" i="4"/>
  <c r="M538" i="4"/>
  <c r="R538" i="4" s="1"/>
  <c r="AD537" i="4"/>
  <c r="R537" i="4"/>
  <c r="P537" i="4"/>
  <c r="W537" i="4" s="1"/>
  <c r="N537" i="4"/>
  <c r="M537" i="4"/>
  <c r="AD536" i="4"/>
  <c r="P536" i="4"/>
  <c r="W536" i="4" s="1"/>
  <c r="M536" i="4"/>
  <c r="N536" i="4" s="1"/>
  <c r="AD535" i="4"/>
  <c r="R535" i="4"/>
  <c r="P535" i="4"/>
  <c r="T535" i="4" s="1"/>
  <c r="M535" i="4"/>
  <c r="N535" i="4" s="1"/>
  <c r="AD534" i="4"/>
  <c r="P534" i="4"/>
  <c r="W534" i="4" s="1"/>
  <c r="M534" i="4"/>
  <c r="N534" i="4" s="1"/>
  <c r="AD533" i="4"/>
  <c r="R533" i="4"/>
  <c r="P533" i="4"/>
  <c r="T533" i="4" s="1"/>
  <c r="M533" i="4"/>
  <c r="N533" i="4" s="1"/>
  <c r="AD532" i="4"/>
  <c r="P532" i="4"/>
  <c r="W532" i="4" s="1"/>
  <c r="M532" i="4"/>
  <c r="N532" i="4" s="1"/>
  <c r="AD531" i="4"/>
  <c r="R531" i="4"/>
  <c r="P531" i="4"/>
  <c r="T531" i="4" s="1"/>
  <c r="M531" i="4"/>
  <c r="N531" i="4" s="1"/>
  <c r="AD530" i="4"/>
  <c r="P530" i="4"/>
  <c r="W530" i="4" s="1"/>
  <c r="M530" i="4"/>
  <c r="N530" i="4" s="1"/>
  <c r="AD529" i="4"/>
  <c r="R529" i="4"/>
  <c r="P529" i="4"/>
  <c r="T529" i="4" s="1"/>
  <c r="M529" i="4"/>
  <c r="N529" i="4" s="1"/>
  <c r="AD528" i="4"/>
  <c r="P528" i="4"/>
  <c r="W528" i="4" s="1"/>
  <c r="M528" i="4"/>
  <c r="N528" i="4" s="1"/>
  <c r="AD527" i="4"/>
  <c r="W527" i="4"/>
  <c r="U527" i="4"/>
  <c r="T527" i="4"/>
  <c r="P527" i="4"/>
  <c r="V527" i="4" s="1"/>
  <c r="M527" i="4"/>
  <c r="N527" i="4" s="1"/>
  <c r="AD526" i="4"/>
  <c r="V526" i="4"/>
  <c r="P526" i="4"/>
  <c r="N526" i="4"/>
  <c r="M526" i="4"/>
  <c r="R526" i="4" s="1"/>
  <c r="AD525" i="4"/>
  <c r="U525" i="4"/>
  <c r="T525" i="4"/>
  <c r="P525" i="4"/>
  <c r="V525" i="4" s="1"/>
  <c r="N525" i="4"/>
  <c r="M525" i="4"/>
  <c r="R525" i="4" s="1"/>
  <c r="AD524" i="4"/>
  <c r="W524" i="4"/>
  <c r="R524" i="4"/>
  <c r="P524" i="4"/>
  <c r="T524" i="4" s="1"/>
  <c r="M524" i="4"/>
  <c r="N524" i="4" s="1"/>
  <c r="AD523" i="4"/>
  <c r="P523" i="4"/>
  <c r="W523" i="4" s="1"/>
  <c r="M523" i="4"/>
  <c r="N523" i="4" s="1"/>
  <c r="AD522" i="4"/>
  <c r="R522" i="4"/>
  <c r="P522" i="4"/>
  <c r="T522" i="4" s="1"/>
  <c r="M522" i="4"/>
  <c r="N522" i="4" s="1"/>
  <c r="AD521" i="4"/>
  <c r="P521" i="4"/>
  <c r="W521" i="4" s="1"/>
  <c r="M521" i="4"/>
  <c r="N521" i="4" s="1"/>
  <c r="AD520" i="4"/>
  <c r="R520" i="4"/>
  <c r="P520" i="4"/>
  <c r="T520" i="4" s="1"/>
  <c r="M520" i="4"/>
  <c r="N520" i="4" s="1"/>
  <c r="AD519" i="4"/>
  <c r="P519" i="4"/>
  <c r="W519" i="4" s="1"/>
  <c r="M519" i="4"/>
  <c r="N519" i="4" s="1"/>
  <c r="AD518" i="4"/>
  <c r="R518" i="4"/>
  <c r="P518" i="4"/>
  <c r="T518" i="4" s="1"/>
  <c r="M518" i="4"/>
  <c r="N518" i="4" s="1"/>
  <c r="AD517" i="4"/>
  <c r="W517" i="4"/>
  <c r="U517" i="4"/>
  <c r="P517" i="4"/>
  <c r="V517" i="4" s="1"/>
  <c r="N517" i="4"/>
  <c r="M517" i="4"/>
  <c r="R517" i="4" s="1"/>
  <c r="AD516" i="4"/>
  <c r="U516" i="4"/>
  <c r="T516" i="4"/>
  <c r="P516" i="4"/>
  <c r="V516" i="4" s="1"/>
  <c r="N516" i="4"/>
  <c r="M516" i="4"/>
  <c r="R516" i="4" s="1"/>
  <c r="AD515" i="4"/>
  <c r="W515" i="4"/>
  <c r="R515" i="4"/>
  <c r="P515" i="4"/>
  <c r="T515" i="4" s="1"/>
  <c r="M515" i="4"/>
  <c r="N515" i="4" s="1"/>
  <c r="AD514" i="4"/>
  <c r="W514" i="4"/>
  <c r="U514" i="4"/>
  <c r="P514" i="4"/>
  <c r="V514" i="4" s="1"/>
  <c r="N514" i="4"/>
  <c r="M514" i="4"/>
  <c r="R514" i="4" s="1"/>
  <c r="AD513" i="4"/>
  <c r="U513" i="4"/>
  <c r="T513" i="4"/>
  <c r="P513" i="4"/>
  <c r="V513" i="4" s="1"/>
  <c r="N513" i="4"/>
  <c r="M513" i="4"/>
  <c r="R513" i="4" s="1"/>
  <c r="AD512" i="4"/>
  <c r="R512" i="4"/>
  <c r="P512" i="4"/>
  <c r="W512" i="4" s="1"/>
  <c r="N512" i="4"/>
  <c r="M512" i="4"/>
  <c r="AD511" i="4"/>
  <c r="P511" i="4"/>
  <c r="W511" i="4" s="1"/>
  <c r="M511" i="4"/>
  <c r="N511" i="4" s="1"/>
  <c r="AD510" i="4"/>
  <c r="W510" i="4"/>
  <c r="U510" i="4"/>
  <c r="T510" i="4"/>
  <c r="P510" i="4"/>
  <c r="V510" i="4" s="1"/>
  <c r="M510" i="4"/>
  <c r="N510" i="4" s="1"/>
  <c r="AD509" i="4"/>
  <c r="V509" i="4"/>
  <c r="P509" i="4"/>
  <c r="N509" i="4"/>
  <c r="M509" i="4"/>
  <c r="R509" i="4" s="1"/>
  <c r="AD508" i="4"/>
  <c r="V508" i="4"/>
  <c r="T508" i="4"/>
  <c r="P508" i="4"/>
  <c r="W508" i="4" s="1"/>
  <c r="M508" i="4"/>
  <c r="N508" i="4" s="1"/>
  <c r="AD507" i="4"/>
  <c r="R507" i="4"/>
  <c r="P507" i="4"/>
  <c r="N507" i="4"/>
  <c r="M507" i="4"/>
  <c r="AD506" i="4"/>
  <c r="V506" i="4"/>
  <c r="T506" i="4"/>
  <c r="P506" i="4"/>
  <c r="W506" i="4" s="1"/>
  <c r="N506" i="4"/>
  <c r="M506" i="4"/>
  <c r="R506" i="4" s="1"/>
  <c r="AD505" i="4"/>
  <c r="W505" i="4"/>
  <c r="R505" i="4"/>
  <c r="P505" i="4"/>
  <c r="T505" i="4" s="1"/>
  <c r="M505" i="4"/>
  <c r="N505" i="4" s="1"/>
  <c r="AD504" i="4"/>
  <c r="P504" i="4"/>
  <c r="W504" i="4" s="1"/>
  <c r="M504" i="4"/>
  <c r="N504" i="4" s="1"/>
  <c r="AD503" i="4"/>
  <c r="R503" i="4"/>
  <c r="P503" i="4"/>
  <c r="T503" i="4" s="1"/>
  <c r="M503" i="4"/>
  <c r="N503" i="4" s="1"/>
  <c r="AD502" i="4"/>
  <c r="W502" i="4"/>
  <c r="U502" i="4"/>
  <c r="P502" i="4"/>
  <c r="V502" i="4" s="1"/>
  <c r="N502" i="4"/>
  <c r="M502" i="4"/>
  <c r="R502" i="4" s="1"/>
  <c r="AD501" i="4"/>
  <c r="V501" i="4"/>
  <c r="T501" i="4"/>
  <c r="P501" i="4"/>
  <c r="W501" i="4" s="1"/>
  <c r="M501" i="4"/>
  <c r="N501" i="4" s="1"/>
  <c r="AD500" i="4"/>
  <c r="R500" i="4"/>
  <c r="P500" i="4"/>
  <c r="N500" i="4"/>
  <c r="M500" i="4"/>
  <c r="AD499" i="4"/>
  <c r="P499" i="4"/>
  <c r="W499" i="4" s="1"/>
  <c r="M499" i="4"/>
  <c r="N499" i="4" s="1"/>
  <c r="AD498" i="4"/>
  <c r="R498" i="4"/>
  <c r="P498" i="4"/>
  <c r="T498" i="4" s="1"/>
  <c r="M498" i="4"/>
  <c r="N498" i="4" s="1"/>
  <c r="AD497" i="4"/>
  <c r="W497" i="4"/>
  <c r="U497" i="4"/>
  <c r="P497" i="4"/>
  <c r="V497" i="4" s="1"/>
  <c r="N497" i="4"/>
  <c r="M497" i="4"/>
  <c r="R497" i="4" s="1"/>
  <c r="AD496" i="4"/>
  <c r="U496" i="4"/>
  <c r="T496" i="4"/>
  <c r="P496" i="4"/>
  <c r="V496" i="4" s="1"/>
  <c r="N496" i="4"/>
  <c r="M496" i="4"/>
  <c r="R496" i="4" s="1"/>
  <c r="AD495" i="4"/>
  <c r="R495" i="4"/>
  <c r="P495" i="4"/>
  <c r="W495" i="4" s="1"/>
  <c r="N495" i="4"/>
  <c r="M495" i="4"/>
  <c r="AD494" i="4"/>
  <c r="V494" i="4"/>
  <c r="T494" i="4"/>
  <c r="P494" i="4"/>
  <c r="W494" i="4" s="1"/>
  <c r="N494" i="4"/>
  <c r="M494" i="4"/>
  <c r="R494" i="4" s="1"/>
  <c r="AD493" i="4"/>
  <c r="R493" i="4"/>
  <c r="P493" i="4"/>
  <c r="W493" i="4" s="1"/>
  <c r="N493" i="4"/>
  <c r="M493" i="4"/>
  <c r="AD492" i="4"/>
  <c r="V492" i="4"/>
  <c r="T492" i="4"/>
  <c r="P492" i="4"/>
  <c r="W492" i="4" s="1"/>
  <c r="N492" i="4"/>
  <c r="M492" i="4"/>
  <c r="R492" i="4" s="1"/>
  <c r="AD491" i="4"/>
  <c r="R491" i="4"/>
  <c r="P491" i="4"/>
  <c r="W491" i="4" s="1"/>
  <c r="N491" i="4"/>
  <c r="M491" i="4"/>
  <c r="AD490" i="4"/>
  <c r="P490" i="4"/>
  <c r="W490" i="4" s="1"/>
  <c r="M490" i="4"/>
  <c r="N490" i="4" s="1"/>
  <c r="AD489" i="4"/>
  <c r="R489" i="4"/>
  <c r="P489" i="4"/>
  <c r="T489" i="4" s="1"/>
  <c r="M489" i="4"/>
  <c r="N489" i="4" s="1"/>
  <c r="AD488" i="4"/>
  <c r="W488" i="4"/>
  <c r="U488" i="4"/>
  <c r="P488" i="4"/>
  <c r="V488" i="4" s="1"/>
  <c r="N488" i="4"/>
  <c r="M488" i="4"/>
  <c r="R488" i="4" s="1"/>
  <c r="AD487" i="4"/>
  <c r="U487" i="4"/>
  <c r="T487" i="4"/>
  <c r="P487" i="4"/>
  <c r="V487" i="4" s="1"/>
  <c r="N487" i="4"/>
  <c r="M487" i="4"/>
  <c r="R487" i="4" s="1"/>
  <c r="AD486" i="4"/>
  <c r="W486" i="4"/>
  <c r="R486" i="4"/>
  <c r="P486" i="4"/>
  <c r="T486" i="4" s="1"/>
  <c r="M486" i="4"/>
  <c r="N486" i="4" s="1"/>
  <c r="AD485" i="4"/>
  <c r="W485" i="4"/>
  <c r="U485" i="4"/>
  <c r="P485" i="4"/>
  <c r="V485" i="4" s="1"/>
  <c r="N485" i="4"/>
  <c r="M485" i="4"/>
  <c r="R485" i="4" s="1"/>
  <c r="AD484" i="4"/>
  <c r="U484" i="4"/>
  <c r="T484" i="4"/>
  <c r="P484" i="4"/>
  <c r="V484" i="4" s="1"/>
  <c r="N484" i="4"/>
  <c r="M484" i="4"/>
  <c r="R484" i="4" s="1"/>
  <c r="AD483" i="4"/>
  <c r="W483" i="4"/>
  <c r="R483" i="4"/>
  <c r="P483" i="4"/>
  <c r="T483" i="4" s="1"/>
  <c r="M483" i="4"/>
  <c r="N483" i="4" s="1"/>
  <c r="AD482" i="4"/>
  <c r="P482" i="4"/>
  <c r="W482" i="4" s="1"/>
  <c r="M482" i="4"/>
  <c r="N482" i="4" s="1"/>
  <c r="AD481" i="4"/>
  <c r="W481" i="4"/>
  <c r="U481" i="4"/>
  <c r="T481" i="4"/>
  <c r="P481" i="4"/>
  <c r="V481" i="4" s="1"/>
  <c r="M481" i="4"/>
  <c r="N481" i="4" s="1"/>
  <c r="AD480" i="4"/>
  <c r="R480" i="4"/>
  <c r="P480" i="4"/>
  <c r="N480" i="4"/>
  <c r="M480" i="4"/>
  <c r="AD479" i="4"/>
  <c r="P479" i="4"/>
  <c r="W479" i="4" s="1"/>
  <c r="M479" i="4"/>
  <c r="N479" i="4" s="1"/>
  <c r="AD478" i="4"/>
  <c r="W478" i="4"/>
  <c r="U478" i="4"/>
  <c r="T478" i="4"/>
  <c r="P478" i="4"/>
  <c r="V478" i="4" s="1"/>
  <c r="M478" i="4"/>
  <c r="N478" i="4" s="1"/>
  <c r="AD477" i="4"/>
  <c r="R477" i="4"/>
  <c r="P477" i="4"/>
  <c r="N477" i="4"/>
  <c r="M477" i="4"/>
  <c r="AD476" i="4"/>
  <c r="P476" i="4"/>
  <c r="W476" i="4" s="1"/>
  <c r="M476" i="4"/>
  <c r="N476" i="4" s="1"/>
  <c r="AD475" i="4"/>
  <c r="R475" i="4"/>
  <c r="P475" i="4"/>
  <c r="T475" i="4" s="1"/>
  <c r="M475" i="4"/>
  <c r="N475" i="4" s="1"/>
  <c r="AD474" i="4"/>
  <c r="P474" i="4"/>
  <c r="W474" i="4" s="1"/>
  <c r="M474" i="4"/>
  <c r="N474" i="4" s="1"/>
  <c r="AD473" i="4"/>
  <c r="R473" i="4"/>
  <c r="P473" i="4"/>
  <c r="T473" i="4" s="1"/>
  <c r="M473" i="4"/>
  <c r="N473" i="4" s="1"/>
  <c r="AD472" i="4"/>
  <c r="P472" i="4"/>
  <c r="W472" i="4" s="1"/>
  <c r="M472" i="4"/>
  <c r="N472" i="4" s="1"/>
  <c r="AD471" i="4"/>
  <c r="W471" i="4"/>
  <c r="U471" i="4"/>
  <c r="T471" i="4"/>
  <c r="P471" i="4"/>
  <c r="V471" i="4" s="1"/>
  <c r="M471" i="4"/>
  <c r="N471" i="4" s="1"/>
  <c r="AD470" i="4"/>
  <c r="V470" i="4"/>
  <c r="P470" i="4"/>
  <c r="N470" i="4"/>
  <c r="M470" i="4"/>
  <c r="R470" i="4" s="1"/>
  <c r="AD469" i="4"/>
  <c r="V469" i="4"/>
  <c r="T469" i="4"/>
  <c r="P469" i="4"/>
  <c r="W469" i="4" s="1"/>
  <c r="M469" i="4"/>
  <c r="N469" i="4" s="1"/>
  <c r="AD468" i="4"/>
  <c r="R468" i="4"/>
  <c r="P468" i="4"/>
  <c r="N468" i="4"/>
  <c r="M468" i="4"/>
  <c r="AD467" i="4"/>
  <c r="P467" i="4"/>
  <c r="W467" i="4" s="1"/>
  <c r="M467" i="4"/>
  <c r="N467" i="4" s="1"/>
  <c r="AD466" i="4"/>
  <c r="W466" i="4"/>
  <c r="U466" i="4"/>
  <c r="T466" i="4"/>
  <c r="P466" i="4"/>
  <c r="V466" i="4" s="1"/>
  <c r="M466" i="4"/>
  <c r="AD465" i="4"/>
  <c r="V465" i="4"/>
  <c r="P465" i="4"/>
  <c r="N465" i="4"/>
  <c r="M465" i="4"/>
  <c r="R465" i="4" s="1"/>
  <c r="S465" i="4" s="1"/>
  <c r="AD464" i="4"/>
  <c r="U464" i="4"/>
  <c r="T464" i="4"/>
  <c r="P464" i="4"/>
  <c r="V464" i="4" s="1"/>
  <c r="N464" i="4"/>
  <c r="M464" i="4"/>
  <c r="R464" i="4" s="1"/>
  <c r="AD463" i="4"/>
  <c r="W463" i="4"/>
  <c r="R463" i="4"/>
  <c r="P463" i="4"/>
  <c r="T463" i="4" s="1"/>
  <c r="M463" i="4"/>
  <c r="N463" i="4" s="1"/>
  <c r="AD462" i="4"/>
  <c r="W462" i="4"/>
  <c r="U462" i="4"/>
  <c r="P462" i="4"/>
  <c r="V462" i="4" s="1"/>
  <c r="N462" i="4"/>
  <c r="M462" i="4"/>
  <c r="R462" i="4" s="1"/>
  <c r="AD461" i="4"/>
  <c r="U461" i="4"/>
  <c r="T461" i="4"/>
  <c r="P461" i="4"/>
  <c r="V461" i="4" s="1"/>
  <c r="N461" i="4"/>
  <c r="M461" i="4"/>
  <c r="R461" i="4" s="1"/>
  <c r="AD460" i="4"/>
  <c r="R460" i="4"/>
  <c r="P460" i="4"/>
  <c r="W460" i="4" s="1"/>
  <c r="N460" i="4"/>
  <c r="M460" i="4"/>
  <c r="AD459" i="4"/>
  <c r="P459" i="4"/>
  <c r="M459" i="4"/>
  <c r="N459" i="4" s="1"/>
  <c r="AD458" i="4"/>
  <c r="R458" i="4"/>
  <c r="P458" i="4"/>
  <c r="T458" i="4" s="1"/>
  <c r="M458" i="4"/>
  <c r="N458" i="4" s="1"/>
  <c r="AD457" i="4"/>
  <c r="W457" i="4"/>
  <c r="U457" i="4"/>
  <c r="P457" i="4"/>
  <c r="V457" i="4" s="1"/>
  <c r="N457" i="4"/>
  <c r="M457" i="4"/>
  <c r="R457" i="4" s="1"/>
  <c r="AD456" i="4"/>
  <c r="U456" i="4"/>
  <c r="T456" i="4"/>
  <c r="P456" i="4"/>
  <c r="V456" i="4" s="1"/>
  <c r="N456" i="4"/>
  <c r="M456" i="4"/>
  <c r="R456" i="4" s="1"/>
  <c r="AD455" i="4"/>
  <c r="W455" i="4"/>
  <c r="R455" i="4"/>
  <c r="P455" i="4"/>
  <c r="T455" i="4" s="1"/>
  <c r="M455" i="4"/>
  <c r="N455" i="4" s="1"/>
  <c r="AD454" i="4"/>
  <c r="W454" i="4"/>
  <c r="U454" i="4"/>
  <c r="P454" i="4"/>
  <c r="V454" i="4" s="1"/>
  <c r="N454" i="4"/>
  <c r="M454" i="4"/>
  <c r="R454" i="4" s="1"/>
  <c r="AD453" i="4"/>
  <c r="V453" i="4"/>
  <c r="T453" i="4"/>
  <c r="P453" i="4"/>
  <c r="W453" i="4" s="1"/>
  <c r="M453" i="4"/>
  <c r="N453" i="4" s="1"/>
  <c r="AD452" i="4"/>
  <c r="R452" i="4"/>
  <c r="P452" i="4"/>
  <c r="V452" i="4" s="1"/>
  <c r="N452" i="4"/>
  <c r="M452" i="4"/>
  <c r="AD451" i="4"/>
  <c r="V451" i="4"/>
  <c r="T451" i="4"/>
  <c r="S451" i="4"/>
  <c r="P451" i="4"/>
  <c r="W451" i="4" s="1"/>
  <c r="N451" i="4"/>
  <c r="M451" i="4"/>
  <c r="R451" i="4" s="1"/>
  <c r="AD450" i="4"/>
  <c r="W450" i="4"/>
  <c r="R450" i="4"/>
  <c r="P450" i="4"/>
  <c r="T450" i="4" s="1"/>
  <c r="M450" i="4"/>
  <c r="N450" i="4" s="1"/>
  <c r="AD449" i="4"/>
  <c r="W449" i="4"/>
  <c r="U449" i="4"/>
  <c r="P449" i="4"/>
  <c r="V449" i="4" s="1"/>
  <c r="N449" i="4"/>
  <c r="M449" i="4"/>
  <c r="R449" i="4" s="1"/>
  <c r="AD448" i="4"/>
  <c r="U448" i="4"/>
  <c r="T448" i="4"/>
  <c r="S448" i="4"/>
  <c r="P448" i="4"/>
  <c r="V448" i="4" s="1"/>
  <c r="N448" i="4"/>
  <c r="M448" i="4"/>
  <c r="R448" i="4" s="1"/>
  <c r="AD447" i="4"/>
  <c r="W447" i="4"/>
  <c r="R447" i="4"/>
  <c r="P447" i="4"/>
  <c r="N447" i="4"/>
  <c r="M447" i="4"/>
  <c r="AD446" i="4"/>
  <c r="V446" i="4"/>
  <c r="T446" i="4"/>
  <c r="S446" i="4"/>
  <c r="P446" i="4"/>
  <c r="W446" i="4" s="1"/>
  <c r="N446" i="4"/>
  <c r="M446" i="4"/>
  <c r="R446" i="4" s="1"/>
  <c r="AD445" i="4"/>
  <c r="W445" i="4"/>
  <c r="R445" i="4"/>
  <c r="P445" i="4"/>
  <c r="T445" i="4" s="1"/>
  <c r="M445" i="4"/>
  <c r="N445" i="4" s="1"/>
  <c r="AD444" i="4"/>
  <c r="W444" i="4"/>
  <c r="U444" i="4"/>
  <c r="P444" i="4"/>
  <c r="V444" i="4" s="1"/>
  <c r="N444" i="4"/>
  <c r="M444" i="4"/>
  <c r="R444" i="4" s="1"/>
  <c r="AD443" i="4"/>
  <c r="U443" i="4"/>
  <c r="T443" i="4"/>
  <c r="P443" i="4"/>
  <c r="V443" i="4" s="1"/>
  <c r="S443" i="4" s="1"/>
  <c r="N443" i="4"/>
  <c r="M443" i="4"/>
  <c r="R443" i="4" s="1"/>
  <c r="AD442" i="4"/>
  <c r="W442" i="4"/>
  <c r="R442" i="4"/>
  <c r="P442" i="4"/>
  <c r="T442" i="4" s="1"/>
  <c r="M442" i="4"/>
  <c r="N442" i="4" s="1"/>
  <c r="AD441" i="4"/>
  <c r="P441" i="4"/>
  <c r="W441" i="4" s="1"/>
  <c r="M441" i="4"/>
  <c r="AD440" i="4"/>
  <c r="R440" i="4"/>
  <c r="P440" i="4"/>
  <c r="T440" i="4" s="1"/>
  <c r="M440" i="4"/>
  <c r="N440" i="4" s="1"/>
  <c r="AD439" i="4"/>
  <c r="P439" i="4"/>
  <c r="M439" i="4"/>
  <c r="AD438" i="4"/>
  <c r="W438" i="4"/>
  <c r="U438" i="4"/>
  <c r="T438" i="4"/>
  <c r="P438" i="4"/>
  <c r="V438" i="4" s="1"/>
  <c r="M438" i="4"/>
  <c r="N438" i="4" s="1"/>
  <c r="AD437" i="4"/>
  <c r="R437" i="4"/>
  <c r="P437" i="4"/>
  <c r="V437" i="4" s="1"/>
  <c r="N437" i="4"/>
  <c r="M437" i="4"/>
  <c r="AD436" i="4"/>
  <c r="V436" i="4"/>
  <c r="T436" i="4"/>
  <c r="S436" i="4"/>
  <c r="P436" i="4"/>
  <c r="W436" i="4" s="1"/>
  <c r="N436" i="4"/>
  <c r="M436" i="4"/>
  <c r="R436" i="4" s="1"/>
  <c r="AD435" i="4"/>
  <c r="W435" i="4"/>
  <c r="R435" i="4"/>
  <c r="P435" i="4"/>
  <c r="T435" i="4" s="1"/>
  <c r="M435" i="4"/>
  <c r="N435" i="4" s="1"/>
  <c r="AD434" i="4"/>
  <c r="W434" i="4"/>
  <c r="U434" i="4"/>
  <c r="P434" i="4"/>
  <c r="V434" i="4" s="1"/>
  <c r="N434" i="4"/>
  <c r="M434" i="4"/>
  <c r="R434" i="4" s="1"/>
  <c r="AD433" i="4"/>
  <c r="U433" i="4"/>
  <c r="T433" i="4"/>
  <c r="P433" i="4"/>
  <c r="V433" i="4" s="1"/>
  <c r="N433" i="4"/>
  <c r="M433" i="4"/>
  <c r="R433" i="4" s="1"/>
  <c r="S433" i="4" s="1"/>
  <c r="AD432" i="4"/>
  <c r="W432" i="4"/>
  <c r="R432" i="4"/>
  <c r="P432" i="4"/>
  <c r="T432" i="4" s="1"/>
  <c r="M432" i="4"/>
  <c r="N432" i="4" s="1"/>
  <c r="AD431" i="4"/>
  <c r="W431" i="4"/>
  <c r="V431" i="4"/>
  <c r="P431" i="4"/>
  <c r="U431" i="4" s="1"/>
  <c r="N431" i="4"/>
  <c r="M431" i="4"/>
  <c r="R431" i="4" s="1"/>
  <c r="AD430" i="4"/>
  <c r="U430" i="4"/>
  <c r="T430" i="4"/>
  <c r="S430" i="4"/>
  <c r="P430" i="4"/>
  <c r="V430" i="4" s="1"/>
  <c r="M430" i="4"/>
  <c r="R430" i="4" s="1"/>
  <c r="AD429" i="4"/>
  <c r="W429" i="4"/>
  <c r="R429" i="4"/>
  <c r="P429" i="4"/>
  <c r="T429" i="4" s="1"/>
  <c r="M429" i="4"/>
  <c r="N429" i="4" s="1"/>
  <c r="AD428" i="4"/>
  <c r="W428" i="4"/>
  <c r="V428" i="4"/>
  <c r="T428" i="4"/>
  <c r="P428" i="4"/>
  <c r="M428" i="4"/>
  <c r="R428" i="4" s="1"/>
  <c r="AD427" i="4"/>
  <c r="R427" i="4"/>
  <c r="P427" i="4"/>
  <c r="T427" i="4" s="1"/>
  <c r="M427" i="4"/>
  <c r="N427" i="4" s="1"/>
  <c r="AD426" i="4"/>
  <c r="W426" i="4"/>
  <c r="V426" i="4"/>
  <c r="T426" i="4"/>
  <c r="P426" i="4"/>
  <c r="M426" i="4"/>
  <c r="R426" i="4" s="1"/>
  <c r="AD425" i="4"/>
  <c r="W425" i="4"/>
  <c r="U425" i="4"/>
  <c r="T425" i="4"/>
  <c r="R425" i="4"/>
  <c r="P425" i="4"/>
  <c r="V425" i="4" s="1"/>
  <c r="M425" i="4"/>
  <c r="N425" i="4" s="1"/>
  <c r="AD424" i="4"/>
  <c r="W424" i="4"/>
  <c r="P424" i="4"/>
  <c r="V424" i="4" s="1"/>
  <c r="N424" i="4"/>
  <c r="M424" i="4"/>
  <c r="R424" i="4" s="1"/>
  <c r="AD423" i="4"/>
  <c r="U423" i="4"/>
  <c r="T423" i="4"/>
  <c r="S423" i="4"/>
  <c r="P423" i="4"/>
  <c r="V423" i="4" s="1"/>
  <c r="M423" i="4"/>
  <c r="R423" i="4" s="1"/>
  <c r="AD422" i="4"/>
  <c r="W422" i="4"/>
  <c r="R422" i="4"/>
  <c r="P422" i="4"/>
  <c r="T422" i="4" s="1"/>
  <c r="M422" i="4"/>
  <c r="N422" i="4" s="1"/>
  <c r="AD421" i="4"/>
  <c r="W421" i="4"/>
  <c r="V421" i="4"/>
  <c r="U421" i="4"/>
  <c r="P421" i="4"/>
  <c r="N421" i="4"/>
  <c r="M421" i="4"/>
  <c r="R421" i="4" s="1"/>
  <c r="AD420" i="4"/>
  <c r="U420" i="4"/>
  <c r="T420" i="4"/>
  <c r="P420" i="4"/>
  <c r="V420" i="4" s="1"/>
  <c r="S420" i="4" s="1"/>
  <c r="M420" i="4"/>
  <c r="R420" i="4" s="1"/>
  <c r="AD419" i="4"/>
  <c r="W419" i="4"/>
  <c r="R419" i="4"/>
  <c r="P419" i="4"/>
  <c r="T419" i="4" s="1"/>
  <c r="M419" i="4"/>
  <c r="N419" i="4" s="1"/>
  <c r="AD418" i="4"/>
  <c r="P418" i="4"/>
  <c r="M418" i="4"/>
  <c r="R418" i="4" s="1"/>
  <c r="AD417" i="4"/>
  <c r="R417" i="4"/>
  <c r="P417" i="4"/>
  <c r="T417" i="4" s="1"/>
  <c r="M417" i="4"/>
  <c r="N417" i="4" s="1"/>
  <c r="AD416" i="4"/>
  <c r="P416" i="4"/>
  <c r="M416" i="4"/>
  <c r="R416" i="4" s="1"/>
  <c r="AD415" i="4"/>
  <c r="R415" i="4"/>
  <c r="P415" i="4"/>
  <c r="T415" i="4" s="1"/>
  <c r="M415" i="4"/>
  <c r="N415" i="4" s="1"/>
  <c r="AD414" i="4"/>
  <c r="P414" i="4"/>
  <c r="M414" i="4"/>
  <c r="R414" i="4" s="1"/>
  <c r="AD413" i="4"/>
  <c r="W413" i="4"/>
  <c r="U413" i="4"/>
  <c r="T413" i="4"/>
  <c r="R413" i="4"/>
  <c r="P413" i="4"/>
  <c r="V413" i="4" s="1"/>
  <c r="M413" i="4"/>
  <c r="N413" i="4" s="1"/>
  <c r="AD412" i="4"/>
  <c r="W412" i="4"/>
  <c r="V412" i="4"/>
  <c r="P412" i="4"/>
  <c r="N412" i="4"/>
  <c r="M412" i="4"/>
  <c r="R412" i="4" s="1"/>
  <c r="AD411" i="4"/>
  <c r="U411" i="4"/>
  <c r="T411" i="4"/>
  <c r="P411" i="4"/>
  <c r="V411" i="4" s="1"/>
  <c r="S411" i="4" s="1"/>
  <c r="M411" i="4"/>
  <c r="R411" i="4" s="1"/>
  <c r="AD410" i="4"/>
  <c r="W410" i="4"/>
  <c r="R410" i="4"/>
  <c r="P410" i="4"/>
  <c r="N410" i="4"/>
  <c r="M410" i="4"/>
  <c r="AD409" i="4"/>
  <c r="V409" i="4"/>
  <c r="U409" i="4"/>
  <c r="T409" i="4"/>
  <c r="P409" i="4"/>
  <c r="M409" i="4"/>
  <c r="R409" i="4" s="1"/>
  <c r="AD408" i="4"/>
  <c r="R408" i="4"/>
  <c r="P408" i="4"/>
  <c r="T408" i="4" s="1"/>
  <c r="M408" i="4"/>
  <c r="N408" i="4" s="1"/>
  <c r="AD407" i="4"/>
  <c r="W407" i="4"/>
  <c r="V407" i="4"/>
  <c r="T407" i="4"/>
  <c r="P407" i="4"/>
  <c r="M407" i="4"/>
  <c r="R407" i="4" s="1"/>
  <c r="AD406" i="4"/>
  <c r="W406" i="4"/>
  <c r="U406" i="4"/>
  <c r="T406" i="4"/>
  <c r="R406" i="4"/>
  <c r="P406" i="4"/>
  <c r="V406" i="4" s="1"/>
  <c r="M406" i="4"/>
  <c r="N406" i="4" s="1"/>
  <c r="AD405" i="4"/>
  <c r="W405" i="4"/>
  <c r="R405" i="4"/>
  <c r="P405" i="4"/>
  <c r="V405" i="4" s="1"/>
  <c r="N405" i="4"/>
  <c r="M405" i="4"/>
  <c r="AD404" i="4"/>
  <c r="V404" i="4"/>
  <c r="U404" i="4"/>
  <c r="P404" i="4"/>
  <c r="T404" i="4" s="1"/>
  <c r="N404" i="4"/>
  <c r="M404" i="4"/>
  <c r="R404" i="4" s="1"/>
  <c r="AD403" i="4"/>
  <c r="W403" i="4"/>
  <c r="U403" i="4"/>
  <c r="T403" i="4"/>
  <c r="P403" i="4"/>
  <c r="V403" i="4" s="1"/>
  <c r="M403" i="4"/>
  <c r="N403" i="4" s="1"/>
  <c r="AD402" i="4"/>
  <c r="R402" i="4"/>
  <c r="P402" i="4"/>
  <c r="W402" i="4" s="1"/>
  <c r="N402" i="4"/>
  <c r="M402" i="4"/>
  <c r="AD401" i="4"/>
  <c r="V401" i="4"/>
  <c r="P401" i="4"/>
  <c r="U401" i="4" s="1"/>
  <c r="M401" i="4"/>
  <c r="R401" i="4" s="1"/>
  <c r="AD400" i="4"/>
  <c r="W400" i="4"/>
  <c r="U400" i="4"/>
  <c r="T400" i="4"/>
  <c r="P400" i="4"/>
  <c r="V400" i="4" s="1"/>
  <c r="M400" i="4"/>
  <c r="N400" i="4" s="1"/>
  <c r="AD399" i="4"/>
  <c r="R399" i="4"/>
  <c r="P399" i="4"/>
  <c r="N399" i="4"/>
  <c r="M399" i="4"/>
  <c r="AD398" i="4"/>
  <c r="V398" i="4"/>
  <c r="T398" i="4"/>
  <c r="P398" i="4"/>
  <c r="W398" i="4" s="1"/>
  <c r="M398" i="4"/>
  <c r="R398" i="4" s="1"/>
  <c r="AD397" i="4"/>
  <c r="W397" i="4"/>
  <c r="R397" i="4"/>
  <c r="P397" i="4"/>
  <c r="N397" i="4"/>
  <c r="M397" i="4"/>
  <c r="AD396" i="4"/>
  <c r="P396" i="4"/>
  <c r="N396" i="4"/>
  <c r="M396" i="4"/>
  <c r="R396" i="4" s="1"/>
  <c r="AD395" i="4"/>
  <c r="W395" i="4"/>
  <c r="U395" i="4"/>
  <c r="T395" i="4"/>
  <c r="P395" i="4"/>
  <c r="V395" i="4" s="1"/>
  <c r="M395" i="4"/>
  <c r="N395" i="4" s="1"/>
  <c r="AD394" i="4"/>
  <c r="W394" i="4"/>
  <c r="V394" i="4"/>
  <c r="P394" i="4"/>
  <c r="N394" i="4"/>
  <c r="M394" i="4"/>
  <c r="R394" i="4" s="1"/>
  <c r="AD393" i="4"/>
  <c r="V393" i="4"/>
  <c r="T393" i="4"/>
  <c r="R393" i="4"/>
  <c r="P393" i="4"/>
  <c r="W393" i="4" s="1"/>
  <c r="M393" i="4"/>
  <c r="N393" i="4" s="1"/>
  <c r="AD392" i="4"/>
  <c r="W392" i="4"/>
  <c r="V392" i="4"/>
  <c r="R392" i="4"/>
  <c r="P392" i="4"/>
  <c r="N392" i="4"/>
  <c r="M392" i="4"/>
  <c r="AD391" i="4"/>
  <c r="V391" i="4"/>
  <c r="T391" i="4"/>
  <c r="S391" i="4"/>
  <c r="P391" i="4"/>
  <c r="W391" i="4" s="1"/>
  <c r="M391" i="4"/>
  <c r="R391" i="4" s="1"/>
  <c r="AD390" i="4"/>
  <c r="W390" i="4"/>
  <c r="R390" i="4"/>
  <c r="P390" i="4"/>
  <c r="T390" i="4" s="1"/>
  <c r="M390" i="4"/>
  <c r="N390" i="4" s="1"/>
  <c r="AD389" i="4"/>
  <c r="W389" i="4"/>
  <c r="V389" i="4"/>
  <c r="T389" i="4"/>
  <c r="P389" i="4"/>
  <c r="M389" i="4"/>
  <c r="R389" i="4" s="1"/>
  <c r="AD388" i="4"/>
  <c r="R388" i="4"/>
  <c r="P388" i="4"/>
  <c r="T388" i="4" s="1"/>
  <c r="M388" i="4"/>
  <c r="N388" i="4" s="1"/>
  <c r="AD387" i="4"/>
  <c r="W387" i="4"/>
  <c r="V387" i="4"/>
  <c r="T387" i="4"/>
  <c r="P387" i="4"/>
  <c r="M387" i="4"/>
  <c r="R387" i="4" s="1"/>
  <c r="AD386" i="4"/>
  <c r="W386" i="4"/>
  <c r="U386" i="4"/>
  <c r="T386" i="4"/>
  <c r="R386" i="4"/>
  <c r="P386" i="4"/>
  <c r="V386" i="4" s="1"/>
  <c r="M386" i="4"/>
  <c r="N386" i="4" s="1"/>
  <c r="AD385" i="4"/>
  <c r="W385" i="4"/>
  <c r="P385" i="4"/>
  <c r="V385" i="4" s="1"/>
  <c r="N385" i="4"/>
  <c r="M385" i="4"/>
  <c r="R385" i="4" s="1"/>
  <c r="AD384" i="4"/>
  <c r="U384" i="4"/>
  <c r="T384" i="4"/>
  <c r="S384" i="4"/>
  <c r="P384" i="4"/>
  <c r="V384" i="4" s="1"/>
  <c r="M384" i="4"/>
  <c r="R384" i="4" s="1"/>
  <c r="AD383" i="4"/>
  <c r="R383" i="4"/>
  <c r="P383" i="4"/>
  <c r="W383" i="4" s="1"/>
  <c r="N383" i="4"/>
  <c r="M383" i="4"/>
  <c r="AD382" i="4"/>
  <c r="V382" i="4"/>
  <c r="T382" i="4"/>
  <c r="P382" i="4"/>
  <c r="W382" i="4" s="1"/>
  <c r="N382" i="4"/>
  <c r="M382" i="4"/>
  <c r="R382" i="4" s="1"/>
  <c r="S382" i="4" s="1"/>
  <c r="AD381" i="4"/>
  <c r="R381" i="4"/>
  <c r="P381" i="4"/>
  <c r="M381" i="4"/>
  <c r="N381" i="4" s="1"/>
  <c r="AD380" i="4"/>
  <c r="W380" i="4"/>
  <c r="P380" i="4"/>
  <c r="V380" i="4" s="1"/>
  <c r="N380" i="4"/>
  <c r="M380" i="4"/>
  <c r="R380" i="4" s="1"/>
  <c r="AD379" i="4"/>
  <c r="V379" i="4"/>
  <c r="T379" i="4"/>
  <c r="S379" i="4"/>
  <c r="R379" i="4"/>
  <c r="P379" i="4"/>
  <c r="W379" i="4" s="1"/>
  <c r="Y379" i="4" s="1"/>
  <c r="Z379" i="4" s="1"/>
  <c r="AA379" i="4" s="1"/>
  <c r="M379" i="4"/>
  <c r="N379" i="4" s="1"/>
  <c r="AD378" i="4"/>
  <c r="W378" i="4"/>
  <c r="R378" i="4"/>
  <c r="P378" i="4"/>
  <c r="V378" i="4" s="1"/>
  <c r="N378" i="4"/>
  <c r="M378" i="4"/>
  <c r="AD377" i="4"/>
  <c r="V377" i="4"/>
  <c r="U377" i="4"/>
  <c r="T377" i="4"/>
  <c r="S377" i="4"/>
  <c r="P377" i="4"/>
  <c r="W377" i="4" s="1"/>
  <c r="M377" i="4"/>
  <c r="R377" i="4" s="1"/>
  <c r="AD376" i="4"/>
  <c r="W376" i="4"/>
  <c r="T376" i="4"/>
  <c r="R376" i="4"/>
  <c r="P376" i="4"/>
  <c r="V376" i="4" s="1"/>
  <c r="M376" i="4"/>
  <c r="N376" i="4" s="1"/>
  <c r="AD375" i="4"/>
  <c r="W375" i="4"/>
  <c r="V375" i="4"/>
  <c r="T375" i="4"/>
  <c r="S375" i="4"/>
  <c r="P375" i="4"/>
  <c r="N375" i="4"/>
  <c r="M375" i="4"/>
  <c r="R375" i="4" s="1"/>
  <c r="X375" i="4" s="1"/>
  <c r="AC375" i="4" s="1"/>
  <c r="AD374" i="4"/>
  <c r="T374" i="4"/>
  <c r="P374" i="4"/>
  <c r="V374" i="4" s="1"/>
  <c r="M374" i="4"/>
  <c r="N374" i="4" s="1"/>
  <c r="AD373" i="4"/>
  <c r="V373" i="4"/>
  <c r="T373" i="4"/>
  <c r="P373" i="4"/>
  <c r="W373" i="4" s="1"/>
  <c r="M373" i="4"/>
  <c r="R373" i="4" s="1"/>
  <c r="AD372" i="4"/>
  <c r="W372" i="4"/>
  <c r="T372" i="4"/>
  <c r="P372" i="4"/>
  <c r="V372" i="4" s="1"/>
  <c r="M372" i="4"/>
  <c r="N372" i="4" s="1"/>
  <c r="AD371" i="4"/>
  <c r="W371" i="4"/>
  <c r="V371" i="4"/>
  <c r="P371" i="4"/>
  <c r="T371" i="4" s="1"/>
  <c r="M371" i="4"/>
  <c r="R371" i="4" s="1"/>
  <c r="S371" i="4" s="1"/>
  <c r="AD370" i="4"/>
  <c r="W370" i="4"/>
  <c r="U370" i="4"/>
  <c r="T370" i="4"/>
  <c r="R370" i="4"/>
  <c r="Y370" i="4" s="1"/>
  <c r="Z370" i="4" s="1"/>
  <c r="AA370" i="4" s="1"/>
  <c r="P370" i="4"/>
  <c r="V370" i="4" s="1"/>
  <c r="S370" i="4" s="1"/>
  <c r="M370" i="4"/>
  <c r="N370" i="4" s="1"/>
  <c r="AD369" i="4"/>
  <c r="V369" i="4"/>
  <c r="U369" i="4"/>
  <c r="R369" i="4"/>
  <c r="S369" i="4" s="1"/>
  <c r="P369" i="4"/>
  <c r="T369" i="4" s="1"/>
  <c r="N369" i="4"/>
  <c r="M369" i="4"/>
  <c r="AD368" i="4"/>
  <c r="V368" i="4"/>
  <c r="U368" i="4"/>
  <c r="P368" i="4"/>
  <c r="W368" i="4" s="1"/>
  <c r="M368" i="4"/>
  <c r="R368" i="4" s="1"/>
  <c r="AD367" i="4"/>
  <c r="W367" i="4"/>
  <c r="U367" i="4"/>
  <c r="T367" i="4"/>
  <c r="R367" i="4"/>
  <c r="P367" i="4"/>
  <c r="V367" i="4" s="1"/>
  <c r="S367" i="4" s="1"/>
  <c r="M367" i="4"/>
  <c r="N367" i="4" s="1"/>
  <c r="AD366" i="4"/>
  <c r="Y366" i="4"/>
  <c r="Z366" i="4" s="1"/>
  <c r="AA366" i="4" s="1"/>
  <c r="W366" i="4"/>
  <c r="V366" i="4"/>
  <c r="T366" i="4"/>
  <c r="R366" i="4"/>
  <c r="S366" i="4" s="1"/>
  <c r="Q366" i="4"/>
  <c r="P366" i="4"/>
  <c r="M366" i="4"/>
  <c r="N366" i="4" s="1"/>
  <c r="AD365" i="4"/>
  <c r="U365" i="4"/>
  <c r="T365" i="4"/>
  <c r="P365" i="4"/>
  <c r="W365" i="4" s="1"/>
  <c r="M365" i="4"/>
  <c r="R365" i="4" s="1"/>
  <c r="AD364" i="4"/>
  <c r="V364" i="4"/>
  <c r="P364" i="4"/>
  <c r="U364" i="4" s="1"/>
  <c r="M364" i="4"/>
  <c r="N364" i="4" s="1"/>
  <c r="AD363" i="4"/>
  <c r="R363" i="4"/>
  <c r="P363" i="4"/>
  <c r="V363" i="4" s="1"/>
  <c r="M363" i="4"/>
  <c r="N363" i="4" s="1"/>
  <c r="AD362" i="4"/>
  <c r="V362" i="4"/>
  <c r="T362" i="4"/>
  <c r="R362" i="4"/>
  <c r="P362" i="4"/>
  <c r="W362" i="4" s="1"/>
  <c r="N362" i="4"/>
  <c r="M362" i="4"/>
  <c r="AD361" i="4"/>
  <c r="V361" i="4"/>
  <c r="U361" i="4"/>
  <c r="R361" i="4"/>
  <c r="S361" i="4" s="1"/>
  <c r="P361" i="4"/>
  <c r="T361" i="4" s="1"/>
  <c r="N361" i="4"/>
  <c r="M361" i="4"/>
  <c r="AD360" i="4"/>
  <c r="W360" i="4"/>
  <c r="R360" i="4"/>
  <c r="P360" i="4"/>
  <c r="T360" i="4" s="1"/>
  <c r="N360" i="4"/>
  <c r="M360" i="4"/>
  <c r="AD359" i="4"/>
  <c r="V359" i="4"/>
  <c r="T359" i="4"/>
  <c r="R359" i="4"/>
  <c r="S359" i="4" s="1"/>
  <c r="P359" i="4"/>
  <c r="U359" i="4" s="1"/>
  <c r="M359" i="4"/>
  <c r="N359" i="4" s="1"/>
  <c r="AD358" i="4"/>
  <c r="W358" i="4"/>
  <c r="V358" i="4"/>
  <c r="T358" i="4"/>
  <c r="S358" i="4"/>
  <c r="Q358" i="4"/>
  <c r="P358" i="4"/>
  <c r="M358" i="4"/>
  <c r="R358" i="4" s="1"/>
  <c r="X358" i="4" s="1"/>
  <c r="AC358" i="4" s="1"/>
  <c r="AD357" i="4"/>
  <c r="W357" i="4"/>
  <c r="T357" i="4"/>
  <c r="R357" i="4"/>
  <c r="P357" i="4"/>
  <c r="V357" i="4" s="1"/>
  <c r="M357" i="4"/>
  <c r="N357" i="4" s="1"/>
  <c r="AD356" i="4"/>
  <c r="W356" i="4"/>
  <c r="V356" i="4"/>
  <c r="T356" i="4"/>
  <c r="S356" i="4"/>
  <c r="P356" i="4"/>
  <c r="N356" i="4"/>
  <c r="M356" i="4"/>
  <c r="R356" i="4" s="1"/>
  <c r="X356" i="4" s="1"/>
  <c r="AC356" i="4" s="1"/>
  <c r="AD355" i="4"/>
  <c r="T355" i="4"/>
  <c r="P355" i="4"/>
  <c r="V355" i="4" s="1"/>
  <c r="M355" i="4"/>
  <c r="N355" i="4" s="1"/>
  <c r="AD354" i="4"/>
  <c r="V354" i="4"/>
  <c r="U354" i="4"/>
  <c r="P354" i="4"/>
  <c r="T354" i="4" s="1"/>
  <c r="M354" i="4"/>
  <c r="R354" i="4" s="1"/>
  <c r="AD353" i="4"/>
  <c r="V353" i="4"/>
  <c r="T353" i="4"/>
  <c r="S353" i="4"/>
  <c r="R353" i="4"/>
  <c r="P353" i="4"/>
  <c r="W353" i="4" s="1"/>
  <c r="Y353" i="4" s="1"/>
  <c r="Z353" i="4" s="1"/>
  <c r="AA353" i="4" s="1"/>
  <c r="M353" i="4"/>
  <c r="N353" i="4" s="1"/>
  <c r="AD352" i="4"/>
  <c r="Y352" i="4"/>
  <c r="Z352" i="4" s="1"/>
  <c r="AA352" i="4" s="1"/>
  <c r="W352" i="4"/>
  <c r="V352" i="4"/>
  <c r="T352" i="4"/>
  <c r="R352" i="4"/>
  <c r="S352" i="4" s="1"/>
  <c r="Q352" i="4"/>
  <c r="P352" i="4"/>
  <c r="M352" i="4"/>
  <c r="N352" i="4" s="1"/>
  <c r="AD351" i="4"/>
  <c r="V351" i="4"/>
  <c r="T351" i="4"/>
  <c r="P351" i="4"/>
  <c r="W351" i="4" s="1"/>
  <c r="M351" i="4"/>
  <c r="N351" i="4" s="1"/>
  <c r="AD350" i="4"/>
  <c r="W350" i="4"/>
  <c r="V350" i="4"/>
  <c r="P350" i="4"/>
  <c r="T350" i="4" s="1"/>
  <c r="M350" i="4"/>
  <c r="R350" i="4" s="1"/>
  <c r="AD349" i="4"/>
  <c r="V349" i="4"/>
  <c r="T349" i="4"/>
  <c r="S349" i="4"/>
  <c r="R349" i="4"/>
  <c r="P349" i="4"/>
  <c r="W349" i="4" s="1"/>
  <c r="Y349" i="4" s="1"/>
  <c r="Z349" i="4" s="1"/>
  <c r="AA349" i="4" s="1"/>
  <c r="M349" i="4"/>
  <c r="N349" i="4" s="1"/>
  <c r="AD348" i="4"/>
  <c r="Y348" i="4"/>
  <c r="Z348" i="4" s="1"/>
  <c r="AA348" i="4" s="1"/>
  <c r="W348" i="4"/>
  <c r="V348" i="4"/>
  <c r="T348" i="4"/>
  <c r="R348" i="4"/>
  <c r="S348" i="4" s="1"/>
  <c r="Q348" i="4"/>
  <c r="P348" i="4"/>
  <c r="M348" i="4"/>
  <c r="N348" i="4" s="1"/>
  <c r="AD347" i="4"/>
  <c r="U347" i="4"/>
  <c r="T347" i="4"/>
  <c r="P347" i="4"/>
  <c r="W347" i="4" s="1"/>
  <c r="M347" i="4"/>
  <c r="R347" i="4" s="1"/>
  <c r="AD346" i="4"/>
  <c r="W346" i="4"/>
  <c r="V346" i="4"/>
  <c r="R346" i="4"/>
  <c r="S346" i="4" s="1"/>
  <c r="P346" i="4"/>
  <c r="T346" i="4" s="1"/>
  <c r="N346" i="4"/>
  <c r="M346" i="4"/>
  <c r="AD345" i="4"/>
  <c r="P345" i="4"/>
  <c r="U345" i="4" s="1"/>
  <c r="M345" i="4"/>
  <c r="R345" i="4" s="1"/>
  <c r="AD344" i="4"/>
  <c r="W344" i="4"/>
  <c r="U344" i="4"/>
  <c r="T344" i="4"/>
  <c r="R344" i="4"/>
  <c r="S344" i="4" s="1"/>
  <c r="P344" i="4"/>
  <c r="V344" i="4" s="1"/>
  <c r="N344" i="4"/>
  <c r="M344" i="4"/>
  <c r="AD343" i="4"/>
  <c r="V343" i="4"/>
  <c r="T343" i="4"/>
  <c r="P343" i="4"/>
  <c r="M343" i="4"/>
  <c r="N343" i="4" s="1"/>
  <c r="AD342" i="4"/>
  <c r="V342" i="4"/>
  <c r="T342" i="4"/>
  <c r="R342" i="4"/>
  <c r="S342" i="4" s="1"/>
  <c r="X342" i="4" s="1"/>
  <c r="AC342" i="4" s="1"/>
  <c r="P342" i="4"/>
  <c r="W342" i="4" s="1"/>
  <c r="N342" i="4"/>
  <c r="M342" i="4"/>
  <c r="AD341" i="4"/>
  <c r="V341" i="4"/>
  <c r="U341" i="4"/>
  <c r="R341" i="4"/>
  <c r="S341" i="4" s="1"/>
  <c r="P341" i="4"/>
  <c r="T341" i="4" s="1"/>
  <c r="N341" i="4"/>
  <c r="M341" i="4"/>
  <c r="AD340" i="4"/>
  <c r="U340" i="4"/>
  <c r="T340" i="4"/>
  <c r="P340" i="4"/>
  <c r="M340" i="4"/>
  <c r="R340" i="4" s="1"/>
  <c r="AD339" i="4"/>
  <c r="W339" i="4"/>
  <c r="U339" i="4"/>
  <c r="T339" i="4"/>
  <c r="R339" i="4"/>
  <c r="S339" i="4" s="1"/>
  <c r="P339" i="4"/>
  <c r="V339" i="4" s="1"/>
  <c r="N339" i="4"/>
  <c r="M339" i="4"/>
  <c r="AD338" i="4"/>
  <c r="V338" i="4"/>
  <c r="U338" i="4"/>
  <c r="R338" i="4"/>
  <c r="S338" i="4" s="1"/>
  <c r="P338" i="4"/>
  <c r="T338" i="4" s="1"/>
  <c r="N338" i="4"/>
  <c r="M338" i="4"/>
  <c r="AD337" i="4"/>
  <c r="U337" i="4"/>
  <c r="T337" i="4"/>
  <c r="P337" i="4"/>
  <c r="M337" i="4"/>
  <c r="R337" i="4" s="1"/>
  <c r="AD336" i="4"/>
  <c r="W336" i="4"/>
  <c r="U336" i="4"/>
  <c r="T336" i="4"/>
  <c r="R336" i="4"/>
  <c r="S336" i="4" s="1"/>
  <c r="P336" i="4"/>
  <c r="V336" i="4" s="1"/>
  <c r="N336" i="4"/>
  <c r="M336" i="4"/>
  <c r="AD335" i="4"/>
  <c r="V335" i="4"/>
  <c r="U335" i="4"/>
  <c r="R335" i="4"/>
  <c r="S335" i="4" s="1"/>
  <c r="P335" i="4"/>
  <c r="T335" i="4" s="1"/>
  <c r="N335" i="4"/>
  <c r="M335" i="4"/>
  <c r="AD334" i="4"/>
  <c r="W334" i="4"/>
  <c r="V334" i="4"/>
  <c r="T334" i="4"/>
  <c r="P334" i="4"/>
  <c r="N334" i="4"/>
  <c r="M334" i="4"/>
  <c r="R334" i="4" s="1"/>
  <c r="AD333" i="4"/>
  <c r="V333" i="4"/>
  <c r="S333" i="4"/>
  <c r="R333" i="4"/>
  <c r="P333" i="4"/>
  <c r="T333" i="4" s="1"/>
  <c r="N333" i="4"/>
  <c r="M333" i="4"/>
  <c r="AD332" i="4"/>
  <c r="V332" i="4"/>
  <c r="S332" i="4" s="1"/>
  <c r="P332" i="4"/>
  <c r="T332" i="4" s="1"/>
  <c r="N332" i="4"/>
  <c r="M332" i="4"/>
  <c r="R332" i="4" s="1"/>
  <c r="AD331" i="4"/>
  <c r="W331" i="4"/>
  <c r="U331" i="4"/>
  <c r="T331" i="4"/>
  <c r="R331" i="4"/>
  <c r="S331" i="4" s="1"/>
  <c r="P331" i="4"/>
  <c r="V331" i="4" s="1"/>
  <c r="M331" i="4"/>
  <c r="N331" i="4" s="1"/>
  <c r="AD330" i="4"/>
  <c r="U330" i="4"/>
  <c r="R330" i="4"/>
  <c r="P330" i="4"/>
  <c r="T330" i="4" s="1"/>
  <c r="N330" i="4"/>
  <c r="M330" i="4"/>
  <c r="AD329" i="4"/>
  <c r="V329" i="4"/>
  <c r="S329" i="4" s="1"/>
  <c r="P329" i="4"/>
  <c r="T329" i="4" s="1"/>
  <c r="N329" i="4"/>
  <c r="M329" i="4"/>
  <c r="R329" i="4" s="1"/>
  <c r="AD328" i="4"/>
  <c r="W328" i="4"/>
  <c r="U328" i="4"/>
  <c r="T328" i="4"/>
  <c r="R328" i="4"/>
  <c r="S328" i="4" s="1"/>
  <c r="P328" i="4"/>
  <c r="V328" i="4" s="1"/>
  <c r="M328" i="4"/>
  <c r="N328" i="4" s="1"/>
  <c r="AD327" i="4"/>
  <c r="U327" i="4"/>
  <c r="R327" i="4"/>
  <c r="P327" i="4"/>
  <c r="T327" i="4" s="1"/>
  <c r="N327" i="4"/>
  <c r="M327" i="4"/>
  <c r="AD326" i="4"/>
  <c r="W326" i="4"/>
  <c r="V326" i="4"/>
  <c r="P326" i="4"/>
  <c r="M326" i="4"/>
  <c r="R326" i="4" s="1"/>
  <c r="AD325" i="4"/>
  <c r="R325" i="4"/>
  <c r="P325" i="4"/>
  <c r="U325" i="4" s="1"/>
  <c r="M325" i="4"/>
  <c r="N325" i="4" s="1"/>
  <c r="AD324" i="4"/>
  <c r="P324" i="4"/>
  <c r="W324" i="4" s="1"/>
  <c r="M324" i="4"/>
  <c r="R324" i="4" s="1"/>
  <c r="AD323" i="4"/>
  <c r="W323" i="4"/>
  <c r="T323" i="4"/>
  <c r="R323" i="4"/>
  <c r="S323" i="4" s="1"/>
  <c r="P323" i="4"/>
  <c r="V323" i="4" s="1"/>
  <c r="M323" i="4"/>
  <c r="N323" i="4" s="1"/>
  <c r="AD322" i="4"/>
  <c r="W322" i="4"/>
  <c r="V322" i="4"/>
  <c r="T322" i="4"/>
  <c r="S322" i="4"/>
  <c r="Q322" i="4"/>
  <c r="P322" i="4"/>
  <c r="M322" i="4"/>
  <c r="R322" i="4" s="1"/>
  <c r="X322" i="4" s="1"/>
  <c r="AC322" i="4" s="1"/>
  <c r="AD321" i="4"/>
  <c r="W321" i="4"/>
  <c r="T321" i="4"/>
  <c r="R321" i="4"/>
  <c r="P321" i="4"/>
  <c r="V321" i="4" s="1"/>
  <c r="M321" i="4"/>
  <c r="N321" i="4" s="1"/>
  <c r="AD320" i="4"/>
  <c r="W320" i="4"/>
  <c r="V320" i="4"/>
  <c r="T320" i="4"/>
  <c r="S320" i="4"/>
  <c r="P320" i="4"/>
  <c r="N320" i="4"/>
  <c r="M320" i="4"/>
  <c r="R320" i="4" s="1"/>
  <c r="X320" i="4" s="1"/>
  <c r="AC320" i="4" s="1"/>
  <c r="AD319" i="4"/>
  <c r="T319" i="4"/>
  <c r="P319" i="4"/>
  <c r="V319" i="4" s="1"/>
  <c r="M319" i="4"/>
  <c r="N319" i="4" s="1"/>
  <c r="AD318" i="4"/>
  <c r="V318" i="4"/>
  <c r="U318" i="4"/>
  <c r="P318" i="4"/>
  <c r="T318" i="4" s="1"/>
  <c r="M318" i="4"/>
  <c r="R318" i="4" s="1"/>
  <c r="AD317" i="4"/>
  <c r="R317" i="4"/>
  <c r="P317" i="4"/>
  <c r="W317" i="4" s="1"/>
  <c r="M317" i="4"/>
  <c r="N317" i="4" s="1"/>
  <c r="AD316" i="4"/>
  <c r="V316" i="4"/>
  <c r="T316" i="4"/>
  <c r="R316" i="4"/>
  <c r="S316" i="4" s="1"/>
  <c r="P316" i="4"/>
  <c r="U316" i="4" s="1"/>
  <c r="M316" i="4"/>
  <c r="N316" i="4" s="1"/>
  <c r="AD315" i="4"/>
  <c r="U315" i="4"/>
  <c r="T315" i="4"/>
  <c r="P315" i="4"/>
  <c r="V315" i="4" s="1"/>
  <c r="M315" i="4"/>
  <c r="N315" i="4" s="1"/>
  <c r="AD314" i="4"/>
  <c r="V314" i="4"/>
  <c r="T314" i="4"/>
  <c r="R314" i="4"/>
  <c r="S314" i="4" s="1"/>
  <c r="X314" i="4" s="1"/>
  <c r="AC314" i="4" s="1"/>
  <c r="P314" i="4"/>
  <c r="W314" i="4" s="1"/>
  <c r="N314" i="4"/>
  <c r="M314" i="4"/>
  <c r="AD313" i="4"/>
  <c r="R313" i="4"/>
  <c r="P313" i="4"/>
  <c r="V313" i="4" s="1"/>
  <c r="M313" i="4"/>
  <c r="N313" i="4" s="1"/>
  <c r="AD312" i="4"/>
  <c r="V312" i="4"/>
  <c r="T312" i="4"/>
  <c r="R312" i="4"/>
  <c r="P312" i="4"/>
  <c r="W312" i="4" s="1"/>
  <c r="N312" i="4"/>
  <c r="M312" i="4"/>
  <c r="AD311" i="4"/>
  <c r="V311" i="4"/>
  <c r="T311" i="4"/>
  <c r="P311" i="4"/>
  <c r="M311" i="4"/>
  <c r="N311" i="4" s="1"/>
  <c r="AD310" i="4"/>
  <c r="V310" i="4"/>
  <c r="S310" i="4" s="1"/>
  <c r="R310" i="4"/>
  <c r="P310" i="4"/>
  <c r="W310" i="4" s="1"/>
  <c r="N310" i="4"/>
  <c r="M310" i="4"/>
  <c r="AD309" i="4"/>
  <c r="V309" i="4"/>
  <c r="T309" i="4"/>
  <c r="R309" i="4"/>
  <c r="S309" i="4" s="1"/>
  <c r="P309" i="4"/>
  <c r="U309" i="4" s="1"/>
  <c r="M309" i="4"/>
  <c r="N309" i="4" s="1"/>
  <c r="AD308" i="4"/>
  <c r="V308" i="4"/>
  <c r="U308" i="4"/>
  <c r="T308" i="4"/>
  <c r="R308" i="4"/>
  <c r="S308" i="4" s="1"/>
  <c r="P308" i="4"/>
  <c r="N308" i="4"/>
  <c r="M308" i="4"/>
  <c r="AD307" i="4"/>
  <c r="V307" i="4"/>
  <c r="U307" i="4"/>
  <c r="P307" i="4"/>
  <c r="W307" i="4" s="1"/>
  <c r="M307" i="4"/>
  <c r="R307" i="4" s="1"/>
  <c r="AD306" i="4"/>
  <c r="R306" i="4"/>
  <c r="P306" i="4"/>
  <c r="U306" i="4" s="1"/>
  <c r="M306" i="4"/>
  <c r="N306" i="4" s="1"/>
  <c r="AD305" i="4"/>
  <c r="V305" i="4"/>
  <c r="U305" i="4"/>
  <c r="T305" i="4"/>
  <c r="R305" i="4"/>
  <c r="S305" i="4" s="1"/>
  <c r="P305" i="4"/>
  <c r="M305" i="4"/>
  <c r="N305" i="4" s="1"/>
  <c r="AD304" i="4"/>
  <c r="U304" i="4"/>
  <c r="T304" i="4"/>
  <c r="P304" i="4"/>
  <c r="W304" i="4" s="1"/>
  <c r="M304" i="4"/>
  <c r="R304" i="4" s="1"/>
  <c r="AD303" i="4"/>
  <c r="W303" i="4"/>
  <c r="V303" i="4"/>
  <c r="R303" i="4"/>
  <c r="S303" i="4" s="1"/>
  <c r="P303" i="4"/>
  <c r="T303" i="4" s="1"/>
  <c r="N303" i="4"/>
  <c r="M303" i="4"/>
  <c r="AD302" i="4"/>
  <c r="W302" i="4"/>
  <c r="R302" i="4"/>
  <c r="P302" i="4"/>
  <c r="T302" i="4" s="1"/>
  <c r="N302" i="4"/>
  <c r="M302" i="4"/>
  <c r="AD301" i="4"/>
  <c r="V301" i="4"/>
  <c r="T301" i="4"/>
  <c r="R301" i="4"/>
  <c r="S301" i="4" s="1"/>
  <c r="P301" i="4"/>
  <c r="U301" i="4" s="1"/>
  <c r="M301" i="4"/>
  <c r="N301" i="4" s="1"/>
  <c r="AD300" i="4"/>
  <c r="V300" i="4"/>
  <c r="U300" i="4"/>
  <c r="T300" i="4"/>
  <c r="R300" i="4"/>
  <c r="S300" i="4" s="1"/>
  <c r="P300" i="4"/>
  <c r="N300" i="4"/>
  <c r="M300" i="4"/>
  <c r="AD299" i="4"/>
  <c r="V299" i="4"/>
  <c r="T299" i="4"/>
  <c r="P299" i="4"/>
  <c r="W299" i="4" s="1"/>
  <c r="M299" i="4"/>
  <c r="R299" i="4" s="1"/>
  <c r="AD298" i="4"/>
  <c r="R298" i="4"/>
  <c r="P298" i="4"/>
  <c r="T298" i="4" s="1"/>
  <c r="N298" i="4"/>
  <c r="M298" i="4"/>
  <c r="AD297" i="4"/>
  <c r="V297" i="4"/>
  <c r="U297" i="4"/>
  <c r="T297" i="4"/>
  <c r="S297" i="4"/>
  <c r="P297" i="4"/>
  <c r="W297" i="4" s="1"/>
  <c r="N297" i="4"/>
  <c r="M297" i="4"/>
  <c r="R297" i="4" s="1"/>
  <c r="Q297" i="4" s="1"/>
  <c r="AD296" i="4"/>
  <c r="W296" i="4"/>
  <c r="U296" i="4"/>
  <c r="T296" i="4"/>
  <c r="P296" i="4"/>
  <c r="V296" i="4" s="1"/>
  <c r="M296" i="4"/>
  <c r="R296" i="4" s="1"/>
  <c r="AD295" i="4"/>
  <c r="R295" i="4"/>
  <c r="P295" i="4"/>
  <c r="T295" i="4" s="1"/>
  <c r="N295" i="4"/>
  <c r="M295" i="4"/>
  <c r="AD294" i="4"/>
  <c r="V294" i="4"/>
  <c r="U294" i="4"/>
  <c r="T294" i="4"/>
  <c r="S294" i="4"/>
  <c r="P294" i="4"/>
  <c r="W294" i="4" s="1"/>
  <c r="N294" i="4"/>
  <c r="M294" i="4"/>
  <c r="R294" i="4" s="1"/>
  <c r="Q294" i="4" s="1"/>
  <c r="AD293" i="4"/>
  <c r="T293" i="4"/>
  <c r="P293" i="4"/>
  <c r="V293" i="4" s="1"/>
  <c r="M293" i="4"/>
  <c r="N293" i="4" s="1"/>
  <c r="AD292" i="4"/>
  <c r="V292" i="4"/>
  <c r="T292" i="4"/>
  <c r="P292" i="4"/>
  <c r="W292" i="4" s="1"/>
  <c r="M292" i="4"/>
  <c r="R292" i="4" s="1"/>
  <c r="AD291" i="4"/>
  <c r="W291" i="4"/>
  <c r="T291" i="4"/>
  <c r="P291" i="4"/>
  <c r="V291" i="4" s="1"/>
  <c r="M291" i="4"/>
  <c r="N291" i="4" s="1"/>
  <c r="AD290" i="4"/>
  <c r="W290" i="4"/>
  <c r="V290" i="4"/>
  <c r="P290" i="4"/>
  <c r="T290" i="4" s="1"/>
  <c r="M290" i="4"/>
  <c r="R290" i="4" s="1"/>
  <c r="S290" i="4" s="1"/>
  <c r="AD289" i="4"/>
  <c r="W289" i="4"/>
  <c r="P289" i="4"/>
  <c r="V289" i="4" s="1"/>
  <c r="M289" i="4"/>
  <c r="N289" i="4" s="1"/>
  <c r="AD288" i="4"/>
  <c r="W288" i="4"/>
  <c r="P288" i="4"/>
  <c r="V288" i="4" s="1"/>
  <c r="S288" i="4" s="1"/>
  <c r="N288" i="4"/>
  <c r="M288" i="4"/>
  <c r="R288" i="4" s="1"/>
  <c r="AD287" i="4"/>
  <c r="W287" i="4"/>
  <c r="U287" i="4"/>
  <c r="T287" i="4"/>
  <c r="R287" i="4"/>
  <c r="S287" i="4" s="1"/>
  <c r="P287" i="4"/>
  <c r="V287" i="4" s="1"/>
  <c r="M287" i="4"/>
  <c r="N287" i="4" s="1"/>
  <c r="AD286" i="4"/>
  <c r="U286" i="4"/>
  <c r="R286" i="4"/>
  <c r="P286" i="4"/>
  <c r="T286" i="4" s="1"/>
  <c r="N286" i="4"/>
  <c r="M286" i="4"/>
  <c r="AD285" i="4"/>
  <c r="W285" i="4"/>
  <c r="V285" i="4"/>
  <c r="P285" i="4"/>
  <c r="M285" i="4"/>
  <c r="R285" i="4" s="1"/>
  <c r="AD284" i="4"/>
  <c r="R284" i="4"/>
  <c r="P284" i="4"/>
  <c r="U284" i="4" s="1"/>
  <c r="M284" i="4"/>
  <c r="N284" i="4" s="1"/>
  <c r="AD283" i="4"/>
  <c r="U283" i="4"/>
  <c r="T283" i="4"/>
  <c r="R283" i="4"/>
  <c r="P283" i="4"/>
  <c r="W283" i="4" s="1"/>
  <c r="N283" i="4"/>
  <c r="M283" i="4"/>
  <c r="AD282" i="4"/>
  <c r="R282" i="4"/>
  <c r="P282" i="4"/>
  <c r="T282" i="4" s="1"/>
  <c r="M282" i="4"/>
  <c r="N282" i="4" s="1"/>
  <c r="AD281" i="4"/>
  <c r="T281" i="4"/>
  <c r="P281" i="4"/>
  <c r="W281" i="4" s="1"/>
  <c r="M281" i="4"/>
  <c r="N281" i="4" s="1"/>
  <c r="AD280" i="4"/>
  <c r="R280" i="4"/>
  <c r="P280" i="4"/>
  <c r="T280" i="4" s="1"/>
  <c r="M280" i="4"/>
  <c r="N280" i="4" s="1"/>
  <c r="AD279" i="4"/>
  <c r="T279" i="4"/>
  <c r="P279" i="4"/>
  <c r="W279" i="4" s="1"/>
  <c r="M279" i="4"/>
  <c r="N279" i="4" s="1"/>
  <c r="AD278" i="4"/>
  <c r="R278" i="4"/>
  <c r="P278" i="4"/>
  <c r="T278" i="4" s="1"/>
  <c r="M278" i="4"/>
  <c r="N278" i="4" s="1"/>
  <c r="AD277" i="4"/>
  <c r="T277" i="4"/>
  <c r="P277" i="4"/>
  <c r="W277" i="4" s="1"/>
  <c r="M277" i="4"/>
  <c r="N277" i="4" s="1"/>
  <c r="AD276" i="4"/>
  <c r="R276" i="4"/>
  <c r="P276" i="4"/>
  <c r="T276" i="4" s="1"/>
  <c r="M276" i="4"/>
  <c r="N276" i="4" s="1"/>
  <c r="AD275" i="4"/>
  <c r="T275" i="4"/>
  <c r="P275" i="4"/>
  <c r="W275" i="4" s="1"/>
  <c r="M275" i="4"/>
  <c r="N275" i="4" s="1"/>
  <c r="AD274" i="4"/>
  <c r="R274" i="4"/>
  <c r="P274" i="4"/>
  <c r="T274" i="4" s="1"/>
  <c r="M274" i="4"/>
  <c r="N274" i="4" s="1"/>
  <c r="AD273" i="4"/>
  <c r="W273" i="4"/>
  <c r="U273" i="4"/>
  <c r="T273" i="4"/>
  <c r="P273" i="4"/>
  <c r="V273" i="4" s="1"/>
  <c r="M273" i="4"/>
  <c r="R273" i="4" s="1"/>
  <c r="AD272" i="4"/>
  <c r="U272" i="4"/>
  <c r="T272" i="4"/>
  <c r="R272" i="4"/>
  <c r="P272" i="4"/>
  <c r="V272" i="4" s="1"/>
  <c r="N272" i="4"/>
  <c r="M272" i="4"/>
  <c r="AD271" i="4"/>
  <c r="R271" i="4"/>
  <c r="P271" i="4"/>
  <c r="T271" i="4" s="1"/>
  <c r="M271" i="4"/>
  <c r="N271" i="4" s="1"/>
  <c r="AD270" i="4"/>
  <c r="T270" i="4"/>
  <c r="P270" i="4"/>
  <c r="W270" i="4" s="1"/>
  <c r="M270" i="4"/>
  <c r="N270" i="4" s="1"/>
  <c r="AD269" i="4"/>
  <c r="W269" i="4"/>
  <c r="U269" i="4"/>
  <c r="T269" i="4"/>
  <c r="R269" i="4"/>
  <c r="P269" i="4"/>
  <c r="V269" i="4" s="1"/>
  <c r="M269" i="4"/>
  <c r="N269" i="4" s="1"/>
  <c r="AD268" i="4"/>
  <c r="U268" i="4"/>
  <c r="R268" i="4"/>
  <c r="P268" i="4"/>
  <c r="N268" i="4"/>
  <c r="M268" i="4"/>
  <c r="AD267" i="4"/>
  <c r="T267" i="4"/>
  <c r="P267" i="4"/>
  <c r="W267" i="4" s="1"/>
  <c r="M267" i="4"/>
  <c r="N267" i="4" s="1"/>
  <c r="AD266" i="4"/>
  <c r="W266" i="4"/>
  <c r="U266" i="4"/>
  <c r="T266" i="4"/>
  <c r="R266" i="4"/>
  <c r="P266" i="4"/>
  <c r="V266" i="4" s="1"/>
  <c r="M266" i="4"/>
  <c r="N266" i="4" s="1"/>
  <c r="AD265" i="4"/>
  <c r="U265" i="4"/>
  <c r="R265" i="4"/>
  <c r="P265" i="4"/>
  <c r="N265" i="4"/>
  <c r="M265" i="4"/>
  <c r="AD264" i="4"/>
  <c r="V264" i="4"/>
  <c r="T264" i="4"/>
  <c r="R264" i="4"/>
  <c r="S264" i="4" s="1"/>
  <c r="P264" i="4"/>
  <c r="W264" i="4" s="1"/>
  <c r="N264" i="4"/>
  <c r="M264" i="4"/>
  <c r="AD263" i="4"/>
  <c r="R263" i="4"/>
  <c r="P263" i="4"/>
  <c r="T263" i="4" s="1"/>
  <c r="M263" i="4"/>
  <c r="N263" i="4" s="1"/>
  <c r="AD262" i="4"/>
  <c r="T262" i="4"/>
  <c r="P262" i="4"/>
  <c r="W262" i="4" s="1"/>
  <c r="M262" i="4"/>
  <c r="N262" i="4" s="1"/>
  <c r="AD261" i="4"/>
  <c r="R261" i="4"/>
  <c r="P261" i="4"/>
  <c r="T261" i="4" s="1"/>
  <c r="M261" i="4"/>
  <c r="N261" i="4" s="1"/>
  <c r="AD260" i="4"/>
  <c r="W260" i="4"/>
  <c r="U260" i="4"/>
  <c r="T260" i="4"/>
  <c r="P260" i="4"/>
  <c r="V260" i="4" s="1"/>
  <c r="M260" i="4"/>
  <c r="R260" i="4" s="1"/>
  <c r="AD259" i="4"/>
  <c r="V259" i="4"/>
  <c r="T259" i="4"/>
  <c r="R259" i="4"/>
  <c r="S259" i="4" s="1"/>
  <c r="P259" i="4"/>
  <c r="W259" i="4" s="1"/>
  <c r="M259" i="4"/>
  <c r="N259" i="4" s="1"/>
  <c r="AD258" i="4"/>
  <c r="V258" i="4"/>
  <c r="T258" i="4"/>
  <c r="P258" i="4"/>
  <c r="M258" i="4"/>
  <c r="R258" i="4" s="1"/>
  <c r="AD257" i="4"/>
  <c r="U257" i="4"/>
  <c r="T257" i="4"/>
  <c r="R257" i="4"/>
  <c r="P257" i="4"/>
  <c r="V257" i="4" s="1"/>
  <c r="N257" i="4"/>
  <c r="M257" i="4"/>
  <c r="AD256" i="4"/>
  <c r="R256" i="4"/>
  <c r="P256" i="4"/>
  <c r="T256" i="4" s="1"/>
  <c r="M256" i="4"/>
  <c r="N256" i="4" s="1"/>
  <c r="AD255" i="4"/>
  <c r="W255" i="4"/>
  <c r="U255" i="4"/>
  <c r="T255" i="4"/>
  <c r="P255" i="4"/>
  <c r="V255" i="4" s="1"/>
  <c r="M255" i="4"/>
  <c r="R255" i="4" s="1"/>
  <c r="AD254" i="4"/>
  <c r="V254" i="4"/>
  <c r="T254" i="4"/>
  <c r="R254" i="4"/>
  <c r="S254" i="4" s="1"/>
  <c r="P254" i="4"/>
  <c r="W254" i="4" s="1"/>
  <c r="M254" i="4"/>
  <c r="N254" i="4" s="1"/>
  <c r="AD253" i="4"/>
  <c r="U253" i="4"/>
  <c r="R253" i="4"/>
  <c r="P253" i="4"/>
  <c r="N253" i="4"/>
  <c r="M253" i="4"/>
  <c r="AD252" i="4"/>
  <c r="V252" i="4"/>
  <c r="T252" i="4"/>
  <c r="R252" i="4"/>
  <c r="S252" i="4" s="1"/>
  <c r="P252" i="4"/>
  <c r="W252" i="4" s="1"/>
  <c r="N252" i="4"/>
  <c r="M252" i="4"/>
  <c r="AD251" i="4"/>
  <c r="V251" i="4"/>
  <c r="R251" i="4"/>
  <c r="S251" i="4" s="1"/>
  <c r="P251" i="4"/>
  <c r="N251" i="4"/>
  <c r="M251" i="4"/>
  <c r="AD250" i="4"/>
  <c r="V250" i="4"/>
  <c r="T250" i="4"/>
  <c r="R250" i="4"/>
  <c r="S250" i="4" s="1"/>
  <c r="P250" i="4"/>
  <c r="W250" i="4" s="1"/>
  <c r="N250" i="4"/>
  <c r="M250" i="4"/>
  <c r="AD249" i="4"/>
  <c r="R249" i="4"/>
  <c r="P249" i="4"/>
  <c r="T249" i="4" s="1"/>
  <c r="M249" i="4"/>
  <c r="N249" i="4" s="1"/>
  <c r="AD248" i="4"/>
  <c r="W248" i="4"/>
  <c r="U248" i="4"/>
  <c r="T248" i="4"/>
  <c r="P248" i="4"/>
  <c r="V248" i="4" s="1"/>
  <c r="M248" i="4"/>
  <c r="R248" i="4" s="1"/>
  <c r="AD247" i="4"/>
  <c r="U247" i="4"/>
  <c r="T247" i="4"/>
  <c r="R247" i="4"/>
  <c r="P247" i="4"/>
  <c r="V247" i="4" s="1"/>
  <c r="N247" i="4"/>
  <c r="M247" i="4"/>
  <c r="AD246" i="4"/>
  <c r="R246" i="4"/>
  <c r="P246" i="4"/>
  <c r="T246" i="4" s="1"/>
  <c r="M246" i="4"/>
  <c r="N246" i="4" s="1"/>
  <c r="AD245" i="4"/>
  <c r="T245" i="4"/>
  <c r="P245" i="4"/>
  <c r="W245" i="4" s="1"/>
  <c r="M245" i="4"/>
  <c r="N245" i="4" s="1"/>
  <c r="AD244" i="4"/>
  <c r="W244" i="4"/>
  <c r="U244" i="4"/>
  <c r="T244" i="4"/>
  <c r="R244" i="4"/>
  <c r="P244" i="4"/>
  <c r="V244" i="4" s="1"/>
  <c r="M244" i="4"/>
  <c r="N244" i="4" s="1"/>
  <c r="AD243" i="4"/>
  <c r="U243" i="4"/>
  <c r="R243" i="4"/>
  <c r="P243" i="4"/>
  <c r="N243" i="4"/>
  <c r="M243" i="4"/>
  <c r="AD242" i="4"/>
  <c r="V242" i="4"/>
  <c r="T242" i="4"/>
  <c r="R242" i="4"/>
  <c r="S242" i="4" s="1"/>
  <c r="P242" i="4"/>
  <c r="W242" i="4" s="1"/>
  <c r="N242" i="4"/>
  <c r="M242" i="4"/>
  <c r="AD241" i="4"/>
  <c r="V241" i="4"/>
  <c r="R241" i="4"/>
  <c r="S241" i="4" s="1"/>
  <c r="P241" i="4"/>
  <c r="N241" i="4"/>
  <c r="M241" i="4"/>
  <c r="AD240" i="4"/>
  <c r="T240" i="4"/>
  <c r="P240" i="4"/>
  <c r="W240" i="4" s="1"/>
  <c r="M240" i="4"/>
  <c r="N240" i="4" s="1"/>
  <c r="AD239" i="4"/>
  <c r="W239" i="4"/>
  <c r="U239" i="4"/>
  <c r="T239" i="4"/>
  <c r="R239" i="4"/>
  <c r="P239" i="4"/>
  <c r="V239" i="4" s="1"/>
  <c r="M239" i="4"/>
  <c r="N239" i="4" s="1"/>
  <c r="AD238" i="4"/>
  <c r="V238" i="4"/>
  <c r="T238" i="4"/>
  <c r="P238" i="4"/>
  <c r="M238" i="4"/>
  <c r="R238" i="4" s="1"/>
  <c r="AD237" i="4"/>
  <c r="V237" i="4"/>
  <c r="T237" i="4"/>
  <c r="R237" i="4"/>
  <c r="S237" i="4" s="1"/>
  <c r="P237" i="4"/>
  <c r="W237" i="4" s="1"/>
  <c r="M237" i="4"/>
  <c r="N237" i="4" s="1"/>
  <c r="AD236" i="4"/>
  <c r="V236" i="4"/>
  <c r="T236" i="4"/>
  <c r="P236" i="4"/>
  <c r="M236" i="4"/>
  <c r="R236" i="4" s="1"/>
  <c r="AD235" i="4"/>
  <c r="V235" i="4"/>
  <c r="T235" i="4"/>
  <c r="R235" i="4"/>
  <c r="S235" i="4" s="1"/>
  <c r="P235" i="4"/>
  <c r="W235" i="4" s="1"/>
  <c r="M235" i="4"/>
  <c r="N235" i="4" s="1"/>
  <c r="AD234" i="4"/>
  <c r="U234" i="4"/>
  <c r="R234" i="4"/>
  <c r="P234" i="4"/>
  <c r="N234" i="4"/>
  <c r="M234" i="4"/>
  <c r="AD233" i="4"/>
  <c r="T233" i="4"/>
  <c r="P233" i="4"/>
  <c r="W233" i="4" s="1"/>
  <c r="M233" i="4"/>
  <c r="N233" i="4" s="1"/>
  <c r="AD232" i="4"/>
  <c r="W232" i="4"/>
  <c r="U232" i="4"/>
  <c r="T232" i="4"/>
  <c r="R232" i="4"/>
  <c r="P232" i="4"/>
  <c r="V232" i="4" s="1"/>
  <c r="M232" i="4"/>
  <c r="N232" i="4" s="1"/>
  <c r="AD231" i="4"/>
  <c r="V231" i="4"/>
  <c r="T231" i="4"/>
  <c r="P231" i="4"/>
  <c r="M231" i="4"/>
  <c r="R231" i="4" s="1"/>
  <c r="AD230" i="4"/>
  <c r="U230" i="4"/>
  <c r="T230" i="4"/>
  <c r="R230" i="4"/>
  <c r="P230" i="4"/>
  <c r="V230" i="4" s="1"/>
  <c r="N230" i="4"/>
  <c r="M230" i="4"/>
  <c r="AD229" i="4"/>
  <c r="V229" i="4"/>
  <c r="R229" i="4"/>
  <c r="S229" i="4" s="1"/>
  <c r="P229" i="4"/>
  <c r="N229" i="4"/>
  <c r="M229" i="4"/>
  <c r="AD228" i="4"/>
  <c r="T228" i="4"/>
  <c r="P228" i="4"/>
  <c r="W228" i="4" s="1"/>
  <c r="M228" i="4"/>
  <c r="N228" i="4" s="1"/>
  <c r="AD227" i="4"/>
  <c r="R227" i="4"/>
  <c r="P227" i="4"/>
  <c r="T227" i="4" s="1"/>
  <c r="M227" i="4"/>
  <c r="N227" i="4" s="1"/>
  <c r="AD226" i="4"/>
  <c r="T226" i="4"/>
  <c r="P226" i="4"/>
  <c r="W226" i="4" s="1"/>
  <c r="M226" i="4"/>
  <c r="N226" i="4" s="1"/>
  <c r="AD225" i="4"/>
  <c r="R225" i="4"/>
  <c r="P225" i="4"/>
  <c r="T225" i="4" s="1"/>
  <c r="M225" i="4"/>
  <c r="N225" i="4" s="1"/>
  <c r="AD224" i="4"/>
  <c r="V224" i="4"/>
  <c r="T224" i="4"/>
  <c r="R224" i="4"/>
  <c r="S224" i="4" s="1"/>
  <c r="P224" i="4"/>
  <c r="W224" i="4" s="1"/>
  <c r="N224" i="4"/>
  <c r="M224" i="4"/>
  <c r="AD223" i="4"/>
  <c r="U223" i="4"/>
  <c r="R223" i="4"/>
  <c r="P223" i="4"/>
  <c r="N223" i="4"/>
  <c r="M223" i="4"/>
  <c r="AD222" i="4"/>
  <c r="U222" i="4"/>
  <c r="T222" i="4"/>
  <c r="R222" i="4"/>
  <c r="P222" i="4"/>
  <c r="V222" i="4" s="1"/>
  <c r="N222" i="4"/>
  <c r="M222" i="4"/>
  <c r="AD221" i="4"/>
  <c r="U221" i="4"/>
  <c r="R221" i="4"/>
  <c r="P221" i="4"/>
  <c r="N221" i="4"/>
  <c r="M221" i="4"/>
  <c r="AD220" i="4"/>
  <c r="V220" i="4"/>
  <c r="T220" i="4"/>
  <c r="R220" i="4"/>
  <c r="S220" i="4" s="1"/>
  <c r="P220" i="4"/>
  <c r="W220" i="4" s="1"/>
  <c r="M220" i="4"/>
  <c r="N220" i="4" s="1"/>
  <c r="AD219" i="4"/>
  <c r="T219" i="4"/>
  <c r="P219" i="4"/>
  <c r="W219" i="4" s="1"/>
  <c r="M219" i="4"/>
  <c r="N219" i="4" s="1"/>
  <c r="AD218" i="4"/>
  <c r="R218" i="4"/>
  <c r="P218" i="4"/>
  <c r="T218" i="4" s="1"/>
  <c r="M218" i="4"/>
  <c r="N218" i="4" s="1"/>
  <c r="AD217" i="4"/>
  <c r="T217" i="4"/>
  <c r="P217" i="4"/>
  <c r="W217" i="4" s="1"/>
  <c r="M217" i="4"/>
  <c r="N217" i="4" s="1"/>
  <c r="AD216" i="4"/>
  <c r="P216" i="4"/>
  <c r="T216" i="4" s="1"/>
  <c r="M216" i="4"/>
  <c r="R216" i="4" s="1"/>
  <c r="AD215" i="4"/>
  <c r="T215" i="4"/>
  <c r="P215" i="4"/>
  <c r="W215" i="4" s="1"/>
  <c r="M215" i="4"/>
  <c r="N215" i="4" s="1"/>
  <c r="AD214" i="4"/>
  <c r="P214" i="4"/>
  <c r="T214" i="4" s="1"/>
  <c r="M214" i="4"/>
  <c r="R214" i="4" s="1"/>
  <c r="AD213" i="4"/>
  <c r="T213" i="4"/>
  <c r="P213" i="4"/>
  <c r="W213" i="4" s="1"/>
  <c r="M213" i="4"/>
  <c r="N213" i="4" s="1"/>
  <c r="AD212" i="4"/>
  <c r="V212" i="4"/>
  <c r="R212" i="4"/>
  <c r="S212" i="4" s="1"/>
  <c r="P212" i="4"/>
  <c r="N212" i="4"/>
  <c r="M212" i="4"/>
  <c r="AD211" i="4"/>
  <c r="V211" i="4"/>
  <c r="T211" i="4"/>
  <c r="R211" i="4"/>
  <c r="S211" i="4" s="1"/>
  <c r="P211" i="4"/>
  <c r="W211" i="4" s="1"/>
  <c r="M211" i="4"/>
  <c r="N211" i="4" s="1"/>
  <c r="AD210" i="4"/>
  <c r="W210" i="4"/>
  <c r="U210" i="4"/>
  <c r="T210" i="4"/>
  <c r="P210" i="4"/>
  <c r="V210" i="4" s="1"/>
  <c r="M210" i="4"/>
  <c r="R210" i="4" s="1"/>
  <c r="AD209" i="4"/>
  <c r="W209" i="4"/>
  <c r="U209" i="4"/>
  <c r="T209" i="4"/>
  <c r="R209" i="4"/>
  <c r="P209" i="4"/>
  <c r="V209" i="4" s="1"/>
  <c r="M209" i="4"/>
  <c r="N209" i="4" s="1"/>
  <c r="AD208" i="4"/>
  <c r="W208" i="4"/>
  <c r="U208" i="4"/>
  <c r="T208" i="4"/>
  <c r="P208" i="4"/>
  <c r="V208" i="4" s="1"/>
  <c r="M208" i="4"/>
  <c r="R208" i="4" s="1"/>
  <c r="AD207" i="4"/>
  <c r="W207" i="4"/>
  <c r="U207" i="4"/>
  <c r="T207" i="4"/>
  <c r="R207" i="4"/>
  <c r="P207" i="4"/>
  <c r="V207" i="4" s="1"/>
  <c r="M207" i="4"/>
  <c r="N207" i="4" s="1"/>
  <c r="AD206" i="4"/>
  <c r="W206" i="4"/>
  <c r="U206" i="4"/>
  <c r="T206" i="4"/>
  <c r="P206" i="4"/>
  <c r="V206" i="4" s="1"/>
  <c r="M206" i="4"/>
  <c r="R206" i="4" s="1"/>
  <c r="AD205" i="4"/>
  <c r="P205" i="4"/>
  <c r="T205" i="4" s="1"/>
  <c r="M205" i="4"/>
  <c r="R205" i="4" s="1"/>
  <c r="AD204" i="4"/>
  <c r="T204" i="4"/>
  <c r="P204" i="4"/>
  <c r="W204" i="4" s="1"/>
  <c r="M204" i="4"/>
  <c r="N204" i="4" s="1"/>
  <c r="AD203" i="4"/>
  <c r="V203" i="4"/>
  <c r="R203" i="4"/>
  <c r="S203" i="4" s="1"/>
  <c r="P203" i="4"/>
  <c r="N203" i="4"/>
  <c r="M203" i="4"/>
  <c r="AD202" i="4"/>
  <c r="V202" i="4"/>
  <c r="T202" i="4"/>
  <c r="R202" i="4"/>
  <c r="S202" i="4" s="1"/>
  <c r="P202" i="4"/>
  <c r="W202" i="4" s="1"/>
  <c r="M202" i="4"/>
  <c r="N202" i="4" s="1"/>
  <c r="AD201" i="4"/>
  <c r="W201" i="4"/>
  <c r="U201" i="4"/>
  <c r="T201" i="4"/>
  <c r="P201" i="4"/>
  <c r="V201" i="4" s="1"/>
  <c r="M201" i="4"/>
  <c r="R201" i="4" s="1"/>
  <c r="AD200" i="4"/>
  <c r="W200" i="4"/>
  <c r="U200" i="4"/>
  <c r="T200" i="4"/>
  <c r="R200" i="4"/>
  <c r="P200" i="4"/>
  <c r="V200" i="4" s="1"/>
  <c r="M200" i="4"/>
  <c r="N200" i="4" s="1"/>
  <c r="AD199" i="4"/>
  <c r="W199" i="4"/>
  <c r="U199" i="4"/>
  <c r="T199" i="4"/>
  <c r="P199" i="4"/>
  <c r="V199" i="4" s="1"/>
  <c r="M199" i="4"/>
  <c r="R199" i="4" s="1"/>
  <c r="AD198" i="4"/>
  <c r="P198" i="4"/>
  <c r="T198" i="4" s="1"/>
  <c r="M198" i="4"/>
  <c r="R198" i="4" s="1"/>
  <c r="AD197" i="4"/>
  <c r="T197" i="4"/>
  <c r="P197" i="4"/>
  <c r="W197" i="4" s="1"/>
  <c r="M197" i="4"/>
  <c r="N197" i="4" s="1"/>
  <c r="AD196" i="4"/>
  <c r="P196" i="4"/>
  <c r="T196" i="4" s="1"/>
  <c r="M196" i="4"/>
  <c r="R196" i="4" s="1"/>
  <c r="AD195" i="4"/>
  <c r="T195" i="4"/>
  <c r="P195" i="4"/>
  <c r="W195" i="4" s="1"/>
  <c r="M195" i="4"/>
  <c r="N195" i="4" s="1"/>
  <c r="AD194" i="4"/>
  <c r="V194" i="4"/>
  <c r="R194" i="4"/>
  <c r="S194" i="4" s="1"/>
  <c r="P194" i="4"/>
  <c r="N194" i="4"/>
  <c r="M194" i="4"/>
  <c r="AD193" i="4"/>
  <c r="U193" i="4"/>
  <c r="R193" i="4"/>
  <c r="P193" i="4"/>
  <c r="V193" i="4" s="1"/>
  <c r="N193" i="4"/>
  <c r="M193" i="4"/>
  <c r="AD192" i="4"/>
  <c r="U192" i="4"/>
  <c r="R192" i="4"/>
  <c r="P192" i="4"/>
  <c r="N192" i="4"/>
  <c r="M192" i="4"/>
  <c r="AD191" i="4"/>
  <c r="V191" i="4"/>
  <c r="T191" i="4"/>
  <c r="R191" i="4"/>
  <c r="S191" i="4" s="1"/>
  <c r="P191" i="4"/>
  <c r="W191" i="4" s="1"/>
  <c r="M191" i="4"/>
  <c r="N191" i="4" s="1"/>
  <c r="AD190" i="4"/>
  <c r="T190" i="4"/>
  <c r="P190" i="4"/>
  <c r="W190" i="4" s="1"/>
  <c r="M190" i="4"/>
  <c r="N190" i="4" s="1"/>
  <c r="AD189" i="4"/>
  <c r="V189" i="4"/>
  <c r="R189" i="4"/>
  <c r="S189" i="4" s="1"/>
  <c r="P189" i="4"/>
  <c r="N189" i="4"/>
  <c r="M189" i="4"/>
  <c r="AD188" i="4"/>
  <c r="U188" i="4"/>
  <c r="R188" i="4"/>
  <c r="P188" i="4"/>
  <c r="V188" i="4" s="1"/>
  <c r="N188" i="4"/>
  <c r="M188" i="4"/>
  <c r="AD187" i="4"/>
  <c r="U187" i="4"/>
  <c r="R187" i="4"/>
  <c r="P187" i="4"/>
  <c r="N187" i="4"/>
  <c r="M187" i="4"/>
  <c r="AD186" i="4"/>
  <c r="U186" i="4"/>
  <c r="R186" i="4"/>
  <c r="P186" i="4"/>
  <c r="V186" i="4" s="1"/>
  <c r="N186" i="4"/>
  <c r="M186" i="4"/>
  <c r="AD185" i="4"/>
  <c r="V185" i="4"/>
  <c r="T185" i="4"/>
  <c r="P185" i="4"/>
  <c r="W185" i="4" s="1"/>
  <c r="M185" i="4"/>
  <c r="R185" i="4" s="1"/>
  <c r="AD184" i="4"/>
  <c r="P184" i="4"/>
  <c r="T184" i="4" s="1"/>
  <c r="M184" i="4"/>
  <c r="R184" i="4" s="1"/>
  <c r="AD183" i="4"/>
  <c r="T183" i="4"/>
  <c r="P183" i="4"/>
  <c r="W183" i="4" s="1"/>
  <c r="M183" i="4"/>
  <c r="N183" i="4" s="1"/>
  <c r="AD182" i="4"/>
  <c r="P182" i="4"/>
  <c r="T182" i="4" s="1"/>
  <c r="M182" i="4"/>
  <c r="R182" i="4" s="1"/>
  <c r="AD181" i="4"/>
  <c r="T181" i="4"/>
  <c r="P181" i="4"/>
  <c r="W181" i="4" s="1"/>
  <c r="M181" i="4"/>
  <c r="N181" i="4" s="1"/>
  <c r="AD180" i="4"/>
  <c r="V180" i="4"/>
  <c r="R180" i="4"/>
  <c r="S180" i="4" s="1"/>
  <c r="P180" i="4"/>
  <c r="N180" i="4"/>
  <c r="M180" i="4"/>
  <c r="AD179" i="4"/>
  <c r="V179" i="4"/>
  <c r="T179" i="4"/>
  <c r="R179" i="4"/>
  <c r="S179" i="4" s="1"/>
  <c r="P179" i="4"/>
  <c r="W179" i="4" s="1"/>
  <c r="M179" i="4"/>
  <c r="N179" i="4" s="1"/>
  <c r="AD178" i="4"/>
  <c r="T178" i="4"/>
  <c r="P178" i="4"/>
  <c r="W178" i="4" s="1"/>
  <c r="M178" i="4"/>
  <c r="N178" i="4" s="1"/>
  <c r="AD177" i="4"/>
  <c r="P177" i="4"/>
  <c r="T177" i="4" s="1"/>
  <c r="M177" i="4"/>
  <c r="R177" i="4" s="1"/>
  <c r="AD176" i="4"/>
  <c r="T176" i="4"/>
  <c r="P176" i="4"/>
  <c r="W176" i="4" s="1"/>
  <c r="M176" i="4"/>
  <c r="N176" i="4" s="1"/>
  <c r="AD175" i="4"/>
  <c r="V175" i="4"/>
  <c r="R175" i="4"/>
  <c r="S175" i="4" s="1"/>
  <c r="P175" i="4"/>
  <c r="N175" i="4"/>
  <c r="M175" i="4"/>
  <c r="AD174" i="4"/>
  <c r="V174" i="4"/>
  <c r="T174" i="4"/>
  <c r="R174" i="4"/>
  <c r="S174" i="4" s="1"/>
  <c r="P174" i="4"/>
  <c r="W174" i="4" s="1"/>
  <c r="M174" i="4"/>
  <c r="N174" i="4" s="1"/>
  <c r="AD173" i="4"/>
  <c r="T173" i="4"/>
  <c r="P173" i="4"/>
  <c r="W173" i="4" s="1"/>
  <c r="M173" i="4"/>
  <c r="N173" i="4" s="1"/>
  <c r="AD172" i="4"/>
  <c r="P172" i="4"/>
  <c r="T172" i="4" s="1"/>
  <c r="M172" i="4"/>
  <c r="R172" i="4" s="1"/>
  <c r="AD171" i="4"/>
  <c r="T171" i="4"/>
  <c r="P171" i="4"/>
  <c r="W171" i="4" s="1"/>
  <c r="M171" i="4"/>
  <c r="N171" i="4" s="1"/>
  <c r="AD170" i="4"/>
  <c r="P170" i="4"/>
  <c r="T170" i="4" s="1"/>
  <c r="M170" i="4"/>
  <c r="R170" i="4" s="1"/>
  <c r="AD169" i="4"/>
  <c r="V169" i="4"/>
  <c r="R169" i="4"/>
  <c r="S169" i="4" s="1"/>
  <c r="P169" i="4"/>
  <c r="W169" i="4" s="1"/>
  <c r="N169" i="4"/>
  <c r="M169" i="4"/>
  <c r="AD168" i="4"/>
  <c r="U168" i="4"/>
  <c r="R168" i="4"/>
  <c r="P168" i="4"/>
  <c r="N168" i="4"/>
  <c r="M168" i="4"/>
  <c r="AD167" i="4"/>
  <c r="V167" i="4"/>
  <c r="T167" i="4"/>
  <c r="R167" i="4"/>
  <c r="S167" i="4" s="1"/>
  <c r="P167" i="4"/>
  <c r="W167" i="4" s="1"/>
  <c r="M167" i="4"/>
  <c r="N167" i="4" s="1"/>
  <c r="AD166" i="4"/>
  <c r="T166" i="4"/>
  <c r="P166" i="4"/>
  <c r="W166" i="4" s="1"/>
  <c r="M166" i="4"/>
  <c r="N166" i="4" s="1"/>
  <c r="AD165" i="4"/>
  <c r="P165" i="4"/>
  <c r="T165" i="4" s="1"/>
  <c r="M165" i="4"/>
  <c r="R165" i="4" s="1"/>
  <c r="AD164" i="4"/>
  <c r="T164" i="4"/>
  <c r="P164" i="4"/>
  <c r="W164" i="4" s="1"/>
  <c r="M164" i="4"/>
  <c r="N164" i="4" s="1"/>
  <c r="AD163" i="4"/>
  <c r="V163" i="4"/>
  <c r="R163" i="4"/>
  <c r="S163" i="4" s="1"/>
  <c r="P163" i="4"/>
  <c r="N163" i="4"/>
  <c r="M163" i="4"/>
  <c r="AD162" i="4"/>
  <c r="V162" i="4"/>
  <c r="T162" i="4"/>
  <c r="R162" i="4"/>
  <c r="S162" i="4" s="1"/>
  <c r="P162" i="4"/>
  <c r="W162" i="4" s="1"/>
  <c r="M162" i="4"/>
  <c r="N162" i="4" s="1"/>
  <c r="AD161" i="4"/>
  <c r="T161" i="4"/>
  <c r="P161" i="4"/>
  <c r="W161" i="4" s="1"/>
  <c r="M161" i="4"/>
  <c r="N161" i="4" s="1"/>
  <c r="AD160" i="4"/>
  <c r="P160" i="4"/>
  <c r="T160" i="4" s="1"/>
  <c r="M160" i="4"/>
  <c r="R160" i="4" s="1"/>
  <c r="AD159" i="4"/>
  <c r="T159" i="4"/>
  <c r="P159" i="4"/>
  <c r="W159" i="4" s="1"/>
  <c r="M159" i="4"/>
  <c r="N159" i="4" s="1"/>
  <c r="AD158" i="4"/>
  <c r="P158" i="4"/>
  <c r="T158" i="4" s="1"/>
  <c r="M158" i="4"/>
  <c r="R158" i="4" s="1"/>
  <c r="AD157" i="4"/>
  <c r="T157" i="4"/>
  <c r="P157" i="4"/>
  <c r="W157" i="4" s="1"/>
  <c r="M157" i="4"/>
  <c r="N157" i="4" s="1"/>
  <c r="AD156" i="4"/>
  <c r="V156" i="4"/>
  <c r="R156" i="4"/>
  <c r="S156" i="4" s="1"/>
  <c r="P156" i="4"/>
  <c r="N156" i="4"/>
  <c r="M156" i="4"/>
  <c r="AD155" i="4"/>
  <c r="V155" i="4"/>
  <c r="T155" i="4"/>
  <c r="R155" i="4"/>
  <c r="S155" i="4" s="1"/>
  <c r="P155" i="4"/>
  <c r="W155" i="4" s="1"/>
  <c r="M155" i="4"/>
  <c r="N155" i="4" s="1"/>
  <c r="AD154" i="4"/>
  <c r="T154" i="4"/>
  <c r="P154" i="4"/>
  <c r="W154" i="4" s="1"/>
  <c r="M154" i="4"/>
  <c r="N154" i="4" s="1"/>
  <c r="AD153" i="4"/>
  <c r="V153" i="4"/>
  <c r="R153" i="4"/>
  <c r="S153" i="4" s="1"/>
  <c r="P153" i="4"/>
  <c r="N153" i="4"/>
  <c r="M153" i="4"/>
  <c r="AD152" i="4"/>
  <c r="V152" i="4"/>
  <c r="T152" i="4"/>
  <c r="R152" i="4"/>
  <c r="S152" i="4" s="1"/>
  <c r="P152" i="4"/>
  <c r="W152" i="4" s="1"/>
  <c r="M152" i="4"/>
  <c r="N152" i="4" s="1"/>
  <c r="AD151" i="4"/>
  <c r="W151" i="4"/>
  <c r="U151" i="4"/>
  <c r="T151" i="4"/>
  <c r="P151" i="4"/>
  <c r="V151" i="4" s="1"/>
  <c r="M151" i="4"/>
  <c r="R151" i="4" s="1"/>
  <c r="AD150" i="4"/>
  <c r="W150" i="4"/>
  <c r="U150" i="4"/>
  <c r="T150" i="4"/>
  <c r="R150" i="4"/>
  <c r="P150" i="4"/>
  <c r="V150" i="4" s="1"/>
  <c r="M150" i="4"/>
  <c r="N150" i="4" s="1"/>
  <c r="AD149" i="4"/>
  <c r="W149" i="4"/>
  <c r="U149" i="4"/>
  <c r="T149" i="4"/>
  <c r="P149" i="4"/>
  <c r="V149" i="4" s="1"/>
  <c r="M149" i="4"/>
  <c r="R149" i="4" s="1"/>
  <c r="AD148" i="4"/>
  <c r="W148" i="4"/>
  <c r="U148" i="4"/>
  <c r="T148" i="4"/>
  <c r="R148" i="4"/>
  <c r="P148" i="4"/>
  <c r="V148" i="4" s="1"/>
  <c r="M148" i="4"/>
  <c r="N148" i="4" s="1"/>
  <c r="AD147" i="4"/>
  <c r="W147" i="4"/>
  <c r="U147" i="4"/>
  <c r="T147" i="4"/>
  <c r="P147" i="4"/>
  <c r="V147" i="4" s="1"/>
  <c r="M147" i="4"/>
  <c r="R147" i="4" s="1"/>
  <c r="AD146" i="4"/>
  <c r="W146" i="4"/>
  <c r="U146" i="4"/>
  <c r="T146" i="4"/>
  <c r="R146" i="4"/>
  <c r="P146" i="4"/>
  <c r="V146" i="4" s="1"/>
  <c r="M146" i="4"/>
  <c r="N146" i="4" s="1"/>
  <c r="AD145" i="4"/>
  <c r="T145" i="4"/>
  <c r="P145" i="4"/>
  <c r="W145" i="4" s="1"/>
  <c r="M145" i="4"/>
  <c r="N145" i="4" s="1"/>
  <c r="AD144" i="4"/>
  <c r="V144" i="4"/>
  <c r="R144" i="4"/>
  <c r="S144" i="4" s="1"/>
  <c r="P144" i="4"/>
  <c r="N144" i="4"/>
  <c r="M144" i="4"/>
  <c r="AD143" i="4"/>
  <c r="V143" i="4"/>
  <c r="T143" i="4"/>
  <c r="R143" i="4"/>
  <c r="S143" i="4" s="1"/>
  <c r="P143" i="4"/>
  <c r="W143" i="4" s="1"/>
  <c r="M143" i="4"/>
  <c r="N143" i="4" s="1"/>
  <c r="AD142" i="4"/>
  <c r="T142" i="4"/>
  <c r="P142" i="4"/>
  <c r="W142" i="4" s="1"/>
  <c r="M142" i="4"/>
  <c r="N142" i="4" s="1"/>
  <c r="AD141" i="4"/>
  <c r="P141" i="4"/>
  <c r="T141" i="4" s="1"/>
  <c r="M141" i="4"/>
  <c r="R141" i="4" s="1"/>
  <c r="AD140" i="4"/>
  <c r="V140" i="4"/>
  <c r="R140" i="4"/>
  <c r="S140" i="4" s="1"/>
  <c r="P140" i="4"/>
  <c r="W140" i="4" s="1"/>
  <c r="N140" i="4"/>
  <c r="M140" i="4"/>
  <c r="AD139" i="4"/>
  <c r="V139" i="4"/>
  <c r="T139" i="4"/>
  <c r="P139" i="4"/>
  <c r="W139" i="4" s="1"/>
  <c r="M139" i="4"/>
  <c r="R139" i="4" s="1"/>
  <c r="AD138" i="4"/>
  <c r="W138" i="4"/>
  <c r="U138" i="4"/>
  <c r="T138" i="4"/>
  <c r="R138" i="4"/>
  <c r="P138" i="4"/>
  <c r="V138" i="4" s="1"/>
  <c r="M138" i="4"/>
  <c r="N138" i="4" s="1"/>
  <c r="AD137" i="4"/>
  <c r="T137" i="4"/>
  <c r="P137" i="4"/>
  <c r="W137" i="4" s="1"/>
  <c r="M137" i="4"/>
  <c r="N137" i="4" s="1"/>
  <c r="AD136" i="4"/>
  <c r="P136" i="4"/>
  <c r="T136" i="4" s="1"/>
  <c r="M136" i="4"/>
  <c r="R136" i="4" s="1"/>
  <c r="AD135" i="4"/>
  <c r="T135" i="4"/>
  <c r="P135" i="4"/>
  <c r="W135" i="4" s="1"/>
  <c r="M135" i="4"/>
  <c r="N135" i="4" s="1"/>
  <c r="AD134" i="4"/>
  <c r="P134" i="4"/>
  <c r="T134" i="4" s="1"/>
  <c r="M134" i="4"/>
  <c r="R134" i="4" s="1"/>
  <c r="AD133" i="4"/>
  <c r="V133" i="4"/>
  <c r="R133" i="4"/>
  <c r="S133" i="4" s="1"/>
  <c r="P133" i="4"/>
  <c r="W133" i="4" s="1"/>
  <c r="N133" i="4"/>
  <c r="M133" i="4"/>
  <c r="AD132" i="4"/>
  <c r="V132" i="4"/>
  <c r="T132" i="4"/>
  <c r="P132" i="4"/>
  <c r="W132" i="4" s="1"/>
  <c r="M132" i="4"/>
  <c r="R132" i="4" s="1"/>
  <c r="AD131" i="4"/>
  <c r="W131" i="4"/>
  <c r="U131" i="4"/>
  <c r="T131" i="4"/>
  <c r="R131" i="4"/>
  <c r="P131" i="4"/>
  <c r="V131" i="4" s="1"/>
  <c r="M131" i="4"/>
  <c r="N131" i="4" s="1"/>
  <c r="AD130" i="4"/>
  <c r="W130" i="4"/>
  <c r="U130" i="4"/>
  <c r="T130" i="4"/>
  <c r="P130" i="4"/>
  <c r="V130" i="4" s="1"/>
  <c r="M130" i="4"/>
  <c r="R130" i="4" s="1"/>
  <c r="AD129" i="4"/>
  <c r="P129" i="4"/>
  <c r="T129" i="4" s="1"/>
  <c r="M129" i="4"/>
  <c r="R129" i="4" s="1"/>
  <c r="AD128" i="4"/>
  <c r="T128" i="4"/>
  <c r="P128" i="4"/>
  <c r="W128" i="4" s="1"/>
  <c r="M128" i="4"/>
  <c r="N128" i="4" s="1"/>
  <c r="AD127" i="4"/>
  <c r="P127" i="4"/>
  <c r="T127" i="4" s="1"/>
  <c r="M127" i="4"/>
  <c r="R127" i="4" s="1"/>
  <c r="AD126" i="4"/>
  <c r="T126" i="4"/>
  <c r="P126" i="4"/>
  <c r="W126" i="4" s="1"/>
  <c r="M126" i="4"/>
  <c r="N126" i="4" s="1"/>
  <c r="AD125" i="4"/>
  <c r="V125" i="4"/>
  <c r="R125" i="4"/>
  <c r="S125" i="4" s="1"/>
  <c r="P125" i="4"/>
  <c r="N125" i="4"/>
  <c r="M125" i="4"/>
  <c r="AD124" i="4"/>
  <c r="V124" i="4"/>
  <c r="T124" i="4"/>
  <c r="R124" i="4"/>
  <c r="S124" i="4" s="1"/>
  <c r="P124" i="4"/>
  <c r="W124" i="4" s="1"/>
  <c r="M124" i="4"/>
  <c r="N124" i="4" s="1"/>
  <c r="AD123" i="4"/>
  <c r="W123" i="4"/>
  <c r="U123" i="4"/>
  <c r="T123" i="4"/>
  <c r="P123" i="4"/>
  <c r="V123" i="4" s="1"/>
  <c r="M123" i="4"/>
  <c r="R123" i="4" s="1"/>
  <c r="AD122" i="4"/>
  <c r="W122" i="4"/>
  <c r="U122" i="4"/>
  <c r="T122" i="4"/>
  <c r="R122" i="4"/>
  <c r="P122" i="4"/>
  <c r="V122" i="4" s="1"/>
  <c r="M122" i="4"/>
  <c r="N122" i="4" s="1"/>
  <c r="AD121" i="4"/>
  <c r="T121" i="4"/>
  <c r="P121" i="4"/>
  <c r="W121" i="4" s="1"/>
  <c r="M121" i="4"/>
  <c r="N121" i="4" s="1"/>
  <c r="AD120" i="4"/>
  <c r="P120" i="4"/>
  <c r="T120" i="4" s="1"/>
  <c r="M120" i="4"/>
  <c r="R120" i="4" s="1"/>
  <c r="AD119" i="4"/>
  <c r="T119" i="4"/>
  <c r="P119" i="4"/>
  <c r="W119" i="4" s="1"/>
  <c r="M119" i="4"/>
  <c r="N119" i="4" s="1"/>
  <c r="AD118" i="4"/>
  <c r="V118" i="4"/>
  <c r="R118" i="4"/>
  <c r="S118" i="4" s="1"/>
  <c r="P118" i="4"/>
  <c r="N118" i="4"/>
  <c r="M118" i="4"/>
  <c r="AD117" i="4"/>
  <c r="R117" i="4"/>
  <c r="P117" i="4"/>
  <c r="V117" i="4" s="1"/>
  <c r="N117" i="4"/>
  <c r="M117" i="4"/>
  <c r="AD116" i="4"/>
  <c r="U116" i="4"/>
  <c r="R116" i="4"/>
  <c r="P116" i="4"/>
  <c r="N116" i="4"/>
  <c r="M116" i="4"/>
  <c r="AD115" i="4"/>
  <c r="R115" i="4"/>
  <c r="P115" i="4"/>
  <c r="V115" i="4" s="1"/>
  <c r="N115" i="4"/>
  <c r="M115" i="4"/>
  <c r="AD114" i="4"/>
  <c r="V114" i="4"/>
  <c r="T114" i="4"/>
  <c r="P114" i="4"/>
  <c r="W114" i="4" s="1"/>
  <c r="M114" i="4"/>
  <c r="R114" i="4" s="1"/>
  <c r="AD113" i="4"/>
  <c r="P113" i="4"/>
  <c r="T113" i="4" s="1"/>
  <c r="M113" i="4"/>
  <c r="R113" i="4" s="1"/>
  <c r="AD112" i="4"/>
  <c r="R112" i="4"/>
  <c r="P112" i="4"/>
  <c r="W112" i="4" s="1"/>
  <c r="N112" i="4"/>
  <c r="M112" i="4"/>
  <c r="AD111" i="4"/>
  <c r="V111" i="4"/>
  <c r="T111" i="4"/>
  <c r="P111" i="4"/>
  <c r="W111" i="4" s="1"/>
  <c r="M111" i="4"/>
  <c r="R111" i="4" s="1"/>
  <c r="AD110" i="4"/>
  <c r="W110" i="4"/>
  <c r="U110" i="4"/>
  <c r="T110" i="4"/>
  <c r="R110" i="4"/>
  <c r="P110" i="4"/>
  <c r="V110" i="4" s="1"/>
  <c r="M110" i="4"/>
  <c r="N110" i="4" s="1"/>
  <c r="AD109" i="4"/>
  <c r="T109" i="4"/>
  <c r="P109" i="4"/>
  <c r="W109" i="4" s="1"/>
  <c r="M109" i="4"/>
  <c r="N109" i="4" s="1"/>
  <c r="AD108" i="4"/>
  <c r="V108" i="4"/>
  <c r="R108" i="4"/>
  <c r="S108" i="4" s="1"/>
  <c r="P108" i="4"/>
  <c r="N108" i="4"/>
  <c r="M108" i="4"/>
  <c r="AD107" i="4"/>
  <c r="V107" i="4"/>
  <c r="T107" i="4"/>
  <c r="R107" i="4"/>
  <c r="S107" i="4" s="1"/>
  <c r="P107" i="4"/>
  <c r="W107" i="4" s="1"/>
  <c r="M107" i="4"/>
  <c r="N107" i="4" s="1"/>
  <c r="AD106" i="4"/>
  <c r="W106" i="4"/>
  <c r="U106" i="4"/>
  <c r="T106" i="4"/>
  <c r="P106" i="4"/>
  <c r="V106" i="4" s="1"/>
  <c r="M106" i="4"/>
  <c r="R106" i="4" s="1"/>
  <c r="AD105" i="4"/>
  <c r="P105" i="4"/>
  <c r="T105" i="4" s="1"/>
  <c r="M105" i="4"/>
  <c r="R105" i="4" s="1"/>
  <c r="AD104" i="4"/>
  <c r="R104" i="4"/>
  <c r="P104" i="4"/>
  <c r="W104" i="4" s="1"/>
  <c r="N104" i="4"/>
  <c r="M104" i="4"/>
  <c r="AD103" i="4"/>
  <c r="U103" i="4"/>
  <c r="R103" i="4"/>
  <c r="P103" i="4"/>
  <c r="N103" i="4"/>
  <c r="M103" i="4"/>
  <c r="AD102" i="4"/>
  <c r="R102" i="4"/>
  <c r="P102" i="4"/>
  <c r="V102" i="4" s="1"/>
  <c r="N102" i="4"/>
  <c r="M102" i="4"/>
  <c r="AD101" i="4"/>
  <c r="V101" i="4"/>
  <c r="T101" i="4"/>
  <c r="P101" i="4"/>
  <c r="W101" i="4" s="1"/>
  <c r="M101" i="4"/>
  <c r="R101" i="4" s="1"/>
  <c r="AD100" i="4"/>
  <c r="P100" i="4"/>
  <c r="T100" i="4" s="1"/>
  <c r="M100" i="4"/>
  <c r="R100" i="4" s="1"/>
  <c r="AD99" i="4"/>
  <c r="R99" i="4"/>
  <c r="P99" i="4"/>
  <c r="W99" i="4" s="1"/>
  <c r="N99" i="4"/>
  <c r="M99" i="4"/>
  <c r="AD98" i="4"/>
  <c r="V98" i="4"/>
  <c r="T98" i="4"/>
  <c r="P98" i="4"/>
  <c r="W98" i="4" s="1"/>
  <c r="M98" i="4"/>
  <c r="AD97" i="4"/>
  <c r="P97" i="4"/>
  <c r="W97" i="4" s="1"/>
  <c r="M97" i="4"/>
  <c r="R97" i="4" s="1"/>
  <c r="AD96" i="4"/>
  <c r="R96" i="4"/>
  <c r="P96" i="4"/>
  <c r="W96" i="4" s="1"/>
  <c r="N96" i="4"/>
  <c r="M96" i="4"/>
  <c r="AD95" i="4"/>
  <c r="U95" i="4"/>
  <c r="R95" i="4"/>
  <c r="P95" i="4"/>
  <c r="N95" i="4"/>
  <c r="M95" i="4"/>
  <c r="AD94" i="4"/>
  <c r="R94" i="4"/>
  <c r="P94" i="4"/>
  <c r="V94" i="4" s="1"/>
  <c r="N94" i="4"/>
  <c r="M94" i="4"/>
  <c r="AD93" i="4"/>
  <c r="U93" i="4"/>
  <c r="R93" i="4"/>
  <c r="P93" i="4"/>
  <c r="N93" i="4"/>
  <c r="M93" i="4"/>
  <c r="AD92" i="4"/>
  <c r="V92" i="4"/>
  <c r="T92" i="4"/>
  <c r="R92" i="4"/>
  <c r="S92" i="4" s="1"/>
  <c r="X92" i="4" s="1"/>
  <c r="AC92" i="4" s="1"/>
  <c r="P92" i="4"/>
  <c r="W92" i="4" s="1"/>
  <c r="Q92" i="4" s="1"/>
  <c r="M92" i="4"/>
  <c r="N92" i="4" s="1"/>
  <c r="AD91" i="4"/>
  <c r="W91" i="4"/>
  <c r="U91" i="4"/>
  <c r="T91" i="4"/>
  <c r="P91" i="4"/>
  <c r="V91" i="4" s="1"/>
  <c r="M91" i="4"/>
  <c r="AD90" i="4"/>
  <c r="P90" i="4"/>
  <c r="M90" i="4"/>
  <c r="R90" i="4" s="1"/>
  <c r="AD89" i="4"/>
  <c r="T89" i="4"/>
  <c r="P89" i="4"/>
  <c r="W89" i="4" s="1"/>
  <c r="M89" i="4"/>
  <c r="N89" i="4" s="1"/>
  <c r="AD88" i="4"/>
  <c r="V88" i="4"/>
  <c r="P88" i="4"/>
  <c r="M88" i="4"/>
  <c r="R88" i="4" s="1"/>
  <c r="AD87" i="4"/>
  <c r="T87" i="4"/>
  <c r="P87" i="4"/>
  <c r="W87" i="4" s="1"/>
  <c r="M87" i="4"/>
  <c r="AD86" i="4"/>
  <c r="W86" i="4"/>
  <c r="R86" i="4"/>
  <c r="P86" i="4"/>
  <c r="V86" i="4" s="1"/>
  <c r="N86" i="4"/>
  <c r="M86" i="4"/>
  <c r="AD85" i="4"/>
  <c r="V85" i="4"/>
  <c r="T85" i="4"/>
  <c r="R85" i="4"/>
  <c r="S85" i="4" s="1"/>
  <c r="Q85" i="4"/>
  <c r="P85" i="4"/>
  <c r="W85" i="4" s="1"/>
  <c r="M85" i="4"/>
  <c r="N85" i="4" s="1"/>
  <c r="AD84" i="4"/>
  <c r="T84" i="4"/>
  <c r="P84" i="4"/>
  <c r="W84" i="4" s="1"/>
  <c r="M84" i="4"/>
  <c r="AD83" i="4"/>
  <c r="W83" i="4"/>
  <c r="V83" i="4"/>
  <c r="P83" i="4"/>
  <c r="M83" i="4"/>
  <c r="R83" i="4" s="1"/>
  <c r="AD82" i="4"/>
  <c r="T82" i="4"/>
  <c r="P82" i="4"/>
  <c r="W82" i="4" s="1"/>
  <c r="M82" i="4"/>
  <c r="AD81" i="4"/>
  <c r="W81" i="4"/>
  <c r="P81" i="4"/>
  <c r="V81" i="4" s="1"/>
  <c r="M81" i="4"/>
  <c r="R81" i="4" s="1"/>
  <c r="AD80" i="4"/>
  <c r="T80" i="4"/>
  <c r="P80" i="4"/>
  <c r="W80" i="4" s="1"/>
  <c r="M80" i="4"/>
  <c r="AD79" i="4"/>
  <c r="V79" i="4"/>
  <c r="P79" i="4"/>
  <c r="W79" i="4" s="1"/>
  <c r="M79" i="4"/>
  <c r="R79" i="4" s="1"/>
  <c r="AD78" i="4"/>
  <c r="T78" i="4"/>
  <c r="P78" i="4"/>
  <c r="W78" i="4" s="1"/>
  <c r="M78" i="4"/>
  <c r="AD77" i="4"/>
  <c r="R77" i="4"/>
  <c r="P77" i="4"/>
  <c r="N77" i="4"/>
  <c r="M77" i="4"/>
  <c r="AD76" i="4"/>
  <c r="X76" i="4"/>
  <c r="AC76" i="4" s="1"/>
  <c r="V76" i="4"/>
  <c r="T76" i="4"/>
  <c r="R76" i="4"/>
  <c r="S76" i="4" s="1"/>
  <c r="Q76" i="4"/>
  <c r="P76" i="4"/>
  <c r="W76" i="4" s="1"/>
  <c r="Y76" i="4" s="1"/>
  <c r="AA76" i="4" s="1"/>
  <c r="M76" i="4"/>
  <c r="N76" i="4" s="1"/>
  <c r="AD75" i="4"/>
  <c r="T75" i="4"/>
  <c r="P75" i="4"/>
  <c r="W75" i="4" s="1"/>
  <c r="M75" i="4"/>
  <c r="AD74" i="4"/>
  <c r="V74" i="4"/>
  <c r="R74" i="4"/>
  <c r="P74" i="4"/>
  <c r="W74" i="4" s="1"/>
  <c r="N74" i="4"/>
  <c r="M74" i="4"/>
  <c r="AD73" i="4"/>
  <c r="Z73" i="4"/>
  <c r="V73" i="4"/>
  <c r="R73" i="4"/>
  <c r="P73" i="4"/>
  <c r="W73" i="4" s="1"/>
  <c r="N73" i="4"/>
  <c r="M73" i="4"/>
  <c r="AD72" i="4"/>
  <c r="V72" i="4"/>
  <c r="R72" i="4"/>
  <c r="P72" i="4"/>
  <c r="U72" i="4" s="1"/>
  <c r="N72" i="4"/>
  <c r="M72" i="4"/>
  <c r="AD71" i="4"/>
  <c r="U71" i="4"/>
  <c r="R71" i="4"/>
  <c r="P71" i="4"/>
  <c r="V71" i="4" s="1"/>
  <c r="N71" i="4"/>
  <c r="M71" i="4"/>
  <c r="AD70" i="4"/>
  <c r="V70" i="4"/>
  <c r="U70" i="4"/>
  <c r="R70" i="4"/>
  <c r="P70" i="4"/>
  <c r="N70" i="4"/>
  <c r="M70" i="4"/>
  <c r="AD69" i="4"/>
  <c r="U69" i="4"/>
  <c r="R69" i="4"/>
  <c r="P69" i="4"/>
  <c r="V69" i="4" s="1"/>
  <c r="N69" i="4"/>
  <c r="M69" i="4"/>
  <c r="AD68" i="4"/>
  <c r="V68" i="4"/>
  <c r="T68" i="4"/>
  <c r="P68" i="4"/>
  <c r="W68" i="4" s="1"/>
  <c r="M68" i="4"/>
  <c r="R68" i="4" s="1"/>
  <c r="AD67" i="4"/>
  <c r="W67" i="4"/>
  <c r="U67" i="4"/>
  <c r="T67" i="4"/>
  <c r="R67" i="4"/>
  <c r="P67" i="4"/>
  <c r="V67" i="4" s="1"/>
  <c r="M67" i="4"/>
  <c r="N67" i="4" s="1"/>
  <c r="AD66" i="4"/>
  <c r="W66" i="4"/>
  <c r="U66" i="4"/>
  <c r="T66" i="4"/>
  <c r="P66" i="4"/>
  <c r="V66" i="4" s="1"/>
  <c r="M66" i="4"/>
  <c r="R66" i="4" s="1"/>
  <c r="AD65" i="4"/>
  <c r="W65" i="4"/>
  <c r="U65" i="4"/>
  <c r="T65" i="4"/>
  <c r="R65" i="4"/>
  <c r="P65" i="4"/>
  <c r="V65" i="4" s="1"/>
  <c r="M65" i="4"/>
  <c r="N65" i="4" s="1"/>
  <c r="AD64" i="4"/>
  <c r="W64" i="4"/>
  <c r="U64" i="4"/>
  <c r="T64" i="4"/>
  <c r="P64" i="4"/>
  <c r="V64" i="4" s="1"/>
  <c r="M64" i="4"/>
  <c r="R64" i="4" s="1"/>
  <c r="AD63" i="4"/>
  <c r="W63" i="4"/>
  <c r="P63" i="4"/>
  <c r="M63" i="4"/>
  <c r="R63" i="4" s="1"/>
  <c r="AD62" i="4"/>
  <c r="T62" i="4"/>
  <c r="P62" i="4"/>
  <c r="W62" i="4" s="1"/>
  <c r="M62" i="4"/>
  <c r="AD61" i="4"/>
  <c r="W61" i="4"/>
  <c r="V61" i="4"/>
  <c r="R61" i="4"/>
  <c r="P61" i="4"/>
  <c r="N61" i="4"/>
  <c r="M61" i="4"/>
  <c r="AD60" i="4"/>
  <c r="U60" i="4"/>
  <c r="R60" i="4"/>
  <c r="P60" i="4"/>
  <c r="V60" i="4" s="1"/>
  <c r="N60" i="4"/>
  <c r="M60" i="4"/>
  <c r="AD59" i="4"/>
  <c r="V59" i="4"/>
  <c r="T59" i="4"/>
  <c r="P59" i="4"/>
  <c r="W59" i="4" s="1"/>
  <c r="M59" i="4"/>
  <c r="R59" i="4" s="1"/>
  <c r="AD58" i="4"/>
  <c r="W58" i="4"/>
  <c r="P58" i="4"/>
  <c r="M58" i="4"/>
  <c r="R58" i="4" s="1"/>
  <c r="AD57" i="4"/>
  <c r="V57" i="4"/>
  <c r="R57" i="4"/>
  <c r="S57" i="4" s="1"/>
  <c r="P57" i="4"/>
  <c r="W57" i="4" s="1"/>
  <c r="N57" i="4"/>
  <c r="M57" i="4"/>
  <c r="AD56" i="4"/>
  <c r="V56" i="4"/>
  <c r="T56" i="4"/>
  <c r="P56" i="4"/>
  <c r="W56" i="4" s="1"/>
  <c r="M56" i="4"/>
  <c r="R56" i="4" s="1"/>
  <c r="AD55" i="4"/>
  <c r="P55" i="4"/>
  <c r="M55" i="4"/>
  <c r="R55" i="4" s="1"/>
  <c r="AD54" i="4"/>
  <c r="T54" i="4"/>
  <c r="P54" i="4"/>
  <c r="W54" i="4" s="1"/>
  <c r="M54" i="4"/>
  <c r="AD53" i="4"/>
  <c r="P53" i="4"/>
  <c r="M53" i="4"/>
  <c r="R53" i="4" s="1"/>
  <c r="AD52" i="4"/>
  <c r="V52" i="4"/>
  <c r="S52" i="4"/>
  <c r="R52" i="4"/>
  <c r="P52" i="4"/>
  <c r="W52" i="4" s="1"/>
  <c r="N52" i="4"/>
  <c r="M52" i="4"/>
  <c r="AD51" i="4"/>
  <c r="U51" i="4"/>
  <c r="R51" i="4"/>
  <c r="P51" i="4"/>
  <c r="V51" i="4" s="1"/>
  <c r="N51" i="4"/>
  <c r="M51" i="4"/>
  <c r="AD50" i="4"/>
  <c r="U50" i="4"/>
  <c r="R50" i="4"/>
  <c r="P50" i="4"/>
  <c r="V50" i="4" s="1"/>
  <c r="N50" i="4"/>
  <c r="M50" i="4"/>
  <c r="AD49" i="4"/>
  <c r="V49" i="4"/>
  <c r="R49" i="4"/>
  <c r="P49" i="4"/>
  <c r="U49" i="4" s="1"/>
  <c r="N49" i="4"/>
  <c r="M49" i="4"/>
  <c r="AD48" i="4"/>
  <c r="U48" i="4"/>
  <c r="R48" i="4"/>
  <c r="P48" i="4"/>
  <c r="V48" i="4" s="1"/>
  <c r="N48" i="4"/>
  <c r="M48" i="4"/>
  <c r="AD47" i="4"/>
  <c r="U47" i="4"/>
  <c r="R47" i="4"/>
  <c r="P47" i="4"/>
  <c r="V47" i="4" s="1"/>
  <c r="N47" i="4"/>
  <c r="M47" i="4"/>
  <c r="AD46" i="4"/>
  <c r="V46" i="4"/>
  <c r="T46" i="4"/>
  <c r="P46" i="4"/>
  <c r="W46" i="4" s="1"/>
  <c r="M46" i="4"/>
  <c r="N46" i="4" s="1"/>
  <c r="AD45" i="4"/>
  <c r="W45" i="4"/>
  <c r="U45" i="4"/>
  <c r="T45" i="4"/>
  <c r="P45" i="4"/>
  <c r="V45" i="4" s="1"/>
  <c r="M45" i="4"/>
  <c r="R45" i="4" s="1"/>
  <c r="AD44" i="4"/>
  <c r="W44" i="4"/>
  <c r="U44" i="4"/>
  <c r="T44" i="4"/>
  <c r="P44" i="4"/>
  <c r="V44" i="4" s="1"/>
  <c r="M44" i="4"/>
  <c r="R44" i="4" s="1"/>
  <c r="AD43" i="4"/>
  <c r="W43" i="4"/>
  <c r="U43" i="4"/>
  <c r="T43" i="4"/>
  <c r="P43" i="4"/>
  <c r="V43" i="4" s="1"/>
  <c r="M43" i="4"/>
  <c r="R43" i="4" s="1"/>
  <c r="AD42" i="4"/>
  <c r="W42" i="4"/>
  <c r="U42" i="4"/>
  <c r="T42" i="4"/>
  <c r="P42" i="4"/>
  <c r="V42" i="4" s="1"/>
  <c r="M42" i="4"/>
  <c r="R42" i="4" s="1"/>
  <c r="AD41" i="4"/>
  <c r="W41" i="4"/>
  <c r="U41" i="4"/>
  <c r="T41" i="4"/>
  <c r="P41" i="4"/>
  <c r="V41" i="4" s="1"/>
  <c r="M41" i="4"/>
  <c r="R41" i="4" s="1"/>
  <c r="AD40" i="4"/>
  <c r="P40" i="4"/>
  <c r="W40" i="4" s="1"/>
  <c r="M40" i="4"/>
  <c r="AD39" i="4"/>
  <c r="V39" i="4"/>
  <c r="S39" i="4"/>
  <c r="R39" i="4"/>
  <c r="P39" i="4"/>
  <c r="T39" i="4" s="1"/>
  <c r="N39" i="4"/>
  <c r="M39" i="4"/>
  <c r="AD38" i="4"/>
  <c r="V38" i="4"/>
  <c r="T38" i="4"/>
  <c r="R38" i="4"/>
  <c r="S38" i="4" s="1"/>
  <c r="Q38" i="4"/>
  <c r="P38" i="4"/>
  <c r="W38" i="4" s="1"/>
  <c r="N38" i="4"/>
  <c r="M38" i="4"/>
  <c r="AD37" i="4"/>
  <c r="P37" i="4"/>
  <c r="M37" i="4"/>
  <c r="AD36" i="4"/>
  <c r="W36" i="4"/>
  <c r="R36" i="4"/>
  <c r="P36" i="4"/>
  <c r="T36" i="4" s="1"/>
  <c r="N36" i="4"/>
  <c r="M36" i="4"/>
  <c r="AD35" i="4"/>
  <c r="W35" i="4"/>
  <c r="R35" i="4"/>
  <c r="P35" i="4"/>
  <c r="T35" i="4" s="1"/>
  <c r="N35" i="4"/>
  <c r="M35" i="4"/>
  <c r="AD34" i="4"/>
  <c r="R34" i="4"/>
  <c r="P34" i="4"/>
  <c r="U34" i="4" s="1"/>
  <c r="M34" i="4"/>
  <c r="N34" i="4" s="1"/>
  <c r="AD33" i="4"/>
  <c r="P33" i="4"/>
  <c r="U33" i="4" s="1"/>
  <c r="M33" i="4"/>
  <c r="R33" i="4" s="1"/>
  <c r="AD32" i="4"/>
  <c r="V32" i="4"/>
  <c r="T32" i="4"/>
  <c r="R32" i="4"/>
  <c r="S32" i="4" s="1"/>
  <c r="P32" i="4"/>
  <c r="U32" i="4" s="1"/>
  <c r="M32" i="4"/>
  <c r="N32" i="4" s="1"/>
  <c r="AD31" i="4"/>
  <c r="P31" i="4"/>
  <c r="V31" i="4" s="1"/>
  <c r="S31" i="4" s="1"/>
  <c r="M31" i="4"/>
  <c r="N31" i="4" s="1"/>
  <c r="AD30" i="4"/>
  <c r="P30" i="4"/>
  <c r="U30" i="4" s="1"/>
  <c r="M30" i="4"/>
  <c r="R30" i="4" s="1"/>
  <c r="AD29" i="4"/>
  <c r="V29" i="4"/>
  <c r="T29" i="4"/>
  <c r="R29" i="4"/>
  <c r="S29" i="4" s="1"/>
  <c r="P29" i="4"/>
  <c r="U29" i="4" s="1"/>
  <c r="M29" i="4"/>
  <c r="N29" i="4" s="1"/>
  <c r="AD28" i="4"/>
  <c r="R28" i="4"/>
  <c r="P28" i="4"/>
  <c r="U28" i="4" s="1"/>
  <c r="M28" i="4"/>
  <c r="N28" i="4" s="1"/>
  <c r="AD27" i="4"/>
  <c r="P27" i="4"/>
  <c r="U27" i="4" s="1"/>
  <c r="M27" i="4"/>
  <c r="R27" i="4" s="1"/>
  <c r="AD26" i="4"/>
  <c r="V26" i="4"/>
  <c r="T26" i="4"/>
  <c r="R26" i="4"/>
  <c r="S26" i="4" s="1"/>
  <c r="P26" i="4"/>
  <c r="U26" i="4" s="1"/>
  <c r="M26" i="4"/>
  <c r="N26" i="4" s="1"/>
  <c r="AD25" i="4"/>
  <c r="R25" i="4"/>
  <c r="P25" i="4"/>
  <c r="U25" i="4" s="1"/>
  <c r="M25" i="4"/>
  <c r="N25" i="4" s="1"/>
  <c r="AD24" i="4"/>
  <c r="P24" i="4"/>
  <c r="U24" i="4" s="1"/>
  <c r="M24" i="4"/>
  <c r="R24" i="4" s="1"/>
  <c r="AD23" i="4"/>
  <c r="V23" i="4"/>
  <c r="T23" i="4"/>
  <c r="R23" i="4"/>
  <c r="S23" i="4" s="1"/>
  <c r="P23" i="4"/>
  <c r="U23" i="4" s="1"/>
  <c r="M23" i="4"/>
  <c r="N23" i="4" s="1"/>
  <c r="AD22" i="4"/>
  <c r="R22" i="4"/>
  <c r="P22" i="4"/>
  <c r="U22" i="4" s="1"/>
  <c r="M22" i="4"/>
  <c r="N22" i="4" s="1"/>
  <c r="AD21" i="4"/>
  <c r="P21" i="4"/>
  <c r="U21" i="4" s="1"/>
  <c r="M21" i="4"/>
  <c r="R21" i="4" s="1"/>
  <c r="AD20" i="4"/>
  <c r="V20" i="4"/>
  <c r="T20" i="4"/>
  <c r="R20" i="4"/>
  <c r="S20" i="4" s="1"/>
  <c r="P20" i="4"/>
  <c r="U20" i="4" s="1"/>
  <c r="M20" i="4"/>
  <c r="N20" i="4" s="1"/>
  <c r="AD19" i="4"/>
  <c r="R19" i="4"/>
  <c r="P19" i="4"/>
  <c r="U19" i="4" s="1"/>
  <c r="M19" i="4"/>
  <c r="N19" i="4" s="1"/>
  <c r="AD18" i="4"/>
  <c r="P18" i="4"/>
  <c r="U18" i="4" s="1"/>
  <c r="M18" i="4"/>
  <c r="R18" i="4" s="1"/>
  <c r="AD17" i="4"/>
  <c r="V17" i="4"/>
  <c r="T17" i="4"/>
  <c r="R17" i="4"/>
  <c r="S17" i="4" s="1"/>
  <c r="P17" i="4"/>
  <c r="U17" i="4" s="1"/>
  <c r="M17" i="4"/>
  <c r="N17" i="4" s="1"/>
  <c r="AD16" i="4"/>
  <c r="R16" i="4"/>
  <c r="P16" i="4"/>
  <c r="U16" i="4" s="1"/>
  <c r="M16" i="4"/>
  <c r="N16" i="4" s="1"/>
  <c r="AD15" i="4"/>
  <c r="P15" i="4"/>
  <c r="U15" i="4" s="1"/>
  <c r="M15" i="4"/>
  <c r="R15" i="4" s="1"/>
  <c r="AD14" i="4"/>
  <c r="V14" i="4"/>
  <c r="T14" i="4"/>
  <c r="R14" i="4"/>
  <c r="S14" i="4" s="1"/>
  <c r="P14" i="4"/>
  <c r="U14" i="4" s="1"/>
  <c r="M14" i="4"/>
  <c r="N14" i="4" s="1"/>
  <c r="AD13" i="4"/>
  <c r="R13" i="4"/>
  <c r="P13" i="4"/>
  <c r="U13" i="4" s="1"/>
  <c r="M13" i="4"/>
  <c r="N13" i="4" s="1"/>
  <c r="AD12" i="4"/>
  <c r="P12" i="4"/>
  <c r="U12" i="4" s="1"/>
  <c r="M12" i="4"/>
  <c r="R12" i="4" s="1"/>
  <c r="AD11" i="4"/>
  <c r="V11" i="4"/>
  <c r="T11" i="4"/>
  <c r="R11" i="4"/>
  <c r="S11" i="4" s="1"/>
  <c r="P11" i="4"/>
  <c r="U11" i="4" s="1"/>
  <c r="M11" i="4"/>
  <c r="N11" i="4" s="1"/>
  <c r="AD10" i="4"/>
  <c r="R10" i="4"/>
  <c r="P10" i="4"/>
  <c r="U10" i="4" s="1"/>
  <c r="M10" i="4"/>
  <c r="N10" i="4" s="1"/>
  <c r="AD9" i="4"/>
  <c r="P9" i="4"/>
  <c r="U9" i="4" s="1"/>
  <c r="M9" i="4"/>
  <c r="R9" i="4" s="1"/>
  <c r="AD8" i="4"/>
  <c r="V8" i="4"/>
  <c r="T8" i="4"/>
  <c r="R8" i="4"/>
  <c r="S8" i="4" s="1"/>
  <c r="P8" i="4"/>
  <c r="U8" i="4" s="1"/>
  <c r="M8" i="4"/>
  <c r="N8" i="4" s="1"/>
  <c r="AD7" i="4"/>
  <c r="R7" i="4"/>
  <c r="P7" i="4"/>
  <c r="U7" i="4" s="1"/>
  <c r="M7" i="4"/>
  <c r="N7" i="4" s="1"/>
  <c r="AD6" i="4"/>
  <c r="P6" i="4"/>
  <c r="U6" i="4" s="1"/>
  <c r="M6" i="4"/>
  <c r="R6" i="4" s="1"/>
  <c r="AD5" i="4"/>
  <c r="V5" i="4"/>
  <c r="T5" i="4"/>
  <c r="R5" i="4"/>
  <c r="S5" i="4" s="1"/>
  <c r="P5" i="4"/>
  <c r="U5" i="4" s="1"/>
  <c r="M5" i="4"/>
  <c r="N5" i="4" s="1"/>
  <c r="AD4" i="4"/>
  <c r="R4" i="4"/>
  <c r="P4" i="4"/>
  <c r="U4" i="4" s="1"/>
  <c r="M4" i="4"/>
  <c r="N4" i="4" s="1"/>
  <c r="AD3" i="4"/>
  <c r="P3" i="4"/>
  <c r="U3" i="4" s="1"/>
  <c r="M3" i="4"/>
  <c r="R3" i="4" s="1"/>
  <c r="AD2" i="4"/>
  <c r="V2" i="4"/>
  <c r="T2" i="4"/>
  <c r="R2" i="4"/>
  <c r="S2" i="4" s="1"/>
  <c r="P2" i="4"/>
  <c r="U2" i="4" s="1"/>
  <c r="M2" i="4"/>
  <c r="N2" i="4" s="1"/>
  <c r="F98" i="3"/>
  <c r="B97" i="3"/>
  <c r="M95" i="3"/>
  <c r="K95" i="3"/>
  <c r="B94" i="3"/>
  <c r="B98" i="3" s="1"/>
  <c r="A94" i="3"/>
  <c r="B96" i="3" s="1"/>
  <c r="N92" i="3"/>
  <c r="N91" i="3"/>
  <c r="B91" i="3"/>
  <c r="N90" i="3"/>
  <c r="H90" i="3"/>
  <c r="G90" i="3"/>
  <c r="B90" i="3"/>
  <c r="H89" i="3"/>
  <c r="G89" i="3"/>
  <c r="B89" i="3"/>
  <c r="D97" i="3" s="1"/>
  <c r="E88" i="3"/>
  <c r="D88" i="3"/>
  <c r="L86" i="3"/>
  <c r="H86" i="3"/>
  <c r="B86" i="3"/>
  <c r="H85" i="3"/>
  <c r="G85" i="3"/>
  <c r="F85" i="3"/>
  <c r="H84" i="3"/>
  <c r="G84" i="3"/>
  <c r="H83" i="3"/>
  <c r="G83" i="3"/>
  <c r="H82" i="3"/>
  <c r="G82" i="3"/>
  <c r="H81" i="3"/>
  <c r="G81" i="3"/>
  <c r="H80" i="3"/>
  <c r="G80" i="3"/>
  <c r="H79" i="3"/>
  <c r="G79" i="3"/>
  <c r="H78" i="3"/>
  <c r="G78" i="3"/>
  <c r="H77" i="3"/>
  <c r="G77" i="3"/>
  <c r="H76" i="3"/>
  <c r="G76" i="3"/>
  <c r="H75" i="3"/>
  <c r="G75" i="3"/>
  <c r="H74" i="3"/>
  <c r="G74" i="3"/>
  <c r="H73" i="3"/>
  <c r="G73" i="3"/>
  <c r="H72" i="3"/>
  <c r="G72" i="3"/>
  <c r="H71" i="3"/>
  <c r="G71" i="3"/>
  <c r="H70" i="3"/>
  <c r="G70" i="3"/>
  <c r="H69" i="3"/>
  <c r="G69" i="3"/>
  <c r="H68" i="3"/>
  <c r="G68" i="3"/>
  <c r="H67" i="3"/>
  <c r="G67" i="3"/>
  <c r="H66" i="3"/>
  <c r="G66" i="3"/>
  <c r="H65" i="3"/>
  <c r="G65" i="3"/>
  <c r="H64" i="3"/>
  <c r="G64" i="3"/>
  <c r="H63" i="3"/>
  <c r="G63" i="3"/>
  <c r="H62" i="3"/>
  <c r="G62" i="3"/>
  <c r="H61" i="3"/>
  <c r="G61" i="3"/>
  <c r="H60" i="3"/>
  <c r="G60" i="3"/>
  <c r="H59" i="3"/>
  <c r="G59" i="3"/>
  <c r="H58" i="3"/>
  <c r="G58" i="3"/>
  <c r="H57" i="3"/>
  <c r="G57" i="3"/>
  <c r="H56" i="3"/>
  <c r="G56" i="3"/>
  <c r="H55" i="3"/>
  <c r="G55" i="3"/>
  <c r="H54" i="3"/>
  <c r="G54" i="3"/>
  <c r="H53" i="3"/>
  <c r="G53" i="3"/>
  <c r="H52" i="3"/>
  <c r="G52" i="3"/>
  <c r="H51" i="3"/>
  <c r="G51" i="3"/>
  <c r="H50" i="3"/>
  <c r="G50" i="3"/>
  <c r="H49" i="3"/>
  <c r="G49" i="3"/>
  <c r="H48" i="3"/>
  <c r="G48" i="3"/>
  <c r="H47" i="3"/>
  <c r="G47" i="3"/>
  <c r="H46" i="3"/>
  <c r="G46" i="3"/>
  <c r="H45" i="3"/>
  <c r="G45" i="3"/>
  <c r="H44" i="3"/>
  <c r="G44" i="3"/>
  <c r="H43" i="3"/>
  <c r="G43" i="3"/>
  <c r="H42" i="3"/>
  <c r="G42" i="3"/>
  <c r="H41" i="3"/>
  <c r="G41" i="3"/>
  <c r="H40" i="3"/>
  <c r="G40" i="3"/>
  <c r="H39" i="3"/>
  <c r="G39" i="3"/>
  <c r="H38" i="3"/>
  <c r="G38" i="3"/>
  <c r="H37" i="3"/>
  <c r="G37" i="3"/>
  <c r="H36" i="3"/>
  <c r="G36" i="3"/>
  <c r="H35" i="3"/>
  <c r="G35" i="3"/>
  <c r="H34" i="3"/>
  <c r="G34" i="3"/>
  <c r="H33" i="3"/>
  <c r="G33" i="3"/>
  <c r="H32" i="3"/>
  <c r="G32" i="3"/>
  <c r="H31" i="3"/>
  <c r="G31" i="3"/>
  <c r="H30" i="3"/>
  <c r="G30" i="3"/>
  <c r="H29" i="3"/>
  <c r="G29" i="3"/>
  <c r="H28" i="3"/>
  <c r="G28" i="3"/>
  <c r="H27" i="3"/>
  <c r="G27" i="3"/>
  <c r="H26" i="3"/>
  <c r="G26" i="3"/>
  <c r="H25" i="3"/>
  <c r="G25" i="3"/>
  <c r="H24" i="3"/>
  <c r="G24" i="3"/>
  <c r="H23" i="3"/>
  <c r="G23" i="3"/>
  <c r="H22" i="3"/>
  <c r="G22" i="3"/>
  <c r="H21" i="3"/>
  <c r="B88" i="3" s="1"/>
  <c r="G21" i="3"/>
  <c r="H20" i="3"/>
  <c r="G20" i="3"/>
  <c r="F17" i="3"/>
  <c r="F83" i="3" s="1"/>
  <c r="C15" i="3"/>
  <c r="B15" i="3"/>
  <c r="L1017" i="2"/>
  <c r="N1011" i="2"/>
  <c r="N1010" i="2"/>
  <c r="N1009" i="2"/>
  <c r="N1008" i="2"/>
  <c r="N1007" i="2"/>
  <c r="N1006" i="2"/>
  <c r="N1005" i="2"/>
  <c r="N1004" i="2"/>
  <c r="K1004" i="2"/>
  <c r="N1003" i="2"/>
  <c r="B1003" i="2"/>
  <c r="N1002" i="2"/>
  <c r="N1001" i="2"/>
  <c r="N1000" i="2"/>
  <c r="N999" i="2"/>
  <c r="N998" i="2"/>
  <c r="M998" i="2"/>
  <c r="K998" i="2"/>
  <c r="N997" i="2"/>
  <c r="N996" i="2"/>
  <c r="N995" i="2"/>
  <c r="F995" i="2"/>
  <c r="B995" i="2"/>
  <c r="N994" i="2"/>
  <c r="F994" i="2"/>
  <c r="B994" i="2"/>
  <c r="N993" i="2"/>
  <c r="N992" i="2"/>
  <c r="B992" i="2"/>
  <c r="K1012" i="2" s="1"/>
  <c r="N991" i="2"/>
  <c r="N990" i="2"/>
  <c r="N989" i="2"/>
  <c r="N988" i="2"/>
  <c r="G988" i="2"/>
  <c r="B988" i="2"/>
  <c r="N987" i="2"/>
  <c r="G987" i="2"/>
  <c r="B987" i="2"/>
  <c r="L1015" i="2" s="1"/>
  <c r="N986" i="2"/>
  <c r="B986" i="2"/>
  <c r="K1015" i="2" s="1"/>
  <c r="K1018" i="2" s="1"/>
  <c r="L983" i="2"/>
  <c r="T563" i="6" s="1"/>
  <c r="H983" i="2"/>
  <c r="H982" i="2"/>
  <c r="G982" i="2"/>
  <c r="F982" i="2" s="1"/>
  <c r="H981" i="2"/>
  <c r="G981" i="2"/>
  <c r="F981" i="2" s="1"/>
  <c r="H980" i="2"/>
  <c r="G980" i="2"/>
  <c r="F980" i="2" s="1"/>
  <c r="H979" i="2"/>
  <c r="G979" i="2"/>
  <c r="F979" i="2" s="1"/>
  <c r="H978" i="2"/>
  <c r="G978" i="2"/>
  <c r="F978" i="2" s="1"/>
  <c r="H977" i="2"/>
  <c r="G977" i="2"/>
  <c r="F977" i="2" s="1"/>
  <c r="H976" i="2"/>
  <c r="G976" i="2"/>
  <c r="F976" i="2" s="1"/>
  <c r="H975" i="2"/>
  <c r="G975" i="2"/>
  <c r="F975" i="2" s="1"/>
  <c r="H974" i="2"/>
  <c r="G974" i="2"/>
  <c r="F974" i="2" s="1"/>
  <c r="H973" i="2"/>
  <c r="G973" i="2"/>
  <c r="F973" i="2" s="1"/>
  <c r="H972" i="2"/>
  <c r="G972" i="2"/>
  <c r="F972" i="2" s="1"/>
  <c r="H971" i="2"/>
  <c r="G971" i="2"/>
  <c r="F971" i="2" s="1"/>
  <c r="H970" i="2"/>
  <c r="G970" i="2"/>
  <c r="F970" i="2" s="1"/>
  <c r="H969" i="2"/>
  <c r="G969" i="2"/>
  <c r="F969" i="2" s="1"/>
  <c r="H968" i="2"/>
  <c r="G968" i="2"/>
  <c r="F968" i="2" s="1"/>
  <c r="H967" i="2"/>
  <c r="G967" i="2"/>
  <c r="F967" i="2" s="1"/>
  <c r="H966" i="2"/>
  <c r="G966" i="2"/>
  <c r="F966" i="2" s="1"/>
  <c r="H965" i="2"/>
  <c r="G965" i="2"/>
  <c r="F965" i="2" s="1"/>
  <c r="H964" i="2"/>
  <c r="G964" i="2"/>
  <c r="F964" i="2" s="1"/>
  <c r="H963" i="2"/>
  <c r="G963" i="2"/>
  <c r="F963" i="2" s="1"/>
  <c r="H962" i="2"/>
  <c r="G962" i="2"/>
  <c r="F962" i="2" s="1"/>
  <c r="H961" i="2"/>
  <c r="G961" i="2"/>
  <c r="F961" i="2" s="1"/>
  <c r="H960" i="2"/>
  <c r="G960" i="2"/>
  <c r="F960" i="2" s="1"/>
  <c r="H959" i="2"/>
  <c r="G959" i="2"/>
  <c r="F959" i="2" s="1"/>
  <c r="H958" i="2"/>
  <c r="G958" i="2"/>
  <c r="F958" i="2" s="1"/>
  <c r="B958" i="2"/>
  <c r="H957" i="2"/>
  <c r="G957" i="2"/>
  <c r="F957" i="2" s="1"/>
  <c r="H956" i="2"/>
  <c r="G956" i="2"/>
  <c r="F956" i="2" s="1"/>
  <c r="H955" i="2"/>
  <c r="G955" i="2"/>
  <c r="F955" i="2" s="1"/>
  <c r="H954" i="2"/>
  <c r="G954" i="2"/>
  <c r="F954" i="2" s="1"/>
  <c r="H953" i="2"/>
  <c r="G953" i="2"/>
  <c r="F953" i="2" s="1"/>
  <c r="H952" i="2"/>
  <c r="G952" i="2"/>
  <c r="F952" i="2" s="1"/>
  <c r="H951" i="2"/>
  <c r="G951" i="2"/>
  <c r="F951" i="2" s="1"/>
  <c r="H950" i="2"/>
  <c r="G950" i="2"/>
  <c r="F950" i="2" s="1"/>
  <c r="H949" i="2"/>
  <c r="G949" i="2"/>
  <c r="F949" i="2" s="1"/>
  <c r="H948" i="2"/>
  <c r="G948" i="2"/>
  <c r="F948" i="2" s="1"/>
  <c r="H947" i="2"/>
  <c r="G947" i="2"/>
  <c r="F947" i="2" s="1"/>
  <c r="H946" i="2"/>
  <c r="G946" i="2"/>
  <c r="F946" i="2" s="1"/>
  <c r="H945" i="2"/>
  <c r="G945" i="2"/>
  <c r="F945" i="2" s="1"/>
  <c r="H944" i="2"/>
  <c r="E944" i="2"/>
  <c r="G944" i="2" s="1"/>
  <c r="F944" i="2" s="1"/>
  <c r="H943" i="2"/>
  <c r="G943" i="2"/>
  <c r="H942" i="2"/>
  <c r="G942" i="2"/>
  <c r="H941" i="2"/>
  <c r="G941" i="2"/>
  <c r="F941" i="2"/>
  <c r="H940" i="2"/>
  <c r="G940" i="2"/>
  <c r="H939" i="2"/>
  <c r="G939" i="2"/>
  <c r="F939" i="2"/>
  <c r="H938" i="2"/>
  <c r="G938" i="2"/>
  <c r="F938" i="2"/>
  <c r="H937" i="2"/>
  <c r="G937" i="2"/>
  <c r="H936" i="2"/>
  <c r="G936" i="2"/>
  <c r="F936" i="2"/>
  <c r="H935" i="2"/>
  <c r="E935" i="2"/>
  <c r="G935" i="2" s="1"/>
  <c r="F935" i="2" s="1"/>
  <c r="H934" i="2"/>
  <c r="G934" i="2"/>
  <c r="F934" i="2" s="1"/>
  <c r="H933" i="2"/>
  <c r="G933" i="2"/>
  <c r="F933" i="2" s="1"/>
  <c r="H932" i="2"/>
  <c r="G932" i="2"/>
  <c r="F932" i="2" s="1"/>
  <c r="H931" i="2"/>
  <c r="G931" i="2"/>
  <c r="F931" i="2" s="1"/>
  <c r="H930" i="2"/>
  <c r="G930" i="2"/>
  <c r="F930" i="2" s="1"/>
  <c r="H929" i="2"/>
  <c r="G929" i="2"/>
  <c r="F929" i="2" s="1"/>
  <c r="H928" i="2"/>
  <c r="G928" i="2"/>
  <c r="F928" i="2" s="1"/>
  <c r="H927" i="2"/>
  <c r="G927" i="2"/>
  <c r="F927" i="2" s="1"/>
  <c r="H926" i="2"/>
  <c r="G926" i="2"/>
  <c r="F926" i="2" s="1"/>
  <c r="H925" i="2"/>
  <c r="G925" i="2"/>
  <c r="F925" i="2" s="1"/>
  <c r="H924" i="2"/>
  <c r="G924" i="2"/>
  <c r="F924" i="2" s="1"/>
  <c r="H923" i="2"/>
  <c r="G923" i="2"/>
  <c r="F923" i="2" s="1"/>
  <c r="H922" i="2"/>
  <c r="G922" i="2"/>
  <c r="F922" i="2" s="1"/>
  <c r="H921" i="2"/>
  <c r="G921" i="2"/>
  <c r="F921" i="2" s="1"/>
  <c r="H920" i="2"/>
  <c r="G920" i="2"/>
  <c r="F920" i="2" s="1"/>
  <c r="H919" i="2"/>
  <c r="G919" i="2"/>
  <c r="F919" i="2" s="1"/>
  <c r="H918" i="2"/>
  <c r="G918" i="2"/>
  <c r="F918" i="2" s="1"/>
  <c r="H917" i="2"/>
  <c r="G917" i="2"/>
  <c r="F917" i="2" s="1"/>
  <c r="H916" i="2"/>
  <c r="G916" i="2"/>
  <c r="F916" i="2" s="1"/>
  <c r="H915" i="2"/>
  <c r="G915" i="2"/>
  <c r="F915" i="2" s="1"/>
  <c r="H914" i="2"/>
  <c r="G914" i="2"/>
  <c r="F914" i="2" s="1"/>
  <c r="H913" i="2"/>
  <c r="G913" i="2"/>
  <c r="F913" i="2" s="1"/>
  <c r="H912" i="2"/>
  <c r="G912" i="2"/>
  <c r="F912" i="2" s="1"/>
  <c r="H911" i="2"/>
  <c r="G911" i="2"/>
  <c r="F911" i="2" s="1"/>
  <c r="H910" i="2"/>
  <c r="G910" i="2"/>
  <c r="F910" i="2" s="1"/>
  <c r="H909" i="2"/>
  <c r="G909" i="2"/>
  <c r="F909" i="2" s="1"/>
  <c r="H908" i="2"/>
  <c r="G908" i="2"/>
  <c r="F908" i="2" s="1"/>
  <c r="H907" i="2"/>
  <c r="G907" i="2"/>
  <c r="F907" i="2" s="1"/>
  <c r="H906" i="2"/>
  <c r="G906" i="2"/>
  <c r="F906" i="2" s="1"/>
  <c r="H905" i="2"/>
  <c r="G905" i="2"/>
  <c r="F905" i="2" s="1"/>
  <c r="H904" i="2"/>
  <c r="G904" i="2"/>
  <c r="F904" i="2" s="1"/>
  <c r="H903" i="2"/>
  <c r="G903" i="2"/>
  <c r="F903" i="2" s="1"/>
  <c r="H902" i="2"/>
  <c r="G902" i="2"/>
  <c r="F902" i="2" s="1"/>
  <c r="H901" i="2"/>
  <c r="G901" i="2"/>
  <c r="F901" i="2" s="1"/>
  <c r="H900" i="2"/>
  <c r="G900" i="2"/>
  <c r="F900" i="2" s="1"/>
  <c r="E900" i="2"/>
  <c r="D900" i="2"/>
  <c r="H899" i="2"/>
  <c r="G899" i="2"/>
  <c r="H898" i="2"/>
  <c r="G898" i="2"/>
  <c r="H897" i="2"/>
  <c r="G897" i="2"/>
  <c r="H896" i="2"/>
  <c r="G896" i="2"/>
  <c r="H895" i="2"/>
  <c r="G895" i="2"/>
  <c r="H894" i="2"/>
  <c r="G894" i="2"/>
  <c r="H893" i="2"/>
  <c r="G893" i="2"/>
  <c r="F893" i="2"/>
  <c r="H892" i="2"/>
  <c r="G892" i="2"/>
  <c r="H891" i="2"/>
  <c r="G891" i="2"/>
  <c r="F891" i="2"/>
  <c r="H890" i="2"/>
  <c r="G890" i="2"/>
  <c r="H889" i="2"/>
  <c r="G889" i="2"/>
  <c r="H888" i="2"/>
  <c r="G888" i="2"/>
  <c r="H887" i="2"/>
  <c r="G887" i="2"/>
  <c r="H886" i="2"/>
  <c r="G886" i="2"/>
  <c r="H885" i="2"/>
  <c r="G885" i="2"/>
  <c r="F885" i="2"/>
  <c r="H884" i="2"/>
  <c r="G884" i="2"/>
  <c r="H883" i="2"/>
  <c r="G883" i="2"/>
  <c r="F883" i="2"/>
  <c r="H882" i="2"/>
  <c r="G882" i="2"/>
  <c r="H881" i="2"/>
  <c r="G881" i="2"/>
  <c r="F881" i="2"/>
  <c r="H880" i="2"/>
  <c r="G880" i="2"/>
  <c r="F880" i="2"/>
  <c r="H879" i="2"/>
  <c r="G879" i="2"/>
  <c r="H878" i="2"/>
  <c r="G878" i="2"/>
  <c r="F878" i="2"/>
  <c r="H877" i="2"/>
  <c r="G877" i="2"/>
  <c r="F877" i="2"/>
  <c r="H876" i="2"/>
  <c r="G876" i="2"/>
  <c r="F876" i="2"/>
  <c r="H875" i="2"/>
  <c r="G875" i="2"/>
  <c r="H874" i="2"/>
  <c r="G874" i="2"/>
  <c r="F874" i="2"/>
  <c r="H873" i="2"/>
  <c r="G873" i="2"/>
  <c r="H872" i="2"/>
  <c r="G872" i="2"/>
  <c r="F872" i="2"/>
  <c r="H871" i="2"/>
  <c r="G871" i="2"/>
  <c r="F871" i="2"/>
  <c r="H870" i="2"/>
  <c r="G870" i="2"/>
  <c r="F870" i="2"/>
  <c r="H869" i="2"/>
  <c r="G869" i="2"/>
  <c r="H868" i="2"/>
  <c r="G868" i="2"/>
  <c r="H867" i="2"/>
  <c r="G867" i="2"/>
  <c r="F867" i="2"/>
  <c r="H866" i="2"/>
  <c r="G866" i="2"/>
  <c r="H865" i="2"/>
  <c r="G865" i="2"/>
  <c r="F865" i="2"/>
  <c r="H864" i="2"/>
  <c r="G864" i="2"/>
  <c r="H863" i="2"/>
  <c r="G863" i="2"/>
  <c r="H862" i="2"/>
  <c r="G862" i="2"/>
  <c r="H861" i="2"/>
  <c r="G861" i="2"/>
  <c r="F861" i="2"/>
  <c r="H860" i="2"/>
  <c r="G860" i="2"/>
  <c r="H859" i="2"/>
  <c r="G859" i="2"/>
  <c r="F859" i="2"/>
  <c r="H858" i="2"/>
  <c r="G858" i="2"/>
  <c r="H857" i="2"/>
  <c r="G857" i="2"/>
  <c r="F857" i="2"/>
  <c r="H856" i="2"/>
  <c r="G856" i="2"/>
  <c r="H855" i="2"/>
  <c r="G855" i="2"/>
  <c r="F855" i="2"/>
  <c r="H854" i="2"/>
  <c r="G854" i="2"/>
  <c r="H853" i="2"/>
  <c r="G853" i="2"/>
  <c r="F853" i="2"/>
  <c r="H852" i="2"/>
  <c r="G852" i="2"/>
  <c r="F852" i="2"/>
  <c r="H851" i="2"/>
  <c r="G851" i="2"/>
  <c r="F851" i="2"/>
  <c r="H850" i="2"/>
  <c r="G850" i="2"/>
  <c r="F850" i="2"/>
  <c r="H849" i="2"/>
  <c r="G849" i="2"/>
  <c r="H848" i="2"/>
  <c r="G848" i="2"/>
  <c r="F848" i="2"/>
  <c r="H847" i="2"/>
  <c r="G847" i="2"/>
  <c r="F847" i="2"/>
  <c r="H846" i="2"/>
  <c r="G846" i="2"/>
  <c r="F846" i="2"/>
  <c r="H845" i="2"/>
  <c r="G845" i="2"/>
  <c r="F845" i="2"/>
  <c r="H844" i="2"/>
  <c r="G844" i="2"/>
  <c r="H843" i="2"/>
  <c r="G843" i="2"/>
  <c r="H842" i="2"/>
  <c r="G842" i="2"/>
  <c r="F842" i="2"/>
  <c r="H841" i="2"/>
  <c r="G841" i="2"/>
  <c r="F841" i="2"/>
  <c r="H840" i="2"/>
  <c r="G840" i="2"/>
  <c r="F840" i="2"/>
  <c r="H839" i="2"/>
  <c r="G839" i="2"/>
  <c r="H838" i="2"/>
  <c r="G838" i="2"/>
  <c r="H837" i="2"/>
  <c r="G837" i="2"/>
  <c r="F837" i="2"/>
  <c r="H836" i="2"/>
  <c r="G836" i="2"/>
  <c r="F836" i="2"/>
  <c r="H835" i="2"/>
  <c r="G835" i="2"/>
  <c r="H834" i="2"/>
  <c r="G834" i="2"/>
  <c r="H833" i="2"/>
  <c r="G833" i="2"/>
  <c r="F833" i="2"/>
  <c r="H832" i="2"/>
  <c r="G832" i="2"/>
  <c r="F832" i="2"/>
  <c r="H831" i="2"/>
  <c r="G831" i="2"/>
  <c r="F831" i="2"/>
  <c r="H830" i="2"/>
  <c r="G830" i="2"/>
  <c r="H829" i="2"/>
  <c r="G829" i="2"/>
  <c r="H828" i="2"/>
  <c r="G828" i="2"/>
  <c r="H827" i="2"/>
  <c r="G827" i="2"/>
  <c r="H826" i="2"/>
  <c r="G826" i="2"/>
  <c r="H825" i="2"/>
  <c r="G825" i="2"/>
  <c r="F825" i="2"/>
  <c r="H824" i="2"/>
  <c r="G824" i="2"/>
  <c r="F824" i="2"/>
  <c r="H823" i="2"/>
  <c r="G823" i="2"/>
  <c r="H822" i="2"/>
  <c r="G822" i="2"/>
  <c r="F822" i="2"/>
  <c r="H821" i="2"/>
  <c r="G821" i="2"/>
  <c r="F821" i="2"/>
  <c r="H820" i="2"/>
  <c r="G820" i="2"/>
  <c r="F820" i="2"/>
  <c r="H819" i="2"/>
  <c r="G819" i="2"/>
  <c r="F819" i="2"/>
  <c r="H818" i="2"/>
  <c r="G818" i="2"/>
  <c r="H817" i="2"/>
  <c r="G817" i="2"/>
  <c r="H816" i="2"/>
  <c r="G816" i="2"/>
  <c r="H815" i="2"/>
  <c r="G815" i="2"/>
  <c r="F815" i="2"/>
  <c r="H814" i="2"/>
  <c r="G814" i="2"/>
  <c r="F814" i="2"/>
  <c r="H813" i="2"/>
  <c r="G813" i="2"/>
  <c r="H812" i="2"/>
  <c r="G812" i="2"/>
  <c r="F812" i="2"/>
  <c r="H811" i="2"/>
  <c r="G811" i="2"/>
  <c r="F811" i="2"/>
  <c r="H810" i="2"/>
  <c r="G810" i="2"/>
  <c r="F810" i="2"/>
  <c r="H809" i="2"/>
  <c r="G809" i="2"/>
  <c r="H808" i="2"/>
  <c r="G808" i="2"/>
  <c r="H807" i="2"/>
  <c r="G807" i="2"/>
  <c r="F807" i="2"/>
  <c r="H806" i="2"/>
  <c r="G806" i="2"/>
  <c r="H805" i="2"/>
  <c r="G805" i="2"/>
  <c r="F805" i="2"/>
  <c r="H804" i="2"/>
  <c r="G804" i="2"/>
  <c r="F804" i="2"/>
  <c r="H803" i="2"/>
  <c r="G803" i="2"/>
  <c r="H802" i="2"/>
  <c r="G802" i="2"/>
  <c r="F802" i="2"/>
  <c r="H801" i="2"/>
  <c r="G801" i="2"/>
  <c r="F801" i="2"/>
  <c r="H800" i="2"/>
  <c r="G800" i="2"/>
  <c r="H799" i="2"/>
  <c r="G799" i="2"/>
  <c r="F799" i="2"/>
  <c r="H798" i="2"/>
  <c r="G798" i="2"/>
  <c r="H797" i="2"/>
  <c r="G797" i="2"/>
  <c r="F797" i="2"/>
  <c r="H796" i="2"/>
  <c r="G796" i="2"/>
  <c r="H795" i="2"/>
  <c r="G795" i="2"/>
  <c r="H794" i="2"/>
  <c r="G794" i="2"/>
  <c r="H793" i="2"/>
  <c r="G793" i="2"/>
  <c r="F793" i="2"/>
  <c r="H792" i="2"/>
  <c r="G792" i="2"/>
  <c r="H791" i="2"/>
  <c r="G791" i="2"/>
  <c r="H790" i="2"/>
  <c r="G790" i="2"/>
  <c r="H789" i="2"/>
  <c r="G789" i="2"/>
  <c r="F789" i="2"/>
  <c r="H788" i="2"/>
  <c r="G788" i="2"/>
  <c r="H787" i="2"/>
  <c r="G787" i="2"/>
  <c r="F787" i="2"/>
  <c r="H786" i="2"/>
  <c r="G786" i="2"/>
  <c r="H785" i="2"/>
  <c r="G785" i="2"/>
  <c r="F785" i="2"/>
  <c r="H784" i="2"/>
  <c r="G784" i="2"/>
  <c r="F784" i="2"/>
  <c r="H783" i="2"/>
  <c r="G783" i="2"/>
  <c r="H782" i="2"/>
  <c r="G782" i="2"/>
  <c r="H781" i="2"/>
  <c r="G781" i="2"/>
  <c r="H780" i="2"/>
  <c r="G780" i="2"/>
  <c r="H779" i="2"/>
  <c r="G779" i="2"/>
  <c r="H778" i="2"/>
  <c r="G778" i="2"/>
  <c r="H777" i="2"/>
  <c r="G777" i="2"/>
  <c r="H776" i="2"/>
  <c r="G776" i="2"/>
  <c r="F776" i="2"/>
  <c r="H775" i="2"/>
  <c r="G775" i="2"/>
  <c r="H774" i="2"/>
  <c r="G774" i="2"/>
  <c r="H773" i="2"/>
  <c r="G773" i="2"/>
  <c r="F773" i="2"/>
  <c r="H772" i="2"/>
  <c r="G772" i="2"/>
  <c r="F772" i="2"/>
  <c r="H771" i="2"/>
  <c r="G771" i="2"/>
  <c r="H770" i="2"/>
  <c r="G770" i="2"/>
  <c r="H769" i="2"/>
  <c r="G769" i="2"/>
  <c r="H768" i="2"/>
  <c r="G768" i="2"/>
  <c r="H767" i="2"/>
  <c r="G767" i="2"/>
  <c r="H766" i="2"/>
  <c r="G766" i="2"/>
  <c r="F766" i="2"/>
  <c r="H765" i="2"/>
  <c r="G765" i="2"/>
  <c r="H764" i="2"/>
  <c r="G764" i="2"/>
  <c r="H763" i="2"/>
  <c r="G763" i="2"/>
  <c r="F763" i="2"/>
  <c r="H762" i="2"/>
  <c r="G762" i="2"/>
  <c r="H761" i="2"/>
  <c r="G761" i="2"/>
  <c r="H760" i="2"/>
  <c r="G760" i="2"/>
  <c r="H759" i="2"/>
  <c r="G759" i="2"/>
  <c r="H758" i="2"/>
  <c r="G758" i="2"/>
  <c r="H757" i="2"/>
  <c r="G757" i="2"/>
  <c r="H756" i="2"/>
  <c r="G756" i="2"/>
  <c r="H755" i="2"/>
  <c r="G755" i="2"/>
  <c r="F755" i="2"/>
  <c r="H754" i="2"/>
  <c r="G754" i="2"/>
  <c r="F754" i="2"/>
  <c r="H753" i="2"/>
  <c r="G753" i="2"/>
  <c r="H752" i="2"/>
  <c r="G752" i="2"/>
  <c r="F752" i="2"/>
  <c r="H751" i="2"/>
  <c r="G751" i="2"/>
  <c r="H750" i="2"/>
  <c r="G750" i="2"/>
  <c r="F750" i="2"/>
  <c r="H749" i="2"/>
  <c r="G749" i="2"/>
  <c r="H748" i="2"/>
  <c r="G748" i="2"/>
  <c r="F748" i="2"/>
  <c r="H747" i="2"/>
  <c r="G747" i="2"/>
  <c r="H746" i="2"/>
  <c r="G746" i="2"/>
  <c r="F746" i="2"/>
  <c r="H745" i="2"/>
  <c r="G745" i="2"/>
  <c r="F745" i="2"/>
  <c r="H744" i="2"/>
  <c r="G744" i="2"/>
  <c r="H743" i="2"/>
  <c r="G743" i="2"/>
  <c r="H742" i="2"/>
  <c r="G742" i="2"/>
  <c r="H741" i="2"/>
  <c r="G741" i="2"/>
  <c r="H740" i="2"/>
  <c r="G740" i="2"/>
  <c r="H739" i="2"/>
  <c r="G739" i="2"/>
  <c r="H738" i="2"/>
  <c r="G738" i="2"/>
  <c r="H737" i="2"/>
  <c r="G737" i="2"/>
  <c r="F737" i="2"/>
  <c r="H736" i="2"/>
  <c r="G736" i="2"/>
  <c r="F736" i="2"/>
  <c r="H735" i="2"/>
  <c r="G735" i="2"/>
  <c r="F735" i="2"/>
  <c r="H734" i="2"/>
  <c r="G734" i="2"/>
  <c r="F734" i="2"/>
  <c r="H733" i="2"/>
  <c r="G733" i="2"/>
  <c r="H732" i="2"/>
  <c r="G732" i="2"/>
  <c r="F732" i="2"/>
  <c r="H731" i="2"/>
  <c r="G731" i="2"/>
  <c r="H730" i="2"/>
  <c r="G730" i="2"/>
  <c r="H729" i="2"/>
  <c r="G729" i="2"/>
  <c r="H728" i="2"/>
  <c r="G728" i="2"/>
  <c r="F728" i="2"/>
  <c r="H727" i="2"/>
  <c r="G727" i="2"/>
  <c r="H726" i="2"/>
  <c r="G726" i="2"/>
  <c r="F726" i="2"/>
  <c r="H725" i="2"/>
  <c r="G725" i="2"/>
  <c r="H724" i="2"/>
  <c r="G724" i="2"/>
  <c r="F724" i="2"/>
  <c r="H723" i="2"/>
  <c r="G723" i="2"/>
  <c r="F723" i="2"/>
  <c r="H722" i="2"/>
  <c r="G722" i="2"/>
  <c r="H721" i="2"/>
  <c r="G721" i="2"/>
  <c r="H720" i="2"/>
  <c r="G720" i="2"/>
  <c r="F720" i="2"/>
  <c r="H719" i="2"/>
  <c r="G719" i="2"/>
  <c r="F719" i="2"/>
  <c r="H718" i="2"/>
  <c r="G718" i="2"/>
  <c r="H717" i="2"/>
  <c r="G717" i="2"/>
  <c r="F717" i="2"/>
  <c r="H716" i="2"/>
  <c r="G716" i="2"/>
  <c r="H715" i="2"/>
  <c r="G715" i="2"/>
  <c r="H714" i="2"/>
  <c r="G714" i="2"/>
  <c r="F714" i="2"/>
  <c r="H713" i="2"/>
  <c r="G713" i="2"/>
  <c r="H712" i="2"/>
  <c r="G712" i="2"/>
  <c r="F712" i="2"/>
  <c r="H711" i="2"/>
  <c r="G711" i="2"/>
  <c r="H710" i="2"/>
  <c r="G710" i="2"/>
  <c r="H709" i="2"/>
  <c r="G709" i="2"/>
  <c r="H708" i="2"/>
  <c r="G708" i="2"/>
  <c r="F708" i="2"/>
  <c r="H707" i="2"/>
  <c r="G707" i="2"/>
  <c r="H706" i="2"/>
  <c r="G706" i="2"/>
  <c r="F706" i="2"/>
  <c r="H705" i="2"/>
  <c r="G705" i="2"/>
  <c r="H704" i="2"/>
  <c r="G704" i="2"/>
  <c r="F704" i="2"/>
  <c r="H703" i="2"/>
  <c r="G703" i="2"/>
  <c r="H702" i="2"/>
  <c r="G702" i="2"/>
  <c r="F702" i="2"/>
  <c r="H701" i="2"/>
  <c r="G701" i="2"/>
  <c r="F701" i="2"/>
  <c r="H700" i="2"/>
  <c r="G700" i="2"/>
  <c r="H699" i="2"/>
  <c r="G699" i="2"/>
  <c r="F699" i="2"/>
  <c r="H698" i="2"/>
  <c r="G698" i="2"/>
  <c r="F698" i="2"/>
  <c r="H697" i="2"/>
  <c r="G697" i="2"/>
  <c r="H696" i="2"/>
  <c r="G696" i="2"/>
  <c r="H695" i="2"/>
  <c r="G695" i="2"/>
  <c r="F695" i="2"/>
  <c r="H694" i="2"/>
  <c r="G694" i="2"/>
  <c r="F694" i="2"/>
  <c r="H693" i="2"/>
  <c r="G693" i="2"/>
  <c r="H692" i="2"/>
  <c r="G692" i="2"/>
  <c r="H691" i="2"/>
  <c r="G691" i="2"/>
  <c r="F691" i="2"/>
  <c r="H690" i="2"/>
  <c r="G690" i="2"/>
  <c r="H689" i="2"/>
  <c r="G689" i="2"/>
  <c r="F689" i="2"/>
  <c r="H688" i="2"/>
  <c r="G688" i="2"/>
  <c r="F688" i="2"/>
  <c r="H687" i="2"/>
  <c r="G687" i="2"/>
  <c r="H686" i="2"/>
  <c r="G686" i="2"/>
  <c r="F686" i="2"/>
  <c r="H685" i="2"/>
  <c r="G685" i="2"/>
  <c r="F685" i="2"/>
  <c r="H684" i="2"/>
  <c r="G684" i="2"/>
  <c r="H683" i="2"/>
  <c r="G683" i="2"/>
  <c r="F683" i="2"/>
  <c r="H682" i="2"/>
  <c r="G682" i="2"/>
  <c r="F682" i="2"/>
  <c r="H681" i="2"/>
  <c r="G681" i="2"/>
  <c r="F681" i="2"/>
  <c r="H680" i="2"/>
  <c r="G680" i="2"/>
  <c r="F680" i="2"/>
  <c r="H679" i="2"/>
  <c r="G679" i="2"/>
  <c r="F679" i="2"/>
  <c r="H678" i="2"/>
  <c r="G678" i="2"/>
  <c r="F678" i="2"/>
  <c r="H677" i="2"/>
  <c r="G677" i="2"/>
  <c r="F677" i="2"/>
  <c r="H676" i="2"/>
  <c r="G676" i="2"/>
  <c r="H675" i="2"/>
  <c r="G675" i="2"/>
  <c r="F675" i="2"/>
  <c r="H674" i="2"/>
  <c r="G674" i="2"/>
  <c r="F674" i="2"/>
  <c r="H673" i="2"/>
  <c r="G673" i="2"/>
  <c r="F673" i="2"/>
  <c r="H672" i="2"/>
  <c r="G672" i="2"/>
  <c r="H671" i="2"/>
  <c r="G671" i="2"/>
  <c r="F671" i="2"/>
  <c r="H670" i="2"/>
  <c r="G670" i="2"/>
  <c r="F670" i="2"/>
  <c r="H669" i="2"/>
  <c r="G669" i="2"/>
  <c r="F669" i="2"/>
  <c r="H668" i="2"/>
  <c r="G668" i="2"/>
  <c r="H667" i="2"/>
  <c r="G667" i="2"/>
  <c r="H666" i="2"/>
  <c r="G666" i="2"/>
  <c r="F666" i="2"/>
  <c r="H665" i="2"/>
  <c r="G665" i="2"/>
  <c r="H664" i="2"/>
  <c r="G664" i="2"/>
  <c r="H663" i="2"/>
  <c r="G663" i="2"/>
  <c r="F663" i="2"/>
  <c r="H662" i="2"/>
  <c r="G662" i="2"/>
  <c r="F662" i="2"/>
  <c r="H661" i="2"/>
  <c r="G661" i="2"/>
  <c r="H660" i="2"/>
  <c r="G660" i="2"/>
  <c r="F660" i="2"/>
  <c r="H659" i="2"/>
  <c r="G659" i="2"/>
  <c r="F659" i="2"/>
  <c r="H658" i="2"/>
  <c r="G658" i="2"/>
  <c r="H657" i="2"/>
  <c r="G657" i="2"/>
  <c r="H656" i="2"/>
  <c r="G656" i="2"/>
  <c r="H655" i="2"/>
  <c r="G655" i="2"/>
  <c r="H654" i="2"/>
  <c r="G654" i="2"/>
  <c r="H653" i="2"/>
  <c r="G653" i="2"/>
  <c r="H652" i="2"/>
  <c r="G652" i="2"/>
  <c r="F652" i="2"/>
  <c r="H651" i="2"/>
  <c r="G651" i="2"/>
  <c r="H650" i="2"/>
  <c r="G650" i="2"/>
  <c r="H649" i="2"/>
  <c r="G649" i="2"/>
  <c r="H648" i="2"/>
  <c r="G648" i="2"/>
  <c r="H647" i="2"/>
  <c r="G647" i="2"/>
  <c r="H646" i="2"/>
  <c r="G646" i="2"/>
  <c r="F646" i="2"/>
  <c r="H645" i="2"/>
  <c r="G645" i="2"/>
  <c r="F645" i="2"/>
  <c r="H644" i="2"/>
  <c r="G644" i="2"/>
  <c r="H643" i="2"/>
  <c r="G643" i="2"/>
  <c r="F643" i="2"/>
  <c r="H642" i="2"/>
  <c r="G642" i="2"/>
  <c r="F642" i="2"/>
  <c r="H641" i="2"/>
  <c r="G641" i="2"/>
  <c r="H640" i="2"/>
  <c r="G640" i="2"/>
  <c r="F640" i="2"/>
  <c r="H639" i="2"/>
  <c r="G639" i="2"/>
  <c r="H638" i="2"/>
  <c r="G638" i="2"/>
  <c r="F638" i="2"/>
  <c r="H637" i="2"/>
  <c r="G637" i="2"/>
  <c r="H636" i="2"/>
  <c r="G636" i="2"/>
  <c r="F636" i="2"/>
  <c r="H635" i="2"/>
  <c r="G635" i="2"/>
  <c r="F635" i="2"/>
  <c r="H634" i="2"/>
  <c r="G634" i="2"/>
  <c r="F634" i="2"/>
  <c r="H633" i="2"/>
  <c r="G633" i="2"/>
  <c r="F633" i="2"/>
  <c r="H632" i="2"/>
  <c r="G632" i="2"/>
  <c r="H631" i="2"/>
  <c r="G631" i="2"/>
  <c r="H630" i="2"/>
  <c r="G630" i="2"/>
  <c r="H629" i="2"/>
  <c r="G629" i="2"/>
  <c r="H628" i="2"/>
  <c r="G628" i="2"/>
  <c r="H627" i="2"/>
  <c r="G627" i="2"/>
  <c r="F627" i="2"/>
  <c r="H626" i="2"/>
  <c r="G626" i="2"/>
  <c r="H625" i="2"/>
  <c r="G625" i="2"/>
  <c r="H624" i="2"/>
  <c r="G624" i="2"/>
  <c r="H623" i="2"/>
  <c r="G623" i="2"/>
  <c r="H622" i="2"/>
  <c r="G622" i="2"/>
  <c r="H621" i="2"/>
  <c r="G621" i="2"/>
  <c r="F621" i="2"/>
  <c r="H620" i="2"/>
  <c r="G620" i="2"/>
  <c r="H619" i="2"/>
  <c r="G619" i="2"/>
  <c r="F619" i="2"/>
  <c r="H618" i="2"/>
  <c r="G618" i="2"/>
  <c r="F618" i="2"/>
  <c r="H617" i="2"/>
  <c r="G617" i="2"/>
  <c r="F617" i="2"/>
  <c r="H616" i="2"/>
  <c r="G616" i="2"/>
  <c r="H615" i="2"/>
  <c r="G615" i="2"/>
  <c r="F615" i="2"/>
  <c r="H614" i="2"/>
  <c r="G614" i="2"/>
  <c r="F614" i="2"/>
  <c r="H613" i="2"/>
  <c r="G613" i="2"/>
  <c r="H612" i="2"/>
  <c r="G612" i="2"/>
  <c r="F612" i="2"/>
  <c r="H611" i="2"/>
  <c r="G611" i="2"/>
  <c r="H610" i="2"/>
  <c r="G610" i="2"/>
  <c r="H609" i="2"/>
  <c r="G609" i="2"/>
  <c r="H608" i="2"/>
  <c r="G608" i="2"/>
  <c r="H607" i="2"/>
  <c r="G607" i="2"/>
  <c r="F607" i="2"/>
  <c r="H606" i="2"/>
  <c r="G606" i="2"/>
  <c r="F606" i="2"/>
  <c r="H605" i="2"/>
  <c r="G605" i="2"/>
  <c r="H604" i="2"/>
  <c r="G604" i="2"/>
  <c r="F604" i="2"/>
  <c r="H603" i="2"/>
  <c r="G603" i="2"/>
  <c r="H602" i="2"/>
  <c r="G602" i="2"/>
  <c r="F602" i="2"/>
  <c r="H601" i="2"/>
  <c r="G601" i="2"/>
  <c r="H600" i="2"/>
  <c r="G600" i="2"/>
  <c r="F600" i="2"/>
  <c r="H599" i="2"/>
  <c r="G599" i="2"/>
  <c r="F599" i="2"/>
  <c r="H598" i="2"/>
  <c r="G598" i="2"/>
  <c r="F598" i="2"/>
  <c r="H597" i="2"/>
  <c r="G597" i="2"/>
  <c r="F597" i="2"/>
  <c r="H596" i="2"/>
  <c r="G596" i="2"/>
  <c r="H595" i="2"/>
  <c r="G595" i="2"/>
  <c r="H594" i="2"/>
  <c r="G594" i="2"/>
  <c r="H593" i="2"/>
  <c r="G593" i="2"/>
  <c r="F593" i="2"/>
  <c r="H592" i="2"/>
  <c r="G592" i="2"/>
  <c r="F592" i="2"/>
  <c r="H591" i="2"/>
  <c r="G591" i="2"/>
  <c r="H590" i="2"/>
  <c r="G590" i="2"/>
  <c r="H589" i="2"/>
  <c r="G589" i="2"/>
  <c r="H588" i="2"/>
  <c r="G588" i="2"/>
  <c r="F588" i="2"/>
  <c r="H587" i="2"/>
  <c r="G587" i="2"/>
  <c r="H586" i="2"/>
  <c r="G586" i="2"/>
  <c r="H585" i="2"/>
  <c r="G585" i="2"/>
  <c r="F585" i="2"/>
  <c r="H584" i="2"/>
  <c r="G584" i="2"/>
  <c r="F584" i="2"/>
  <c r="H583" i="2"/>
  <c r="G583" i="2"/>
  <c r="H582" i="2"/>
  <c r="G582" i="2"/>
  <c r="F582" i="2"/>
  <c r="B582" i="2"/>
  <c r="H988" i="2" s="1"/>
  <c r="H581" i="2"/>
  <c r="G581" i="2"/>
  <c r="F581" i="2" s="1"/>
  <c r="H580" i="2"/>
  <c r="G580" i="2"/>
  <c r="H579" i="2"/>
  <c r="G579" i="2"/>
  <c r="F579" i="2" s="1"/>
  <c r="H578" i="2"/>
  <c r="G578" i="2"/>
  <c r="H577" i="2"/>
  <c r="G577" i="2"/>
  <c r="F577" i="2" s="1"/>
  <c r="H576" i="2"/>
  <c r="G576" i="2"/>
  <c r="F576" i="2"/>
  <c r="H575" i="2"/>
  <c r="G575" i="2"/>
  <c r="F575" i="2" s="1"/>
  <c r="H574" i="2"/>
  <c r="G574" i="2"/>
  <c r="H573" i="2"/>
  <c r="G573" i="2"/>
  <c r="F573" i="2" s="1"/>
  <c r="H572" i="2"/>
  <c r="G572" i="2"/>
  <c r="H571" i="2"/>
  <c r="G571" i="2"/>
  <c r="F571" i="2" s="1"/>
  <c r="H570" i="2"/>
  <c r="G570" i="2"/>
  <c r="F570" i="2"/>
  <c r="H569" i="2"/>
  <c r="G569" i="2"/>
  <c r="F569" i="2" s="1"/>
  <c r="H568" i="2"/>
  <c r="G568" i="2"/>
  <c r="F568" i="2"/>
  <c r="H567" i="2"/>
  <c r="G567" i="2"/>
  <c r="F567" i="2" s="1"/>
  <c r="H566" i="2"/>
  <c r="G566" i="2"/>
  <c r="F566" i="2"/>
  <c r="H565" i="2"/>
  <c r="G565" i="2"/>
  <c r="F565" i="2" s="1"/>
  <c r="H564" i="2"/>
  <c r="G564" i="2"/>
  <c r="H563" i="2"/>
  <c r="G563" i="2"/>
  <c r="F563" i="2" s="1"/>
  <c r="H562" i="2"/>
  <c r="G562" i="2"/>
  <c r="H561" i="2"/>
  <c r="G561" i="2"/>
  <c r="F561" i="2" s="1"/>
  <c r="H560" i="2"/>
  <c r="G560" i="2"/>
  <c r="H559" i="2"/>
  <c r="G559" i="2"/>
  <c r="F559" i="2" s="1"/>
  <c r="H558" i="2"/>
  <c r="G558" i="2"/>
  <c r="F558" i="2"/>
  <c r="H557" i="2"/>
  <c r="G557" i="2"/>
  <c r="F557" i="2" s="1"/>
  <c r="H556" i="2"/>
  <c r="G556" i="2"/>
  <c r="F556" i="2"/>
  <c r="H555" i="2"/>
  <c r="G555" i="2"/>
  <c r="F555" i="2" s="1"/>
  <c r="H554" i="2"/>
  <c r="G554" i="2"/>
  <c r="F554" i="2"/>
  <c r="H553" i="2"/>
  <c r="G553" i="2"/>
  <c r="F553" i="2" s="1"/>
  <c r="H552" i="2"/>
  <c r="G552" i="2"/>
  <c r="H551" i="2"/>
  <c r="G551" i="2"/>
  <c r="F551" i="2" s="1"/>
  <c r="H550" i="2"/>
  <c r="G550" i="2"/>
  <c r="F550" i="2"/>
  <c r="H549" i="2"/>
  <c r="G549" i="2"/>
  <c r="F549" i="2" s="1"/>
  <c r="H548" i="2"/>
  <c r="G548" i="2"/>
  <c r="F548" i="2"/>
  <c r="H547" i="2"/>
  <c r="G547" i="2"/>
  <c r="F547" i="2" s="1"/>
  <c r="H546" i="2"/>
  <c r="G546" i="2"/>
  <c r="H545" i="2"/>
  <c r="G545" i="2"/>
  <c r="F545" i="2" s="1"/>
  <c r="H544" i="2"/>
  <c r="G544" i="2"/>
  <c r="H543" i="2"/>
  <c r="G543" i="2"/>
  <c r="F543" i="2" s="1"/>
  <c r="H542" i="2"/>
  <c r="G542" i="2"/>
  <c r="H541" i="2"/>
  <c r="G541" i="2"/>
  <c r="F541" i="2" s="1"/>
  <c r="H540" i="2"/>
  <c r="G540" i="2"/>
  <c r="F540" i="2"/>
  <c r="H539" i="2"/>
  <c r="G539" i="2"/>
  <c r="F539" i="2" s="1"/>
  <c r="H538" i="2"/>
  <c r="G538" i="2"/>
  <c r="H537" i="2"/>
  <c r="G537" i="2"/>
  <c r="F537" i="2" s="1"/>
  <c r="H536" i="2"/>
  <c r="G536" i="2"/>
  <c r="F536" i="2"/>
  <c r="H535" i="2"/>
  <c r="G535" i="2"/>
  <c r="F535" i="2" s="1"/>
  <c r="H534" i="2"/>
  <c r="G534" i="2"/>
  <c r="H533" i="2"/>
  <c r="G533" i="2"/>
  <c r="F533" i="2" s="1"/>
  <c r="H532" i="2"/>
  <c r="G532" i="2"/>
  <c r="H531" i="2"/>
  <c r="G531" i="2"/>
  <c r="F531" i="2" s="1"/>
  <c r="H530" i="2"/>
  <c r="G530" i="2"/>
  <c r="F530" i="2"/>
  <c r="H529" i="2"/>
  <c r="G529" i="2"/>
  <c r="F529" i="2" s="1"/>
  <c r="H528" i="2"/>
  <c r="G528" i="2"/>
  <c r="H527" i="2"/>
  <c r="G527" i="2"/>
  <c r="F527" i="2" s="1"/>
  <c r="H526" i="2"/>
  <c r="G526" i="2"/>
  <c r="F526" i="2"/>
  <c r="H525" i="2"/>
  <c r="G525" i="2"/>
  <c r="F525" i="2" s="1"/>
  <c r="H524" i="2"/>
  <c r="G524" i="2"/>
  <c r="F524" i="2"/>
  <c r="H523" i="2"/>
  <c r="G523" i="2"/>
  <c r="F523" i="2" s="1"/>
  <c r="H522" i="2"/>
  <c r="G522" i="2"/>
  <c r="F522" i="2"/>
  <c r="H521" i="2"/>
  <c r="G521" i="2"/>
  <c r="F521" i="2" s="1"/>
  <c r="H520" i="2"/>
  <c r="G520" i="2"/>
  <c r="H519" i="2"/>
  <c r="G519" i="2"/>
  <c r="F519" i="2" s="1"/>
  <c r="H518" i="2"/>
  <c r="G518" i="2"/>
  <c r="H517" i="2"/>
  <c r="G517" i="2"/>
  <c r="F517" i="2" s="1"/>
  <c r="H516" i="2"/>
  <c r="G516" i="2"/>
  <c r="F516" i="2"/>
  <c r="H515" i="2"/>
  <c r="G515" i="2"/>
  <c r="F515" i="2" s="1"/>
  <c r="H514" i="2"/>
  <c r="G514" i="2"/>
  <c r="H513" i="2"/>
  <c r="G513" i="2"/>
  <c r="F513" i="2" s="1"/>
  <c r="H512" i="2"/>
  <c r="G512" i="2"/>
  <c r="H511" i="2"/>
  <c r="G511" i="2"/>
  <c r="F511" i="2" s="1"/>
  <c r="H510" i="2"/>
  <c r="G510" i="2"/>
  <c r="H509" i="2"/>
  <c r="G509" i="2"/>
  <c r="F509" i="2" s="1"/>
  <c r="H508" i="2"/>
  <c r="G508" i="2"/>
  <c r="H507" i="2"/>
  <c r="G507" i="2"/>
  <c r="F507" i="2" s="1"/>
  <c r="H506" i="2"/>
  <c r="G506" i="2"/>
  <c r="H505" i="2"/>
  <c r="G505" i="2"/>
  <c r="F505" i="2" s="1"/>
  <c r="H504" i="2"/>
  <c r="G504" i="2"/>
  <c r="H503" i="2"/>
  <c r="G503" i="2"/>
  <c r="F503" i="2" s="1"/>
  <c r="H502" i="2"/>
  <c r="G502" i="2"/>
  <c r="F502" i="2"/>
  <c r="H501" i="2"/>
  <c r="G501" i="2"/>
  <c r="F501" i="2" s="1"/>
  <c r="H500" i="2"/>
  <c r="G500" i="2"/>
  <c r="F500" i="2"/>
  <c r="H499" i="2"/>
  <c r="G499" i="2"/>
  <c r="F499" i="2" s="1"/>
  <c r="H498" i="2"/>
  <c r="G498" i="2"/>
  <c r="F498" i="2"/>
  <c r="H497" i="2"/>
  <c r="G497" i="2"/>
  <c r="F497" i="2" s="1"/>
  <c r="H496" i="2"/>
  <c r="G496" i="2"/>
  <c r="H495" i="2"/>
  <c r="G495" i="2"/>
  <c r="F495" i="2" s="1"/>
  <c r="H494" i="2"/>
  <c r="G494" i="2"/>
  <c r="H493" i="2"/>
  <c r="G493" i="2"/>
  <c r="F493" i="2" s="1"/>
  <c r="H492" i="2"/>
  <c r="G492" i="2"/>
  <c r="H491" i="2"/>
  <c r="G491" i="2"/>
  <c r="F491" i="2" s="1"/>
  <c r="H490" i="2"/>
  <c r="G490" i="2"/>
  <c r="F490" i="2"/>
  <c r="H489" i="2"/>
  <c r="G489" i="2"/>
  <c r="F489" i="2" s="1"/>
  <c r="H488" i="2"/>
  <c r="G488" i="2"/>
  <c r="H487" i="2"/>
  <c r="G487" i="2"/>
  <c r="F487" i="2" s="1"/>
  <c r="H486" i="2"/>
  <c r="G486" i="2"/>
  <c r="H485" i="2"/>
  <c r="G485" i="2"/>
  <c r="F485" i="2" s="1"/>
  <c r="H484" i="2"/>
  <c r="G484" i="2"/>
  <c r="F484" i="2"/>
  <c r="H483" i="2"/>
  <c r="G483" i="2"/>
  <c r="F483" i="2" s="1"/>
  <c r="H482" i="2"/>
  <c r="G482" i="2"/>
  <c r="F482" i="2"/>
  <c r="H481" i="2"/>
  <c r="G481" i="2"/>
  <c r="F481" i="2" s="1"/>
  <c r="H480" i="2"/>
  <c r="G480" i="2"/>
  <c r="H479" i="2"/>
  <c r="G479" i="2"/>
  <c r="F479" i="2" s="1"/>
  <c r="H478" i="2"/>
  <c r="G478" i="2"/>
  <c r="F478" i="2"/>
  <c r="H477" i="2"/>
  <c r="G477" i="2"/>
  <c r="F477" i="2" s="1"/>
  <c r="H476" i="2"/>
  <c r="G476" i="2"/>
  <c r="H475" i="2"/>
  <c r="G475" i="2"/>
  <c r="F475" i="2" s="1"/>
  <c r="H474" i="2"/>
  <c r="G474" i="2"/>
  <c r="F474" i="2"/>
  <c r="H473" i="2"/>
  <c r="G473" i="2"/>
  <c r="F473" i="2" s="1"/>
  <c r="H472" i="2"/>
  <c r="G472" i="2"/>
  <c r="F472" i="2"/>
  <c r="H471" i="2"/>
  <c r="G471" i="2"/>
  <c r="F471" i="2" s="1"/>
  <c r="H470" i="2"/>
  <c r="G470" i="2"/>
  <c r="F470" i="2"/>
  <c r="H469" i="2"/>
  <c r="G469" i="2"/>
  <c r="F469" i="2" s="1"/>
  <c r="H468" i="2"/>
  <c r="G468" i="2"/>
  <c r="F468" i="2"/>
  <c r="H467" i="2"/>
  <c r="G467" i="2"/>
  <c r="F467" i="2" s="1"/>
  <c r="H466" i="2"/>
  <c r="G466" i="2"/>
  <c r="H465" i="2"/>
  <c r="G465" i="2"/>
  <c r="F465" i="2" s="1"/>
  <c r="H464" i="2"/>
  <c r="G464" i="2"/>
  <c r="H463" i="2"/>
  <c r="G463" i="2"/>
  <c r="F463" i="2" s="1"/>
  <c r="H462" i="2"/>
  <c r="G462" i="2"/>
  <c r="F462" i="2"/>
  <c r="H461" i="2"/>
  <c r="G461" i="2"/>
  <c r="F461" i="2" s="1"/>
  <c r="H460" i="2"/>
  <c r="G460" i="2"/>
  <c r="F460" i="2"/>
  <c r="H459" i="2"/>
  <c r="G459" i="2"/>
  <c r="F459" i="2" s="1"/>
  <c r="H458" i="2"/>
  <c r="G458" i="2"/>
  <c r="H457" i="2"/>
  <c r="G457" i="2"/>
  <c r="F457" i="2" s="1"/>
  <c r="H456" i="2"/>
  <c r="G456" i="2"/>
  <c r="H455" i="2"/>
  <c r="G455" i="2"/>
  <c r="F455" i="2" s="1"/>
  <c r="H454" i="2"/>
  <c r="G454" i="2"/>
  <c r="F454" i="2"/>
  <c r="H453" i="2"/>
  <c r="G453" i="2"/>
  <c r="F453" i="2" s="1"/>
  <c r="H452" i="2"/>
  <c r="G452" i="2"/>
  <c r="F452" i="2"/>
  <c r="H451" i="2"/>
  <c r="G451" i="2"/>
  <c r="F451" i="2" s="1"/>
  <c r="H450" i="2"/>
  <c r="G450" i="2"/>
  <c r="H449" i="2"/>
  <c r="G449" i="2"/>
  <c r="F449" i="2" s="1"/>
  <c r="H448" i="2"/>
  <c r="G448" i="2"/>
  <c r="F448" i="2"/>
  <c r="H447" i="2"/>
  <c r="G447" i="2"/>
  <c r="F447" i="2" s="1"/>
  <c r="H446" i="2"/>
  <c r="G446" i="2"/>
  <c r="F446" i="2"/>
  <c r="H445" i="2"/>
  <c r="G445" i="2"/>
  <c r="F445" i="2" s="1"/>
  <c r="H444" i="2"/>
  <c r="G444" i="2"/>
  <c r="F444" i="2"/>
  <c r="H443" i="2"/>
  <c r="G443" i="2"/>
  <c r="F443" i="2" s="1"/>
  <c r="H442" i="2"/>
  <c r="G442" i="2"/>
  <c r="H441" i="2"/>
  <c r="G441" i="2"/>
  <c r="F441" i="2" s="1"/>
  <c r="H440" i="2"/>
  <c r="G440" i="2"/>
  <c r="H439" i="2"/>
  <c r="G439" i="2"/>
  <c r="F439" i="2" s="1"/>
  <c r="H438" i="2"/>
  <c r="G438" i="2"/>
  <c r="H437" i="2"/>
  <c r="G437" i="2"/>
  <c r="F437" i="2" s="1"/>
  <c r="H436" i="2"/>
  <c r="G436" i="2"/>
  <c r="H435" i="2"/>
  <c r="G435" i="2"/>
  <c r="F435" i="2" s="1"/>
  <c r="H434" i="2"/>
  <c r="G434" i="2"/>
  <c r="F434" i="2"/>
  <c r="H433" i="2"/>
  <c r="G433" i="2"/>
  <c r="F433" i="2" s="1"/>
  <c r="H432" i="2"/>
  <c r="G432" i="2"/>
  <c r="H431" i="2"/>
  <c r="G431" i="2"/>
  <c r="F431" i="2" s="1"/>
  <c r="H430" i="2"/>
  <c r="G430" i="2"/>
  <c r="F430" i="2"/>
  <c r="H429" i="2"/>
  <c r="G429" i="2"/>
  <c r="F429" i="2" s="1"/>
  <c r="H428" i="2"/>
  <c r="G428" i="2"/>
  <c r="H427" i="2"/>
  <c r="G427" i="2"/>
  <c r="F427" i="2" s="1"/>
  <c r="H426" i="2"/>
  <c r="G426" i="2"/>
  <c r="F426" i="2"/>
  <c r="H425" i="2"/>
  <c r="G425" i="2"/>
  <c r="F425" i="2" s="1"/>
  <c r="H424" i="2"/>
  <c r="G424" i="2"/>
  <c r="F424" i="2"/>
  <c r="H423" i="2"/>
  <c r="G423" i="2"/>
  <c r="F423" i="2" s="1"/>
  <c r="H422" i="2"/>
  <c r="G422" i="2"/>
  <c r="H421" i="2"/>
  <c r="G421" i="2"/>
  <c r="F421" i="2" s="1"/>
  <c r="H420" i="2"/>
  <c r="G420" i="2"/>
  <c r="H419" i="2"/>
  <c r="G419" i="2"/>
  <c r="F419" i="2" s="1"/>
  <c r="H418" i="2"/>
  <c r="G418" i="2"/>
  <c r="F418" i="2"/>
  <c r="H417" i="2"/>
  <c r="G417" i="2"/>
  <c r="F417" i="2" s="1"/>
  <c r="H416" i="2"/>
  <c r="G416" i="2"/>
  <c r="H415" i="2"/>
  <c r="G415" i="2"/>
  <c r="F415" i="2" s="1"/>
  <c r="H414" i="2"/>
  <c r="G414" i="2"/>
  <c r="F414" i="2"/>
  <c r="H413" i="2"/>
  <c r="G413" i="2"/>
  <c r="F413" i="2" s="1"/>
  <c r="H412" i="2"/>
  <c r="G412" i="2"/>
  <c r="F412" i="2"/>
  <c r="H411" i="2"/>
  <c r="G411" i="2"/>
  <c r="F411" i="2" s="1"/>
  <c r="H410" i="2"/>
  <c r="G410" i="2"/>
  <c r="H409" i="2"/>
  <c r="G409" i="2"/>
  <c r="F409" i="2" s="1"/>
  <c r="H408" i="2"/>
  <c r="G408" i="2"/>
  <c r="H407" i="2"/>
  <c r="G407" i="2"/>
  <c r="F407" i="2" s="1"/>
  <c r="H406" i="2"/>
  <c r="G406" i="2"/>
  <c r="H405" i="2"/>
  <c r="G405" i="2"/>
  <c r="F405" i="2" s="1"/>
  <c r="H404" i="2"/>
  <c r="G404" i="2"/>
  <c r="F404" i="2"/>
  <c r="H403" i="2"/>
  <c r="G403" i="2"/>
  <c r="F403" i="2" s="1"/>
  <c r="H402" i="2"/>
  <c r="G402" i="2"/>
  <c r="H401" i="2"/>
  <c r="G401" i="2"/>
  <c r="F401" i="2" s="1"/>
  <c r="H400" i="2"/>
  <c r="G400" i="2"/>
  <c r="F400" i="2"/>
  <c r="H399" i="2"/>
  <c r="G399" i="2"/>
  <c r="F399" i="2" s="1"/>
  <c r="H398" i="2"/>
  <c r="G398" i="2"/>
  <c r="F398" i="2"/>
  <c r="H397" i="2"/>
  <c r="G397" i="2"/>
  <c r="F397" i="2" s="1"/>
  <c r="H396" i="2"/>
  <c r="G396" i="2"/>
  <c r="F396" i="2"/>
  <c r="H395" i="2"/>
  <c r="G395" i="2"/>
  <c r="F395" i="2" s="1"/>
  <c r="H394" i="2"/>
  <c r="G394" i="2"/>
  <c r="F394" i="2"/>
  <c r="H393" i="2"/>
  <c r="G393" i="2"/>
  <c r="F393" i="2" s="1"/>
  <c r="H392" i="2"/>
  <c r="G392" i="2"/>
  <c r="H391" i="2"/>
  <c r="G391" i="2"/>
  <c r="F391" i="2" s="1"/>
  <c r="H390" i="2"/>
  <c r="G390" i="2"/>
  <c r="H389" i="2"/>
  <c r="G389" i="2"/>
  <c r="F389" i="2" s="1"/>
  <c r="H388" i="2"/>
  <c r="G388" i="2"/>
  <c r="H387" i="2"/>
  <c r="G387" i="2"/>
  <c r="F387" i="2" s="1"/>
  <c r="H386" i="2"/>
  <c r="G386" i="2"/>
  <c r="H385" i="2"/>
  <c r="G385" i="2"/>
  <c r="F385" i="2" s="1"/>
  <c r="H384" i="2"/>
  <c r="G384" i="2"/>
  <c r="F384" i="2"/>
  <c r="H383" i="2"/>
  <c r="G383" i="2"/>
  <c r="F383" i="2" s="1"/>
  <c r="H382" i="2"/>
  <c r="G382" i="2"/>
  <c r="F382" i="2"/>
  <c r="H381" i="2"/>
  <c r="G381" i="2"/>
  <c r="F381" i="2" s="1"/>
  <c r="H380" i="2"/>
  <c r="G380" i="2"/>
  <c r="H379" i="2"/>
  <c r="G379" i="2"/>
  <c r="F379" i="2" s="1"/>
  <c r="H378" i="2"/>
  <c r="G378" i="2"/>
  <c r="H377" i="2"/>
  <c r="G377" i="2"/>
  <c r="F377" i="2" s="1"/>
  <c r="H376" i="2"/>
  <c r="G376" i="2"/>
  <c r="F376" i="2"/>
  <c r="H375" i="2"/>
  <c r="G375" i="2"/>
  <c r="F375" i="2" s="1"/>
  <c r="H374" i="2"/>
  <c r="G374" i="2"/>
  <c r="H373" i="2"/>
  <c r="G373" i="2"/>
  <c r="F373" i="2" s="1"/>
  <c r="H372" i="2"/>
  <c r="G372" i="2"/>
  <c r="F372" i="2"/>
  <c r="H371" i="2"/>
  <c r="G371" i="2"/>
  <c r="F371" i="2" s="1"/>
  <c r="H370" i="2"/>
  <c r="G370" i="2"/>
  <c r="H369" i="2"/>
  <c r="G369" i="2"/>
  <c r="F369" i="2" s="1"/>
  <c r="H368" i="2"/>
  <c r="G368" i="2"/>
  <c r="F368" i="2"/>
  <c r="H367" i="2"/>
  <c r="G367" i="2"/>
  <c r="F367" i="2" s="1"/>
  <c r="H366" i="2"/>
  <c r="G366" i="2"/>
  <c r="F366" i="2"/>
  <c r="H365" i="2"/>
  <c r="G365" i="2"/>
  <c r="F365" i="2" s="1"/>
  <c r="H364" i="2"/>
  <c r="G364" i="2"/>
  <c r="H363" i="2"/>
  <c r="G363" i="2"/>
  <c r="F363" i="2" s="1"/>
  <c r="H362" i="2"/>
  <c r="G362" i="2"/>
  <c r="F362" i="2"/>
  <c r="H361" i="2"/>
  <c r="G361" i="2"/>
  <c r="F361" i="2" s="1"/>
  <c r="H360" i="2"/>
  <c r="G360" i="2"/>
  <c r="H359" i="2"/>
  <c r="G359" i="2"/>
  <c r="F359" i="2" s="1"/>
  <c r="H358" i="2"/>
  <c r="G358" i="2"/>
  <c r="H357" i="2"/>
  <c r="G357" i="2"/>
  <c r="F357" i="2" s="1"/>
  <c r="H356" i="2"/>
  <c r="G356" i="2"/>
  <c r="F356" i="2"/>
  <c r="H355" i="2"/>
  <c r="G355" i="2"/>
  <c r="F355" i="2" s="1"/>
  <c r="H354" i="2"/>
  <c r="G354" i="2"/>
  <c r="H353" i="2"/>
  <c r="G353" i="2"/>
  <c r="F353" i="2" s="1"/>
  <c r="H352" i="2"/>
  <c r="G352" i="2"/>
  <c r="F352" i="2"/>
  <c r="H351" i="2"/>
  <c r="G351" i="2"/>
  <c r="F351" i="2" s="1"/>
  <c r="H350" i="2"/>
  <c r="G350" i="2"/>
  <c r="F350" i="2"/>
  <c r="H349" i="2"/>
  <c r="G349" i="2"/>
  <c r="F349" i="2" s="1"/>
  <c r="H348" i="2"/>
  <c r="G348" i="2"/>
  <c r="H347" i="2"/>
  <c r="G347" i="2"/>
  <c r="F347" i="2" s="1"/>
  <c r="H346" i="2"/>
  <c r="G346" i="2"/>
  <c r="H345" i="2"/>
  <c r="G345" i="2"/>
  <c r="F345" i="2" s="1"/>
  <c r="H344" i="2"/>
  <c r="G344" i="2"/>
  <c r="H343" i="2"/>
  <c r="G343" i="2"/>
  <c r="F343" i="2" s="1"/>
  <c r="H342" i="2"/>
  <c r="G342" i="2"/>
  <c r="H341" i="2"/>
  <c r="G341" i="2"/>
  <c r="F341" i="2" s="1"/>
  <c r="H340" i="2"/>
  <c r="G340" i="2"/>
  <c r="F340" i="2"/>
  <c r="H339" i="2"/>
  <c r="G339" i="2"/>
  <c r="F339" i="2" s="1"/>
  <c r="H338" i="2"/>
  <c r="G338" i="2"/>
  <c r="H337" i="2"/>
  <c r="G337" i="2"/>
  <c r="F337" i="2" s="1"/>
  <c r="H336" i="2"/>
  <c r="G336" i="2"/>
  <c r="F336" i="2"/>
  <c r="H335" i="2"/>
  <c r="G335" i="2"/>
  <c r="F335" i="2" s="1"/>
  <c r="H334" i="2"/>
  <c r="G334" i="2"/>
  <c r="F334" i="2"/>
  <c r="H333" i="2"/>
  <c r="G333" i="2"/>
  <c r="F333" i="2" s="1"/>
  <c r="H332" i="2"/>
  <c r="G332" i="2"/>
  <c r="F332" i="2"/>
  <c r="H331" i="2"/>
  <c r="G331" i="2"/>
  <c r="F331" i="2" s="1"/>
  <c r="H330" i="2"/>
  <c r="G330" i="2"/>
  <c r="H329" i="2"/>
  <c r="G329" i="2"/>
  <c r="F329" i="2" s="1"/>
  <c r="H328" i="2"/>
  <c r="G328" i="2"/>
  <c r="F328" i="2"/>
  <c r="H327" i="2"/>
  <c r="G327" i="2"/>
  <c r="F327" i="2" s="1"/>
  <c r="H326" i="2"/>
  <c r="G326" i="2"/>
  <c r="F326" i="2"/>
  <c r="H325" i="2"/>
  <c r="G325" i="2"/>
  <c r="F325" i="2" s="1"/>
  <c r="H324" i="2"/>
  <c r="G324" i="2"/>
  <c r="F324" i="2"/>
  <c r="H323" i="2"/>
  <c r="G323" i="2"/>
  <c r="F323" i="2" s="1"/>
  <c r="H322" i="2"/>
  <c r="G322" i="2"/>
  <c r="F322" i="2"/>
  <c r="H321" i="2"/>
  <c r="G321" i="2"/>
  <c r="F321" i="2" s="1"/>
  <c r="H320" i="2"/>
  <c r="G320" i="2"/>
  <c r="F320" i="2"/>
  <c r="H319" i="2"/>
  <c r="G319" i="2"/>
  <c r="F319" i="2" s="1"/>
  <c r="H318" i="2"/>
  <c r="G318" i="2"/>
  <c r="F318" i="2"/>
  <c r="H317" i="2"/>
  <c r="G317" i="2"/>
  <c r="F317" i="2" s="1"/>
  <c r="H316" i="2"/>
  <c r="G316" i="2"/>
  <c r="H315" i="2"/>
  <c r="G315" i="2"/>
  <c r="F315" i="2" s="1"/>
  <c r="H314" i="2"/>
  <c r="G314" i="2"/>
  <c r="F314" i="2"/>
  <c r="H313" i="2"/>
  <c r="G313" i="2"/>
  <c r="F313" i="2" s="1"/>
  <c r="H312" i="2"/>
  <c r="G312" i="2"/>
  <c r="H311" i="2"/>
  <c r="G311" i="2"/>
  <c r="F311" i="2" s="1"/>
  <c r="H310" i="2"/>
  <c r="G310" i="2"/>
  <c r="H309" i="2"/>
  <c r="G309" i="2"/>
  <c r="F309" i="2" s="1"/>
  <c r="H308" i="2"/>
  <c r="G308" i="2"/>
  <c r="H307" i="2"/>
  <c r="G307" i="2"/>
  <c r="F307" i="2" s="1"/>
  <c r="H306" i="2"/>
  <c r="G306" i="2"/>
  <c r="F306" i="2"/>
  <c r="H305" i="2"/>
  <c r="G305" i="2"/>
  <c r="F305" i="2" s="1"/>
  <c r="H304" i="2"/>
  <c r="G304" i="2"/>
  <c r="H303" i="2"/>
  <c r="G303" i="2"/>
  <c r="F303" i="2" s="1"/>
  <c r="H302" i="2"/>
  <c r="G302" i="2"/>
  <c r="F302" i="2"/>
  <c r="H301" i="2"/>
  <c r="G301" i="2"/>
  <c r="F301" i="2" s="1"/>
  <c r="H300" i="2"/>
  <c r="G300" i="2"/>
  <c r="F300" i="2"/>
  <c r="H299" i="2"/>
  <c r="G299" i="2"/>
  <c r="F299" i="2" s="1"/>
  <c r="H298" i="2"/>
  <c r="G298" i="2"/>
  <c r="F298" i="2"/>
  <c r="H297" i="2"/>
  <c r="G297" i="2"/>
  <c r="F297" i="2" s="1"/>
  <c r="H296" i="2"/>
  <c r="G296" i="2"/>
  <c r="H295" i="2"/>
  <c r="G295" i="2"/>
  <c r="F295" i="2" s="1"/>
  <c r="H294" i="2"/>
  <c r="G294" i="2"/>
  <c r="F294" i="2"/>
  <c r="H293" i="2"/>
  <c r="G293" i="2"/>
  <c r="F293" i="2" s="1"/>
  <c r="H292" i="2"/>
  <c r="G292" i="2"/>
  <c r="H291" i="2"/>
  <c r="G291" i="2"/>
  <c r="F291" i="2" s="1"/>
  <c r="H290" i="2"/>
  <c r="G290" i="2"/>
  <c r="H289" i="2"/>
  <c r="G289" i="2"/>
  <c r="F289" i="2" s="1"/>
  <c r="H288" i="2"/>
  <c r="G288" i="2"/>
  <c r="H287" i="2"/>
  <c r="G287" i="2"/>
  <c r="F287" i="2" s="1"/>
  <c r="H286" i="2"/>
  <c r="G286" i="2"/>
  <c r="H285" i="2"/>
  <c r="G285" i="2"/>
  <c r="F285" i="2" s="1"/>
  <c r="H284" i="2"/>
  <c r="G284" i="2"/>
  <c r="H283" i="2"/>
  <c r="G283" i="2"/>
  <c r="F283" i="2" s="1"/>
  <c r="H282" i="2"/>
  <c r="G282" i="2"/>
  <c r="H281" i="2"/>
  <c r="G281" i="2"/>
  <c r="F281" i="2" s="1"/>
  <c r="H280" i="2"/>
  <c r="G280" i="2"/>
  <c r="F280" i="2"/>
  <c r="H279" i="2"/>
  <c r="G279" i="2"/>
  <c r="F279" i="2" s="1"/>
  <c r="H278" i="2"/>
  <c r="G278" i="2"/>
  <c r="H277" i="2"/>
  <c r="G277" i="2"/>
  <c r="F277" i="2" s="1"/>
  <c r="H276" i="2"/>
  <c r="G276" i="2"/>
  <c r="H275" i="2"/>
  <c r="G275" i="2"/>
  <c r="F275" i="2" s="1"/>
  <c r="H274" i="2"/>
  <c r="G274" i="2"/>
  <c r="H273" i="2"/>
  <c r="G273" i="2"/>
  <c r="F273" i="2" s="1"/>
  <c r="H272" i="2"/>
  <c r="G272" i="2"/>
  <c r="H271" i="2"/>
  <c r="G271" i="2"/>
  <c r="F271" i="2" s="1"/>
  <c r="H270" i="2"/>
  <c r="G270" i="2"/>
  <c r="H269" i="2"/>
  <c r="G269" i="2"/>
  <c r="F269" i="2" s="1"/>
  <c r="H268" i="2"/>
  <c r="G268" i="2"/>
  <c r="H267" i="2"/>
  <c r="G267" i="2"/>
  <c r="F267" i="2" s="1"/>
  <c r="H266" i="2"/>
  <c r="G266" i="2"/>
  <c r="H265" i="2"/>
  <c r="G265" i="2"/>
  <c r="F265" i="2" s="1"/>
  <c r="H264" i="2"/>
  <c r="G264" i="2"/>
  <c r="H263" i="2"/>
  <c r="G263" i="2"/>
  <c r="F263" i="2" s="1"/>
  <c r="H262" i="2"/>
  <c r="G262" i="2"/>
  <c r="H261" i="2"/>
  <c r="G261" i="2"/>
  <c r="F261" i="2" s="1"/>
  <c r="H260" i="2"/>
  <c r="G260" i="2"/>
  <c r="H259" i="2"/>
  <c r="G259" i="2"/>
  <c r="F259" i="2" s="1"/>
  <c r="H258" i="2"/>
  <c r="G258" i="2"/>
  <c r="H257" i="2"/>
  <c r="G257" i="2"/>
  <c r="F257" i="2" s="1"/>
  <c r="H256" i="2"/>
  <c r="G256" i="2"/>
  <c r="H255" i="2"/>
  <c r="G255" i="2"/>
  <c r="F255" i="2" s="1"/>
  <c r="H254" i="2"/>
  <c r="G254" i="2"/>
  <c r="H253" i="2"/>
  <c r="G253" i="2"/>
  <c r="F253" i="2" s="1"/>
  <c r="H252" i="2"/>
  <c r="G252" i="2"/>
  <c r="H251" i="2"/>
  <c r="G251" i="2"/>
  <c r="F251" i="2" s="1"/>
  <c r="H250" i="2"/>
  <c r="G250" i="2"/>
  <c r="F250" i="2"/>
  <c r="H249" i="2"/>
  <c r="G249" i="2"/>
  <c r="F249" i="2" s="1"/>
  <c r="H248" i="2"/>
  <c r="G248" i="2"/>
  <c r="H247" i="2"/>
  <c r="G247" i="2"/>
  <c r="F247" i="2" s="1"/>
  <c r="H246" i="2"/>
  <c r="G246" i="2"/>
  <c r="H245" i="2"/>
  <c r="G245" i="2"/>
  <c r="F245" i="2" s="1"/>
  <c r="H244" i="2"/>
  <c r="G244" i="2"/>
  <c r="H243" i="2"/>
  <c r="G243" i="2"/>
  <c r="F243" i="2" s="1"/>
  <c r="H242" i="2"/>
  <c r="G242" i="2"/>
  <c r="H241" i="2"/>
  <c r="G241" i="2"/>
  <c r="F241" i="2" s="1"/>
  <c r="H240" i="2"/>
  <c r="G240" i="2"/>
  <c r="H239" i="2"/>
  <c r="G239" i="2"/>
  <c r="F239" i="2" s="1"/>
  <c r="H238" i="2"/>
  <c r="G238" i="2"/>
  <c r="F238" i="2"/>
  <c r="H237" i="2"/>
  <c r="G237" i="2"/>
  <c r="F237" i="2" s="1"/>
  <c r="H236" i="2"/>
  <c r="G236" i="2"/>
  <c r="H235" i="2"/>
  <c r="G235" i="2"/>
  <c r="F235" i="2" s="1"/>
  <c r="H234" i="2"/>
  <c r="G234" i="2"/>
  <c r="H233" i="2"/>
  <c r="G233" i="2"/>
  <c r="F233" i="2" s="1"/>
  <c r="H232" i="2"/>
  <c r="B993" i="2" s="1"/>
  <c r="M1012" i="2" s="1"/>
  <c r="M1014" i="2" s="1"/>
  <c r="E232" i="2"/>
  <c r="G232" i="2" s="1"/>
  <c r="F232" i="2" s="1"/>
  <c r="F230" i="2"/>
  <c r="F896" i="2" s="1"/>
  <c r="C228" i="2"/>
  <c r="D985" i="2" s="1"/>
  <c r="B7" i="2"/>
  <c r="B228" i="2" s="1"/>
  <c r="M28" i="1"/>
  <c r="L28" i="1"/>
  <c r="K28" i="1"/>
  <c r="B28" i="1"/>
  <c r="A28" i="1"/>
  <c r="F32" i="1" s="1"/>
  <c r="N26" i="1"/>
  <c r="N25" i="1"/>
  <c r="B25" i="1"/>
  <c r="N24" i="1"/>
  <c r="N28" i="1" s="1"/>
  <c r="H24" i="1"/>
  <c r="G24" i="1"/>
  <c r="B24" i="1"/>
  <c r="L1016" i="2" s="1"/>
  <c r="H23" i="1"/>
  <c r="G23" i="1"/>
  <c r="D23" i="1"/>
  <c r="D25" i="1" s="1"/>
  <c r="B23" i="1"/>
  <c r="D31" i="1" s="1"/>
  <c r="E22" i="1"/>
  <c r="L20" i="1"/>
  <c r="H20" i="1"/>
  <c r="B20" i="1"/>
  <c r="H19" i="1"/>
  <c r="G19" i="1"/>
  <c r="F19" i="1"/>
  <c r="H18" i="1"/>
  <c r="G18" i="1"/>
  <c r="F18" i="1" s="1"/>
  <c r="H17" i="1"/>
  <c r="G17" i="1"/>
  <c r="F17" i="1"/>
  <c r="H16" i="1"/>
  <c r="G16" i="1"/>
  <c r="F16" i="1" s="1"/>
  <c r="H15" i="1"/>
  <c r="G15" i="1"/>
  <c r="F15" i="1"/>
  <c r="H14" i="1"/>
  <c r="B22" i="1" s="1"/>
  <c r="G14" i="1"/>
  <c r="F14" i="1" s="1"/>
  <c r="F11" i="1"/>
  <c r="C9" i="1"/>
  <c r="D22" i="1" s="1"/>
  <c r="B9" i="1"/>
  <c r="B1001" i="2" s="1"/>
  <c r="T158" i="9"/>
  <c r="N158" i="9"/>
  <c r="U157" i="9"/>
  <c r="C2" i="10"/>
  <c r="W158" i="9"/>
  <c r="Q158" i="9"/>
  <c r="X157" i="9"/>
  <c r="R157" i="9"/>
  <c r="V158" i="9"/>
  <c r="P158" i="9"/>
  <c r="S158" i="9"/>
  <c r="S157" i="9"/>
  <c r="X156" i="9"/>
  <c r="R156" i="9"/>
  <c r="S155" i="9"/>
  <c r="T154" i="9"/>
  <c r="N154" i="9"/>
  <c r="R158" i="9"/>
  <c r="Q157" i="9"/>
  <c r="W156" i="9"/>
  <c r="Q156" i="9"/>
  <c r="X155" i="9"/>
  <c r="R155" i="9"/>
  <c r="S154" i="9"/>
  <c r="O158" i="9"/>
  <c r="P157" i="9"/>
  <c r="V156" i="9"/>
  <c r="P156" i="9"/>
  <c r="W155" i="9"/>
  <c r="Q155" i="9"/>
  <c r="X154" i="9"/>
  <c r="R154" i="9"/>
  <c r="N160" i="9"/>
  <c r="W157" i="9"/>
  <c r="O157" i="9"/>
  <c r="U156" i="9"/>
  <c r="O156" i="9"/>
  <c r="V155" i="9"/>
  <c r="P155" i="9"/>
  <c r="W154" i="9"/>
  <c r="Q154" i="9"/>
  <c r="X158" i="9"/>
  <c r="V157" i="9"/>
  <c r="N157" i="9"/>
  <c r="T156" i="9"/>
  <c r="N156" i="9"/>
  <c r="U155" i="9"/>
  <c r="O155" i="9"/>
  <c r="V154" i="9"/>
  <c r="P154" i="9"/>
  <c r="N159" i="9"/>
  <c r="U158" i="9"/>
  <c r="T157" i="9"/>
  <c r="S156" i="9"/>
  <c r="T155" i="9"/>
  <c r="N155" i="9"/>
  <c r="U154" i="9"/>
  <c r="O154" i="9"/>
  <c r="AF15" i="8"/>
  <c r="V15" i="8"/>
  <c r="K15" i="8"/>
  <c r="AJ43" i="8"/>
  <c r="Y43" i="8"/>
  <c r="O43" i="8"/>
  <c r="D43" i="8"/>
  <c r="AM43" i="8"/>
  <c r="H43" i="8"/>
  <c r="AJ15" i="8"/>
  <c r="D15" i="8"/>
  <c r="V43" i="8"/>
  <c r="R15" i="8"/>
  <c r="R43" i="8"/>
  <c r="O15" i="8"/>
  <c r="A15" i="8" a="1"/>
  <c r="AF43" i="8"/>
  <c r="A43" i="8" a="1"/>
  <c r="AC15" i="8"/>
  <c r="AC43" i="8"/>
  <c r="Y15" i="8"/>
  <c r="K43" i="8"/>
  <c r="AM15" i="8"/>
  <c r="H15" i="8"/>
  <c r="A84" i="6"/>
  <c r="D1776" i="4"/>
  <c r="G1775" i="4"/>
  <c r="D1774" i="4"/>
  <c r="G1773" i="4"/>
  <c r="D1772" i="4"/>
  <c r="G1771" i="4"/>
  <c r="D1770" i="4"/>
  <c r="G1769" i="4"/>
  <c r="D1768" i="4"/>
  <c r="G1767" i="4"/>
  <c r="D1766" i="4"/>
  <c r="G1765" i="4"/>
  <c r="D1764" i="4"/>
  <c r="G1763" i="4"/>
  <c r="D1762" i="4"/>
  <c r="G1761" i="4"/>
  <c r="D1760" i="4"/>
  <c r="G1759" i="4"/>
  <c r="D1758" i="4"/>
  <c r="G1757" i="4"/>
  <c r="D1756" i="4"/>
  <c r="G1755" i="4"/>
  <c r="D1754" i="4"/>
  <c r="G1753" i="4"/>
  <c r="D1752" i="4"/>
  <c r="G1751" i="4"/>
  <c r="D1750" i="4"/>
  <c r="G1749" i="4"/>
  <c r="D1748" i="4"/>
  <c r="G1747" i="4"/>
  <c r="D1746" i="4"/>
  <c r="G1745" i="4"/>
  <c r="D1744" i="4"/>
  <c r="G1743" i="4"/>
  <c r="D1742" i="4"/>
  <c r="G1741" i="4"/>
  <c r="D1740" i="4"/>
  <c r="G1739" i="4"/>
  <c r="D1738" i="4"/>
  <c r="G1737" i="4"/>
  <c r="D1736" i="4"/>
  <c r="G1735" i="4"/>
  <c r="D1734" i="4"/>
  <c r="G1733" i="4"/>
  <c r="D1732" i="4"/>
  <c r="G1731" i="4"/>
  <c r="D1730" i="4"/>
  <c r="G1729" i="4"/>
  <c r="D1728" i="4"/>
  <c r="G1727" i="4"/>
  <c r="D1726" i="4"/>
  <c r="G1725" i="4"/>
  <c r="D1724" i="4"/>
  <c r="G1723" i="4"/>
  <c r="D1722" i="4"/>
  <c r="G1721" i="4"/>
  <c r="D1720" i="4"/>
  <c r="G1719" i="4"/>
  <c r="D1718" i="4"/>
  <c r="G1717" i="4"/>
  <c r="D1716" i="4"/>
  <c r="G1715" i="4"/>
  <c r="D1714" i="4"/>
  <c r="G1713" i="4"/>
  <c r="D1712" i="4"/>
  <c r="G1711" i="4"/>
  <c r="D1710" i="4"/>
  <c r="G1709" i="4"/>
  <c r="D1708" i="4"/>
  <c r="G1707" i="4"/>
  <c r="D1706" i="4"/>
  <c r="G1705" i="4"/>
  <c r="D1704" i="4"/>
  <c r="F1775" i="4"/>
  <c r="F1773" i="4"/>
  <c r="F1771" i="4"/>
  <c r="F1769" i="4"/>
  <c r="F1767" i="4"/>
  <c r="F1765" i="4"/>
  <c r="F1763" i="4"/>
  <c r="F1761" i="4"/>
  <c r="F1759" i="4"/>
  <c r="F1757" i="4"/>
  <c r="F1755" i="4"/>
  <c r="F1753" i="4"/>
  <c r="F1751" i="4"/>
  <c r="F1749" i="4"/>
  <c r="F1747" i="4"/>
  <c r="F1745" i="4"/>
  <c r="F1743" i="4"/>
  <c r="F1741" i="4"/>
  <c r="F1739" i="4"/>
  <c r="F1737" i="4"/>
  <c r="F1735" i="4"/>
  <c r="F1733" i="4"/>
  <c r="F1731" i="4"/>
  <c r="F1729" i="4"/>
  <c r="F1727" i="4"/>
  <c r="F1725" i="4"/>
  <c r="F1723" i="4"/>
  <c r="F1721" i="4"/>
  <c r="F1719" i="4"/>
  <c r="F1717" i="4"/>
  <c r="F1715" i="4"/>
  <c r="F1713" i="4"/>
  <c r="F1711" i="4"/>
  <c r="F1709" i="4"/>
  <c r="F1707" i="4"/>
  <c r="F1705" i="4"/>
  <c r="F1703" i="4"/>
  <c r="F1701" i="4"/>
  <c r="F1699" i="4"/>
  <c r="F1697" i="4"/>
  <c r="F1695" i="4"/>
  <c r="F1693" i="4"/>
  <c r="F1691" i="4"/>
  <c r="E1776" i="4"/>
  <c r="E1774" i="4"/>
  <c r="E1772" i="4"/>
  <c r="E1770" i="4"/>
  <c r="E1768" i="4"/>
  <c r="E1766" i="4"/>
  <c r="E1764" i="4"/>
  <c r="E1762" i="4"/>
  <c r="E1760" i="4"/>
  <c r="E1758" i="4"/>
  <c r="E1756" i="4"/>
  <c r="E1754" i="4"/>
  <c r="E1752" i="4"/>
  <c r="E1750" i="4"/>
  <c r="E1748" i="4"/>
  <c r="E1746" i="4"/>
  <c r="E1744" i="4"/>
  <c r="E1742" i="4"/>
  <c r="E1740" i="4"/>
  <c r="E1738" i="4"/>
  <c r="E1736" i="4"/>
  <c r="E1734" i="4"/>
  <c r="E1732" i="4"/>
  <c r="E1730" i="4"/>
  <c r="E1728" i="4"/>
  <c r="E1726" i="4"/>
  <c r="E1724" i="4"/>
  <c r="E1722" i="4"/>
  <c r="E1720" i="4"/>
  <c r="E1718" i="4"/>
  <c r="E1716" i="4"/>
  <c r="E1714" i="4"/>
  <c r="E1712" i="4"/>
  <c r="E1710" i="4"/>
  <c r="E1708" i="4"/>
  <c r="E1706" i="4"/>
  <c r="E1704" i="4"/>
  <c r="G1700" i="4"/>
  <c r="G1699" i="4"/>
  <c r="G1702" i="4"/>
  <c r="G1701" i="4"/>
  <c r="F1700" i="4"/>
  <c r="E1699" i="4"/>
  <c r="E1698" i="4"/>
  <c r="D1697" i="4"/>
  <c r="D1696" i="4"/>
  <c r="F1689" i="4"/>
  <c r="F1687" i="4"/>
  <c r="F1685" i="4"/>
  <c r="F1683" i="4"/>
  <c r="F1681" i="4"/>
  <c r="F1679" i="4"/>
  <c r="F1677" i="4"/>
  <c r="F1675" i="4"/>
  <c r="F1673" i="4"/>
  <c r="F1671" i="4"/>
  <c r="F1669" i="4"/>
  <c r="F1667" i="4"/>
  <c r="G1665" i="4"/>
  <c r="D1664" i="4"/>
  <c r="G1663" i="4"/>
  <c r="D1662" i="4"/>
  <c r="G1661" i="4"/>
  <c r="D1660" i="4"/>
  <c r="G1659" i="4"/>
  <c r="D1658" i="4"/>
  <c r="G1657" i="4"/>
  <c r="D1656" i="4"/>
  <c r="G1655" i="4"/>
  <c r="D1654" i="4"/>
  <c r="G1653" i="4"/>
  <c r="D1652" i="4"/>
  <c r="G1651" i="4"/>
  <c r="D1650" i="4"/>
  <c r="G1649" i="4"/>
  <c r="D1648" i="4"/>
  <c r="G1647" i="4"/>
  <c r="D1646" i="4"/>
  <c r="G1645" i="4"/>
  <c r="D1644" i="4"/>
  <c r="G1643" i="4"/>
  <c r="D1642" i="4"/>
  <c r="G1641" i="4"/>
  <c r="D1640" i="4"/>
  <c r="G1639" i="4"/>
  <c r="D1638" i="4"/>
  <c r="G1637" i="4"/>
  <c r="D1636" i="4"/>
  <c r="G1635" i="4"/>
  <c r="D1634" i="4"/>
  <c r="G1633" i="4"/>
  <c r="D1632" i="4"/>
  <c r="G1631" i="4"/>
  <c r="D1630" i="4"/>
  <c r="G1629" i="4"/>
  <c r="D1628" i="4"/>
  <c r="G1627" i="4"/>
  <c r="D1626" i="4"/>
  <c r="G1625" i="4"/>
  <c r="E1775" i="4"/>
  <c r="E1773" i="4"/>
  <c r="E1771" i="4"/>
  <c r="E1769" i="4"/>
  <c r="E1767" i="4"/>
  <c r="E1765" i="4"/>
  <c r="E1763" i="4"/>
  <c r="E1761" i="4"/>
  <c r="E1759" i="4"/>
  <c r="E1757" i="4"/>
  <c r="E1755" i="4"/>
  <c r="E1753" i="4"/>
  <c r="E1751" i="4"/>
  <c r="E1749" i="4"/>
  <c r="E1747" i="4"/>
  <c r="E1745" i="4"/>
  <c r="E1743" i="4"/>
  <c r="E1741" i="4"/>
  <c r="E1739" i="4"/>
  <c r="E1737" i="4"/>
  <c r="E1735" i="4"/>
  <c r="E1733" i="4"/>
  <c r="E1731" i="4"/>
  <c r="E1729" i="4"/>
  <c r="E1727" i="4"/>
  <c r="E1725" i="4"/>
  <c r="E1723" i="4"/>
  <c r="E1721" i="4"/>
  <c r="E1719" i="4"/>
  <c r="E1717" i="4"/>
  <c r="E1715" i="4"/>
  <c r="E1713" i="4"/>
  <c r="E1711" i="4"/>
  <c r="E1709" i="4"/>
  <c r="E1707" i="4"/>
  <c r="E1705" i="4"/>
  <c r="G1703" i="4"/>
  <c r="F1702" i="4"/>
  <c r="E1701" i="4"/>
  <c r="E1700" i="4"/>
  <c r="D1699" i="4"/>
  <c r="D1698" i="4"/>
  <c r="G1692" i="4"/>
  <c r="G1691" i="4"/>
  <c r="E1689" i="4"/>
  <c r="E1687" i="4"/>
  <c r="E1685" i="4"/>
  <c r="E1683" i="4"/>
  <c r="E1681" i="4"/>
  <c r="E1679" i="4"/>
  <c r="E1677" i="4"/>
  <c r="E1675" i="4"/>
  <c r="E1673" i="4"/>
  <c r="E1671" i="4"/>
  <c r="E1669" i="4"/>
  <c r="E1667" i="4"/>
  <c r="F1665" i="4"/>
  <c r="F1663" i="4"/>
  <c r="F1661" i="4"/>
  <c r="F1659" i="4"/>
  <c r="F1657" i="4"/>
  <c r="F1655" i="4"/>
  <c r="F1653" i="4"/>
  <c r="F1651" i="4"/>
  <c r="F1649" i="4"/>
  <c r="F1647" i="4"/>
  <c r="F1645" i="4"/>
  <c r="F1643" i="4"/>
  <c r="F1641" i="4"/>
  <c r="F1639" i="4"/>
  <c r="F1637" i="4"/>
  <c r="F1635" i="4"/>
  <c r="F1633" i="4"/>
  <c r="F1631" i="4"/>
  <c r="F1629" i="4"/>
  <c r="F1627" i="4"/>
  <c r="F1625" i="4"/>
  <c r="F1623" i="4"/>
  <c r="D1779" i="4"/>
  <c r="D1775" i="4"/>
  <c r="D1773" i="4"/>
  <c r="D1771" i="4"/>
  <c r="D1769" i="4"/>
  <c r="D1767" i="4"/>
  <c r="D1765" i="4"/>
  <c r="D1763" i="4"/>
  <c r="D1761" i="4"/>
  <c r="D1759" i="4"/>
  <c r="D1757" i="4"/>
  <c r="D1755" i="4"/>
  <c r="D1753" i="4"/>
  <c r="D1751" i="4"/>
  <c r="D1749" i="4"/>
  <c r="D1747" i="4"/>
  <c r="D1745" i="4"/>
  <c r="D1743" i="4"/>
  <c r="D1741" i="4"/>
  <c r="D1739" i="4"/>
  <c r="D1737" i="4"/>
  <c r="D1735" i="4"/>
  <c r="D1733" i="4"/>
  <c r="D1731" i="4"/>
  <c r="D1729" i="4"/>
  <c r="D1727" i="4"/>
  <c r="D1725" i="4"/>
  <c r="D1723" i="4"/>
  <c r="D1721" i="4"/>
  <c r="D1719" i="4"/>
  <c r="D1717" i="4"/>
  <c r="D1715" i="4"/>
  <c r="D1713" i="4"/>
  <c r="D1711" i="4"/>
  <c r="D1709" i="4"/>
  <c r="D1707" i="4"/>
  <c r="D1705" i="4"/>
  <c r="E1703" i="4"/>
  <c r="E1702" i="4"/>
  <c r="D1701" i="4"/>
  <c r="D1700" i="4"/>
  <c r="G1694" i="4"/>
  <c r="G1693" i="4"/>
  <c r="F1692" i="4"/>
  <c r="E1691" i="4"/>
  <c r="G1690" i="4"/>
  <c r="D1689" i="4"/>
  <c r="G1688" i="4"/>
  <c r="D1687" i="4"/>
  <c r="G1686" i="4"/>
  <c r="D1685" i="4"/>
  <c r="G1684" i="4"/>
  <c r="D1683" i="4"/>
  <c r="G1682" i="4"/>
  <c r="D1681" i="4"/>
  <c r="G1680" i="4"/>
  <c r="D1679" i="4"/>
  <c r="G1678" i="4"/>
  <c r="D1677" i="4"/>
  <c r="G1676" i="4"/>
  <c r="D1675" i="4"/>
  <c r="G1674" i="4"/>
  <c r="D1673" i="4"/>
  <c r="G1672" i="4"/>
  <c r="D1671" i="4"/>
  <c r="G1670" i="4"/>
  <c r="D1669" i="4"/>
  <c r="G1668" i="4"/>
  <c r="G1776" i="4"/>
  <c r="G1774" i="4"/>
  <c r="G1772" i="4"/>
  <c r="G1770" i="4"/>
  <c r="G1768" i="4"/>
  <c r="G1766" i="4"/>
  <c r="G1764" i="4"/>
  <c r="G1762" i="4"/>
  <c r="G1760" i="4"/>
  <c r="G1758" i="4"/>
  <c r="G1756" i="4"/>
  <c r="G1754" i="4"/>
  <c r="G1752" i="4"/>
  <c r="G1750" i="4"/>
  <c r="G1748" i="4"/>
  <c r="G1746" i="4"/>
  <c r="G1744" i="4"/>
  <c r="G1742" i="4"/>
  <c r="G1740" i="4"/>
  <c r="G1738" i="4"/>
  <c r="G1736" i="4"/>
  <c r="G1734" i="4"/>
  <c r="G1732" i="4"/>
  <c r="G1730" i="4"/>
  <c r="G1728" i="4"/>
  <c r="G1726" i="4"/>
  <c r="G1724" i="4"/>
  <c r="G1722" i="4"/>
  <c r="G1720" i="4"/>
  <c r="G1718" i="4"/>
  <c r="G1716" i="4"/>
  <c r="G1714" i="4"/>
  <c r="G1712" i="4"/>
  <c r="G1710" i="4"/>
  <c r="G1708" i="4"/>
  <c r="G1706" i="4"/>
  <c r="G1704" i="4"/>
  <c r="D1703" i="4"/>
  <c r="D1702" i="4"/>
  <c r="G1696" i="4"/>
  <c r="G1695" i="4"/>
  <c r="F1694" i="4"/>
  <c r="E1693" i="4"/>
  <c r="E1692" i="4"/>
  <c r="D1691" i="4"/>
  <c r="F1690" i="4"/>
  <c r="F1688" i="4"/>
  <c r="F1686" i="4"/>
  <c r="F1684" i="4"/>
  <c r="F1682" i="4"/>
  <c r="F1680" i="4"/>
  <c r="F1678" i="4"/>
  <c r="F1676" i="4"/>
  <c r="F1674" i="4"/>
  <c r="F1672" i="4"/>
  <c r="F1670" i="4"/>
  <c r="F1668" i="4"/>
  <c r="F1666" i="4"/>
  <c r="D1665" i="4"/>
  <c r="G1664" i="4"/>
  <c r="D1663" i="4"/>
  <c r="G1662" i="4"/>
  <c r="D1661" i="4"/>
  <c r="G1660" i="4"/>
  <c r="D1659" i="4"/>
  <c r="G1658" i="4"/>
  <c r="D1657" i="4"/>
  <c r="G1656" i="4"/>
  <c r="D1655" i="4"/>
  <c r="G1654" i="4"/>
  <c r="D1653" i="4"/>
  <c r="G1652" i="4"/>
  <c r="D1651" i="4"/>
  <c r="G1650" i="4"/>
  <c r="D1649" i="4"/>
  <c r="G1648" i="4"/>
  <c r="D1647" i="4"/>
  <c r="G1646" i="4"/>
  <c r="D1645" i="4"/>
  <c r="G1644" i="4"/>
  <c r="D1643" i="4"/>
  <c r="G1642" i="4"/>
  <c r="D1641" i="4"/>
  <c r="G1640" i="4"/>
  <c r="D1639" i="4"/>
  <c r="G1638" i="4"/>
  <c r="D1637" i="4"/>
  <c r="G1636" i="4"/>
  <c r="D1635" i="4"/>
  <c r="G1634" i="4"/>
  <c r="D1633" i="4"/>
  <c r="F1776" i="4"/>
  <c r="F1774" i="4"/>
  <c r="F1772" i="4"/>
  <c r="F1770" i="4"/>
  <c r="F1768" i="4"/>
  <c r="F1766" i="4"/>
  <c r="F1764" i="4"/>
  <c r="F1762" i="4"/>
  <c r="F1760" i="4"/>
  <c r="F1758" i="4"/>
  <c r="F1756" i="4"/>
  <c r="F1754" i="4"/>
  <c r="F1752" i="4"/>
  <c r="F1750" i="4"/>
  <c r="F1748" i="4"/>
  <c r="F1746" i="4"/>
  <c r="F1744" i="4"/>
  <c r="F1742" i="4"/>
  <c r="F1740" i="4"/>
  <c r="F1738" i="4"/>
  <c r="F1736" i="4"/>
  <c r="F1734" i="4"/>
  <c r="F1732" i="4"/>
  <c r="F1730" i="4"/>
  <c r="F1728" i="4"/>
  <c r="F1726" i="4"/>
  <c r="F1724" i="4"/>
  <c r="F1722" i="4"/>
  <c r="F1720" i="4"/>
  <c r="F1718" i="4"/>
  <c r="F1716" i="4"/>
  <c r="F1714" i="4"/>
  <c r="F1712" i="4"/>
  <c r="F1710" i="4"/>
  <c r="F1708" i="4"/>
  <c r="F1706" i="4"/>
  <c r="F1704" i="4"/>
  <c r="G1698" i="4"/>
  <c r="G1697" i="4"/>
  <c r="F1696" i="4"/>
  <c r="E1695" i="4"/>
  <c r="E1694" i="4"/>
  <c r="D1693" i="4"/>
  <c r="D1692" i="4"/>
  <c r="E1690" i="4"/>
  <c r="E1688" i="4"/>
  <c r="E1686" i="4"/>
  <c r="E1684" i="4"/>
  <c r="E1682" i="4"/>
  <c r="E1680" i="4"/>
  <c r="E1678" i="4"/>
  <c r="E1676" i="4"/>
  <c r="E1674" i="4"/>
  <c r="E1672" i="4"/>
  <c r="E1670" i="4"/>
  <c r="E1668" i="4"/>
  <c r="E1666" i="4"/>
  <c r="F1664" i="4"/>
  <c r="F1662" i="4"/>
  <c r="F1660" i="4"/>
  <c r="F1658" i="4"/>
  <c r="F1656" i="4"/>
  <c r="F1654" i="4"/>
  <c r="F1652" i="4"/>
  <c r="F1650" i="4"/>
  <c r="F1648" i="4"/>
  <c r="F1646" i="4"/>
  <c r="F1644" i="4"/>
  <c r="F1642" i="4"/>
  <c r="F1640" i="4"/>
  <c r="F1638" i="4"/>
  <c r="F1636" i="4"/>
  <c r="F1634" i="4"/>
  <c r="F1632" i="4"/>
  <c r="F1630" i="4"/>
  <c r="F1628" i="4"/>
  <c r="F1626" i="4"/>
  <c r="F1624" i="4"/>
  <c r="F1622" i="4"/>
  <c r="F1620" i="4"/>
  <c r="F1618" i="4"/>
  <c r="F1616" i="4"/>
  <c r="F1614" i="4"/>
  <c r="F1612" i="4"/>
  <c r="F1610" i="4"/>
  <c r="F1608" i="4"/>
  <c r="F1606" i="4"/>
  <c r="F1604" i="4"/>
  <c r="F1602" i="4"/>
  <c r="F1600" i="4"/>
  <c r="F1598" i="4"/>
  <c r="F1596" i="4"/>
  <c r="F1594" i="4"/>
  <c r="F1592" i="4"/>
  <c r="F1590" i="4"/>
  <c r="F1588" i="4"/>
  <c r="F1586" i="4"/>
  <c r="F1584" i="4"/>
  <c r="F1582" i="4"/>
  <c r="F1580" i="4"/>
  <c r="F1578" i="4"/>
  <c r="F1576" i="4"/>
  <c r="F1574" i="4"/>
  <c r="F1572" i="4"/>
  <c r="F1570" i="4"/>
  <c r="F1568" i="4"/>
  <c r="F1566" i="4"/>
  <c r="F1564" i="4"/>
  <c r="F1562" i="4"/>
  <c r="F1560" i="4"/>
  <c r="F1558" i="4"/>
  <c r="F1556" i="4"/>
  <c r="F1554" i="4"/>
  <c r="F1552" i="4"/>
  <c r="F1550" i="4"/>
  <c r="F1548" i="4"/>
  <c r="F1546" i="4"/>
  <c r="F1544" i="4"/>
  <c r="F1698" i="4"/>
  <c r="D1676" i="4"/>
  <c r="D1670" i="4"/>
  <c r="D1623" i="4"/>
  <c r="G1617" i="4"/>
  <c r="G1616" i="4"/>
  <c r="F1615" i="4"/>
  <c r="E1614" i="4"/>
  <c r="E1613" i="4"/>
  <c r="D1612" i="4"/>
  <c r="D1611" i="4"/>
  <c r="G1605" i="4"/>
  <c r="G1604" i="4"/>
  <c r="F1603" i="4"/>
  <c r="E1602" i="4"/>
  <c r="E1601" i="4"/>
  <c r="D1600" i="4"/>
  <c r="D1599" i="4"/>
  <c r="G1593" i="4"/>
  <c r="G1592" i="4"/>
  <c r="F1591" i="4"/>
  <c r="E1590" i="4"/>
  <c r="E1589" i="4"/>
  <c r="D1588" i="4"/>
  <c r="D1587" i="4"/>
  <c r="G1581" i="4"/>
  <c r="G1580" i="4"/>
  <c r="F1579" i="4"/>
  <c r="E1578" i="4"/>
  <c r="E1577" i="4"/>
  <c r="D1576" i="4"/>
  <c r="D1575" i="4"/>
  <c r="G1569" i="4"/>
  <c r="G1568" i="4"/>
  <c r="F1567" i="4"/>
  <c r="E1566" i="4"/>
  <c r="E1565" i="4"/>
  <c r="D1564" i="4"/>
  <c r="D1563" i="4"/>
  <c r="G1557" i="4"/>
  <c r="G1556" i="4"/>
  <c r="F1555" i="4"/>
  <c r="E1554" i="4"/>
  <c r="E1553" i="4"/>
  <c r="D1552" i="4"/>
  <c r="D1551" i="4"/>
  <c r="G1545" i="4"/>
  <c r="G1544" i="4"/>
  <c r="G1543" i="4"/>
  <c r="D1542" i="4"/>
  <c r="G1541" i="4"/>
  <c r="D1540" i="4"/>
  <c r="G1539" i="4"/>
  <c r="D1538" i="4"/>
  <c r="G1537" i="4"/>
  <c r="D1536" i="4"/>
  <c r="G1535" i="4"/>
  <c r="D1534" i="4"/>
  <c r="G1533" i="4"/>
  <c r="D1532" i="4"/>
  <c r="G1531" i="4"/>
  <c r="D1530" i="4"/>
  <c r="G1529" i="4"/>
  <c r="D1528" i="4"/>
  <c r="G1527" i="4"/>
  <c r="D1526" i="4"/>
  <c r="G1525" i="4"/>
  <c r="D1524" i="4"/>
  <c r="G1523" i="4"/>
  <c r="D1522" i="4"/>
  <c r="G1521" i="4"/>
  <c r="D1520" i="4"/>
  <c r="G1519" i="4"/>
  <c r="D1518" i="4"/>
  <c r="G1517" i="4"/>
  <c r="E1516" i="4"/>
  <c r="E1514" i="4"/>
  <c r="E1512" i="4"/>
  <c r="E1510" i="4"/>
  <c r="E1697" i="4"/>
  <c r="E1696" i="4"/>
  <c r="D1695" i="4"/>
  <c r="D1694" i="4"/>
  <c r="G1673" i="4"/>
  <c r="G1667" i="4"/>
  <c r="E1665" i="4"/>
  <c r="E1663" i="4"/>
  <c r="E1661" i="4"/>
  <c r="E1659" i="4"/>
  <c r="E1657" i="4"/>
  <c r="E1655" i="4"/>
  <c r="E1653" i="4"/>
  <c r="E1651" i="4"/>
  <c r="E1649" i="4"/>
  <c r="E1647" i="4"/>
  <c r="E1645" i="4"/>
  <c r="E1643" i="4"/>
  <c r="E1641" i="4"/>
  <c r="E1639" i="4"/>
  <c r="E1637" i="4"/>
  <c r="E1635" i="4"/>
  <c r="E1633" i="4"/>
  <c r="G1626" i="4"/>
  <c r="E1625" i="4"/>
  <c r="G1619" i="4"/>
  <c r="G1618" i="4"/>
  <c r="F1617" i="4"/>
  <c r="E1616" i="4"/>
  <c r="E1615" i="4"/>
  <c r="D1614" i="4"/>
  <c r="D1613" i="4"/>
  <c r="G1607" i="4"/>
  <c r="G1606" i="4"/>
  <c r="F1605" i="4"/>
  <c r="E1604" i="4"/>
  <c r="E1603" i="4"/>
  <c r="D1602" i="4"/>
  <c r="D1601" i="4"/>
  <c r="G1595" i="4"/>
  <c r="G1594" i="4"/>
  <c r="F1593" i="4"/>
  <c r="E1592" i="4"/>
  <c r="E1591" i="4"/>
  <c r="D1590" i="4"/>
  <c r="D1589" i="4"/>
  <c r="G1583" i="4"/>
  <c r="G1582" i="4"/>
  <c r="F1581" i="4"/>
  <c r="E1580" i="4"/>
  <c r="E1579" i="4"/>
  <c r="D1578" i="4"/>
  <c r="D1577" i="4"/>
  <c r="G1571" i="4"/>
  <c r="G1570" i="4"/>
  <c r="F1569" i="4"/>
  <c r="E1568" i="4"/>
  <c r="E1567" i="4"/>
  <c r="D1566" i="4"/>
  <c r="D1565" i="4"/>
  <c r="G1559" i="4"/>
  <c r="G1558" i="4"/>
  <c r="F1557" i="4"/>
  <c r="E1556" i="4"/>
  <c r="E1555" i="4"/>
  <c r="D1554" i="4"/>
  <c r="D1553" i="4"/>
  <c r="G1547" i="4"/>
  <c r="G1546" i="4"/>
  <c r="F1545" i="4"/>
  <c r="E1544" i="4"/>
  <c r="F1543" i="4"/>
  <c r="F1541" i="4"/>
  <c r="F1539" i="4"/>
  <c r="F1537" i="4"/>
  <c r="F1535" i="4"/>
  <c r="F1533" i="4"/>
  <c r="F1531" i="4"/>
  <c r="F1529" i="4"/>
  <c r="F1527" i="4"/>
  <c r="F1525" i="4"/>
  <c r="F1523" i="4"/>
  <c r="F1521" i="4"/>
  <c r="F1519" i="4"/>
  <c r="F1517" i="4"/>
  <c r="D1516" i="4"/>
  <c r="D1690" i="4"/>
  <c r="G1687" i="4"/>
  <c r="D1686" i="4"/>
  <c r="G1683" i="4"/>
  <c r="D1682" i="4"/>
  <c r="G1679" i="4"/>
  <c r="D1678" i="4"/>
  <c r="D1672" i="4"/>
  <c r="D1667" i="4"/>
  <c r="G1628" i="4"/>
  <c r="E1627" i="4"/>
  <c r="E1626" i="4"/>
  <c r="D1625" i="4"/>
  <c r="G1624" i="4"/>
  <c r="G1621" i="4"/>
  <c r="G1620" i="4"/>
  <c r="F1619" i="4"/>
  <c r="E1618" i="4"/>
  <c r="E1617" i="4"/>
  <c r="D1616" i="4"/>
  <c r="D1615" i="4"/>
  <c r="G1609" i="4"/>
  <c r="G1608" i="4"/>
  <c r="F1607" i="4"/>
  <c r="E1606" i="4"/>
  <c r="E1605" i="4"/>
  <c r="D1604" i="4"/>
  <c r="D1603" i="4"/>
  <c r="G1597" i="4"/>
  <c r="G1596" i="4"/>
  <c r="F1595" i="4"/>
  <c r="E1594" i="4"/>
  <c r="E1593" i="4"/>
  <c r="D1592" i="4"/>
  <c r="D1591" i="4"/>
  <c r="G1585" i="4"/>
  <c r="G1584" i="4"/>
  <c r="F1583" i="4"/>
  <c r="E1582" i="4"/>
  <c r="E1581" i="4"/>
  <c r="D1580" i="4"/>
  <c r="D1579" i="4"/>
  <c r="G1675" i="4"/>
  <c r="G1669" i="4"/>
  <c r="G1630" i="4"/>
  <c r="E1629" i="4"/>
  <c r="E1628" i="4"/>
  <c r="D1627" i="4"/>
  <c r="E1624" i="4"/>
  <c r="G1622" i="4"/>
  <c r="F1621" i="4"/>
  <c r="E1620" i="4"/>
  <c r="E1619" i="4"/>
  <c r="D1618" i="4"/>
  <c r="D1617" i="4"/>
  <c r="G1611" i="4"/>
  <c r="G1610" i="4"/>
  <c r="F1609" i="4"/>
  <c r="E1608" i="4"/>
  <c r="E1607" i="4"/>
  <c r="D1606" i="4"/>
  <c r="D1605" i="4"/>
  <c r="G1599" i="4"/>
  <c r="G1598" i="4"/>
  <c r="F1597" i="4"/>
  <c r="E1596" i="4"/>
  <c r="E1595" i="4"/>
  <c r="D1594" i="4"/>
  <c r="D1593" i="4"/>
  <c r="G1587" i="4"/>
  <c r="G1586" i="4"/>
  <c r="F1585" i="4"/>
  <c r="E1584" i="4"/>
  <c r="E1583" i="4"/>
  <c r="D1582" i="4"/>
  <c r="D1581" i="4"/>
  <c r="G1575" i="4"/>
  <c r="G1574" i="4"/>
  <c r="F1573" i="4"/>
  <c r="E1572" i="4"/>
  <c r="E1571" i="4"/>
  <c r="D1570" i="4"/>
  <c r="D1569" i="4"/>
  <c r="G1563" i="4"/>
  <c r="G1562" i="4"/>
  <c r="F1561" i="4"/>
  <c r="E1560" i="4"/>
  <c r="E1559" i="4"/>
  <c r="D1558" i="4"/>
  <c r="D1557" i="4"/>
  <c r="G1551" i="4"/>
  <c r="G1550" i="4"/>
  <c r="F1549" i="4"/>
  <c r="E1548" i="4"/>
  <c r="E1547" i="4"/>
  <c r="D1546" i="4"/>
  <c r="D1545" i="4"/>
  <c r="D1543" i="4"/>
  <c r="G1542" i="4"/>
  <c r="D1541" i="4"/>
  <c r="G1540" i="4"/>
  <c r="D1539" i="4"/>
  <c r="G1538" i="4"/>
  <c r="D1537" i="4"/>
  <c r="G1536" i="4"/>
  <c r="D1674" i="4"/>
  <c r="D1668" i="4"/>
  <c r="G1666" i="4"/>
  <c r="E1664" i="4"/>
  <c r="E1662" i="4"/>
  <c r="E1660" i="4"/>
  <c r="E1658" i="4"/>
  <c r="E1656" i="4"/>
  <c r="E1654" i="4"/>
  <c r="E1652" i="4"/>
  <c r="E1650" i="4"/>
  <c r="E1648" i="4"/>
  <c r="E1646" i="4"/>
  <c r="E1644" i="4"/>
  <c r="E1642" i="4"/>
  <c r="E1640" i="4"/>
  <c r="E1638" i="4"/>
  <c r="E1636" i="4"/>
  <c r="E1634" i="4"/>
  <c r="G1632" i="4"/>
  <c r="E1631" i="4"/>
  <c r="E1630" i="4"/>
  <c r="D1629" i="4"/>
  <c r="D1624" i="4"/>
  <c r="G1623" i="4"/>
  <c r="E1622" i="4"/>
  <c r="E1621" i="4"/>
  <c r="D1620" i="4"/>
  <c r="D1619" i="4"/>
  <c r="G1613" i="4"/>
  <c r="G1612" i="4"/>
  <c r="F1611" i="4"/>
  <c r="E1610" i="4"/>
  <c r="E1609" i="4"/>
  <c r="D1608" i="4"/>
  <c r="D1607" i="4"/>
  <c r="G1601" i="4"/>
  <c r="G1600" i="4"/>
  <c r="F1599" i="4"/>
  <c r="E1598" i="4"/>
  <c r="E1597" i="4"/>
  <c r="D1596" i="4"/>
  <c r="D1595" i="4"/>
  <c r="G1589" i="4"/>
  <c r="G1588" i="4"/>
  <c r="F1587" i="4"/>
  <c r="E1586" i="4"/>
  <c r="E1585" i="4"/>
  <c r="D1584" i="4"/>
  <c r="D1583" i="4"/>
  <c r="G1577" i="4"/>
  <c r="G1576" i="4"/>
  <c r="F1575" i="4"/>
  <c r="E1574" i="4"/>
  <c r="E1573" i="4"/>
  <c r="D1572" i="4"/>
  <c r="D1571" i="4"/>
  <c r="G1565" i="4"/>
  <c r="G1564" i="4"/>
  <c r="F1563" i="4"/>
  <c r="E1562" i="4"/>
  <c r="E1561" i="4"/>
  <c r="D1560" i="4"/>
  <c r="D1559" i="4"/>
  <c r="G1553" i="4"/>
  <c r="G1552" i="4"/>
  <c r="G1689" i="4"/>
  <c r="D1688" i="4"/>
  <c r="G1685" i="4"/>
  <c r="D1684" i="4"/>
  <c r="G1681" i="4"/>
  <c r="D1680" i="4"/>
  <c r="G1677" i="4"/>
  <c r="G1671" i="4"/>
  <c r="D1666" i="4"/>
  <c r="E1632" i="4"/>
  <c r="D1631" i="4"/>
  <c r="E1623" i="4"/>
  <c r="D1622" i="4"/>
  <c r="D1621" i="4"/>
  <c r="G1615" i="4"/>
  <c r="G1614" i="4"/>
  <c r="F1613" i="4"/>
  <c r="E1612" i="4"/>
  <c r="E1611" i="4"/>
  <c r="D1610" i="4"/>
  <c r="D1609" i="4"/>
  <c r="G1603" i="4"/>
  <c r="G1602" i="4"/>
  <c r="F1601" i="4"/>
  <c r="E1600" i="4"/>
  <c r="E1599" i="4"/>
  <c r="D1598" i="4"/>
  <c r="D1597" i="4"/>
  <c r="G1591" i="4"/>
  <c r="G1590" i="4"/>
  <c r="F1589" i="4"/>
  <c r="E1588" i="4"/>
  <c r="E1587" i="4"/>
  <c r="D1586" i="4"/>
  <c r="D1585" i="4"/>
  <c r="G1579" i="4"/>
  <c r="G1578" i="4"/>
  <c r="F1577" i="4"/>
  <c r="E1576" i="4"/>
  <c r="E1575" i="4"/>
  <c r="D1574" i="4"/>
  <c r="D1573" i="4"/>
  <c r="G1567" i="4"/>
  <c r="G1566" i="4"/>
  <c r="F1565" i="4"/>
  <c r="E1564" i="4"/>
  <c r="E1563" i="4"/>
  <c r="D1562" i="4"/>
  <c r="D1561" i="4"/>
  <c r="G1555" i="4"/>
  <c r="G1554" i="4"/>
  <c r="F1553" i="4"/>
  <c r="E1552" i="4"/>
  <c r="E1551" i="4"/>
  <c r="D1550" i="4"/>
  <c r="D1549" i="4"/>
  <c r="E1542" i="4"/>
  <c r="E1540" i="4"/>
  <c r="E1538" i="4"/>
  <c r="E1536" i="4"/>
  <c r="E1534" i="4"/>
  <c r="E1532" i="4"/>
  <c r="E1530" i="4"/>
  <c r="E1528" i="4"/>
  <c r="E1526" i="4"/>
  <c r="E1524" i="4"/>
  <c r="E1522" i="4"/>
  <c r="E1520" i="4"/>
  <c r="E1518" i="4"/>
  <c r="F1516" i="4"/>
  <c r="F1514" i="4"/>
  <c r="F1512" i="4"/>
  <c r="F1510" i="4"/>
  <c r="F1508" i="4"/>
  <c r="F1506" i="4"/>
  <c r="F1504" i="4"/>
  <c r="F1502" i="4"/>
  <c r="F1500" i="4"/>
  <c r="F1498" i="4"/>
  <c r="F1496" i="4"/>
  <c r="F1494" i="4"/>
  <c r="F1492" i="4"/>
  <c r="F1490" i="4"/>
  <c r="F1488" i="4"/>
  <c r="F1486" i="4"/>
  <c r="F1484" i="4"/>
  <c r="F1482" i="4"/>
  <c r="F1480" i="4"/>
  <c r="F1478" i="4"/>
  <c r="F1476" i="4"/>
  <c r="F1474" i="4"/>
  <c r="F1472" i="4"/>
  <c r="F1470" i="4"/>
  <c r="F1468" i="4"/>
  <c r="F1466" i="4"/>
  <c r="F1464" i="4"/>
  <c r="F1462" i="4"/>
  <c r="F1460" i="4"/>
  <c r="F1458" i="4"/>
  <c r="F1456" i="4"/>
  <c r="F1454" i="4"/>
  <c r="F1452" i="4"/>
  <c r="F1450" i="4"/>
  <c r="F1448" i="4"/>
  <c r="F1446" i="4"/>
  <c r="F1444" i="4"/>
  <c r="F1442" i="4"/>
  <c r="F1440" i="4"/>
  <c r="F1438" i="4"/>
  <c r="F1436" i="4"/>
  <c r="F1434" i="4"/>
  <c r="F1432" i="4"/>
  <c r="F1430" i="4"/>
  <c r="F1428" i="4"/>
  <c r="F1426" i="4"/>
  <c r="F1424" i="4"/>
  <c r="F1422" i="4"/>
  <c r="E1420" i="4"/>
  <c r="F1418" i="4"/>
  <c r="F1416" i="4"/>
  <c r="G1573" i="4"/>
  <c r="G1572" i="4"/>
  <c r="F1571" i="4"/>
  <c r="E1570" i="4"/>
  <c r="E1557" i="4"/>
  <c r="D1548" i="4"/>
  <c r="D1535" i="4"/>
  <c r="E1533" i="4"/>
  <c r="F1532" i="4"/>
  <c r="G1530" i="4"/>
  <c r="D1523" i="4"/>
  <c r="E1521" i="4"/>
  <c r="F1520" i="4"/>
  <c r="G1518" i="4"/>
  <c r="D1514" i="4"/>
  <c r="G1511" i="4"/>
  <c r="F1509" i="4"/>
  <c r="E1508" i="4"/>
  <c r="E1507" i="4"/>
  <c r="D1506" i="4"/>
  <c r="D1505" i="4"/>
  <c r="G1499" i="4"/>
  <c r="G1498" i="4"/>
  <c r="F1497" i="4"/>
  <c r="E1496" i="4"/>
  <c r="E1495" i="4"/>
  <c r="D1494" i="4"/>
  <c r="D1493" i="4"/>
  <c r="G1487" i="4"/>
  <c r="G1486" i="4"/>
  <c r="F1485" i="4"/>
  <c r="E1484" i="4"/>
  <c r="E1483" i="4"/>
  <c r="D1482" i="4"/>
  <c r="D1481" i="4"/>
  <c r="G1475" i="4"/>
  <c r="G1474" i="4"/>
  <c r="F1473" i="4"/>
  <c r="E1472" i="4"/>
  <c r="E1471" i="4"/>
  <c r="D1470" i="4"/>
  <c r="D1469" i="4"/>
  <c r="G1463" i="4"/>
  <c r="G1462" i="4"/>
  <c r="F1461" i="4"/>
  <c r="E1460" i="4"/>
  <c r="E1459" i="4"/>
  <c r="D1458" i="4"/>
  <c r="D1457" i="4"/>
  <c r="G1451" i="4"/>
  <c r="G1450" i="4"/>
  <c r="F1449" i="4"/>
  <c r="E1448" i="4"/>
  <c r="E1447" i="4"/>
  <c r="D1446" i="4"/>
  <c r="D1445" i="4"/>
  <c r="G1439" i="4"/>
  <c r="G1438" i="4"/>
  <c r="F1437" i="4"/>
  <c r="E1436" i="4"/>
  <c r="E1435" i="4"/>
  <c r="D1434" i="4"/>
  <c r="D1433" i="4"/>
  <c r="G1427" i="4"/>
  <c r="G1426" i="4"/>
  <c r="F1425" i="4"/>
  <c r="E1424" i="4"/>
  <c r="E1423" i="4"/>
  <c r="D1422" i="4"/>
  <c r="D1421" i="4"/>
  <c r="D1419" i="4"/>
  <c r="E1569" i="4"/>
  <c r="F1551" i="4"/>
  <c r="E1550" i="4"/>
  <c r="E1545" i="4"/>
  <c r="F1542" i="4"/>
  <c r="E1541" i="4"/>
  <c r="F1538" i="4"/>
  <c r="E1537" i="4"/>
  <c r="D1533" i="4"/>
  <c r="E1531" i="4"/>
  <c r="F1530" i="4"/>
  <c r="G1528" i="4"/>
  <c r="D1521" i="4"/>
  <c r="E1519" i="4"/>
  <c r="F1518" i="4"/>
  <c r="G1513" i="4"/>
  <c r="F1511" i="4"/>
  <c r="E1509" i="4"/>
  <c r="D1508" i="4"/>
  <c r="D1507" i="4"/>
  <c r="G1501" i="4"/>
  <c r="G1500" i="4"/>
  <c r="F1499" i="4"/>
  <c r="E1498" i="4"/>
  <c r="E1497" i="4"/>
  <c r="D1496" i="4"/>
  <c r="D1495" i="4"/>
  <c r="G1489" i="4"/>
  <c r="G1488" i="4"/>
  <c r="F1487" i="4"/>
  <c r="E1486" i="4"/>
  <c r="E1485" i="4"/>
  <c r="D1484" i="4"/>
  <c r="D1483" i="4"/>
  <c r="G1477" i="4"/>
  <c r="G1476" i="4"/>
  <c r="F1475" i="4"/>
  <c r="E1474" i="4"/>
  <c r="E1473" i="4"/>
  <c r="D1472" i="4"/>
  <c r="D1471" i="4"/>
  <c r="G1465" i="4"/>
  <c r="G1464" i="4"/>
  <c r="F1463" i="4"/>
  <c r="E1462" i="4"/>
  <c r="E1461" i="4"/>
  <c r="D1460" i="4"/>
  <c r="D1459" i="4"/>
  <c r="G1453" i="4"/>
  <c r="G1452" i="4"/>
  <c r="F1451" i="4"/>
  <c r="E1450" i="4"/>
  <c r="E1449" i="4"/>
  <c r="D1448" i="4"/>
  <c r="D1447" i="4"/>
  <c r="G1441" i="4"/>
  <c r="G1440" i="4"/>
  <c r="F1439" i="4"/>
  <c r="E1438" i="4"/>
  <c r="E1437" i="4"/>
  <c r="D1436" i="4"/>
  <c r="D1435" i="4"/>
  <c r="G1429" i="4"/>
  <c r="G1428" i="4"/>
  <c r="F1427" i="4"/>
  <c r="E1426" i="4"/>
  <c r="E1425" i="4"/>
  <c r="D1424" i="4"/>
  <c r="D1423" i="4"/>
  <c r="G1415" i="4"/>
  <c r="D1556" i="4"/>
  <c r="D1555" i="4"/>
  <c r="G1549" i="4"/>
  <c r="F1547" i="4"/>
  <c r="D1531" i="4"/>
  <c r="E1529" i="4"/>
  <c r="F1528" i="4"/>
  <c r="G1526" i="4"/>
  <c r="D1519" i="4"/>
  <c r="E1517" i="4"/>
  <c r="G1516" i="4"/>
  <c r="G1515" i="4"/>
  <c r="F1513" i="4"/>
  <c r="E1511" i="4"/>
  <c r="D1509" i="4"/>
  <c r="G1503" i="4"/>
  <c r="G1502" i="4"/>
  <c r="F1501" i="4"/>
  <c r="E1500" i="4"/>
  <c r="E1499" i="4"/>
  <c r="D1498" i="4"/>
  <c r="D1497" i="4"/>
  <c r="G1491" i="4"/>
  <c r="G1490" i="4"/>
  <c r="F1489" i="4"/>
  <c r="E1488" i="4"/>
  <c r="E1487" i="4"/>
  <c r="D1486" i="4"/>
  <c r="D1485" i="4"/>
  <c r="G1479" i="4"/>
  <c r="G1478" i="4"/>
  <c r="F1477" i="4"/>
  <c r="E1476" i="4"/>
  <c r="E1475" i="4"/>
  <c r="D1474" i="4"/>
  <c r="D1473" i="4"/>
  <c r="G1467" i="4"/>
  <c r="G1466" i="4"/>
  <c r="F1465" i="4"/>
  <c r="E1464" i="4"/>
  <c r="E1463" i="4"/>
  <c r="D1462" i="4"/>
  <c r="D1461" i="4"/>
  <c r="G1455" i="4"/>
  <c r="G1454" i="4"/>
  <c r="F1453" i="4"/>
  <c r="E1452" i="4"/>
  <c r="E1451" i="4"/>
  <c r="D1450" i="4"/>
  <c r="D1449" i="4"/>
  <c r="G1443" i="4"/>
  <c r="G1442" i="4"/>
  <c r="F1441" i="4"/>
  <c r="E1440" i="4"/>
  <c r="E1439" i="4"/>
  <c r="D1438" i="4"/>
  <c r="D1437" i="4"/>
  <c r="G1431" i="4"/>
  <c r="G1430" i="4"/>
  <c r="F1429" i="4"/>
  <c r="E1428" i="4"/>
  <c r="E1427" i="4"/>
  <c r="D1426" i="4"/>
  <c r="D1425" i="4"/>
  <c r="G1420" i="4"/>
  <c r="G1417" i="4"/>
  <c r="G1416" i="4"/>
  <c r="F1415" i="4"/>
  <c r="D1568" i="4"/>
  <c r="D1567" i="4"/>
  <c r="E1549" i="4"/>
  <c r="D1547" i="4"/>
  <c r="D1529" i="4"/>
  <c r="E1527" i="4"/>
  <c r="F1526" i="4"/>
  <c r="G1524" i="4"/>
  <c r="D1517" i="4"/>
  <c r="F1515" i="4"/>
  <c r="E1513" i="4"/>
  <c r="D1511" i="4"/>
  <c r="G1510" i="4"/>
  <c r="G1505" i="4"/>
  <c r="G1504" i="4"/>
  <c r="F1503" i="4"/>
  <c r="E1502" i="4"/>
  <c r="E1501" i="4"/>
  <c r="D1500" i="4"/>
  <c r="D1499" i="4"/>
  <c r="G1493" i="4"/>
  <c r="G1492" i="4"/>
  <c r="F1491" i="4"/>
  <c r="E1490" i="4"/>
  <c r="E1489" i="4"/>
  <c r="D1488" i="4"/>
  <c r="D1487" i="4"/>
  <c r="G1481" i="4"/>
  <c r="G1480" i="4"/>
  <c r="F1479" i="4"/>
  <c r="E1478" i="4"/>
  <c r="E1477" i="4"/>
  <c r="D1476" i="4"/>
  <c r="D1475" i="4"/>
  <c r="G1469" i="4"/>
  <c r="G1468" i="4"/>
  <c r="F1467" i="4"/>
  <c r="E1466" i="4"/>
  <c r="E1465" i="4"/>
  <c r="D1464" i="4"/>
  <c r="D1463" i="4"/>
  <c r="G1457" i="4"/>
  <c r="G1456" i="4"/>
  <c r="F1455" i="4"/>
  <c r="E1454" i="4"/>
  <c r="E1453" i="4"/>
  <c r="D1452" i="4"/>
  <c r="D1451" i="4"/>
  <c r="G1445" i="4"/>
  <c r="G1444" i="4"/>
  <c r="F1443" i="4"/>
  <c r="E1442" i="4"/>
  <c r="E1441" i="4"/>
  <c r="D1440" i="4"/>
  <c r="D1439" i="4"/>
  <c r="G1433" i="4"/>
  <c r="G1432" i="4"/>
  <c r="F1431" i="4"/>
  <c r="E1430" i="4"/>
  <c r="E1429" i="4"/>
  <c r="D1428" i="4"/>
  <c r="D1427" i="4"/>
  <c r="G1421" i="4"/>
  <c r="F1420" i="4"/>
  <c r="G1419" i="4"/>
  <c r="G1418" i="4"/>
  <c r="F1417" i="4"/>
  <c r="E1416" i="4"/>
  <c r="E1415" i="4"/>
  <c r="E1546" i="4"/>
  <c r="E1543" i="4"/>
  <c r="F1540" i="4"/>
  <c r="E1539" i="4"/>
  <c r="F1536" i="4"/>
  <c r="G1534" i="4"/>
  <c r="D1527" i="4"/>
  <c r="E1525" i="4"/>
  <c r="F1524" i="4"/>
  <c r="G1522" i="4"/>
  <c r="E1515" i="4"/>
  <c r="D1513" i="4"/>
  <c r="G1512" i="4"/>
  <c r="D1510" i="4"/>
  <c r="G1507" i="4"/>
  <c r="G1506" i="4"/>
  <c r="F1505" i="4"/>
  <c r="E1504" i="4"/>
  <c r="E1503" i="4"/>
  <c r="D1502" i="4"/>
  <c r="D1501" i="4"/>
  <c r="G1495" i="4"/>
  <c r="G1494" i="4"/>
  <c r="F1493" i="4"/>
  <c r="E1492" i="4"/>
  <c r="E1491" i="4"/>
  <c r="D1490" i="4"/>
  <c r="D1489" i="4"/>
  <c r="G1483" i="4"/>
  <c r="G1482" i="4"/>
  <c r="F1481" i="4"/>
  <c r="E1480" i="4"/>
  <c r="E1479" i="4"/>
  <c r="D1478" i="4"/>
  <c r="D1477" i="4"/>
  <c r="G1471" i="4"/>
  <c r="G1470" i="4"/>
  <c r="F1469" i="4"/>
  <c r="E1468" i="4"/>
  <c r="E1467" i="4"/>
  <c r="D1466" i="4"/>
  <c r="D1465" i="4"/>
  <c r="G1459" i="4"/>
  <c r="G1458" i="4"/>
  <c r="F1457" i="4"/>
  <c r="E1456" i="4"/>
  <c r="E1455" i="4"/>
  <c r="D1454" i="4"/>
  <c r="D1453" i="4"/>
  <c r="G1447" i="4"/>
  <c r="G1446" i="4"/>
  <c r="F1445" i="4"/>
  <c r="E1444" i="4"/>
  <c r="E1443" i="4"/>
  <c r="D1442" i="4"/>
  <c r="D1441" i="4"/>
  <c r="G1435" i="4"/>
  <c r="G1434" i="4"/>
  <c r="F1433" i="4"/>
  <c r="E1432" i="4"/>
  <c r="E1431" i="4"/>
  <c r="D1430" i="4"/>
  <c r="D1429" i="4"/>
  <c r="G1423" i="4"/>
  <c r="G1422" i="4"/>
  <c r="F1421" i="4"/>
  <c r="D1420" i="4"/>
  <c r="G1561" i="4"/>
  <c r="G1560" i="4"/>
  <c r="F1559" i="4"/>
  <c r="E1558" i="4"/>
  <c r="G1548" i="4"/>
  <c r="D1544" i="4"/>
  <c r="E1535" i="4"/>
  <c r="F1534" i="4"/>
  <c r="G1532" i="4"/>
  <c r="D1525" i="4"/>
  <c r="E1523" i="4"/>
  <c r="F1522" i="4"/>
  <c r="G1520" i="4"/>
  <c r="D1515" i="4"/>
  <c r="G1514" i="4"/>
  <c r="D1512" i="4"/>
  <c r="G1509" i="4"/>
  <c r="G1508" i="4"/>
  <c r="F1507" i="4"/>
  <c r="E1506" i="4"/>
  <c r="E1505" i="4"/>
  <c r="D1504" i="4"/>
  <c r="D1503" i="4"/>
  <c r="G1497" i="4"/>
  <c r="G1496" i="4"/>
  <c r="F1495" i="4"/>
  <c r="E1494" i="4"/>
  <c r="E1493" i="4"/>
  <c r="D1492" i="4"/>
  <c r="D1491" i="4"/>
  <c r="G1485" i="4"/>
  <c r="G1484" i="4"/>
  <c r="F1483" i="4"/>
  <c r="E1482" i="4"/>
  <c r="E1481" i="4"/>
  <c r="D1480" i="4"/>
  <c r="D1479" i="4"/>
  <c r="G1473" i="4"/>
  <c r="G1472" i="4"/>
  <c r="F1471" i="4"/>
  <c r="E1470" i="4"/>
  <c r="E1469" i="4"/>
  <c r="D1468" i="4"/>
  <c r="D1467" i="4"/>
  <c r="G1461" i="4"/>
  <c r="G1460" i="4"/>
  <c r="F1459" i="4"/>
  <c r="E1458" i="4"/>
  <c r="E1457" i="4"/>
  <c r="D1456" i="4"/>
  <c r="D1455" i="4"/>
  <c r="G1449" i="4"/>
  <c r="G1448" i="4"/>
  <c r="F1447" i="4"/>
  <c r="E1446" i="4"/>
  <c r="E1445" i="4"/>
  <c r="D1444" i="4"/>
  <c r="D1443" i="4"/>
  <c r="G1437" i="4"/>
  <c r="G1436" i="4"/>
  <c r="F1435" i="4"/>
  <c r="E1434" i="4"/>
  <c r="E1433" i="4"/>
  <c r="D1432" i="4"/>
  <c r="D1431" i="4"/>
  <c r="G1425" i="4"/>
  <c r="G1424" i="4"/>
  <c r="F1423" i="4"/>
  <c r="E1422" i="4"/>
  <c r="E1421" i="4"/>
  <c r="E1419" i="4"/>
  <c r="D1418" i="4"/>
  <c r="D1417" i="4"/>
  <c r="D1415" i="4"/>
  <c r="E1418" i="4"/>
  <c r="F1419" i="4"/>
  <c r="E1417" i="4"/>
  <c r="D1416" i="4"/>
  <c r="L1792" i="4" l="1" a="1"/>
  <c r="L1792" i="4" s="1"/>
  <c r="L1795" i="4" a="1"/>
  <c r="L1795" i="4" s="1"/>
  <c r="L1793" i="4" a="1"/>
  <c r="L1793" i="4" s="1"/>
  <c r="L1794" i="4" a="1"/>
  <c r="L1794" i="4" s="1"/>
  <c r="L1791" i="4" a="1"/>
  <c r="L1791" i="4" s="1"/>
  <c r="J1792" i="4" a="1"/>
  <c r="J1792" i="4" s="1"/>
  <c r="J1795" i="4" a="1"/>
  <c r="J1795" i="4" s="1"/>
  <c r="J1793" i="4" a="1"/>
  <c r="J1793" i="4" s="1"/>
  <c r="J1794" i="4" a="1"/>
  <c r="J1794" i="4" s="1"/>
  <c r="L1797" i="4" a="1"/>
  <c r="L1797" i="4" s="1"/>
  <c r="J1791" i="4" a="1"/>
  <c r="J1791" i="4" s="1"/>
  <c r="N1539" i="4"/>
  <c r="U1539" i="4" s="1"/>
  <c r="P1541" i="4"/>
  <c r="W1541" i="4" s="1"/>
  <c r="O1543" i="4"/>
  <c r="T1543" i="4" s="1"/>
  <c r="N1544" i="4"/>
  <c r="P1544" i="4" s="1"/>
  <c r="O1544" i="4"/>
  <c r="T1544" i="4" s="1"/>
  <c r="O1545" i="4"/>
  <c r="Q1545" i="4"/>
  <c r="O1546" i="4"/>
  <c r="T1546" i="4" s="1"/>
  <c r="Q1547" i="4"/>
  <c r="O1553" i="4"/>
  <c r="T1553" i="4" s="1"/>
  <c r="O1554" i="4"/>
  <c r="T1554" i="4" s="1"/>
  <c r="O1556" i="4"/>
  <c r="T1556" i="4" s="1"/>
  <c r="P1556" i="4"/>
  <c r="O1557" i="4"/>
  <c r="T1557" i="4" s="1"/>
  <c r="Q1557" i="4"/>
  <c r="O1558" i="4"/>
  <c r="T1558" i="4" s="1"/>
  <c r="Q1559" i="4"/>
  <c r="Q1561" i="4"/>
  <c r="N1564" i="4"/>
  <c r="U1564" i="4" s="1"/>
  <c r="P1565" i="4"/>
  <c r="W1565" i="4" s="1"/>
  <c r="O1565" i="4"/>
  <c r="T1565" i="4" s="1"/>
  <c r="P1568" i="4"/>
  <c r="O1570" i="4"/>
  <c r="T1570" i="4" s="1"/>
  <c r="Q1571" i="4"/>
  <c r="Q1573" i="4"/>
  <c r="N1576" i="4"/>
  <c r="O1577" i="4"/>
  <c r="T1577" i="4" s="1"/>
  <c r="P1577" i="4"/>
  <c r="O1578" i="4"/>
  <c r="T1578" i="4" s="1"/>
  <c r="O1580" i="4"/>
  <c r="T1580" i="4" s="1"/>
  <c r="O1581" i="4"/>
  <c r="T1581" i="4" s="1"/>
  <c r="Q1581" i="4"/>
  <c r="O1582" i="4"/>
  <c r="T1582" i="4" s="1"/>
  <c r="Q1583" i="4"/>
  <c r="Q1585" i="4"/>
  <c r="N1588" i="4"/>
  <c r="O1589" i="4"/>
  <c r="T1589" i="4" s="1"/>
  <c r="P1592" i="4"/>
  <c r="W1592" i="4" s="1"/>
  <c r="Q1595" i="4"/>
  <c r="Q1597" i="4"/>
  <c r="N1600" i="4"/>
  <c r="O1601" i="4"/>
  <c r="T1601" i="4" s="1"/>
  <c r="N1604" i="4"/>
  <c r="O1604" i="4"/>
  <c r="T1604" i="4" s="1"/>
  <c r="Q1605" i="4"/>
  <c r="O1606" i="4"/>
  <c r="T1606" i="4" s="1"/>
  <c r="Q1607" i="4"/>
  <c r="P1613" i="4"/>
  <c r="O1614" i="4"/>
  <c r="T1614" i="4" s="1"/>
  <c r="O1616" i="4"/>
  <c r="T1616" i="4" s="1"/>
  <c r="O1617" i="4"/>
  <c r="T1617" i="4" s="1"/>
  <c r="Q1617" i="4"/>
  <c r="O1618" i="4"/>
  <c r="T1618" i="4" s="1"/>
  <c r="Q1619" i="4"/>
  <c r="Q1621" i="4"/>
  <c r="O1667" i="4"/>
  <c r="T1667" i="4" s="1"/>
  <c r="O1668" i="4"/>
  <c r="T1668" i="4" s="1"/>
  <c r="Q1668" i="4"/>
  <c r="N1669" i="4"/>
  <c r="O1670" i="4"/>
  <c r="T1670" i="4" s="1"/>
  <c r="Q1670" i="4"/>
  <c r="U1671" i="4"/>
  <c r="O1672" i="4"/>
  <c r="T1672" i="4" s="1"/>
  <c r="O1673" i="4"/>
  <c r="T1673" i="4" s="1"/>
  <c r="O1674" i="4"/>
  <c r="T1674" i="4" s="1"/>
  <c r="Q1674" i="4"/>
  <c r="P1675" i="4"/>
  <c r="U1675" i="4"/>
  <c r="N1677" i="4"/>
  <c r="O1677" i="4"/>
  <c r="T1677" i="4" s="1"/>
  <c r="O1678" i="4"/>
  <c r="T1678" i="4" s="1"/>
  <c r="P1678" i="4"/>
  <c r="U1678" i="4"/>
  <c r="N1679" i="4"/>
  <c r="O1679" i="4"/>
  <c r="T1679" i="4" s="1"/>
  <c r="O1680" i="4"/>
  <c r="T1680" i="4" s="1"/>
  <c r="N1681" i="4"/>
  <c r="U1681" i="4" s="1"/>
  <c r="O1681" i="4"/>
  <c r="P1681" i="4" s="1"/>
  <c r="O1682" i="4"/>
  <c r="T1682" i="4" s="1"/>
  <c r="N1683" i="4"/>
  <c r="U1683" i="4" s="1"/>
  <c r="O1683" i="4"/>
  <c r="P1683" i="4" s="1"/>
  <c r="O1684" i="4"/>
  <c r="T1684" i="4" s="1"/>
  <c r="N1685" i="4"/>
  <c r="U1685" i="4" s="1"/>
  <c r="O1685" i="4"/>
  <c r="P1685" i="4" s="1"/>
  <c r="O1686" i="4"/>
  <c r="T1686" i="4" s="1"/>
  <c r="P1686" i="4"/>
  <c r="U1686" i="4"/>
  <c r="N1687" i="4"/>
  <c r="U1687" i="4" s="1"/>
  <c r="O1687" i="4"/>
  <c r="P1687" i="4" s="1"/>
  <c r="O1688" i="4"/>
  <c r="T1688" i="4" s="1"/>
  <c r="N1689" i="4"/>
  <c r="U1689" i="4" s="1"/>
  <c r="O1689" i="4"/>
  <c r="P1689" i="4" s="1"/>
  <c r="O1690" i="4"/>
  <c r="T1690" i="4" s="1"/>
  <c r="U1690" i="4"/>
  <c r="N1691" i="4"/>
  <c r="U1691" i="4" s="1"/>
  <c r="O1692" i="4"/>
  <c r="T1692" i="4" s="1"/>
  <c r="Q1692" i="4"/>
  <c r="O1693" i="4"/>
  <c r="T1693" i="4" s="1"/>
  <c r="Q1696" i="4"/>
  <c r="N1697" i="4"/>
  <c r="P1697" i="4" s="1"/>
  <c r="O1697" i="4"/>
  <c r="T1697" i="4" s="1"/>
  <c r="O1698" i="4"/>
  <c r="T1698" i="4" s="1"/>
  <c r="Q1698" i="4"/>
  <c r="P1699" i="4"/>
  <c r="P1700" i="4"/>
  <c r="W1700" i="4" s="1"/>
  <c r="Q1700" i="4"/>
  <c r="N1703" i="4"/>
  <c r="U1703" i="4" s="1"/>
  <c r="N1705" i="4"/>
  <c r="U1705" i="4" s="1"/>
  <c r="N1707" i="4"/>
  <c r="U1707" i="4" s="1"/>
  <c r="N1709" i="4"/>
  <c r="U1709" i="4" s="1"/>
  <c r="N1711" i="4"/>
  <c r="U1711" i="4" s="1"/>
  <c r="N1713" i="4"/>
  <c r="U1713" i="4" s="1"/>
  <c r="N1715" i="4"/>
  <c r="U1715" i="4" s="1"/>
  <c r="N1717" i="4"/>
  <c r="U1717" i="4" s="1"/>
  <c r="N1719" i="4"/>
  <c r="U1719" i="4" s="1"/>
  <c r="N1721" i="4"/>
  <c r="U1721" i="4" s="1"/>
  <c r="N1723" i="4"/>
  <c r="U1723" i="4" s="1"/>
  <c r="N1725" i="4"/>
  <c r="U1725" i="4" s="1"/>
  <c r="N1727" i="4"/>
  <c r="U1727" i="4" s="1"/>
  <c r="N1729" i="4"/>
  <c r="U1729" i="4" s="1"/>
  <c r="N1731" i="4"/>
  <c r="U1731" i="4" s="1"/>
  <c r="N1733" i="4"/>
  <c r="U1733" i="4" s="1"/>
  <c r="N1735" i="4"/>
  <c r="U1735" i="4" s="1"/>
  <c r="N1737" i="4"/>
  <c r="U1737" i="4" s="1"/>
  <c r="N1739" i="4"/>
  <c r="U1739" i="4" s="1"/>
  <c r="N1741" i="4"/>
  <c r="U1741" i="4" s="1"/>
  <c r="N1743" i="4"/>
  <c r="U1743" i="4" s="1"/>
  <c r="N1745" i="4"/>
  <c r="U1745" i="4" s="1"/>
  <c r="N1747" i="4"/>
  <c r="U1747" i="4" s="1"/>
  <c r="N1749" i="4"/>
  <c r="U1749" i="4" s="1"/>
  <c r="N1751" i="4"/>
  <c r="U1751" i="4" s="1"/>
  <c r="N1753" i="4"/>
  <c r="U1753" i="4" s="1"/>
  <c r="N1755" i="4"/>
  <c r="U1755" i="4" s="1"/>
  <c r="N1757" i="4"/>
  <c r="U1757" i="4" s="1"/>
  <c r="N1759" i="4"/>
  <c r="U1759" i="4" s="1"/>
  <c r="N1761" i="4"/>
  <c r="U1761" i="4" s="1"/>
  <c r="N1763" i="4"/>
  <c r="U1763" i="4" s="1"/>
  <c r="N1765" i="4"/>
  <c r="U1765" i="4" s="1"/>
  <c r="N1767" i="4"/>
  <c r="U1767" i="4" s="1"/>
  <c r="N1769" i="4"/>
  <c r="U1769" i="4" s="1"/>
  <c r="N1771" i="4"/>
  <c r="U1771" i="4" s="1"/>
  <c r="N1773" i="4"/>
  <c r="U1773" i="4" s="1"/>
  <c r="A13" i="10"/>
  <c r="A49" i="10"/>
  <c r="A85" i="10"/>
  <c r="A121" i="10"/>
  <c r="A19" i="10"/>
  <c r="A55" i="10"/>
  <c r="A91" i="10"/>
  <c r="A127" i="10"/>
  <c r="A25" i="10"/>
  <c r="A61" i="10"/>
  <c r="A97" i="10"/>
  <c r="A133" i="10"/>
  <c r="A2" i="10"/>
  <c r="A31" i="10"/>
  <c r="A67" i="10"/>
  <c r="A103" i="10"/>
  <c r="A37" i="10"/>
  <c r="A73" i="10"/>
  <c r="A109" i="10"/>
  <c r="A377" i="7"/>
  <c r="C1416" i="4"/>
  <c r="C1415" i="4"/>
  <c r="C1417" i="4"/>
  <c r="C1418" i="4"/>
  <c r="C1431" i="4"/>
  <c r="C1432" i="4"/>
  <c r="C1443" i="4"/>
  <c r="C1444" i="4"/>
  <c r="C1455" i="4"/>
  <c r="C1456" i="4"/>
  <c r="C1467" i="4"/>
  <c r="C1468" i="4"/>
  <c r="C1479" i="4"/>
  <c r="C1480" i="4"/>
  <c r="C1491" i="4"/>
  <c r="C1492" i="4"/>
  <c r="C1503" i="4"/>
  <c r="C1504" i="4"/>
  <c r="C1512" i="4"/>
  <c r="C1515" i="4"/>
  <c r="C1525" i="4"/>
  <c r="C1544" i="4"/>
  <c r="C1420" i="4"/>
  <c r="C1429" i="4"/>
  <c r="C1430" i="4"/>
  <c r="C1441" i="4"/>
  <c r="C1442" i="4"/>
  <c r="C1453" i="4"/>
  <c r="C1454" i="4"/>
  <c r="C1465" i="4"/>
  <c r="C1466" i="4"/>
  <c r="C1477" i="4"/>
  <c r="C1478" i="4"/>
  <c r="C1489" i="4"/>
  <c r="C1490" i="4"/>
  <c r="C1501" i="4"/>
  <c r="C1502" i="4"/>
  <c r="C1510" i="4"/>
  <c r="C1513" i="4"/>
  <c r="C1527" i="4"/>
  <c r="C1427" i="4"/>
  <c r="C1428" i="4"/>
  <c r="C1439" i="4"/>
  <c r="C1440" i="4"/>
  <c r="C1451" i="4"/>
  <c r="C1452" i="4"/>
  <c r="C1463" i="4"/>
  <c r="C1464" i="4"/>
  <c r="C1475" i="4"/>
  <c r="C1476" i="4"/>
  <c r="C1487" i="4"/>
  <c r="C1488" i="4"/>
  <c r="C1499" i="4"/>
  <c r="C1500" i="4"/>
  <c r="C1511" i="4"/>
  <c r="C1517" i="4"/>
  <c r="C1529" i="4"/>
  <c r="C1547" i="4"/>
  <c r="C1567" i="4"/>
  <c r="C1568" i="4"/>
  <c r="C1425" i="4"/>
  <c r="C1426" i="4"/>
  <c r="C1437" i="4"/>
  <c r="C1438" i="4"/>
  <c r="C1449" i="4"/>
  <c r="C1450" i="4"/>
  <c r="C1461" i="4"/>
  <c r="C1462" i="4"/>
  <c r="C1473" i="4"/>
  <c r="C1474" i="4"/>
  <c r="C1485" i="4"/>
  <c r="C1486" i="4"/>
  <c r="C1497" i="4"/>
  <c r="C1498" i="4"/>
  <c r="C1509" i="4"/>
  <c r="C1519" i="4"/>
  <c r="C1531" i="4"/>
  <c r="C1555" i="4"/>
  <c r="C1556" i="4"/>
  <c r="C1423" i="4"/>
  <c r="C1424" i="4"/>
  <c r="C1435" i="4"/>
  <c r="C1436" i="4"/>
  <c r="C1447" i="4"/>
  <c r="C1448" i="4"/>
  <c r="C1459" i="4"/>
  <c r="C1460" i="4"/>
  <c r="C1471" i="4"/>
  <c r="C1472" i="4"/>
  <c r="C1483" i="4"/>
  <c r="C1484" i="4"/>
  <c r="C1495" i="4"/>
  <c r="C1496" i="4"/>
  <c r="C1507" i="4"/>
  <c r="C1508" i="4"/>
  <c r="C1521" i="4"/>
  <c r="C1533" i="4"/>
  <c r="C1419" i="4"/>
  <c r="C1421" i="4"/>
  <c r="C1422" i="4"/>
  <c r="C1433" i="4"/>
  <c r="C1434" i="4"/>
  <c r="C1445" i="4"/>
  <c r="C1446" i="4"/>
  <c r="C1457" i="4"/>
  <c r="C1458" i="4"/>
  <c r="C1469" i="4"/>
  <c r="C1470" i="4"/>
  <c r="C1481" i="4"/>
  <c r="C1482" i="4"/>
  <c r="C1493" i="4"/>
  <c r="C1494" i="4"/>
  <c r="C1505" i="4"/>
  <c r="C1506" i="4"/>
  <c r="C1514" i="4"/>
  <c r="C1523" i="4"/>
  <c r="C1535" i="4"/>
  <c r="C1548" i="4"/>
  <c r="C1549" i="4"/>
  <c r="C1550" i="4"/>
  <c r="C1561" i="4"/>
  <c r="C1562" i="4"/>
  <c r="C1573" i="4"/>
  <c r="C1574" i="4"/>
  <c r="C1585" i="4"/>
  <c r="C1586" i="4"/>
  <c r="C1597" i="4"/>
  <c r="C1598" i="4"/>
  <c r="C1609" i="4"/>
  <c r="C1610" i="4"/>
  <c r="C1621" i="4"/>
  <c r="C1622" i="4"/>
  <c r="C1631" i="4"/>
  <c r="C1666" i="4"/>
  <c r="C1680" i="4"/>
  <c r="C1684" i="4"/>
  <c r="C1688" i="4"/>
  <c r="C1559" i="4"/>
  <c r="C1560" i="4"/>
  <c r="C1571" i="4"/>
  <c r="C1572" i="4"/>
  <c r="C1583" i="4"/>
  <c r="C1584" i="4"/>
  <c r="C1595" i="4"/>
  <c r="C1596" i="4"/>
  <c r="C1607" i="4"/>
  <c r="C1608" i="4"/>
  <c r="C1619" i="4"/>
  <c r="C1620" i="4"/>
  <c r="C1624" i="4"/>
  <c r="C1629" i="4"/>
  <c r="C1668" i="4"/>
  <c r="C1674" i="4"/>
  <c r="C1537" i="4"/>
  <c r="C1539" i="4"/>
  <c r="C1541" i="4"/>
  <c r="C1543" i="4"/>
  <c r="C1545" i="4"/>
  <c r="C1546" i="4"/>
  <c r="C1557" i="4"/>
  <c r="C1558" i="4"/>
  <c r="C1569" i="4"/>
  <c r="C1570" i="4"/>
  <c r="C1581" i="4"/>
  <c r="C1582" i="4"/>
  <c r="C1593" i="4"/>
  <c r="C1594" i="4"/>
  <c r="C1605" i="4"/>
  <c r="C1606" i="4"/>
  <c r="C1617" i="4"/>
  <c r="C1618" i="4"/>
  <c r="C1627" i="4"/>
  <c r="C1579" i="4"/>
  <c r="C1580" i="4"/>
  <c r="C1591" i="4"/>
  <c r="C1592" i="4"/>
  <c r="C1603" i="4"/>
  <c r="C1604" i="4"/>
  <c r="C1615" i="4"/>
  <c r="C1616" i="4"/>
  <c r="C1625" i="4"/>
  <c r="C1667" i="4"/>
  <c r="C1672" i="4"/>
  <c r="C1678" i="4"/>
  <c r="C1682" i="4"/>
  <c r="C1686" i="4"/>
  <c r="C1690" i="4"/>
  <c r="C1516" i="4"/>
  <c r="C1553" i="4"/>
  <c r="C1554" i="4"/>
  <c r="C1565" i="4"/>
  <c r="C1566" i="4"/>
  <c r="C1577" i="4"/>
  <c r="C1578" i="4"/>
  <c r="C1589" i="4"/>
  <c r="C1590" i="4"/>
  <c r="C1601" i="4"/>
  <c r="C1602" i="4"/>
  <c r="C1613" i="4"/>
  <c r="C1614" i="4"/>
  <c r="C1694" i="4"/>
  <c r="C1695" i="4"/>
  <c r="C1518" i="4"/>
  <c r="C1520" i="4"/>
  <c r="C1522" i="4"/>
  <c r="C1524" i="4"/>
  <c r="C1526" i="4"/>
  <c r="C1528" i="4"/>
  <c r="C1530" i="4"/>
  <c r="C1532" i="4"/>
  <c r="C1534" i="4"/>
  <c r="C1536" i="4"/>
  <c r="C1538" i="4"/>
  <c r="C1540" i="4"/>
  <c r="C1542" i="4"/>
  <c r="C1551" i="4"/>
  <c r="C1552" i="4"/>
  <c r="C1563" i="4"/>
  <c r="C1564" i="4"/>
  <c r="C1575" i="4"/>
  <c r="C1576" i="4"/>
  <c r="C1587" i="4"/>
  <c r="C1588" i="4"/>
  <c r="C1599" i="4"/>
  <c r="C1600" i="4"/>
  <c r="C1611" i="4"/>
  <c r="C1612" i="4"/>
  <c r="C1623" i="4"/>
  <c r="C1670" i="4"/>
  <c r="C1676" i="4"/>
  <c r="C1692" i="4"/>
  <c r="C1693" i="4"/>
  <c r="C1633" i="4"/>
  <c r="C1635" i="4"/>
  <c r="C1637" i="4"/>
  <c r="C1639" i="4"/>
  <c r="C1641" i="4"/>
  <c r="C1643" i="4"/>
  <c r="C1645" i="4"/>
  <c r="C1647" i="4"/>
  <c r="C1649" i="4"/>
  <c r="C1651" i="4"/>
  <c r="C1653" i="4"/>
  <c r="C1655" i="4"/>
  <c r="C1657" i="4"/>
  <c r="C1659" i="4"/>
  <c r="C1661" i="4"/>
  <c r="C1663" i="4"/>
  <c r="C1665" i="4"/>
  <c r="C1691" i="4"/>
  <c r="C1702" i="4"/>
  <c r="C1703" i="4"/>
  <c r="C1669" i="4"/>
  <c r="C1671" i="4"/>
  <c r="C1673" i="4"/>
  <c r="C1675" i="4"/>
  <c r="C1677" i="4"/>
  <c r="C1679" i="4"/>
  <c r="C1681" i="4"/>
  <c r="C1683" i="4"/>
  <c r="C1685" i="4"/>
  <c r="C1687" i="4"/>
  <c r="C1689" i="4"/>
  <c r="C1700" i="4"/>
  <c r="C1701" i="4"/>
  <c r="C1705" i="4"/>
  <c r="C1707" i="4"/>
  <c r="C1709" i="4"/>
  <c r="C1711" i="4"/>
  <c r="C1713" i="4"/>
  <c r="C1715" i="4"/>
  <c r="C1717" i="4"/>
  <c r="C1719" i="4"/>
  <c r="C1721" i="4"/>
  <c r="C1723" i="4"/>
  <c r="C1725" i="4"/>
  <c r="C1727" i="4"/>
  <c r="C1729" i="4"/>
  <c r="C1731" i="4"/>
  <c r="C1733" i="4"/>
  <c r="C1735" i="4"/>
  <c r="C1737" i="4"/>
  <c r="C1739" i="4"/>
  <c r="C1741" i="4"/>
  <c r="C1743" i="4"/>
  <c r="C1745" i="4"/>
  <c r="C1747" i="4"/>
  <c r="C1749" i="4"/>
  <c r="C1751" i="4"/>
  <c r="C1753" i="4"/>
  <c r="C1755" i="4"/>
  <c r="C1757" i="4"/>
  <c r="C1759" i="4"/>
  <c r="C1761" i="4"/>
  <c r="C1763" i="4"/>
  <c r="C1765" i="4"/>
  <c r="C1767" i="4"/>
  <c r="C1769" i="4"/>
  <c r="C1771" i="4"/>
  <c r="C1773" i="4"/>
  <c r="C1775" i="4"/>
  <c r="C1779" i="4"/>
  <c r="C1698" i="4"/>
  <c r="C1699" i="4"/>
  <c r="C1626" i="4"/>
  <c r="C1628" i="4"/>
  <c r="C1630" i="4"/>
  <c r="C1632" i="4"/>
  <c r="C1634" i="4"/>
  <c r="C1636" i="4"/>
  <c r="C1638" i="4"/>
  <c r="C1640" i="4"/>
  <c r="C1642" i="4"/>
  <c r="C1644" i="4"/>
  <c r="C1646" i="4"/>
  <c r="C1648" i="4"/>
  <c r="C1650" i="4"/>
  <c r="C1652" i="4"/>
  <c r="C1654" i="4"/>
  <c r="C1656" i="4"/>
  <c r="C1658" i="4"/>
  <c r="C1660" i="4"/>
  <c r="C1662" i="4"/>
  <c r="C1664" i="4"/>
  <c r="C1696" i="4"/>
  <c r="C1697" i="4"/>
  <c r="C1704" i="4"/>
  <c r="C1706" i="4"/>
  <c r="C1708" i="4"/>
  <c r="C1710" i="4"/>
  <c r="C1712" i="4"/>
  <c r="C1714" i="4"/>
  <c r="C1716" i="4"/>
  <c r="C1718" i="4"/>
  <c r="C1720" i="4"/>
  <c r="C1722" i="4"/>
  <c r="C1724" i="4"/>
  <c r="C1726" i="4"/>
  <c r="C1728" i="4"/>
  <c r="C1730" i="4"/>
  <c r="C1732" i="4"/>
  <c r="C1734" i="4"/>
  <c r="C1736" i="4"/>
  <c r="C1738" i="4"/>
  <c r="C1740" i="4"/>
  <c r="C1742" i="4"/>
  <c r="C1744" i="4"/>
  <c r="C1746" i="4"/>
  <c r="C1748" i="4"/>
  <c r="C1750" i="4"/>
  <c r="C1752" i="4"/>
  <c r="C1754" i="4"/>
  <c r="C1756" i="4"/>
  <c r="C1758" i="4"/>
  <c r="C1760" i="4"/>
  <c r="C1762" i="4"/>
  <c r="C1764" i="4"/>
  <c r="C1766" i="4"/>
  <c r="C1768" i="4"/>
  <c r="C1770" i="4"/>
  <c r="C1772" i="4"/>
  <c r="C1774" i="4"/>
  <c r="C1776" i="4"/>
  <c r="A43" i="8"/>
  <c r="A15" i="8"/>
  <c r="AG154" i="9"/>
  <c r="AD155" i="9"/>
  <c r="Y156" i="9"/>
  <c r="AD157" i="9"/>
  <c r="AG158" i="9"/>
  <c r="Z154" i="9"/>
  <c r="AG155" i="9"/>
  <c r="AD156" i="9"/>
  <c r="Z157" i="9"/>
  <c r="AF158" i="9"/>
  <c r="AC154" i="9"/>
  <c r="Z155" i="9"/>
  <c r="AG156" i="9"/>
  <c r="AC157" i="9"/>
  <c r="AF154" i="9"/>
  <c r="AC155" i="9"/>
  <c r="Z156" i="9"/>
  <c r="Y154" i="9"/>
  <c r="AF155" i="9"/>
  <c r="AC156" i="9"/>
  <c r="E162" i="9"/>
  <c r="AD154" i="9"/>
  <c r="Y155" i="9"/>
  <c r="AF156" i="9"/>
  <c r="Y157" i="9"/>
  <c r="Y158" i="9"/>
  <c r="Z158" i="9"/>
  <c r="AF157" i="9"/>
  <c r="AC158" i="9"/>
  <c r="AG157" i="9"/>
  <c r="AD158" i="9"/>
  <c r="S3" i="4"/>
  <c r="Q3" i="4" s="1"/>
  <c r="Y14" i="4"/>
  <c r="AA14" i="4" s="1"/>
  <c r="Q14" i="4"/>
  <c r="S21" i="4"/>
  <c r="X21" i="4" s="1"/>
  <c r="AC21" i="4" s="1"/>
  <c r="S6" i="4"/>
  <c r="Q6" i="4" s="1"/>
  <c r="Y17" i="4"/>
  <c r="AA17" i="4" s="1"/>
  <c r="Q17" i="4"/>
  <c r="S24" i="4"/>
  <c r="X24" i="4" s="1"/>
  <c r="AC24" i="4" s="1"/>
  <c r="S41" i="4"/>
  <c r="X41" i="4" s="1"/>
  <c r="AC41" i="4" s="1"/>
  <c r="S42" i="4"/>
  <c r="Y42" i="4" s="1"/>
  <c r="AA42" i="4" s="1"/>
  <c r="X42" i="4"/>
  <c r="AC42" i="4" s="1"/>
  <c r="S43" i="4"/>
  <c r="X43" i="4" s="1"/>
  <c r="AC43" i="4" s="1"/>
  <c r="Q43" i="4"/>
  <c r="S44" i="4"/>
  <c r="Y44" i="4" s="1"/>
  <c r="AA44" i="4" s="1"/>
  <c r="Q44" i="4"/>
  <c r="L1018" i="2"/>
  <c r="Y2" i="4"/>
  <c r="AA2" i="4" s="1"/>
  <c r="Q2" i="4"/>
  <c r="S9" i="4"/>
  <c r="Q9" i="4" s="1"/>
  <c r="Y20" i="4"/>
  <c r="AA20" i="4" s="1"/>
  <c r="Q20" i="4"/>
  <c r="S27" i="4"/>
  <c r="X27" i="4" s="1"/>
  <c r="AC27" i="4" s="1"/>
  <c r="S34" i="4"/>
  <c r="F20" i="1"/>
  <c r="Y5" i="4"/>
  <c r="AA5" i="4" s="1"/>
  <c r="Q5" i="4"/>
  <c r="S12" i="4"/>
  <c r="X12" i="4" s="1"/>
  <c r="AC12" i="4" s="1"/>
  <c r="Y23" i="4"/>
  <c r="AA23" i="4" s="1"/>
  <c r="Q23" i="4"/>
  <c r="Y8" i="4"/>
  <c r="AA8" i="4" s="1"/>
  <c r="Q8" i="4"/>
  <c r="S15" i="4"/>
  <c r="X15" i="4" s="1"/>
  <c r="AC15" i="4" s="1"/>
  <c r="Y26" i="4"/>
  <c r="AA26" i="4" s="1"/>
  <c r="Q26" i="4"/>
  <c r="B1000" i="2"/>
  <c r="B26" i="1"/>
  <c r="D29" i="1"/>
  <c r="D95" i="3"/>
  <c r="B92" i="3"/>
  <c r="Y11" i="4"/>
  <c r="AA11" i="4" s="1"/>
  <c r="Q11" i="4"/>
  <c r="S18" i="4"/>
  <c r="Q18" i="4" s="1"/>
  <c r="Y29" i="4"/>
  <c r="AA29" i="4" s="1"/>
  <c r="Q29" i="4"/>
  <c r="F595" i="2"/>
  <c r="F603" i="2"/>
  <c r="F611" i="2"/>
  <c r="F655" i="2"/>
  <c r="F693" i="2"/>
  <c r="F697" i="2"/>
  <c r="F703" i="2"/>
  <c r="F705" i="2"/>
  <c r="F707" i="2"/>
  <c r="F709" i="2"/>
  <c r="F711" i="2"/>
  <c r="F713" i="2"/>
  <c r="F715" i="2"/>
  <c r="F721" i="2"/>
  <c r="F725" i="2"/>
  <c r="F727" i="2"/>
  <c r="F729" i="2"/>
  <c r="F731" i="2"/>
  <c r="F733" i="2"/>
  <c r="F739" i="2"/>
  <c r="F741" i="2"/>
  <c r="F743" i="2"/>
  <c r="F751" i="2"/>
  <c r="F753" i="2"/>
  <c r="F757" i="2"/>
  <c r="F759" i="2"/>
  <c r="F761" i="2"/>
  <c r="F765" i="2"/>
  <c r="F767" i="2"/>
  <c r="F769" i="2"/>
  <c r="F771" i="2"/>
  <c r="F775" i="2"/>
  <c r="F777" i="2"/>
  <c r="F779" i="2"/>
  <c r="F781" i="2"/>
  <c r="F783" i="2"/>
  <c r="F791" i="2"/>
  <c r="F795" i="2"/>
  <c r="F803" i="2"/>
  <c r="F809" i="2"/>
  <c r="F813" i="2"/>
  <c r="F817" i="2"/>
  <c r="F823" i="2"/>
  <c r="F827" i="2"/>
  <c r="F829" i="2"/>
  <c r="F835" i="2"/>
  <c r="F839" i="2"/>
  <c r="F843" i="2"/>
  <c r="F849" i="2"/>
  <c r="F863" i="2"/>
  <c r="F869" i="2"/>
  <c r="F873" i="2"/>
  <c r="F875" i="2"/>
  <c r="F879" i="2"/>
  <c r="F887" i="2"/>
  <c r="F889" i="2"/>
  <c r="F895" i="2"/>
  <c r="F897" i="2"/>
  <c r="F899" i="2"/>
  <c r="F940" i="2"/>
  <c r="F942" i="2"/>
  <c r="B996" i="2"/>
  <c r="B95" i="3"/>
  <c r="B99" i="3" s="1"/>
  <c r="L93" i="3" s="1"/>
  <c r="X2" i="4"/>
  <c r="AC2" i="4" s="1"/>
  <c r="N3" i="4"/>
  <c r="V3" i="4"/>
  <c r="V4" i="4"/>
  <c r="X5" i="4"/>
  <c r="AC5" i="4" s="1"/>
  <c r="N6" i="4"/>
  <c r="V6" i="4"/>
  <c r="V7" i="4"/>
  <c r="X8" i="4"/>
  <c r="AC8" i="4" s="1"/>
  <c r="N9" i="4"/>
  <c r="V9" i="4"/>
  <c r="V10" i="4"/>
  <c r="X11" i="4"/>
  <c r="AC11" i="4" s="1"/>
  <c r="N12" i="4"/>
  <c r="V12" i="4"/>
  <c r="V13" i="4"/>
  <c r="X14" i="4"/>
  <c r="AC14" i="4" s="1"/>
  <c r="N15" i="4"/>
  <c r="V15" i="4"/>
  <c r="V16" i="4"/>
  <c r="X17" i="4"/>
  <c r="AC17" i="4" s="1"/>
  <c r="N18" i="4"/>
  <c r="V18" i="4"/>
  <c r="V19" i="4"/>
  <c r="X20" i="4"/>
  <c r="AC20" i="4" s="1"/>
  <c r="N21" i="4"/>
  <c r="V21" i="4"/>
  <c r="V22" i="4"/>
  <c r="X23" i="4"/>
  <c r="AC23" i="4" s="1"/>
  <c r="N24" i="4"/>
  <c r="V24" i="4"/>
  <c r="V25" i="4"/>
  <c r="X26" i="4"/>
  <c r="AC26" i="4" s="1"/>
  <c r="N27" i="4"/>
  <c r="V27" i="4"/>
  <c r="V28" i="4"/>
  <c r="X29" i="4"/>
  <c r="AC29" i="4" s="1"/>
  <c r="N30" i="4"/>
  <c r="V30" i="4"/>
  <c r="S30" i="4" s="1"/>
  <c r="W31" i="4"/>
  <c r="W32" i="4"/>
  <c r="Q32" i="4" s="1"/>
  <c r="N33" i="4"/>
  <c r="V33" i="4"/>
  <c r="S33" i="4" s="1"/>
  <c r="V34" i="4"/>
  <c r="V35" i="4"/>
  <c r="V36" i="4"/>
  <c r="R37" i="4"/>
  <c r="N37" i="4"/>
  <c r="Y38" i="4"/>
  <c r="AA38" i="4" s="1"/>
  <c r="N41" i="4"/>
  <c r="N42" i="4"/>
  <c r="N43" i="4"/>
  <c r="N44" i="4"/>
  <c r="N45" i="4"/>
  <c r="R46" i="4"/>
  <c r="N54" i="4"/>
  <c r="R54" i="4"/>
  <c r="T58" i="4"/>
  <c r="V58" i="4"/>
  <c r="N59" i="4"/>
  <c r="S61" i="4"/>
  <c r="T63" i="4"/>
  <c r="V63" i="4"/>
  <c r="N64" i="4"/>
  <c r="N66" i="4"/>
  <c r="N68" i="4"/>
  <c r="S70" i="4"/>
  <c r="Y85" i="4"/>
  <c r="AA85" i="4" s="1"/>
  <c r="S94" i="4"/>
  <c r="Q94" i="4" s="1"/>
  <c r="X147" i="4"/>
  <c r="AC147" i="4" s="1"/>
  <c r="Q147" i="4"/>
  <c r="S147" i="4"/>
  <c r="S236" i="4"/>
  <c r="X236" i="4" s="1"/>
  <c r="AC236" i="4" s="1"/>
  <c r="Q260" i="4"/>
  <c r="S260" i="4"/>
  <c r="X260" i="4" s="1"/>
  <c r="AC260" i="4" s="1"/>
  <c r="S318" i="4"/>
  <c r="Q318" i="4" s="1"/>
  <c r="F31" i="1"/>
  <c r="F583" i="2"/>
  <c r="F591" i="2"/>
  <c r="F601" i="2"/>
  <c r="F623" i="2"/>
  <c r="F631" i="2"/>
  <c r="F639" i="2"/>
  <c r="F653" i="2"/>
  <c r="F747" i="2"/>
  <c r="H987" i="2"/>
  <c r="W33" i="4"/>
  <c r="W34" i="4"/>
  <c r="V37" i="4"/>
  <c r="R40" i="4"/>
  <c r="N40" i="4"/>
  <c r="T53" i="4"/>
  <c r="U53" i="4"/>
  <c r="Y56" i="4"/>
  <c r="AA56" i="4" s="1"/>
  <c r="X56" i="4"/>
  <c r="AC56" i="4" s="1"/>
  <c r="Q56" i="4"/>
  <c r="S56" i="4"/>
  <c r="N78" i="4"/>
  <c r="R78" i="4"/>
  <c r="X107" i="4"/>
  <c r="AC107" i="4" s="1"/>
  <c r="Q107" i="4"/>
  <c r="S139" i="4"/>
  <c r="Y139" i="4" s="1"/>
  <c r="AA139" i="4" s="1"/>
  <c r="S149" i="4"/>
  <c r="X149" i="4" s="1"/>
  <c r="AC149" i="4" s="1"/>
  <c r="X167" i="4"/>
  <c r="AC167" i="4" s="1"/>
  <c r="Q167" i="4"/>
  <c r="X191" i="4"/>
  <c r="AC191" i="4" s="1"/>
  <c r="Q191" i="4"/>
  <c r="X199" i="4"/>
  <c r="AC199" i="4" s="1"/>
  <c r="Q199" i="4"/>
  <c r="S199" i="4"/>
  <c r="X211" i="4"/>
  <c r="AC211" i="4" s="1"/>
  <c r="Q211" i="4"/>
  <c r="X237" i="4"/>
  <c r="AC237" i="4" s="1"/>
  <c r="Q237" i="4"/>
  <c r="S258" i="4"/>
  <c r="Y303" i="4"/>
  <c r="Z303" i="4" s="1"/>
  <c r="AA303" i="4" s="1"/>
  <c r="Q303" i="4"/>
  <c r="X303" i="4"/>
  <c r="AC303" i="4" s="1"/>
  <c r="S354" i="4"/>
  <c r="X354" i="4" s="1"/>
  <c r="AC354" i="4" s="1"/>
  <c r="F587" i="2"/>
  <c r="F605" i="2"/>
  <c r="F625" i="2"/>
  <c r="F641" i="2"/>
  <c r="F649" i="2"/>
  <c r="F657" i="2"/>
  <c r="F661" i="2"/>
  <c r="F665" i="2"/>
  <c r="F687" i="2"/>
  <c r="F242" i="2"/>
  <c r="E994" i="2"/>
  <c r="G994" i="2" s="1"/>
  <c r="E995" i="2"/>
  <c r="G995" i="2" s="1"/>
  <c r="F20" i="3"/>
  <c r="F22" i="3"/>
  <c r="F24" i="3"/>
  <c r="F26" i="3"/>
  <c r="F28" i="3"/>
  <c r="F30" i="3"/>
  <c r="F32" i="3"/>
  <c r="F34" i="3"/>
  <c r="F36" i="3"/>
  <c r="F38" i="3"/>
  <c r="F40" i="3"/>
  <c r="F42" i="3"/>
  <c r="F44" i="3"/>
  <c r="F46" i="3"/>
  <c r="F48" i="3"/>
  <c r="F50" i="3"/>
  <c r="F52" i="3"/>
  <c r="F54" i="3"/>
  <c r="F56" i="3"/>
  <c r="F58" i="3"/>
  <c r="F60" i="3"/>
  <c r="F62" i="3"/>
  <c r="F64" i="3"/>
  <c r="F66" i="3"/>
  <c r="F68" i="3"/>
  <c r="F70" i="3"/>
  <c r="F72" i="3"/>
  <c r="F74" i="3"/>
  <c r="F76" i="3"/>
  <c r="F78" i="3"/>
  <c r="F80" i="3"/>
  <c r="F82" i="3"/>
  <c r="F84" i="3"/>
  <c r="E97" i="3"/>
  <c r="X16" i="4"/>
  <c r="AC16" i="4" s="1"/>
  <c r="Y32" i="4"/>
  <c r="AA32" i="4" s="1"/>
  <c r="V40" i="4"/>
  <c r="S48" i="4"/>
  <c r="Q48" i="4" s="1"/>
  <c r="S50" i="4"/>
  <c r="Q50" i="4" s="1"/>
  <c r="T55" i="4"/>
  <c r="V55" i="4"/>
  <c r="S55" i="4" s="1"/>
  <c r="N56" i="4"/>
  <c r="S73" i="4"/>
  <c r="X73" i="4" s="1"/>
  <c r="AC73" i="4" s="1"/>
  <c r="N75" i="4"/>
  <c r="R75" i="4"/>
  <c r="T77" i="4"/>
  <c r="S79" i="4"/>
  <c r="N80" i="4"/>
  <c r="R80" i="4"/>
  <c r="T90" i="4"/>
  <c r="V90" i="4"/>
  <c r="S90" i="4" s="1"/>
  <c r="R98" i="4"/>
  <c r="N98" i="4"/>
  <c r="S123" i="4"/>
  <c r="Q123" i="4" s="1"/>
  <c r="Q151" i="4"/>
  <c r="S151" i="4"/>
  <c r="X151" i="4" s="1"/>
  <c r="AC151" i="4" s="1"/>
  <c r="X155" i="4"/>
  <c r="AC155" i="4" s="1"/>
  <c r="Q155" i="4"/>
  <c r="X162" i="4"/>
  <c r="AC162" i="4" s="1"/>
  <c r="Q162" i="4"/>
  <c r="X179" i="4"/>
  <c r="AC179" i="4" s="1"/>
  <c r="Q179" i="4"/>
  <c r="S185" i="4"/>
  <c r="X185" i="4" s="1"/>
  <c r="AC185" i="4" s="1"/>
  <c r="S201" i="4"/>
  <c r="Q201" i="4" s="1"/>
  <c r="S231" i="4"/>
  <c r="X235" i="4"/>
  <c r="AC235" i="4" s="1"/>
  <c r="Q235" i="4"/>
  <c r="X248" i="4"/>
  <c r="AC248" i="4" s="1"/>
  <c r="Q248" i="4"/>
  <c r="S248" i="4"/>
  <c r="S255" i="4"/>
  <c r="Q255" i="4" s="1"/>
  <c r="X259" i="4"/>
  <c r="AC259" i="4" s="1"/>
  <c r="Q259" i="4"/>
  <c r="Y296" i="4"/>
  <c r="Z296" i="4" s="1"/>
  <c r="AA296" i="4" s="1"/>
  <c r="S296" i="4"/>
  <c r="X296" i="4" s="1"/>
  <c r="AC296" i="4" s="1"/>
  <c r="S326" i="4"/>
  <c r="Q334" i="4"/>
  <c r="S334" i="4"/>
  <c r="X334" i="4" s="1"/>
  <c r="AC334" i="4" s="1"/>
  <c r="Y377" i="4"/>
  <c r="Z377" i="4" s="1"/>
  <c r="AA377" i="4" s="1"/>
  <c r="Q377" i="4"/>
  <c r="F589" i="2"/>
  <c r="F609" i="2"/>
  <c r="F613" i="2"/>
  <c r="F651" i="2"/>
  <c r="F667" i="2"/>
  <c r="F749" i="2"/>
  <c r="B30" i="1"/>
  <c r="F236" i="2"/>
  <c r="F240" i="2"/>
  <c r="F246" i="2"/>
  <c r="F254" i="2"/>
  <c r="F258" i="2"/>
  <c r="F262" i="2"/>
  <c r="F266" i="2"/>
  <c r="F270" i="2"/>
  <c r="F272" i="2"/>
  <c r="F274" i="2"/>
  <c r="F276" i="2"/>
  <c r="F278" i="2"/>
  <c r="F282" i="2"/>
  <c r="F284" i="2"/>
  <c r="F288" i="2"/>
  <c r="F292" i="2"/>
  <c r="F304" i="2"/>
  <c r="F308" i="2"/>
  <c r="F338" i="2"/>
  <c r="F342" i="2"/>
  <c r="F346" i="2"/>
  <c r="F354" i="2"/>
  <c r="F358" i="2"/>
  <c r="F360" i="2"/>
  <c r="F364" i="2"/>
  <c r="F370" i="2"/>
  <c r="F388" i="2"/>
  <c r="F408" i="2"/>
  <c r="F416" i="2"/>
  <c r="F438" i="2"/>
  <c r="F442" i="2"/>
  <c r="F450" i="2"/>
  <c r="F458" i="2"/>
  <c r="F466" i="2"/>
  <c r="F476" i="2"/>
  <c r="F480" i="2"/>
  <c r="F494" i="2"/>
  <c r="F504" i="2"/>
  <c r="F510" i="2"/>
  <c r="F514" i="2"/>
  <c r="F518" i="2"/>
  <c r="F520" i="2"/>
  <c r="F534" i="2"/>
  <c r="F542" i="2"/>
  <c r="F546" i="2"/>
  <c r="F552" i="2"/>
  <c r="F560" i="2"/>
  <c r="F572" i="2"/>
  <c r="F580" i="2"/>
  <c r="F586" i="2"/>
  <c r="F596" i="2"/>
  <c r="F610" i="2"/>
  <c r="F616" i="2"/>
  <c r="F648" i="2"/>
  <c r="F650" i="2"/>
  <c r="F654" i="2"/>
  <c r="F658" i="2"/>
  <c r="F668" i="2"/>
  <c r="F672" i="2"/>
  <c r="F690" i="2"/>
  <c r="F692" i="2"/>
  <c r="F696" i="2"/>
  <c r="F710" i="2"/>
  <c r="F730" i="2"/>
  <c r="F740" i="2"/>
  <c r="F744" i="2"/>
  <c r="F756" i="2"/>
  <c r="F760" i="2"/>
  <c r="F774" i="2"/>
  <c r="F780" i="2"/>
  <c r="F788" i="2"/>
  <c r="F792" i="2"/>
  <c r="F796" i="2"/>
  <c r="F798" i="2"/>
  <c r="F800" i="2"/>
  <c r="F808" i="2"/>
  <c r="F828" i="2"/>
  <c r="F834" i="2"/>
  <c r="F844" i="2"/>
  <c r="F856" i="2"/>
  <c r="F862" i="2"/>
  <c r="F866" i="2"/>
  <c r="F884" i="2"/>
  <c r="F888" i="2"/>
  <c r="F892" i="2"/>
  <c r="F894" i="2"/>
  <c r="F898" i="2"/>
  <c r="F937" i="2"/>
  <c r="F943" i="2"/>
  <c r="B985" i="2"/>
  <c r="D999" i="2"/>
  <c r="B1007" i="2" s="1"/>
  <c r="F97" i="3"/>
  <c r="G97" i="3" s="1"/>
  <c r="S4" i="4"/>
  <c r="Y4" i="4" s="1"/>
  <c r="AA4" i="4" s="1"/>
  <c r="S7" i="4"/>
  <c r="Y7" i="4" s="1"/>
  <c r="AA7" i="4" s="1"/>
  <c r="S10" i="4"/>
  <c r="Y10" i="4" s="1"/>
  <c r="AA10" i="4" s="1"/>
  <c r="S13" i="4"/>
  <c r="Q13" i="4" s="1"/>
  <c r="S16" i="4"/>
  <c r="Q16" i="4" s="1"/>
  <c r="S19" i="4"/>
  <c r="Q19" i="4" s="1"/>
  <c r="S22" i="4"/>
  <c r="Y22" i="4" s="1"/>
  <c r="AA22" i="4" s="1"/>
  <c r="S25" i="4"/>
  <c r="Y25" i="4" s="1"/>
  <c r="AA25" i="4" s="1"/>
  <c r="S28" i="4"/>
  <c r="Y28" i="4" s="1"/>
  <c r="AA28" i="4" s="1"/>
  <c r="T31" i="4"/>
  <c r="X31" i="4" s="1"/>
  <c r="AC31" i="4" s="1"/>
  <c r="Y35" i="4"/>
  <c r="AA35" i="4" s="1"/>
  <c r="W39" i="4"/>
  <c r="Q39" i="4" s="1"/>
  <c r="W47" i="4"/>
  <c r="T47" i="4"/>
  <c r="W51" i="4"/>
  <c r="T51" i="4"/>
  <c r="V53" i="4"/>
  <c r="S53" i="4" s="1"/>
  <c r="S71" i="4"/>
  <c r="Y71" i="4" s="1"/>
  <c r="AA71" i="4" s="1"/>
  <c r="T74" i="4"/>
  <c r="T79" i="4"/>
  <c r="U79" i="4"/>
  <c r="Q79" i="4" s="1"/>
  <c r="S81" i="4"/>
  <c r="X81" i="4"/>
  <c r="AC81" i="4" s="1"/>
  <c r="N82" i="4"/>
  <c r="R82" i="4"/>
  <c r="N87" i="4"/>
  <c r="R87" i="4"/>
  <c r="S88" i="4"/>
  <c r="Q88" i="4" s="1"/>
  <c r="W90" i="4"/>
  <c r="X143" i="4"/>
  <c r="AC143" i="4" s="1"/>
  <c r="Q143" i="4"/>
  <c r="X174" i="4"/>
  <c r="AC174" i="4" s="1"/>
  <c r="Q174" i="4"/>
  <c r="X206" i="4"/>
  <c r="AC206" i="4" s="1"/>
  <c r="Q206" i="4"/>
  <c r="S206" i="4"/>
  <c r="X220" i="4"/>
  <c r="AC220" i="4" s="1"/>
  <c r="Q220" i="4"/>
  <c r="Q285" i="4"/>
  <c r="S285" i="4"/>
  <c r="X299" i="4"/>
  <c r="AC299" i="4" s="1"/>
  <c r="S299" i="4"/>
  <c r="Y299" i="4" s="1"/>
  <c r="Z299" i="4" s="1"/>
  <c r="AA299" i="4" s="1"/>
  <c r="S307" i="4"/>
  <c r="Y307" i="4" s="1"/>
  <c r="Z307" i="4" s="1"/>
  <c r="AA307" i="4" s="1"/>
  <c r="Y323" i="4"/>
  <c r="Z323" i="4" s="1"/>
  <c r="AA323" i="4" s="1"/>
  <c r="Q323" i="4"/>
  <c r="Y326" i="4"/>
  <c r="Z326" i="4" s="1"/>
  <c r="AA326" i="4" s="1"/>
  <c r="X328" i="4"/>
  <c r="AC328" i="4" s="1"/>
  <c r="Q328" i="4"/>
  <c r="X331" i="4"/>
  <c r="AC331" i="4" s="1"/>
  <c r="Q331" i="4"/>
  <c r="X367" i="4"/>
  <c r="AC367" i="4" s="1"/>
  <c r="Q367" i="4"/>
  <c r="F629" i="2"/>
  <c r="F637" i="2"/>
  <c r="F647" i="2"/>
  <c r="B32" i="1"/>
  <c r="F234" i="2"/>
  <c r="F983" i="2" s="1"/>
  <c r="F244" i="2"/>
  <c r="F248" i="2"/>
  <c r="F252" i="2"/>
  <c r="F256" i="2"/>
  <c r="F260" i="2"/>
  <c r="F264" i="2"/>
  <c r="F268" i="2"/>
  <c r="F286" i="2"/>
  <c r="F290" i="2"/>
  <c r="F296" i="2"/>
  <c r="F310" i="2"/>
  <c r="F312" i="2"/>
  <c r="F316" i="2"/>
  <c r="F330" i="2"/>
  <c r="F344" i="2"/>
  <c r="F348" i="2"/>
  <c r="F374" i="2"/>
  <c r="F378" i="2"/>
  <c r="F380" i="2"/>
  <c r="F386" i="2"/>
  <c r="F390" i="2"/>
  <c r="F392" i="2"/>
  <c r="F402" i="2"/>
  <c r="F406" i="2"/>
  <c r="F410" i="2"/>
  <c r="F420" i="2"/>
  <c r="F422" i="2"/>
  <c r="F428" i="2"/>
  <c r="F432" i="2"/>
  <c r="F436" i="2"/>
  <c r="F440" i="2"/>
  <c r="F456" i="2"/>
  <c r="F464" i="2"/>
  <c r="F486" i="2"/>
  <c r="F488" i="2"/>
  <c r="F492" i="2"/>
  <c r="F496" i="2"/>
  <c r="F506" i="2"/>
  <c r="F508" i="2"/>
  <c r="F512" i="2"/>
  <c r="F528" i="2"/>
  <c r="F532" i="2"/>
  <c r="F538" i="2"/>
  <c r="F544" i="2"/>
  <c r="F562" i="2"/>
  <c r="F564" i="2"/>
  <c r="F574" i="2"/>
  <c r="F578" i="2"/>
  <c r="B31" i="1"/>
  <c r="F590" i="2"/>
  <c r="F594" i="2"/>
  <c r="F608" i="2"/>
  <c r="F620" i="2"/>
  <c r="F622" i="2"/>
  <c r="F624" i="2"/>
  <c r="F626" i="2"/>
  <c r="F628" i="2"/>
  <c r="F630" i="2"/>
  <c r="F632" i="2"/>
  <c r="F644" i="2"/>
  <c r="F656" i="2"/>
  <c r="F664" i="2"/>
  <c r="F676" i="2"/>
  <c r="F684" i="2"/>
  <c r="F700" i="2"/>
  <c r="F716" i="2"/>
  <c r="F718" i="2"/>
  <c r="F722" i="2"/>
  <c r="F738" i="2"/>
  <c r="F742" i="2"/>
  <c r="F758" i="2"/>
  <c r="F762" i="2"/>
  <c r="F764" i="2"/>
  <c r="F768" i="2"/>
  <c r="F770" i="2"/>
  <c r="F778" i="2"/>
  <c r="F782" i="2"/>
  <c r="F786" i="2"/>
  <c r="F790" i="2"/>
  <c r="F794" i="2"/>
  <c r="F806" i="2"/>
  <c r="F816" i="2"/>
  <c r="F818" i="2"/>
  <c r="F826" i="2"/>
  <c r="F830" i="2"/>
  <c r="F838" i="2"/>
  <c r="F854" i="2"/>
  <c r="F858" i="2"/>
  <c r="F860" i="2"/>
  <c r="F864" i="2"/>
  <c r="F868" i="2"/>
  <c r="F882" i="2"/>
  <c r="F886" i="2"/>
  <c r="F890" i="2"/>
  <c r="E32" i="1"/>
  <c r="G32" i="1" s="1"/>
  <c r="E98" i="3"/>
  <c r="G98" i="3" s="1"/>
  <c r="T3" i="4"/>
  <c r="Y3" i="4" s="1"/>
  <c r="AA3" i="4" s="1"/>
  <c r="T4" i="4"/>
  <c r="X4" i="4" s="1"/>
  <c r="AC4" i="4" s="1"/>
  <c r="T6" i="4"/>
  <c r="Y6" i="4" s="1"/>
  <c r="AA6" i="4" s="1"/>
  <c r="T7" i="4"/>
  <c r="Q7" i="4" s="1"/>
  <c r="T9" i="4"/>
  <c r="Y9" i="4" s="1"/>
  <c r="AA9" i="4" s="1"/>
  <c r="T10" i="4"/>
  <c r="X10" i="4" s="1"/>
  <c r="AC10" i="4" s="1"/>
  <c r="T12" i="4"/>
  <c r="Q12" i="4" s="1"/>
  <c r="T13" i="4"/>
  <c r="T15" i="4"/>
  <c r="Y15" i="4" s="1"/>
  <c r="AA15" i="4" s="1"/>
  <c r="T16" i="4"/>
  <c r="T18" i="4"/>
  <c r="Y18" i="4" s="1"/>
  <c r="AA18" i="4" s="1"/>
  <c r="T19" i="4"/>
  <c r="T21" i="4"/>
  <c r="Q21" i="4" s="1"/>
  <c r="T22" i="4"/>
  <c r="X22" i="4" s="1"/>
  <c r="AC22" i="4" s="1"/>
  <c r="T24" i="4"/>
  <c r="Q24" i="4" s="1"/>
  <c r="T25" i="4"/>
  <c r="Q25" i="4" s="1"/>
  <c r="T27" i="4"/>
  <c r="Q27" i="4" s="1"/>
  <c r="T28" i="4"/>
  <c r="X28" i="4" s="1"/>
  <c r="AC28" i="4" s="1"/>
  <c r="T30" i="4"/>
  <c r="U31" i="4"/>
  <c r="T33" i="4"/>
  <c r="S35" i="4"/>
  <c r="S36" i="4"/>
  <c r="Y36" i="4" s="1"/>
  <c r="AA36" i="4" s="1"/>
  <c r="T37" i="4"/>
  <c r="Y39" i="4"/>
  <c r="AA39" i="4" s="1"/>
  <c r="S47" i="4"/>
  <c r="X47" i="4" s="1"/>
  <c r="AC47" i="4" s="1"/>
  <c r="W49" i="4"/>
  <c r="T49" i="4"/>
  <c r="S51" i="4"/>
  <c r="Y51" i="4" s="1"/>
  <c r="AA51" i="4" s="1"/>
  <c r="W53" i="4"/>
  <c r="W55" i="4"/>
  <c r="S60" i="4"/>
  <c r="Q60" i="4" s="1"/>
  <c r="N62" i="4"/>
  <c r="R62" i="4"/>
  <c r="S69" i="4"/>
  <c r="W72" i="4"/>
  <c r="T72" i="4"/>
  <c r="S74" i="4"/>
  <c r="Y74" i="4" s="1"/>
  <c r="AA74" i="4" s="1"/>
  <c r="V77" i="4"/>
  <c r="S77" i="4" s="1"/>
  <c r="T81" i="4"/>
  <c r="Y81" i="4"/>
  <c r="AA81" i="4" s="1"/>
  <c r="U81" i="4"/>
  <c r="S83" i="4"/>
  <c r="X83" i="4" s="1"/>
  <c r="AC83" i="4" s="1"/>
  <c r="N84" i="4"/>
  <c r="R84" i="4"/>
  <c r="Y86" i="4"/>
  <c r="AA86" i="4" s="1"/>
  <c r="T86" i="4"/>
  <c r="T88" i="4"/>
  <c r="X88" i="4" s="1"/>
  <c r="AC88" i="4" s="1"/>
  <c r="W88" i="4"/>
  <c r="U88" i="4"/>
  <c r="X111" i="4"/>
  <c r="AC111" i="4" s="1"/>
  <c r="Q111" i="4"/>
  <c r="S111" i="4"/>
  <c r="Y111" i="4" s="1"/>
  <c r="AA111" i="4" s="1"/>
  <c r="X124" i="4"/>
  <c r="AC124" i="4" s="1"/>
  <c r="Q124" i="4"/>
  <c r="X130" i="4"/>
  <c r="AC130" i="4" s="1"/>
  <c r="S130" i="4"/>
  <c r="Q130" i="4" s="1"/>
  <c r="X152" i="4"/>
  <c r="AC152" i="4" s="1"/>
  <c r="Q152" i="4"/>
  <c r="S165" i="4"/>
  <c r="X165" i="4" s="1"/>
  <c r="AC165" i="4" s="1"/>
  <c r="X202" i="4"/>
  <c r="AC202" i="4" s="1"/>
  <c r="Q202" i="4"/>
  <c r="S208" i="4"/>
  <c r="X208" i="4" s="1"/>
  <c r="AC208" i="4" s="1"/>
  <c r="X254" i="4"/>
  <c r="AC254" i="4" s="1"/>
  <c r="Q254" i="4"/>
  <c r="X256" i="4"/>
  <c r="AC256" i="4" s="1"/>
  <c r="S265" i="4"/>
  <c r="Y265" i="4" s="1"/>
  <c r="Z265" i="4" s="1"/>
  <c r="AA265" i="4" s="1"/>
  <c r="S273" i="4"/>
  <c r="X273" i="4" s="1"/>
  <c r="AC273" i="4" s="1"/>
  <c r="Y285" i="4"/>
  <c r="Z285" i="4" s="1"/>
  <c r="AA285" i="4" s="1"/>
  <c r="X287" i="4"/>
  <c r="AC287" i="4" s="1"/>
  <c r="Q287" i="4"/>
  <c r="Y334" i="4"/>
  <c r="Z334" i="4" s="1"/>
  <c r="AA334" i="4" s="1"/>
  <c r="Q341" i="4"/>
  <c r="Y346" i="4"/>
  <c r="Z346" i="4" s="1"/>
  <c r="AA346" i="4" s="1"/>
  <c r="Q346" i="4"/>
  <c r="X346" i="4"/>
  <c r="AC346" i="4" s="1"/>
  <c r="Q359" i="4"/>
  <c r="Y367" i="4"/>
  <c r="Z367" i="4" s="1"/>
  <c r="AA367" i="4" s="1"/>
  <c r="X370" i="4"/>
  <c r="AC370" i="4" s="1"/>
  <c r="Q370" i="4"/>
  <c r="B29" i="1"/>
  <c r="B33" i="1" s="1"/>
  <c r="L1012" i="2" s="1"/>
  <c r="E31" i="1"/>
  <c r="B983" i="2"/>
  <c r="K1014" i="2"/>
  <c r="D89" i="3"/>
  <c r="D91" i="3" s="1"/>
  <c r="B1002" i="2"/>
  <c r="F21" i="3"/>
  <c r="F23" i="3"/>
  <c r="F25" i="3"/>
  <c r="F27" i="3"/>
  <c r="F29" i="3"/>
  <c r="F31" i="3"/>
  <c r="F33" i="3"/>
  <c r="F35" i="3"/>
  <c r="F37" i="3"/>
  <c r="F39" i="3"/>
  <c r="F41" i="3"/>
  <c r="F43" i="3"/>
  <c r="F45" i="3"/>
  <c r="F47" i="3"/>
  <c r="F49" i="3"/>
  <c r="F51" i="3"/>
  <c r="F53" i="3"/>
  <c r="F55" i="3"/>
  <c r="F57" i="3"/>
  <c r="F59" i="3"/>
  <c r="F61" i="3"/>
  <c r="F63" i="3"/>
  <c r="F65" i="3"/>
  <c r="F67" i="3"/>
  <c r="F69" i="3"/>
  <c r="F71" i="3"/>
  <c r="F73" i="3"/>
  <c r="F75" i="3"/>
  <c r="F77" i="3"/>
  <c r="F79" i="3"/>
  <c r="F81" i="3"/>
  <c r="T34" i="4"/>
  <c r="Y34" i="4" s="1"/>
  <c r="W37" i="4"/>
  <c r="X38" i="4"/>
  <c r="AC38" i="4" s="1"/>
  <c r="T40" i="4"/>
  <c r="X45" i="4"/>
  <c r="AC45" i="4" s="1"/>
  <c r="S45" i="4"/>
  <c r="Q45" i="4" s="1"/>
  <c r="S49" i="4"/>
  <c r="Y49" i="4" s="1"/>
  <c r="AA49" i="4" s="1"/>
  <c r="S58" i="4"/>
  <c r="Q58" i="4" s="1"/>
  <c r="X59" i="4"/>
  <c r="AC59" i="4" s="1"/>
  <c r="S59" i="4"/>
  <c r="Q59" i="4" s="1"/>
  <c r="T61" i="4"/>
  <c r="Y61" i="4" s="1"/>
  <c r="AA61" i="4" s="1"/>
  <c r="S63" i="4"/>
  <c r="Q63" i="4" s="1"/>
  <c r="X64" i="4"/>
  <c r="AC64" i="4" s="1"/>
  <c r="S64" i="4"/>
  <c r="Q64" i="4" s="1"/>
  <c r="S65" i="4"/>
  <c r="Q65" i="4" s="1"/>
  <c r="X66" i="4"/>
  <c r="AC66" i="4" s="1"/>
  <c r="Q66" i="4"/>
  <c r="S66" i="4"/>
  <c r="Y66" i="4" s="1"/>
  <c r="AA66" i="4" s="1"/>
  <c r="Y67" i="4"/>
  <c r="AA67" i="4" s="1"/>
  <c r="S67" i="4"/>
  <c r="Q67" i="4" s="1"/>
  <c r="X68" i="4"/>
  <c r="AC68" i="4" s="1"/>
  <c r="Q68" i="4"/>
  <c r="S68" i="4"/>
  <c r="Y68" i="4" s="1"/>
  <c r="AA68" i="4" s="1"/>
  <c r="Y70" i="4"/>
  <c r="AA70" i="4" s="1"/>
  <c r="W70" i="4"/>
  <c r="T70" i="4"/>
  <c r="S72" i="4"/>
  <c r="Y72" i="4" s="1"/>
  <c r="AA72" i="4" s="1"/>
  <c r="W77" i="4"/>
  <c r="T83" i="4"/>
  <c r="U83" i="4"/>
  <c r="X85" i="4"/>
  <c r="AC85" i="4" s="1"/>
  <c r="S86" i="4"/>
  <c r="R91" i="4"/>
  <c r="N91" i="4"/>
  <c r="T97" i="4"/>
  <c r="V97" i="4"/>
  <c r="S97" i="4" s="1"/>
  <c r="Y101" i="4"/>
  <c r="AA101" i="4" s="1"/>
  <c r="X101" i="4"/>
  <c r="AC101" i="4" s="1"/>
  <c r="Q101" i="4"/>
  <c r="S101" i="4"/>
  <c r="X106" i="4"/>
  <c r="AC106" i="4" s="1"/>
  <c r="Q106" i="4"/>
  <c r="S106" i="4"/>
  <c r="S114" i="4"/>
  <c r="Y114" i="4" s="1"/>
  <c r="AA114" i="4" s="1"/>
  <c r="Y132" i="4"/>
  <c r="AA132" i="4" s="1"/>
  <c r="S132" i="4"/>
  <c r="X132" i="4" s="1"/>
  <c r="AC132" i="4" s="1"/>
  <c r="S136" i="4"/>
  <c r="X136" i="4" s="1"/>
  <c r="AC136" i="4" s="1"/>
  <c r="S184" i="4"/>
  <c r="X184" i="4" s="1"/>
  <c r="AC184" i="4" s="1"/>
  <c r="S210" i="4"/>
  <c r="Y210" i="4" s="1"/>
  <c r="AA210" i="4" s="1"/>
  <c r="S238" i="4"/>
  <c r="X238" i="4" s="1"/>
  <c r="AC238" i="4" s="1"/>
  <c r="Y241" i="4"/>
  <c r="Z241" i="4" s="1"/>
  <c r="AA241" i="4" s="1"/>
  <c r="S253" i="4"/>
  <c r="Y253" i="4" s="1"/>
  <c r="Z253" i="4" s="1"/>
  <c r="AA253" i="4" s="1"/>
  <c r="S350" i="4"/>
  <c r="Y350" i="4" s="1"/>
  <c r="Z350" i="4" s="1"/>
  <c r="AA350" i="4" s="1"/>
  <c r="Y41" i="4"/>
  <c r="AA41" i="4" s="1"/>
  <c r="Y43" i="4"/>
  <c r="AA43" i="4" s="1"/>
  <c r="Y45" i="4"/>
  <c r="AA45" i="4" s="1"/>
  <c r="W48" i="4"/>
  <c r="W50" i="4"/>
  <c r="N53" i="4"/>
  <c r="N55" i="4"/>
  <c r="N58" i="4"/>
  <c r="W60" i="4"/>
  <c r="N63" i="4"/>
  <c r="W69" i="4"/>
  <c r="W71" i="4"/>
  <c r="N79" i="4"/>
  <c r="N81" i="4"/>
  <c r="N83" i="4"/>
  <c r="N88" i="4"/>
  <c r="R89" i="4"/>
  <c r="N90" i="4"/>
  <c r="T93" i="4"/>
  <c r="W94" i="4"/>
  <c r="T95" i="4"/>
  <c r="Q95" i="4" s="1"/>
  <c r="N97" i="4"/>
  <c r="N100" i="4"/>
  <c r="V100" i="4"/>
  <c r="S100" i="4" s="1"/>
  <c r="W102" i="4"/>
  <c r="T103" i="4"/>
  <c r="N105" i="4"/>
  <c r="V105" i="4"/>
  <c r="S105" i="4" s="1"/>
  <c r="Y106" i="4"/>
  <c r="AA106" i="4" s="1"/>
  <c r="T108" i="4"/>
  <c r="Y108" i="4" s="1"/>
  <c r="AA108" i="4" s="1"/>
  <c r="R109" i="4"/>
  <c r="N113" i="4"/>
  <c r="V113" i="4"/>
  <c r="S113" i="4" s="1"/>
  <c r="W115" i="4"/>
  <c r="T116" i="4"/>
  <c r="W117" i="4"/>
  <c r="T118" i="4"/>
  <c r="Y118" i="4" s="1"/>
  <c r="AA118" i="4" s="1"/>
  <c r="R119" i="4"/>
  <c r="N120" i="4"/>
  <c r="U120" i="4"/>
  <c r="R121" i="4"/>
  <c r="Y123" i="4"/>
  <c r="AA123" i="4" s="1"/>
  <c r="T125" i="4"/>
  <c r="Y125" i="4" s="1"/>
  <c r="AA125" i="4" s="1"/>
  <c r="R126" i="4"/>
  <c r="N127" i="4"/>
  <c r="U127" i="4"/>
  <c r="R128" i="4"/>
  <c r="N129" i="4"/>
  <c r="V129" i="4"/>
  <c r="S129" i="4" s="1"/>
  <c r="Y130" i="4"/>
  <c r="AA130" i="4" s="1"/>
  <c r="N134" i="4"/>
  <c r="U134" i="4"/>
  <c r="R135" i="4"/>
  <c r="N136" i="4"/>
  <c r="U136" i="4"/>
  <c r="R137" i="4"/>
  <c r="N141" i="4"/>
  <c r="U141" i="4"/>
  <c r="R142" i="4"/>
  <c r="T144" i="4"/>
  <c r="Y144" i="4" s="1"/>
  <c r="AA144" i="4" s="1"/>
  <c r="R145" i="4"/>
  <c r="Y147" i="4"/>
  <c r="AA147" i="4" s="1"/>
  <c r="Y149" i="4"/>
  <c r="AA149" i="4" s="1"/>
  <c r="Y151" i="4"/>
  <c r="AA151" i="4" s="1"/>
  <c r="T153" i="4"/>
  <c r="Y153" i="4" s="1"/>
  <c r="AA153" i="4" s="1"/>
  <c r="R154" i="4"/>
  <c r="T156" i="4"/>
  <c r="Y156" i="4" s="1"/>
  <c r="AA156" i="4" s="1"/>
  <c r="R157" i="4"/>
  <c r="N158" i="4"/>
  <c r="U158" i="4"/>
  <c r="R159" i="4"/>
  <c r="N160" i="4"/>
  <c r="U160" i="4"/>
  <c r="R161" i="4"/>
  <c r="T163" i="4"/>
  <c r="Y163" i="4" s="1"/>
  <c r="AA163" i="4" s="1"/>
  <c r="R164" i="4"/>
  <c r="N165" i="4"/>
  <c r="U165" i="4"/>
  <c r="R166" i="4"/>
  <c r="T168" i="4"/>
  <c r="X169" i="4"/>
  <c r="AC169" i="4" s="1"/>
  <c r="N170" i="4"/>
  <c r="U170" i="4"/>
  <c r="R171" i="4"/>
  <c r="N172" i="4"/>
  <c r="U172" i="4"/>
  <c r="R173" i="4"/>
  <c r="T175" i="4"/>
  <c r="R176" i="4"/>
  <c r="N177" i="4"/>
  <c r="U177" i="4"/>
  <c r="R178" i="4"/>
  <c r="T180" i="4"/>
  <c r="Y180" i="4" s="1"/>
  <c r="AA180" i="4" s="1"/>
  <c r="R181" i="4"/>
  <c r="N182" i="4"/>
  <c r="U182" i="4"/>
  <c r="R183" i="4"/>
  <c r="N184" i="4"/>
  <c r="V184" i="4"/>
  <c r="W186" i="4"/>
  <c r="Y186" i="4" s="1"/>
  <c r="AA186" i="4" s="1"/>
  <c r="T187" i="4"/>
  <c r="W188" i="4"/>
  <c r="T189" i="4"/>
  <c r="R190" i="4"/>
  <c r="T192" i="4"/>
  <c r="W193" i="4"/>
  <c r="T194" i="4"/>
  <c r="Y194" i="4" s="1"/>
  <c r="AA194" i="4" s="1"/>
  <c r="R195" i="4"/>
  <c r="N196" i="4"/>
  <c r="U196" i="4"/>
  <c r="R197" i="4"/>
  <c r="N198" i="4"/>
  <c r="V198" i="4"/>
  <c r="S198" i="4" s="1"/>
  <c r="Y199" i="4"/>
  <c r="AA199" i="4" s="1"/>
  <c r="Y201" i="4"/>
  <c r="AA201" i="4" s="1"/>
  <c r="T203" i="4"/>
  <c r="R204" i="4"/>
  <c r="N205" i="4"/>
  <c r="V205" i="4"/>
  <c r="S205" i="4" s="1"/>
  <c r="Y206" i="4"/>
  <c r="AA206" i="4" s="1"/>
  <c r="Y208" i="4"/>
  <c r="AA208" i="4" s="1"/>
  <c r="T212" i="4"/>
  <c r="X212" i="4" s="1"/>
  <c r="AC212" i="4" s="1"/>
  <c r="R213" i="4"/>
  <c r="N214" i="4"/>
  <c r="U214" i="4"/>
  <c r="R215" i="4"/>
  <c r="N216" i="4"/>
  <c r="U216" i="4"/>
  <c r="R217" i="4"/>
  <c r="U218" i="4"/>
  <c r="R219" i="4"/>
  <c r="T221" i="4"/>
  <c r="Q222" i="4"/>
  <c r="W222" i="4"/>
  <c r="T223" i="4"/>
  <c r="Q224" i="4"/>
  <c r="X224" i="4"/>
  <c r="AC224" i="4" s="1"/>
  <c r="U225" i="4"/>
  <c r="R226" i="4"/>
  <c r="U227" i="4"/>
  <c r="R228" i="4"/>
  <c r="T229" i="4"/>
  <c r="Y229" i="4" s="1"/>
  <c r="Z229" i="4" s="1"/>
  <c r="AA229" i="4" s="1"/>
  <c r="W230" i="4"/>
  <c r="R233" i="4"/>
  <c r="T234" i="4"/>
  <c r="R240" i="4"/>
  <c r="T241" i="4"/>
  <c r="Q242" i="4"/>
  <c r="X242" i="4"/>
  <c r="AC242" i="4" s="1"/>
  <c r="T243" i="4"/>
  <c r="R245" i="4"/>
  <c r="U246" i="4"/>
  <c r="Q247" i="4"/>
  <c r="W247" i="4"/>
  <c r="Y248" i="4"/>
  <c r="Z248" i="4" s="1"/>
  <c r="AA248" i="4" s="1"/>
  <c r="U249" i="4"/>
  <c r="Q250" i="4"/>
  <c r="X250" i="4"/>
  <c r="AC250" i="4" s="1"/>
  <c r="T251" i="4"/>
  <c r="Q251" i="4" s="1"/>
  <c r="Q252" i="4"/>
  <c r="X252" i="4"/>
  <c r="AC252" i="4" s="1"/>
  <c r="T253" i="4"/>
  <c r="Y255" i="4"/>
  <c r="Z255" i="4" s="1"/>
  <c r="AA255" i="4" s="1"/>
  <c r="U256" i="4"/>
  <c r="Q257" i="4"/>
  <c r="W257" i="4"/>
  <c r="Y260" i="4"/>
  <c r="Z260" i="4" s="1"/>
  <c r="AA260" i="4" s="1"/>
  <c r="V261" i="4"/>
  <c r="S261" i="4" s="1"/>
  <c r="R262" i="4"/>
  <c r="U263" i="4"/>
  <c r="Q264" i="4"/>
  <c r="X264" i="4"/>
  <c r="AC264" i="4" s="1"/>
  <c r="T265" i="4"/>
  <c r="R267" i="4"/>
  <c r="T268" i="4"/>
  <c r="R270" i="4"/>
  <c r="U271" i="4"/>
  <c r="W272" i="4"/>
  <c r="Y273" i="4"/>
  <c r="Z273" i="4" s="1"/>
  <c r="AA273" i="4" s="1"/>
  <c r="V274" i="4"/>
  <c r="S274" i="4" s="1"/>
  <c r="Y274" i="4" s="1"/>
  <c r="Z274" i="4" s="1"/>
  <c r="AA274" i="4" s="1"/>
  <c r="R275" i="4"/>
  <c r="V276" i="4"/>
  <c r="S276" i="4" s="1"/>
  <c r="R277" i="4"/>
  <c r="V278" i="4"/>
  <c r="S278" i="4" s="1"/>
  <c r="R279" i="4"/>
  <c r="V280" i="4"/>
  <c r="S280" i="4" s="1"/>
  <c r="R281" i="4"/>
  <c r="U282" i="4"/>
  <c r="V284" i="4"/>
  <c r="S284" i="4" s="1"/>
  <c r="T285" i="4"/>
  <c r="X285" i="4" s="1"/>
  <c r="AC285" i="4" s="1"/>
  <c r="T289" i="4"/>
  <c r="S292" i="4"/>
  <c r="Q292" i="4" s="1"/>
  <c r="R293" i="4"/>
  <c r="Y294" i="4"/>
  <c r="Z294" i="4" s="1"/>
  <c r="AA294" i="4" s="1"/>
  <c r="V295" i="4"/>
  <c r="S295" i="4" s="1"/>
  <c r="Y297" i="4"/>
  <c r="Z297" i="4" s="1"/>
  <c r="AA297" i="4" s="1"/>
  <c r="V298" i="4"/>
  <c r="S298" i="4" s="1"/>
  <c r="W301" i="4"/>
  <c r="X301" i="4" s="1"/>
  <c r="AC301" i="4" s="1"/>
  <c r="V302" i="4"/>
  <c r="S302" i="4" s="1"/>
  <c r="W305" i="4"/>
  <c r="V306" i="4"/>
  <c r="S306" i="4" s="1"/>
  <c r="Y306" i="4" s="1"/>
  <c r="Z306" i="4" s="1"/>
  <c r="AA306" i="4" s="1"/>
  <c r="T307" i="4"/>
  <c r="Q307" i="4" s="1"/>
  <c r="W309" i="4"/>
  <c r="X309" i="4" s="1"/>
  <c r="AC309" i="4" s="1"/>
  <c r="U310" i="4"/>
  <c r="R311" i="4"/>
  <c r="Y312" i="4"/>
  <c r="Z312" i="4" s="1"/>
  <c r="AA312" i="4" s="1"/>
  <c r="W313" i="4"/>
  <c r="R315" i="4"/>
  <c r="V317" i="4"/>
  <c r="R319" i="4"/>
  <c r="Q320" i="4"/>
  <c r="Y322" i="4"/>
  <c r="Z322" i="4" s="1"/>
  <c r="AA322" i="4" s="1"/>
  <c r="X323" i="4"/>
  <c r="AC323" i="4" s="1"/>
  <c r="N324" i="4"/>
  <c r="V325" i="4"/>
  <c r="S325" i="4" s="1"/>
  <c r="T326" i="4"/>
  <c r="X326" i="4" s="1"/>
  <c r="AC326" i="4" s="1"/>
  <c r="U329" i="4"/>
  <c r="Q329" i="4" s="1"/>
  <c r="U332" i="4"/>
  <c r="Q332" i="4" s="1"/>
  <c r="W335" i="4"/>
  <c r="X335" i="4" s="1"/>
  <c r="AC335" i="4" s="1"/>
  <c r="W338" i="4"/>
  <c r="X338" i="4" s="1"/>
  <c r="AC338" i="4" s="1"/>
  <c r="W341" i="4"/>
  <c r="X341" i="4" s="1"/>
  <c r="AC341" i="4" s="1"/>
  <c r="R343" i="4"/>
  <c r="Q344" i="4"/>
  <c r="X344" i="4"/>
  <c r="AC344" i="4" s="1"/>
  <c r="N345" i="4"/>
  <c r="V345" i="4"/>
  <c r="S345" i="4" s="1"/>
  <c r="X345" i="4" s="1"/>
  <c r="AC345" i="4" s="1"/>
  <c r="X348" i="4"/>
  <c r="AC348" i="4" s="1"/>
  <c r="R351" i="4"/>
  <c r="X352" i="4"/>
  <c r="AC352" i="4" s="1"/>
  <c r="R355" i="4"/>
  <c r="Q356" i="4"/>
  <c r="Q357" i="4"/>
  <c r="Y358" i="4"/>
  <c r="Z358" i="4" s="1"/>
  <c r="AA358" i="4" s="1"/>
  <c r="W359" i="4"/>
  <c r="X359" i="4" s="1"/>
  <c r="AC359" i="4" s="1"/>
  <c r="V360" i="4"/>
  <c r="S360" i="4" s="1"/>
  <c r="Y362" i="4"/>
  <c r="Z362" i="4" s="1"/>
  <c r="AA362" i="4" s="1"/>
  <c r="T364" i="4"/>
  <c r="X366" i="4"/>
  <c r="AC366" i="4" s="1"/>
  <c r="T368" i="4"/>
  <c r="S373" i="4"/>
  <c r="Q373" i="4" s="1"/>
  <c r="R374" i="4"/>
  <c r="Q375" i="4"/>
  <c r="S380" i="4"/>
  <c r="X380" i="4" s="1"/>
  <c r="AC380" i="4" s="1"/>
  <c r="S392" i="4"/>
  <c r="T394" i="4"/>
  <c r="V397" i="4"/>
  <c r="T397" i="4"/>
  <c r="R403" i="4"/>
  <c r="W409" i="4"/>
  <c r="N411" i="4"/>
  <c r="N414" i="4"/>
  <c r="N416" i="4"/>
  <c r="N418" i="4"/>
  <c r="N420" i="4"/>
  <c r="R438" i="4"/>
  <c r="Y446" i="4"/>
  <c r="Z446" i="4" s="1"/>
  <c r="AA446" i="4" s="1"/>
  <c r="X446" i="4"/>
  <c r="AC446" i="4" s="1"/>
  <c r="Q446" i="4"/>
  <c r="R453" i="4"/>
  <c r="S454" i="4"/>
  <c r="S462" i="4"/>
  <c r="S484" i="4"/>
  <c r="Y484" i="4" s="1"/>
  <c r="Z484" i="4" s="1"/>
  <c r="AA484" i="4" s="1"/>
  <c r="S485" i="4"/>
  <c r="S509" i="4"/>
  <c r="X509" i="4" s="1"/>
  <c r="AC509" i="4" s="1"/>
  <c r="S516" i="4"/>
  <c r="Q516" i="4" s="1"/>
  <c r="S517" i="4"/>
  <c r="X517" i="4" s="1"/>
  <c r="AC517" i="4" s="1"/>
  <c r="S567" i="4"/>
  <c r="Q567" i="4" s="1"/>
  <c r="S568" i="4"/>
  <c r="X568" i="4" s="1"/>
  <c r="AC568" i="4" s="1"/>
  <c r="S585" i="4"/>
  <c r="X585" i="4" s="1"/>
  <c r="AC585" i="4" s="1"/>
  <c r="Y585" i="4"/>
  <c r="Z585" i="4" s="1"/>
  <c r="AA585" i="4" s="1"/>
  <c r="Y618" i="4"/>
  <c r="Z618" i="4" s="1"/>
  <c r="AA618" i="4" s="1"/>
  <c r="S687" i="4"/>
  <c r="W100" i="4"/>
  <c r="W105" i="4"/>
  <c r="W113" i="4"/>
  <c r="V120" i="4"/>
  <c r="S120" i="4" s="1"/>
  <c r="V127" i="4"/>
  <c r="S127" i="4" s="1"/>
  <c r="W129" i="4"/>
  <c r="V134" i="4"/>
  <c r="S134" i="4" s="1"/>
  <c r="V136" i="4"/>
  <c r="V141" i="4"/>
  <c r="S141" i="4" s="1"/>
  <c r="V158" i="4"/>
  <c r="S158" i="4" s="1"/>
  <c r="V160" i="4"/>
  <c r="S160" i="4" s="1"/>
  <c r="V165" i="4"/>
  <c r="V170" i="4"/>
  <c r="S170" i="4" s="1"/>
  <c r="V172" i="4"/>
  <c r="S172" i="4" s="1"/>
  <c r="V177" i="4"/>
  <c r="S177" i="4" s="1"/>
  <c r="V182" i="4"/>
  <c r="S182" i="4" s="1"/>
  <c r="W184" i="4"/>
  <c r="X188" i="4"/>
  <c r="AC188" i="4" s="1"/>
  <c r="V196" i="4"/>
  <c r="S196" i="4" s="1"/>
  <c r="W198" i="4"/>
  <c r="W205" i="4"/>
  <c r="V214" i="4"/>
  <c r="S214" i="4" s="1"/>
  <c r="V216" i="4"/>
  <c r="S216" i="4" s="1"/>
  <c r="V218" i="4"/>
  <c r="S218" i="4" s="1"/>
  <c r="X218" i="4" s="1"/>
  <c r="AC218" i="4" s="1"/>
  <c r="X222" i="4"/>
  <c r="AC222" i="4" s="1"/>
  <c r="Y224" i="4"/>
  <c r="AA224" i="4" s="1"/>
  <c r="V225" i="4"/>
  <c r="S225" i="4" s="1"/>
  <c r="V227" i="4"/>
  <c r="S227" i="4" s="1"/>
  <c r="Y242" i="4"/>
  <c r="Z242" i="4" s="1"/>
  <c r="AA242" i="4" s="1"/>
  <c r="V246" i="4"/>
  <c r="S246" i="4" s="1"/>
  <c r="Y246" i="4" s="1"/>
  <c r="Z246" i="4" s="1"/>
  <c r="AA246" i="4" s="1"/>
  <c r="V249" i="4"/>
  <c r="S249" i="4" s="1"/>
  <c r="Y250" i="4"/>
  <c r="Z250" i="4" s="1"/>
  <c r="AA250" i="4" s="1"/>
  <c r="Y252" i="4"/>
  <c r="Z252" i="4" s="1"/>
  <c r="AA252" i="4" s="1"/>
  <c r="V256" i="4"/>
  <c r="S256" i="4" s="1"/>
  <c r="Q256" i="4" s="1"/>
  <c r="X257" i="4"/>
  <c r="AC257" i="4" s="1"/>
  <c r="W261" i="4"/>
  <c r="V263" i="4"/>
  <c r="S263" i="4" s="1"/>
  <c r="Y264" i="4"/>
  <c r="Z264" i="4" s="1"/>
  <c r="AA264" i="4" s="1"/>
  <c r="V271" i="4"/>
  <c r="S271" i="4" s="1"/>
  <c r="X271" i="4" s="1"/>
  <c r="AC271" i="4" s="1"/>
  <c r="X272" i="4"/>
  <c r="AC272" i="4" s="1"/>
  <c r="W274" i="4"/>
  <c r="W276" i="4"/>
  <c r="W278" i="4"/>
  <c r="W280" i="4"/>
  <c r="V282" i="4"/>
  <c r="S282" i="4" s="1"/>
  <c r="Q282" i="4" s="1"/>
  <c r="W284" i="4"/>
  <c r="W295" i="4"/>
  <c r="W298" i="4"/>
  <c r="W306" i="4"/>
  <c r="W325" i="4"/>
  <c r="Y344" i="4"/>
  <c r="Z344" i="4" s="1"/>
  <c r="AA344" i="4" s="1"/>
  <c r="W345" i="4"/>
  <c r="X349" i="4"/>
  <c r="AC349" i="4" s="1"/>
  <c r="X353" i="4"/>
  <c r="AC353" i="4" s="1"/>
  <c r="W363" i="4"/>
  <c r="X379" i="4"/>
  <c r="AC379" i="4" s="1"/>
  <c r="T381" i="4"/>
  <c r="V381" i="4"/>
  <c r="S381" i="4" s="1"/>
  <c r="Y381" i="4" s="1"/>
  <c r="Z381" i="4" s="1"/>
  <c r="AA381" i="4" s="1"/>
  <c r="U381" i="4"/>
  <c r="Y386" i="4"/>
  <c r="Z386" i="4" s="1"/>
  <c r="AA386" i="4" s="1"/>
  <c r="Y398" i="4"/>
  <c r="Z398" i="4" s="1"/>
  <c r="AA398" i="4" s="1"/>
  <c r="Q398" i="4"/>
  <c r="U399" i="4"/>
  <c r="T399" i="4"/>
  <c r="Q406" i="4"/>
  <c r="Y406" i="4"/>
  <c r="Z406" i="4" s="1"/>
  <c r="AA406" i="4" s="1"/>
  <c r="S434" i="4"/>
  <c r="X434" i="4" s="1"/>
  <c r="AC434" i="4" s="1"/>
  <c r="N439" i="4"/>
  <c r="R439" i="4"/>
  <c r="S449" i="4"/>
  <c r="W459" i="4"/>
  <c r="U459" i="4"/>
  <c r="T459" i="4"/>
  <c r="S513" i="4"/>
  <c r="X513" i="4" s="1"/>
  <c r="AC513" i="4" s="1"/>
  <c r="S514" i="4"/>
  <c r="X514" i="4" s="1"/>
  <c r="AC514" i="4" s="1"/>
  <c r="S538" i="4"/>
  <c r="Y538" i="4" s="1"/>
  <c r="Z538" i="4" s="1"/>
  <c r="AA538" i="4" s="1"/>
  <c r="S539" i="4"/>
  <c r="S559" i="4"/>
  <c r="Q559" i="4" s="1"/>
  <c r="S560" i="4"/>
  <c r="Q560" i="4" s="1"/>
  <c r="S565" i="4"/>
  <c r="S583" i="4"/>
  <c r="Y583" i="4"/>
  <c r="Z583" i="4" s="1"/>
  <c r="AA583" i="4" s="1"/>
  <c r="X583" i="4"/>
  <c r="AC583" i="4" s="1"/>
  <c r="Q583" i="4"/>
  <c r="S598" i="4"/>
  <c r="Y598" i="4" s="1"/>
  <c r="Z598" i="4" s="1"/>
  <c r="AA598" i="4" s="1"/>
  <c r="S613" i="4"/>
  <c r="Y613" i="4"/>
  <c r="Z613" i="4" s="1"/>
  <c r="AA613" i="4" s="1"/>
  <c r="X613" i="4"/>
  <c r="AC613" i="4" s="1"/>
  <c r="Q613" i="4"/>
  <c r="S847" i="4"/>
  <c r="Y92" i="4"/>
  <c r="AA92" i="4" s="1"/>
  <c r="V93" i="4"/>
  <c r="S93" i="4" s="1"/>
  <c r="V95" i="4"/>
  <c r="S95" i="4" s="1"/>
  <c r="X95" i="4" s="1"/>
  <c r="AC95" i="4" s="1"/>
  <c r="N101" i="4"/>
  <c r="S102" i="4"/>
  <c r="Y102" i="4" s="1"/>
  <c r="AA102" i="4" s="1"/>
  <c r="V103" i="4"/>
  <c r="S103" i="4" s="1"/>
  <c r="N106" i="4"/>
  <c r="Y107" i="4"/>
  <c r="AA107" i="4" s="1"/>
  <c r="W108" i="4"/>
  <c r="N111" i="4"/>
  <c r="N114" i="4"/>
  <c r="S115" i="4"/>
  <c r="Q115" i="4" s="1"/>
  <c r="V116" i="4"/>
  <c r="S116" i="4" s="1"/>
  <c r="Y116" i="4" s="1"/>
  <c r="AA116" i="4" s="1"/>
  <c r="S117" i="4"/>
  <c r="Y117" i="4" s="1"/>
  <c r="AA117" i="4" s="1"/>
  <c r="W118" i="4"/>
  <c r="W120" i="4"/>
  <c r="X122" i="4"/>
  <c r="AC122" i="4" s="1"/>
  <c r="N123" i="4"/>
  <c r="Y124" i="4"/>
  <c r="AA124" i="4" s="1"/>
  <c r="W125" i="4"/>
  <c r="X125" i="4" s="1"/>
  <c r="AC125" i="4" s="1"/>
  <c r="W127" i="4"/>
  <c r="N130" i="4"/>
  <c r="X131" i="4"/>
  <c r="AC131" i="4" s="1"/>
  <c r="N132" i="4"/>
  <c r="W134" i="4"/>
  <c r="W136" i="4"/>
  <c r="X138" i="4"/>
  <c r="AC138" i="4" s="1"/>
  <c r="N139" i="4"/>
  <c r="W141" i="4"/>
  <c r="Y143" i="4"/>
  <c r="AA143" i="4" s="1"/>
  <c r="W144" i="4"/>
  <c r="N147" i="4"/>
  <c r="N149" i="4"/>
  <c r="N151" i="4"/>
  <c r="Y152" i="4"/>
  <c r="AA152" i="4" s="1"/>
  <c r="W153" i="4"/>
  <c r="Y155" i="4"/>
  <c r="AA155" i="4" s="1"/>
  <c r="W156" i="4"/>
  <c r="Q156" i="4" s="1"/>
  <c r="W158" i="4"/>
  <c r="W160" i="4"/>
  <c r="Y162" i="4"/>
  <c r="AA162" i="4" s="1"/>
  <c r="W163" i="4"/>
  <c r="X163" i="4" s="1"/>
  <c r="AC163" i="4" s="1"/>
  <c r="W165" i="4"/>
  <c r="Y167" i="4"/>
  <c r="AA167" i="4" s="1"/>
  <c r="V168" i="4"/>
  <c r="S168" i="4" s="1"/>
  <c r="W170" i="4"/>
  <c r="W172" i="4"/>
  <c r="Y174" i="4"/>
  <c r="AA174" i="4" s="1"/>
  <c r="W175" i="4"/>
  <c r="Y175" i="4" s="1"/>
  <c r="AA175" i="4" s="1"/>
  <c r="W177" i="4"/>
  <c r="Y179" i="4"/>
  <c r="AA179" i="4" s="1"/>
  <c r="W180" i="4"/>
  <c r="W182" i="4"/>
  <c r="N185" i="4"/>
  <c r="S186" i="4"/>
  <c r="Q186" i="4" s="1"/>
  <c r="V187" i="4"/>
  <c r="S187" i="4" s="1"/>
  <c r="S188" i="4"/>
  <c r="W189" i="4"/>
  <c r="Y189" i="4" s="1"/>
  <c r="AA189" i="4" s="1"/>
  <c r="Y191" i="4"/>
  <c r="AA191" i="4" s="1"/>
  <c r="V192" i="4"/>
  <c r="S192" i="4" s="1"/>
  <c r="S193" i="4"/>
  <c r="X193" i="4" s="1"/>
  <c r="AC193" i="4" s="1"/>
  <c r="W194" i="4"/>
  <c r="X194" i="4" s="1"/>
  <c r="AC194" i="4" s="1"/>
  <c r="W196" i="4"/>
  <c r="N199" i="4"/>
  <c r="N201" i="4"/>
  <c r="Y202" i="4"/>
  <c r="AA202" i="4" s="1"/>
  <c r="W203" i="4"/>
  <c r="Y203" i="4" s="1"/>
  <c r="AA203" i="4" s="1"/>
  <c r="N206" i="4"/>
  <c r="N208" i="4"/>
  <c r="X209" i="4"/>
  <c r="AC209" i="4" s="1"/>
  <c r="N210" i="4"/>
  <c r="Y211" i="4"/>
  <c r="AA211" i="4" s="1"/>
  <c r="W212" i="4"/>
  <c r="W214" i="4"/>
  <c r="W216" i="4"/>
  <c r="W218" i="4"/>
  <c r="Y218" i="4" s="1"/>
  <c r="AA218" i="4" s="1"/>
  <c r="Y220" i="4"/>
  <c r="AA220" i="4" s="1"/>
  <c r="V221" i="4"/>
  <c r="S221" i="4" s="1"/>
  <c r="S222" i="4"/>
  <c r="Y222" i="4" s="1"/>
  <c r="AA222" i="4" s="1"/>
  <c r="V223" i="4"/>
  <c r="S223" i="4" s="1"/>
  <c r="W225" i="4"/>
  <c r="X225" i="4" s="1"/>
  <c r="AC225" i="4" s="1"/>
  <c r="W227" i="4"/>
  <c r="Y227" i="4" s="1"/>
  <c r="AA227" i="4" s="1"/>
  <c r="W229" i="4"/>
  <c r="X229" i="4" s="1"/>
  <c r="AC229" i="4" s="1"/>
  <c r="S230" i="4"/>
  <c r="Y230" i="4" s="1"/>
  <c r="Z230" i="4" s="1"/>
  <c r="AA230" i="4" s="1"/>
  <c r="N231" i="4"/>
  <c r="V234" i="4"/>
  <c r="S234" i="4" s="1"/>
  <c r="Y235" i="4"/>
  <c r="Z235" i="4" s="1"/>
  <c r="AA235" i="4" s="1"/>
  <c r="N236" i="4"/>
  <c r="Y237" i="4"/>
  <c r="Z237" i="4" s="1"/>
  <c r="AA237" i="4" s="1"/>
  <c r="N238" i="4"/>
  <c r="W241" i="4"/>
  <c r="V243" i="4"/>
  <c r="S243" i="4" s="1"/>
  <c r="W246" i="4"/>
  <c r="S247" i="4"/>
  <c r="Y247" i="4" s="1"/>
  <c r="Z247" i="4" s="1"/>
  <c r="AA247" i="4" s="1"/>
  <c r="N248" i="4"/>
  <c r="W249" i="4"/>
  <c r="X249" i="4" s="1"/>
  <c r="AC249" i="4" s="1"/>
  <c r="W251" i="4"/>
  <c r="V253" i="4"/>
  <c r="Y254" i="4"/>
  <c r="Z254" i="4" s="1"/>
  <c r="AA254" i="4" s="1"/>
  <c r="N255" i="4"/>
  <c r="W256" i="4"/>
  <c r="S257" i="4"/>
  <c r="Y257" i="4" s="1"/>
  <c r="Z257" i="4" s="1"/>
  <c r="AA257" i="4" s="1"/>
  <c r="N258" i="4"/>
  <c r="Y259" i="4"/>
  <c r="Z259" i="4" s="1"/>
  <c r="AA259" i="4" s="1"/>
  <c r="N260" i="4"/>
  <c r="W263" i="4"/>
  <c r="V265" i="4"/>
  <c r="X266" i="4"/>
  <c r="AC266" i="4" s="1"/>
  <c r="V268" i="4"/>
  <c r="S268" i="4" s="1"/>
  <c r="W271" i="4"/>
  <c r="S272" i="4"/>
  <c r="Q272" i="4" s="1"/>
  <c r="N273" i="4"/>
  <c r="W282" i="4"/>
  <c r="N285" i="4"/>
  <c r="Y287" i="4"/>
  <c r="Z287" i="4" s="1"/>
  <c r="AA287" i="4" s="1"/>
  <c r="N290" i="4"/>
  <c r="N296" i="4"/>
  <c r="N299" i="4"/>
  <c r="Y301" i="4"/>
  <c r="Z301" i="4" s="1"/>
  <c r="AA301" i="4" s="1"/>
  <c r="Y302" i="4"/>
  <c r="Z302" i="4" s="1"/>
  <c r="AA302" i="4" s="1"/>
  <c r="N307" i="4"/>
  <c r="Y309" i="4"/>
  <c r="Z309" i="4" s="1"/>
  <c r="AA309" i="4" s="1"/>
  <c r="S312" i="4"/>
  <c r="Q312" i="4" s="1"/>
  <c r="N318" i="4"/>
  <c r="S321" i="4"/>
  <c r="X321" i="4" s="1"/>
  <c r="AC321" i="4" s="1"/>
  <c r="N326" i="4"/>
  <c r="Y328" i="4"/>
  <c r="Z328" i="4" s="1"/>
  <c r="AA328" i="4" s="1"/>
  <c r="W329" i="4"/>
  <c r="X329" i="4" s="1"/>
  <c r="AC329" i="4" s="1"/>
  <c r="Y331" i="4"/>
  <c r="Z331" i="4" s="1"/>
  <c r="AA331" i="4" s="1"/>
  <c r="W332" i="4"/>
  <c r="X332" i="4" s="1"/>
  <c r="AC332" i="4" s="1"/>
  <c r="Y341" i="4"/>
  <c r="Z341" i="4" s="1"/>
  <c r="AA341" i="4" s="1"/>
  <c r="Q349" i="4"/>
  <c r="N350" i="4"/>
  <c r="Q353" i="4"/>
  <c r="N354" i="4"/>
  <c r="S357" i="4"/>
  <c r="X357" i="4" s="1"/>
  <c r="AC357" i="4" s="1"/>
  <c r="Y359" i="4"/>
  <c r="Z359" i="4" s="1"/>
  <c r="AA359" i="4" s="1"/>
  <c r="Y360" i="4"/>
  <c r="Z360" i="4" s="1"/>
  <c r="AA360" i="4" s="1"/>
  <c r="S362" i="4"/>
  <c r="X362" i="4" s="1"/>
  <c r="AC362" i="4" s="1"/>
  <c r="W364" i="4"/>
  <c r="N368" i="4"/>
  <c r="N371" i="4"/>
  <c r="S376" i="4"/>
  <c r="Q376" i="4" s="1"/>
  <c r="T378" i="4"/>
  <c r="Q379" i="4"/>
  <c r="S385" i="4"/>
  <c r="X385" i="4"/>
  <c r="AC385" i="4" s="1"/>
  <c r="S386" i="4"/>
  <c r="X386" i="4" s="1"/>
  <c r="AC386" i="4" s="1"/>
  <c r="W396" i="4"/>
  <c r="S397" i="4"/>
  <c r="Q397" i="4" s="1"/>
  <c r="N398" i="4"/>
  <c r="S401" i="4"/>
  <c r="Q401" i="4" s="1"/>
  <c r="U402" i="4"/>
  <c r="T402" i="4"/>
  <c r="S406" i="4"/>
  <c r="X406" i="4" s="1"/>
  <c r="AC406" i="4" s="1"/>
  <c r="Y413" i="4"/>
  <c r="Z413" i="4" s="1"/>
  <c r="AA413" i="4" s="1"/>
  <c r="T414" i="4"/>
  <c r="T416" i="4"/>
  <c r="T418" i="4"/>
  <c r="S424" i="4"/>
  <c r="S425" i="4"/>
  <c r="Y425" i="4" s="1"/>
  <c r="Z425" i="4" s="1"/>
  <c r="AA425" i="4" s="1"/>
  <c r="S431" i="4"/>
  <c r="X431" i="4" s="1"/>
  <c r="AC431" i="4" s="1"/>
  <c r="V439" i="4"/>
  <c r="S444" i="4"/>
  <c r="X444" i="4" s="1"/>
  <c r="AC444" i="4" s="1"/>
  <c r="V459" i="4"/>
  <c r="Y464" i="4"/>
  <c r="Z464" i="4" s="1"/>
  <c r="AA464" i="4" s="1"/>
  <c r="S464" i="4"/>
  <c r="Q464" i="4" s="1"/>
  <c r="X464" i="4"/>
  <c r="AC464" i="4" s="1"/>
  <c r="S493" i="4"/>
  <c r="S502" i="4"/>
  <c r="S506" i="4"/>
  <c r="Y506" i="4"/>
  <c r="Z506" i="4" s="1"/>
  <c r="AA506" i="4" s="1"/>
  <c r="X506" i="4"/>
  <c r="AC506" i="4" s="1"/>
  <c r="Q506" i="4"/>
  <c r="S525" i="4"/>
  <c r="Q525" i="4" s="1"/>
  <c r="X525" i="4"/>
  <c r="AC525" i="4" s="1"/>
  <c r="S526" i="4"/>
  <c r="Q526" i="4" s="1"/>
  <c r="S545" i="4"/>
  <c r="S557" i="4"/>
  <c r="Y580" i="4"/>
  <c r="Z580" i="4" s="1"/>
  <c r="AA580" i="4" s="1"/>
  <c r="S580" i="4"/>
  <c r="Q580" i="4" s="1"/>
  <c r="X580" i="4"/>
  <c r="AC580" i="4" s="1"/>
  <c r="S581" i="4"/>
  <c r="X581" i="4" s="1"/>
  <c r="AC581" i="4" s="1"/>
  <c r="S593" i="4"/>
  <c r="S611" i="4"/>
  <c r="X611" i="4" s="1"/>
  <c r="AC611" i="4" s="1"/>
  <c r="Y611" i="4"/>
  <c r="Z611" i="4" s="1"/>
  <c r="AA611" i="4" s="1"/>
  <c r="Q611" i="4"/>
  <c r="Q663" i="4"/>
  <c r="X663" i="4"/>
  <c r="AC663" i="4" s="1"/>
  <c r="S836" i="4"/>
  <c r="T48" i="4"/>
  <c r="X48" i="4" s="1"/>
  <c r="AC48" i="4" s="1"/>
  <c r="Q49" i="4"/>
  <c r="T50" i="4"/>
  <c r="Y50" i="4" s="1"/>
  <c r="AA50" i="4" s="1"/>
  <c r="Q51" i="4"/>
  <c r="T52" i="4"/>
  <c r="X52" i="4" s="1"/>
  <c r="AC52" i="4" s="1"/>
  <c r="U54" i="4"/>
  <c r="T57" i="4"/>
  <c r="Y57" i="4" s="1"/>
  <c r="AA57" i="4" s="1"/>
  <c r="T60" i="4"/>
  <c r="Q61" i="4"/>
  <c r="X61" i="4"/>
  <c r="AC61" i="4" s="1"/>
  <c r="U62" i="4"/>
  <c r="T69" i="4"/>
  <c r="Q69" i="4" s="1"/>
  <c r="Q70" i="4"/>
  <c r="T71" i="4"/>
  <c r="Q72" i="4"/>
  <c r="T73" i="4"/>
  <c r="Y73" i="4" s="1"/>
  <c r="AA73" i="4" s="1"/>
  <c r="Q74" i="4"/>
  <c r="X74" i="4"/>
  <c r="AC74" i="4" s="1"/>
  <c r="V75" i="4"/>
  <c r="U78" i="4"/>
  <c r="U80" i="4"/>
  <c r="U82" i="4"/>
  <c r="V84" i="4"/>
  <c r="Q86" i="4"/>
  <c r="X86" i="4"/>
  <c r="AC86" i="4" s="1"/>
  <c r="U87" i="4"/>
  <c r="U89" i="4"/>
  <c r="W93" i="4"/>
  <c r="T94" i="4"/>
  <c r="W95" i="4"/>
  <c r="T96" i="4"/>
  <c r="T99" i="4"/>
  <c r="T102" i="4"/>
  <c r="W103" i="4"/>
  <c r="T104" i="4"/>
  <c r="Q108" i="4"/>
  <c r="X108" i="4"/>
  <c r="AC108" i="4" s="1"/>
  <c r="V109" i="4"/>
  <c r="S110" i="4"/>
  <c r="Q110" i="4" s="1"/>
  <c r="T112" i="4"/>
  <c r="T115" i="4"/>
  <c r="Q116" i="4"/>
  <c r="W116" i="4"/>
  <c r="T117" i="4"/>
  <c r="U119" i="4"/>
  <c r="V121" i="4"/>
  <c r="S122" i="4"/>
  <c r="Q122" i="4" s="1"/>
  <c r="Q125" i="4"/>
  <c r="U126" i="4"/>
  <c r="U128" i="4"/>
  <c r="S131" i="4"/>
  <c r="Q131" i="4" s="1"/>
  <c r="T133" i="4"/>
  <c r="Q133" i="4" s="1"/>
  <c r="U135" i="4"/>
  <c r="V137" i="4"/>
  <c r="S138" i="4"/>
  <c r="Q138" i="4" s="1"/>
  <c r="T140" i="4"/>
  <c r="Q140" i="4" s="1"/>
  <c r="V142" i="4"/>
  <c r="Q144" i="4"/>
  <c r="V145" i="4"/>
  <c r="S146" i="4"/>
  <c r="Q146" i="4" s="1"/>
  <c r="S148" i="4"/>
  <c r="Q148" i="4" s="1"/>
  <c r="S150" i="4"/>
  <c r="Q150" i="4" s="1"/>
  <c r="Q153" i="4"/>
  <c r="V154" i="4"/>
  <c r="X156" i="4"/>
  <c r="AC156" i="4" s="1"/>
  <c r="U157" i="4"/>
  <c r="U159" i="4"/>
  <c r="V161" i="4"/>
  <c r="U164" i="4"/>
  <c r="V166" i="4"/>
  <c r="W168" i="4"/>
  <c r="T169" i="4"/>
  <c r="Q169" i="4" s="1"/>
  <c r="U171" i="4"/>
  <c r="V173" i="4"/>
  <c r="Q175" i="4"/>
  <c r="X175" i="4"/>
  <c r="AC175" i="4" s="1"/>
  <c r="U176" i="4"/>
  <c r="V178" i="4"/>
  <c r="Q180" i="4"/>
  <c r="X180" i="4"/>
  <c r="AC180" i="4" s="1"/>
  <c r="U181" i="4"/>
  <c r="U183" i="4"/>
  <c r="T186" i="4"/>
  <c r="W187" i="4"/>
  <c r="T188" i="4"/>
  <c r="Y188" i="4" s="1"/>
  <c r="AA188" i="4" s="1"/>
  <c r="Q189" i="4"/>
  <c r="X189" i="4"/>
  <c r="AC189" i="4" s="1"/>
  <c r="V190" i="4"/>
  <c r="W192" i="4"/>
  <c r="T193" i="4"/>
  <c r="Q193" i="4" s="1"/>
  <c r="Q194" i="4"/>
  <c r="U195" i="4"/>
  <c r="U197" i="4"/>
  <c r="S200" i="4"/>
  <c r="Q200" i="4" s="1"/>
  <c r="Q203" i="4"/>
  <c r="U204" i="4"/>
  <c r="S207" i="4"/>
  <c r="Q207" i="4" s="1"/>
  <c r="S209" i="4"/>
  <c r="Q209" i="4" s="1"/>
  <c r="Q212" i="4"/>
  <c r="U213" i="4"/>
  <c r="U215" i="4"/>
  <c r="U217" i="4"/>
  <c r="V219" i="4"/>
  <c r="W221" i="4"/>
  <c r="W223" i="4"/>
  <c r="U226" i="4"/>
  <c r="U228" i="4"/>
  <c r="Q229" i="4"/>
  <c r="W231" i="4"/>
  <c r="X231" i="4" s="1"/>
  <c r="AC231" i="4" s="1"/>
  <c r="S232" i="4"/>
  <c r="Q232" i="4" s="1"/>
  <c r="U233" i="4"/>
  <c r="W234" i="4"/>
  <c r="W236" i="4"/>
  <c r="W238" i="4"/>
  <c r="S239" i="4"/>
  <c r="Q239" i="4" s="1"/>
  <c r="U240" i="4"/>
  <c r="Q241" i="4"/>
  <c r="X241" i="4"/>
  <c r="AC241" i="4" s="1"/>
  <c r="W243" i="4"/>
  <c r="S244" i="4"/>
  <c r="Q244" i="4" s="1"/>
  <c r="V245" i="4"/>
  <c r="X251" i="4"/>
  <c r="AC251" i="4" s="1"/>
  <c r="W253" i="4"/>
  <c r="W258" i="4"/>
  <c r="Q258" i="4" s="1"/>
  <c r="Y261" i="4"/>
  <c r="Z261" i="4" s="1"/>
  <c r="AA261" i="4" s="1"/>
  <c r="V262" i="4"/>
  <c r="Q265" i="4"/>
  <c r="W265" i="4"/>
  <c r="S266" i="4"/>
  <c r="Q266" i="4" s="1"/>
  <c r="U267" i="4"/>
  <c r="W268" i="4"/>
  <c r="S269" i="4"/>
  <c r="Q269" i="4" s="1"/>
  <c r="V270" i="4"/>
  <c r="V275" i="4"/>
  <c r="Y276" i="4"/>
  <c r="Z276" i="4" s="1"/>
  <c r="AA276" i="4" s="1"/>
  <c r="V277" i="4"/>
  <c r="Y278" i="4"/>
  <c r="Z278" i="4" s="1"/>
  <c r="AA278" i="4" s="1"/>
  <c r="V279" i="4"/>
  <c r="Y280" i="4"/>
  <c r="Z280" i="4" s="1"/>
  <c r="AA280" i="4" s="1"/>
  <c r="V281" i="4"/>
  <c r="Y284" i="4"/>
  <c r="Z284" i="4" s="1"/>
  <c r="AA284" i="4" s="1"/>
  <c r="V286" i="4"/>
  <c r="S286" i="4" s="1"/>
  <c r="Y286" i="4" s="1"/>
  <c r="Z286" i="4" s="1"/>
  <c r="AA286" i="4" s="1"/>
  <c r="Y290" i="4"/>
  <c r="Z290" i="4" s="1"/>
  <c r="AA290" i="4" s="1"/>
  <c r="X290" i="4"/>
  <c r="AC290" i="4" s="1"/>
  <c r="N292" i="4"/>
  <c r="W293" i="4"/>
  <c r="X294" i="4"/>
  <c r="AC294" i="4" s="1"/>
  <c r="X297" i="4"/>
  <c r="AC297" i="4" s="1"/>
  <c r="X302" i="4"/>
  <c r="AC302" i="4" s="1"/>
  <c r="Q302" i="4"/>
  <c r="N304" i="4"/>
  <c r="V304" i="4"/>
  <c r="S304" i="4" s="1"/>
  <c r="Y310" i="4"/>
  <c r="Z310" i="4" s="1"/>
  <c r="AA310" i="4" s="1"/>
  <c r="W311" i="4"/>
  <c r="S313" i="4"/>
  <c r="Y313" i="4" s="1"/>
  <c r="Z313" i="4" s="1"/>
  <c r="AA313" i="4" s="1"/>
  <c r="Q314" i="4"/>
  <c r="Y314" i="4"/>
  <c r="Z314" i="4" s="1"/>
  <c r="AA314" i="4" s="1"/>
  <c r="S317" i="4"/>
  <c r="W318" i="4"/>
  <c r="X318" i="4" s="1"/>
  <c r="AC318" i="4" s="1"/>
  <c r="W319" i="4"/>
  <c r="Y325" i="4"/>
  <c r="Z325" i="4" s="1"/>
  <c r="AA325" i="4" s="1"/>
  <c r="V327" i="4"/>
  <c r="S327" i="4" s="1"/>
  <c r="Y327" i="4" s="1"/>
  <c r="Z327" i="4" s="1"/>
  <c r="AA327" i="4" s="1"/>
  <c r="V330" i="4"/>
  <c r="S330" i="4" s="1"/>
  <c r="Y332" i="4"/>
  <c r="Z332" i="4" s="1"/>
  <c r="AA332" i="4" s="1"/>
  <c r="W333" i="4"/>
  <c r="Q333" i="4" s="1"/>
  <c r="Q336" i="4"/>
  <c r="X336" i="4"/>
  <c r="AC336" i="4" s="1"/>
  <c r="N337" i="4"/>
  <c r="V337" i="4"/>
  <c r="S337" i="4" s="1"/>
  <c r="Q339" i="4"/>
  <c r="X339" i="4"/>
  <c r="AC339" i="4" s="1"/>
  <c r="N340" i="4"/>
  <c r="V340" i="4"/>
  <c r="S340" i="4" s="1"/>
  <c r="Q342" i="4"/>
  <c r="Y342" i="4"/>
  <c r="Z342" i="4" s="1"/>
  <c r="AA342" i="4" s="1"/>
  <c r="W343" i="4"/>
  <c r="N347" i="4"/>
  <c r="V347" i="4"/>
  <c r="S347" i="4" s="1"/>
  <c r="Y354" i="4"/>
  <c r="Z354" i="4" s="1"/>
  <c r="AA354" i="4" s="1"/>
  <c r="W354" i="4"/>
  <c r="Q354" i="4" s="1"/>
  <c r="W355" i="4"/>
  <c r="X360" i="4"/>
  <c r="AC360" i="4" s="1"/>
  <c r="Q360" i="4"/>
  <c r="W361" i="4"/>
  <c r="X361" i="4" s="1"/>
  <c r="AC361" i="4" s="1"/>
  <c r="S363" i="4"/>
  <c r="N365" i="4"/>
  <c r="V365" i="4"/>
  <c r="S365" i="4" s="1"/>
  <c r="Y371" i="4"/>
  <c r="Z371" i="4" s="1"/>
  <c r="AA371" i="4" s="1"/>
  <c r="X371" i="4"/>
  <c r="AC371" i="4" s="1"/>
  <c r="N373" i="4"/>
  <c r="W374" i="4"/>
  <c r="Y382" i="4"/>
  <c r="Z382" i="4" s="1"/>
  <c r="AA382" i="4" s="1"/>
  <c r="X382" i="4"/>
  <c r="AC382" i="4" s="1"/>
  <c r="Q382" i="4"/>
  <c r="V383" i="4"/>
  <c r="T383" i="4"/>
  <c r="S393" i="4"/>
  <c r="Y393" i="4" s="1"/>
  <c r="Z393" i="4" s="1"/>
  <c r="AA393" i="4" s="1"/>
  <c r="R395" i="4"/>
  <c r="T396" i="4"/>
  <c r="S399" i="4"/>
  <c r="Q399" i="4" s="1"/>
  <c r="N401" i="4"/>
  <c r="S404" i="4"/>
  <c r="Y404" i="4" s="1"/>
  <c r="Z404" i="4" s="1"/>
  <c r="AA404" i="4" s="1"/>
  <c r="U405" i="4"/>
  <c r="Y405" i="4" s="1"/>
  <c r="Z405" i="4" s="1"/>
  <c r="AA405" i="4" s="1"/>
  <c r="T405" i="4"/>
  <c r="S412" i="4"/>
  <c r="Y412" i="4" s="1"/>
  <c r="Z412" i="4" s="1"/>
  <c r="AA412" i="4" s="1"/>
  <c r="X412" i="4"/>
  <c r="AC412" i="4" s="1"/>
  <c r="S413" i="4"/>
  <c r="X413" i="4" s="1"/>
  <c r="AC413" i="4" s="1"/>
  <c r="V414" i="4"/>
  <c r="V416" i="4"/>
  <c r="V418" i="4"/>
  <c r="S421" i="4"/>
  <c r="Q421" i="4" s="1"/>
  <c r="T439" i="4"/>
  <c r="N441" i="4"/>
  <c r="R441" i="4"/>
  <c r="S496" i="4"/>
  <c r="Q496" i="4" s="1"/>
  <c r="X496" i="4"/>
  <c r="AC496" i="4" s="1"/>
  <c r="S497" i="4"/>
  <c r="S573" i="4"/>
  <c r="Q573" i="4" s="1"/>
  <c r="S578" i="4"/>
  <c r="X578" i="4" s="1"/>
  <c r="AC578" i="4" s="1"/>
  <c r="S602" i="4"/>
  <c r="S607" i="4"/>
  <c r="S636" i="4"/>
  <c r="S856" i="4"/>
  <c r="S859" i="4"/>
  <c r="S862" i="4"/>
  <c r="X862" i="4" s="1"/>
  <c r="S865" i="4"/>
  <c r="X49" i="4"/>
  <c r="AC49" i="4" s="1"/>
  <c r="X51" i="4"/>
  <c r="AC51" i="4" s="1"/>
  <c r="V54" i="4"/>
  <c r="V62" i="4"/>
  <c r="X70" i="4"/>
  <c r="AC70" i="4" s="1"/>
  <c r="X72" i="4"/>
  <c r="AC72" i="4" s="1"/>
  <c r="V78" i="4"/>
  <c r="V80" i="4"/>
  <c r="V82" i="4"/>
  <c r="V87" i="4"/>
  <c r="V89" i="4"/>
  <c r="U94" i="4"/>
  <c r="V96" i="4"/>
  <c r="S96" i="4" s="1"/>
  <c r="V99" i="4"/>
  <c r="S99" i="4" s="1"/>
  <c r="U102" i="4"/>
  <c r="V104" i="4"/>
  <c r="S104" i="4" s="1"/>
  <c r="V112" i="4"/>
  <c r="S112" i="4" s="1"/>
  <c r="U115" i="4"/>
  <c r="U117" i="4"/>
  <c r="V119" i="4"/>
  <c r="V126" i="4"/>
  <c r="V128" i="4"/>
  <c r="V135" i="4"/>
  <c r="Y136" i="4"/>
  <c r="AA136" i="4" s="1"/>
  <c r="V157" i="4"/>
  <c r="V159" i="4"/>
  <c r="V164" i="4"/>
  <c r="Y165" i="4"/>
  <c r="AA165" i="4" s="1"/>
  <c r="V171" i="4"/>
  <c r="V176" i="4"/>
  <c r="V181" i="4"/>
  <c r="V183" i="4"/>
  <c r="V195" i="4"/>
  <c r="V197" i="4"/>
  <c r="V204" i="4"/>
  <c r="V213" i="4"/>
  <c r="V215" i="4"/>
  <c r="V217" i="4"/>
  <c r="Y225" i="4"/>
  <c r="AA225" i="4" s="1"/>
  <c r="V226" i="4"/>
  <c r="V228" i="4"/>
  <c r="V233" i="4"/>
  <c r="V240" i="4"/>
  <c r="Y249" i="4"/>
  <c r="Z249" i="4" s="1"/>
  <c r="AA249" i="4" s="1"/>
  <c r="X253" i="4"/>
  <c r="AC253" i="4" s="1"/>
  <c r="Y256" i="4"/>
  <c r="Z256" i="4" s="1"/>
  <c r="AA256" i="4" s="1"/>
  <c r="Y263" i="4"/>
  <c r="Z263" i="4" s="1"/>
  <c r="AA263" i="4" s="1"/>
  <c r="X265" i="4"/>
  <c r="AC265" i="4" s="1"/>
  <c r="V267" i="4"/>
  <c r="Y282" i="4"/>
  <c r="Z282" i="4" s="1"/>
  <c r="AA282" i="4" s="1"/>
  <c r="W286" i="4"/>
  <c r="R289" i="4"/>
  <c r="Q290" i="4"/>
  <c r="X292" i="4"/>
  <c r="AC292" i="4" s="1"/>
  <c r="T313" i="4"/>
  <c r="W315" i="4"/>
  <c r="T317" i="4"/>
  <c r="Y317" i="4" s="1"/>
  <c r="Z317" i="4" s="1"/>
  <c r="AA317" i="4" s="1"/>
  <c r="T324" i="4"/>
  <c r="W327" i="4"/>
  <c r="W330" i="4"/>
  <c r="X333" i="4"/>
  <c r="AC333" i="4" s="1"/>
  <c r="Y336" i="4"/>
  <c r="Z336" i="4" s="1"/>
  <c r="AA336" i="4" s="1"/>
  <c r="W337" i="4"/>
  <c r="Y339" i="4"/>
  <c r="Z339" i="4" s="1"/>
  <c r="AA339" i="4" s="1"/>
  <c r="W340" i="4"/>
  <c r="T345" i="4"/>
  <c r="Y345" i="4" s="1"/>
  <c r="Z345" i="4" s="1"/>
  <c r="AA345" i="4" s="1"/>
  <c r="T363" i="4"/>
  <c r="R364" i="4"/>
  <c r="Q371" i="4"/>
  <c r="Y373" i="4"/>
  <c r="Z373" i="4" s="1"/>
  <c r="AA373" i="4" s="1"/>
  <c r="X373" i="4"/>
  <c r="AC373" i="4" s="1"/>
  <c r="X377" i="4"/>
  <c r="AC377" i="4" s="1"/>
  <c r="S378" i="4"/>
  <c r="T380" i="4"/>
  <c r="X384" i="4"/>
  <c r="AC384" i="4" s="1"/>
  <c r="Q384" i="4"/>
  <c r="Y384" i="4"/>
  <c r="Z384" i="4" s="1"/>
  <c r="AA384" i="4" s="1"/>
  <c r="Y385" i="4"/>
  <c r="Z385" i="4" s="1"/>
  <c r="AA385" i="4" s="1"/>
  <c r="T385" i="4"/>
  <c r="X387" i="4"/>
  <c r="AC387" i="4" s="1"/>
  <c r="Q387" i="4"/>
  <c r="S387" i="4"/>
  <c r="Y387" i="4" s="1"/>
  <c r="Z387" i="4" s="1"/>
  <c r="AA387" i="4" s="1"/>
  <c r="X389" i="4"/>
  <c r="AC389" i="4" s="1"/>
  <c r="Q389" i="4"/>
  <c r="S389" i="4"/>
  <c r="Y389" i="4" s="1"/>
  <c r="Z389" i="4" s="1"/>
  <c r="AA389" i="4" s="1"/>
  <c r="Y391" i="4"/>
  <c r="Z391" i="4" s="1"/>
  <c r="AA391" i="4" s="1"/>
  <c r="X391" i="4"/>
  <c r="AC391" i="4" s="1"/>
  <c r="Q391" i="4"/>
  <c r="Y392" i="4"/>
  <c r="Z392" i="4" s="1"/>
  <c r="AA392" i="4" s="1"/>
  <c r="U392" i="4"/>
  <c r="T392" i="4"/>
  <c r="S394" i="4"/>
  <c r="Q394" i="4" s="1"/>
  <c r="X394" i="4"/>
  <c r="AC394" i="4" s="1"/>
  <c r="U396" i="4"/>
  <c r="X397" i="4"/>
  <c r="AC397" i="4" s="1"/>
  <c r="S398" i="4"/>
  <c r="X398" i="4" s="1"/>
  <c r="AC398" i="4" s="1"/>
  <c r="V399" i="4"/>
  <c r="W401" i="4"/>
  <c r="X407" i="4"/>
  <c r="AC407" i="4" s="1"/>
  <c r="Q407" i="4"/>
  <c r="S407" i="4"/>
  <c r="Y407" i="4" s="1"/>
  <c r="Z407" i="4" s="1"/>
  <c r="AA407" i="4" s="1"/>
  <c r="S409" i="4"/>
  <c r="X409" i="4" s="1"/>
  <c r="AC409" i="4" s="1"/>
  <c r="V410" i="4"/>
  <c r="S410" i="4" s="1"/>
  <c r="T410" i="4"/>
  <c r="W414" i="4"/>
  <c r="W416" i="4"/>
  <c r="W418" i="4"/>
  <c r="Q423" i="4"/>
  <c r="T424" i="4"/>
  <c r="Q424" i="4" s="1"/>
  <c r="X426" i="4"/>
  <c r="AC426" i="4" s="1"/>
  <c r="S426" i="4"/>
  <c r="Q426" i="4" s="1"/>
  <c r="S428" i="4"/>
  <c r="Y428" i="4" s="1"/>
  <c r="Z428" i="4" s="1"/>
  <c r="AA428" i="4" s="1"/>
  <c r="X430" i="4"/>
  <c r="AC430" i="4" s="1"/>
  <c r="Q430" i="4"/>
  <c r="Y430" i="4"/>
  <c r="Z430" i="4" s="1"/>
  <c r="AA430" i="4" s="1"/>
  <c r="T431" i="4"/>
  <c r="Y437" i="4"/>
  <c r="Z437" i="4" s="1"/>
  <c r="AA437" i="4" s="1"/>
  <c r="W437" i="4"/>
  <c r="U437" i="4"/>
  <c r="T437" i="4"/>
  <c r="W439" i="4"/>
  <c r="V441" i="4"/>
  <c r="Y452" i="4"/>
  <c r="Z452" i="4" s="1"/>
  <c r="AA452" i="4" s="1"/>
  <c r="W452" i="4"/>
  <c r="U452" i="4"/>
  <c r="T452" i="4"/>
  <c r="S456" i="4"/>
  <c r="Q456" i="4" s="1"/>
  <c r="X456" i="4"/>
  <c r="AC456" i="4" s="1"/>
  <c r="N466" i="4"/>
  <c r="R466" i="4"/>
  <c r="S494" i="4"/>
  <c r="Y494" i="4" s="1"/>
  <c r="Z494" i="4" s="1"/>
  <c r="AA494" i="4" s="1"/>
  <c r="Y522" i="4"/>
  <c r="Z522" i="4" s="1"/>
  <c r="AA522" i="4" s="1"/>
  <c r="S546" i="4"/>
  <c r="Y546" i="4" s="1"/>
  <c r="Z546" i="4" s="1"/>
  <c r="AA546" i="4" s="1"/>
  <c r="Y554" i="4"/>
  <c r="Z554" i="4" s="1"/>
  <c r="AA554" i="4" s="1"/>
  <c r="S554" i="4"/>
  <c r="Q554" i="4" s="1"/>
  <c r="X554" i="4"/>
  <c r="AC554" i="4" s="1"/>
  <c r="S555" i="4"/>
  <c r="Y555" i="4" s="1"/>
  <c r="Z555" i="4" s="1"/>
  <c r="AA555" i="4" s="1"/>
  <c r="X582" i="4"/>
  <c r="AC582" i="4" s="1"/>
  <c r="S590" i="4"/>
  <c r="Y590" i="4"/>
  <c r="Z590" i="4" s="1"/>
  <c r="AA590" i="4" s="1"/>
  <c r="X590" i="4"/>
  <c r="AC590" i="4" s="1"/>
  <c r="Q590" i="4"/>
  <c r="Y594" i="4"/>
  <c r="Z594" i="4" s="1"/>
  <c r="AA594" i="4" s="1"/>
  <c r="X675" i="4"/>
  <c r="AC675" i="4" s="1"/>
  <c r="Q675" i="4"/>
  <c r="S675" i="4"/>
  <c r="Y675" i="4" s="1"/>
  <c r="Z675" i="4" s="1"/>
  <c r="AA675" i="4" s="1"/>
  <c r="V283" i="4"/>
  <c r="S283" i="4" s="1"/>
  <c r="T284" i="4"/>
  <c r="T288" i="4"/>
  <c r="Y288" i="4" s="1"/>
  <c r="Z288" i="4" s="1"/>
  <c r="AA288" i="4" s="1"/>
  <c r="R291" i="4"/>
  <c r="U295" i="4"/>
  <c r="Y295" i="4" s="1"/>
  <c r="Z295" i="4" s="1"/>
  <c r="AA295" i="4" s="1"/>
  <c r="U298" i="4"/>
  <c r="Y298" i="4" s="1"/>
  <c r="Z298" i="4" s="1"/>
  <c r="AA298" i="4" s="1"/>
  <c r="W300" i="4"/>
  <c r="Q300" i="4" s="1"/>
  <c r="T306" i="4"/>
  <c r="Y308" i="4"/>
  <c r="Z308" i="4" s="1"/>
  <c r="AA308" i="4" s="1"/>
  <c r="W308" i="4"/>
  <c r="Q308" i="4" s="1"/>
  <c r="T310" i="4"/>
  <c r="X310" i="4" s="1"/>
  <c r="AC310" i="4" s="1"/>
  <c r="W316" i="4"/>
  <c r="X316" i="4" s="1"/>
  <c r="AC316" i="4" s="1"/>
  <c r="U317" i="4"/>
  <c r="Q317" i="4" s="1"/>
  <c r="Y320" i="4"/>
  <c r="Z320" i="4" s="1"/>
  <c r="AA320" i="4" s="1"/>
  <c r="N322" i="4"/>
  <c r="V324" i="4"/>
  <c r="S324" i="4" s="1"/>
  <c r="T325" i="4"/>
  <c r="Y333" i="4"/>
  <c r="Z333" i="4" s="1"/>
  <c r="AA333" i="4" s="1"/>
  <c r="Y356" i="4"/>
  <c r="Z356" i="4" s="1"/>
  <c r="AA356" i="4" s="1"/>
  <c r="N358" i="4"/>
  <c r="Y361" i="4"/>
  <c r="Z361" i="4" s="1"/>
  <c r="AA361" i="4" s="1"/>
  <c r="U363" i="4"/>
  <c r="S368" i="4"/>
  <c r="X368" i="4" s="1"/>
  <c r="AC368" i="4" s="1"/>
  <c r="W369" i="4"/>
  <c r="Q369" i="4" s="1"/>
  <c r="R372" i="4"/>
  <c r="Y375" i="4"/>
  <c r="Z375" i="4" s="1"/>
  <c r="AA375" i="4" s="1"/>
  <c r="N377" i="4"/>
  <c r="U378" i="4"/>
  <c r="U380" i="4"/>
  <c r="Y380" i="4" s="1"/>
  <c r="Z380" i="4" s="1"/>
  <c r="AA380" i="4" s="1"/>
  <c r="W381" i="4"/>
  <c r="S383" i="4"/>
  <c r="N384" i="4"/>
  <c r="Q385" i="4"/>
  <c r="N387" i="4"/>
  <c r="N389" i="4"/>
  <c r="N391" i="4"/>
  <c r="V396" i="4"/>
  <c r="S396" i="4" s="1"/>
  <c r="W399" i="4"/>
  <c r="R400" i="4"/>
  <c r="T401" i="4"/>
  <c r="X401" i="4" s="1"/>
  <c r="AC401" i="4" s="1"/>
  <c r="V402" i="4"/>
  <c r="S402" i="4" s="1"/>
  <c r="W404" i="4"/>
  <c r="X404" i="4" s="1"/>
  <c r="AC404" i="4" s="1"/>
  <c r="S405" i="4"/>
  <c r="N407" i="4"/>
  <c r="N409" i="4"/>
  <c r="Q411" i="4"/>
  <c r="T412" i="4"/>
  <c r="X414" i="4"/>
  <c r="AC414" i="4" s="1"/>
  <c r="S414" i="4"/>
  <c r="Q414" i="4" s="1"/>
  <c r="S416" i="4"/>
  <c r="Y416" i="4" s="1"/>
  <c r="Z416" i="4" s="1"/>
  <c r="AA416" i="4" s="1"/>
  <c r="X418" i="4"/>
  <c r="AC418" i="4" s="1"/>
  <c r="S418" i="4"/>
  <c r="Q418" i="4" s="1"/>
  <c r="T421" i="4"/>
  <c r="N423" i="4"/>
  <c r="N426" i="4"/>
  <c r="N428" i="4"/>
  <c r="N430" i="4"/>
  <c r="Y436" i="4"/>
  <c r="Z436" i="4" s="1"/>
  <c r="AA436" i="4" s="1"/>
  <c r="X436" i="4"/>
  <c r="AC436" i="4" s="1"/>
  <c r="Q436" i="4"/>
  <c r="S437" i="4"/>
  <c r="Q437" i="4"/>
  <c r="T441" i="4"/>
  <c r="X443" i="4"/>
  <c r="AC443" i="4" s="1"/>
  <c r="V447" i="4"/>
  <c r="S447" i="4" s="1"/>
  <c r="T447" i="4"/>
  <c r="Y451" i="4"/>
  <c r="Z451" i="4" s="1"/>
  <c r="AA451" i="4" s="1"/>
  <c r="X451" i="4"/>
  <c r="AC451" i="4" s="1"/>
  <c r="Q451" i="4"/>
  <c r="S452" i="4"/>
  <c r="Q452" i="4"/>
  <c r="X457" i="4"/>
  <c r="AC457" i="4" s="1"/>
  <c r="S457" i="4"/>
  <c r="S461" i="4"/>
  <c r="Q461" i="4" s="1"/>
  <c r="S470" i="4"/>
  <c r="Y470" i="4" s="1"/>
  <c r="Z470" i="4" s="1"/>
  <c r="AA470" i="4" s="1"/>
  <c r="S487" i="4"/>
  <c r="Y487" i="4" s="1"/>
  <c r="Z487" i="4" s="1"/>
  <c r="AA487" i="4" s="1"/>
  <c r="Q488" i="4"/>
  <c r="S488" i="4"/>
  <c r="S492" i="4"/>
  <c r="Y492" i="4" s="1"/>
  <c r="Z492" i="4" s="1"/>
  <c r="AA492" i="4" s="1"/>
  <c r="S507" i="4"/>
  <c r="X507" i="4" s="1"/>
  <c r="AC507" i="4" s="1"/>
  <c r="S551" i="4"/>
  <c r="Y551" i="4" s="1"/>
  <c r="Z551" i="4" s="1"/>
  <c r="AA551" i="4" s="1"/>
  <c r="S552" i="4"/>
  <c r="Y552" i="4" s="1"/>
  <c r="Z552" i="4" s="1"/>
  <c r="AA552" i="4" s="1"/>
  <c r="S570" i="4"/>
  <c r="X570" i="4"/>
  <c r="AC570" i="4" s="1"/>
  <c r="Q570" i="4"/>
  <c r="S571" i="4"/>
  <c r="Y587" i="4"/>
  <c r="Z587" i="4" s="1"/>
  <c r="AA587" i="4" s="1"/>
  <c r="S587" i="4"/>
  <c r="Q587" i="4" s="1"/>
  <c r="S588" i="4"/>
  <c r="Y588" i="4" s="1"/>
  <c r="Z588" i="4" s="1"/>
  <c r="AA588" i="4" s="1"/>
  <c r="S600" i="4"/>
  <c r="Y600" i="4" s="1"/>
  <c r="Z600" i="4" s="1"/>
  <c r="AA600" i="4" s="1"/>
  <c r="S612" i="4"/>
  <c r="Q612" i="4" s="1"/>
  <c r="X618" i="4"/>
  <c r="AC618" i="4" s="1"/>
  <c r="Q618" i="4"/>
  <c r="S654" i="4"/>
  <c r="S869" i="4"/>
  <c r="W384" i="4"/>
  <c r="V388" i="4"/>
  <c r="S388" i="4" s="1"/>
  <c r="U390" i="4"/>
  <c r="V408" i="4"/>
  <c r="S408" i="4" s="1"/>
  <c r="W411" i="4"/>
  <c r="X411" i="4" s="1"/>
  <c r="AC411" i="4" s="1"/>
  <c r="V415" i="4"/>
  <c r="S415" i="4" s="1"/>
  <c r="V417" i="4"/>
  <c r="S417" i="4" s="1"/>
  <c r="U419" i="4"/>
  <c r="W420" i="4"/>
  <c r="X420" i="4" s="1"/>
  <c r="AC420" i="4" s="1"/>
  <c r="U422" i="4"/>
  <c r="W423" i="4"/>
  <c r="X423" i="4" s="1"/>
  <c r="AC423" i="4" s="1"/>
  <c r="V427" i="4"/>
  <c r="S427" i="4" s="1"/>
  <c r="U429" i="4"/>
  <c r="W430" i="4"/>
  <c r="U432" i="4"/>
  <c r="W433" i="4"/>
  <c r="Y433" i="4" s="1"/>
  <c r="Z433" i="4" s="1"/>
  <c r="AA433" i="4" s="1"/>
  <c r="U435" i="4"/>
  <c r="V440" i="4"/>
  <c r="S440" i="4" s="1"/>
  <c r="U442" i="4"/>
  <c r="W443" i="4"/>
  <c r="Q443" i="4" s="1"/>
  <c r="Y444" i="4"/>
  <c r="Z444" i="4" s="1"/>
  <c r="AA444" i="4" s="1"/>
  <c r="U445" i="4"/>
  <c r="W448" i="4"/>
  <c r="X448" i="4" s="1"/>
  <c r="AC448" i="4" s="1"/>
  <c r="U450" i="4"/>
  <c r="Y454" i="4"/>
  <c r="Z454" i="4" s="1"/>
  <c r="AA454" i="4" s="1"/>
  <c r="U455" i="4"/>
  <c r="X455" i="4" s="1"/>
  <c r="AC455" i="4" s="1"/>
  <c r="W456" i="4"/>
  <c r="Y457" i="4"/>
  <c r="Z457" i="4" s="1"/>
  <c r="AA457" i="4" s="1"/>
  <c r="V458" i="4"/>
  <c r="S458" i="4" s="1"/>
  <c r="R459" i="4"/>
  <c r="T460" i="4"/>
  <c r="W461" i="4"/>
  <c r="X461" i="4" s="1"/>
  <c r="AC461" i="4" s="1"/>
  <c r="U463" i="4"/>
  <c r="W464" i="4"/>
  <c r="R467" i="4"/>
  <c r="T468" i="4"/>
  <c r="R472" i="4"/>
  <c r="V473" i="4"/>
  <c r="S473" i="4" s="1"/>
  <c r="R474" i="4"/>
  <c r="V475" i="4"/>
  <c r="S475" i="4" s="1"/>
  <c r="R476" i="4"/>
  <c r="T477" i="4"/>
  <c r="R479" i="4"/>
  <c r="T480" i="4"/>
  <c r="R482" i="4"/>
  <c r="U483" i="4"/>
  <c r="W484" i="4"/>
  <c r="Y485" i="4"/>
  <c r="Z485" i="4" s="1"/>
  <c r="AA485" i="4" s="1"/>
  <c r="U486" i="4"/>
  <c r="W487" i="4"/>
  <c r="V489" i="4"/>
  <c r="S489" i="4" s="1"/>
  <c r="Y489" i="4" s="1"/>
  <c r="Z489" i="4" s="1"/>
  <c r="AA489" i="4" s="1"/>
  <c r="R490" i="4"/>
  <c r="T491" i="4"/>
  <c r="T493" i="4"/>
  <c r="T495" i="4"/>
  <c r="W496" i="4"/>
  <c r="Y497" i="4"/>
  <c r="Z497" i="4" s="1"/>
  <c r="AA497" i="4" s="1"/>
  <c r="V498" i="4"/>
  <c r="S498" i="4" s="1"/>
  <c r="R499" i="4"/>
  <c r="T500" i="4"/>
  <c r="V503" i="4"/>
  <c r="S503" i="4" s="1"/>
  <c r="R504" i="4"/>
  <c r="U505" i="4"/>
  <c r="T507" i="4"/>
  <c r="R511" i="4"/>
  <c r="T512" i="4"/>
  <c r="W513" i="4"/>
  <c r="Y514" i="4"/>
  <c r="Z514" i="4" s="1"/>
  <c r="AA514" i="4" s="1"/>
  <c r="U515" i="4"/>
  <c r="W516" i="4"/>
  <c r="Y516" i="4" s="1"/>
  <c r="Z516" i="4" s="1"/>
  <c r="AA516" i="4" s="1"/>
  <c r="V518" i="4"/>
  <c r="S518" i="4" s="1"/>
  <c r="R519" i="4"/>
  <c r="V520" i="4"/>
  <c r="S520" i="4" s="1"/>
  <c r="R521" i="4"/>
  <c r="V522" i="4"/>
  <c r="S522" i="4" s="1"/>
  <c r="R523" i="4"/>
  <c r="U524" i="4"/>
  <c r="W525" i="4"/>
  <c r="R528" i="4"/>
  <c r="V529" i="4"/>
  <c r="S529" i="4" s="1"/>
  <c r="Y529" i="4" s="1"/>
  <c r="Z529" i="4" s="1"/>
  <c r="AA529" i="4" s="1"/>
  <c r="R530" i="4"/>
  <c r="V531" i="4"/>
  <c r="S531" i="4" s="1"/>
  <c r="R532" i="4"/>
  <c r="V533" i="4"/>
  <c r="S533" i="4" s="1"/>
  <c r="Y533" i="4" s="1"/>
  <c r="Z533" i="4" s="1"/>
  <c r="AA533" i="4" s="1"/>
  <c r="R534" i="4"/>
  <c r="V535" i="4"/>
  <c r="S535" i="4" s="1"/>
  <c r="R536" i="4"/>
  <c r="T537" i="4"/>
  <c r="W538" i="4"/>
  <c r="R541" i="4"/>
  <c r="T542" i="4"/>
  <c r="R544" i="4"/>
  <c r="T545" i="4"/>
  <c r="T547" i="4"/>
  <c r="R549" i="4"/>
  <c r="T550" i="4"/>
  <c r="W551" i="4"/>
  <c r="U553" i="4"/>
  <c r="W554" i="4"/>
  <c r="Y557" i="4"/>
  <c r="Z557" i="4" s="1"/>
  <c r="AA557" i="4" s="1"/>
  <c r="U558" i="4"/>
  <c r="W559" i="4"/>
  <c r="X559" i="4" s="1"/>
  <c r="AC559" i="4" s="1"/>
  <c r="R562" i="4"/>
  <c r="T563" i="4"/>
  <c r="Y565" i="4"/>
  <c r="Z565" i="4" s="1"/>
  <c r="AA565" i="4" s="1"/>
  <c r="U566" i="4"/>
  <c r="W567" i="4"/>
  <c r="Y567" i="4" s="1"/>
  <c r="Z567" i="4" s="1"/>
  <c r="AA567" i="4" s="1"/>
  <c r="U569" i="4"/>
  <c r="W570" i="4"/>
  <c r="Y570" i="4" s="1"/>
  <c r="Z570" i="4" s="1"/>
  <c r="AA570" i="4" s="1"/>
  <c r="R575" i="4"/>
  <c r="T576" i="4"/>
  <c r="U579" i="4"/>
  <c r="W580" i="4"/>
  <c r="U582" i="4"/>
  <c r="T584" i="4"/>
  <c r="T586" i="4"/>
  <c r="W587" i="4"/>
  <c r="X587" i="4" s="1"/>
  <c r="AC587" i="4" s="1"/>
  <c r="U589" i="4"/>
  <c r="T591" i="4"/>
  <c r="Y593" i="4"/>
  <c r="Z593" i="4" s="1"/>
  <c r="AA593" i="4" s="1"/>
  <c r="V594" i="4"/>
  <c r="S594" i="4" s="1"/>
  <c r="R595" i="4"/>
  <c r="T596" i="4"/>
  <c r="R604" i="4"/>
  <c r="T605" i="4"/>
  <c r="V608" i="4"/>
  <c r="S608" i="4" s="1"/>
  <c r="Y608" i="4" s="1"/>
  <c r="Z608" i="4" s="1"/>
  <c r="AA608" i="4" s="1"/>
  <c r="R609" i="4"/>
  <c r="T610" i="4"/>
  <c r="T612" i="4"/>
  <c r="T614" i="4"/>
  <c r="Q619" i="4"/>
  <c r="R620" i="4"/>
  <c r="V622" i="4"/>
  <c r="S622" i="4" s="1"/>
  <c r="Y625" i="4"/>
  <c r="Z625" i="4" s="1"/>
  <c r="AA625" i="4" s="1"/>
  <c r="Q626" i="4"/>
  <c r="T628" i="4"/>
  <c r="X628" i="4" s="1"/>
  <c r="AC628" i="4" s="1"/>
  <c r="V629" i="4"/>
  <c r="S629" i="4" s="1"/>
  <c r="U633" i="4"/>
  <c r="W633" i="4"/>
  <c r="Y633" i="4"/>
  <c r="Z633" i="4" s="1"/>
  <c r="AA633" i="4" s="1"/>
  <c r="Q635" i="4"/>
  <c r="R637" i="4"/>
  <c r="V639" i="4"/>
  <c r="S639" i="4" s="1"/>
  <c r="Y642" i="4"/>
  <c r="Z642" i="4" s="1"/>
  <c r="AA642" i="4" s="1"/>
  <c r="Q643" i="4"/>
  <c r="T645" i="4"/>
  <c r="V646" i="4"/>
  <c r="U650" i="4"/>
  <c r="Y650" i="4" s="1"/>
  <c r="Z650" i="4" s="1"/>
  <c r="AA650" i="4" s="1"/>
  <c r="W650" i="4"/>
  <c r="W651" i="4"/>
  <c r="T654" i="4"/>
  <c r="T655" i="4"/>
  <c r="W657" i="4"/>
  <c r="Y660" i="4"/>
  <c r="Z660" i="4" s="1"/>
  <c r="AA660" i="4" s="1"/>
  <c r="Q661" i="4"/>
  <c r="R662" i="4"/>
  <c r="W664" i="4"/>
  <c r="N665" i="4"/>
  <c r="W666" i="4"/>
  <c r="Y668" i="4"/>
  <c r="Z668" i="4" s="1"/>
  <c r="AA668" i="4" s="1"/>
  <c r="Y670" i="4"/>
  <c r="Z670" i="4" s="1"/>
  <c r="AA670" i="4" s="1"/>
  <c r="Y671" i="4"/>
  <c r="Z671" i="4" s="1"/>
  <c r="AA671" i="4" s="1"/>
  <c r="T677" i="4"/>
  <c r="S683" i="4"/>
  <c r="Q683" i="4" s="1"/>
  <c r="W684" i="4"/>
  <c r="R686" i="4"/>
  <c r="R688" i="4"/>
  <c r="T689" i="4"/>
  <c r="U690" i="4"/>
  <c r="V691" i="4"/>
  <c r="W697" i="4"/>
  <c r="V700" i="4"/>
  <c r="Q702" i="4"/>
  <c r="S702" i="4"/>
  <c r="N707" i="4"/>
  <c r="S710" i="4"/>
  <c r="Q710" i="4" s="1"/>
  <c r="U711" i="4"/>
  <c r="T711" i="4"/>
  <c r="T717" i="4"/>
  <c r="S744" i="4"/>
  <c r="X744" i="4" s="1"/>
  <c r="AC744" i="4" s="1"/>
  <c r="Q747" i="4"/>
  <c r="S747" i="4"/>
  <c r="W754" i="4"/>
  <c r="U754" i="4"/>
  <c r="T754" i="4"/>
  <c r="N758" i="4"/>
  <c r="R758" i="4"/>
  <c r="V768" i="4"/>
  <c r="R773" i="4"/>
  <c r="N773" i="4"/>
  <c r="S778" i="4"/>
  <c r="N783" i="4"/>
  <c r="R783" i="4"/>
  <c r="N787" i="4"/>
  <c r="R787" i="4"/>
  <c r="V796" i="4"/>
  <c r="R798" i="4"/>
  <c r="N798" i="4"/>
  <c r="V806" i="4"/>
  <c r="W818" i="4"/>
  <c r="U818" i="4"/>
  <c r="X818" i="4" s="1"/>
  <c r="AC818" i="4" s="1"/>
  <c r="T818" i="4"/>
  <c r="U834" i="4"/>
  <c r="T834" i="4"/>
  <c r="X835" i="4"/>
  <c r="AC835" i="4" s="1"/>
  <c r="U839" i="4"/>
  <c r="T839" i="4"/>
  <c r="Y844" i="4"/>
  <c r="X846" i="4"/>
  <c r="AC846" i="4" s="1"/>
  <c r="X857" i="4"/>
  <c r="S880" i="4"/>
  <c r="X880" i="4" s="1"/>
  <c r="S882" i="4"/>
  <c r="X882" i="4"/>
  <c r="AC882" i="4" s="1"/>
  <c r="S889" i="4"/>
  <c r="X889" i="4" s="1"/>
  <c r="S897" i="4"/>
  <c r="X897" i="4" s="1"/>
  <c r="X902" i="4"/>
  <c r="Y911" i="4"/>
  <c r="X915" i="4"/>
  <c r="Y950" i="4"/>
  <c r="S956" i="4"/>
  <c r="X956" i="4" s="1"/>
  <c r="W388" i="4"/>
  <c r="V390" i="4"/>
  <c r="S390" i="4" s="1"/>
  <c r="W408" i="4"/>
  <c r="W415" i="4"/>
  <c r="W417" i="4"/>
  <c r="V419" i="4"/>
  <c r="S419" i="4" s="1"/>
  <c r="V422" i="4"/>
  <c r="S422" i="4" s="1"/>
  <c r="W427" i="4"/>
  <c r="V429" i="4"/>
  <c r="S429" i="4" s="1"/>
  <c r="V432" i="4"/>
  <c r="S432" i="4" s="1"/>
  <c r="X432" i="4" s="1"/>
  <c r="AC432" i="4" s="1"/>
  <c r="T434" i="4"/>
  <c r="Y434" i="4" s="1"/>
  <c r="Z434" i="4" s="1"/>
  <c r="AA434" i="4" s="1"/>
  <c r="V435" i="4"/>
  <c r="S435" i="4" s="1"/>
  <c r="W440" i="4"/>
  <c r="Y440" i="4" s="1"/>
  <c r="Z440" i="4" s="1"/>
  <c r="AA440" i="4" s="1"/>
  <c r="V442" i="4"/>
  <c r="S442" i="4" s="1"/>
  <c r="T444" i="4"/>
  <c r="V445" i="4"/>
  <c r="S445" i="4" s="1"/>
  <c r="X445" i="4" s="1"/>
  <c r="AC445" i="4" s="1"/>
  <c r="T449" i="4"/>
  <c r="X449" i="4" s="1"/>
  <c r="AC449" i="4" s="1"/>
  <c r="V450" i="4"/>
  <c r="S450" i="4" s="1"/>
  <c r="X450" i="4" s="1"/>
  <c r="AC450" i="4" s="1"/>
  <c r="T454" i="4"/>
  <c r="V455" i="4"/>
  <c r="S455" i="4" s="1"/>
  <c r="T457" i="4"/>
  <c r="W458" i="4"/>
  <c r="V460" i="4"/>
  <c r="S460" i="4" s="1"/>
  <c r="T462" i="4"/>
  <c r="Y462" i="4" s="1"/>
  <c r="Z462" i="4" s="1"/>
  <c r="AA462" i="4" s="1"/>
  <c r="V463" i="4"/>
  <c r="S463" i="4" s="1"/>
  <c r="X463" i="4" s="1"/>
  <c r="AC463" i="4" s="1"/>
  <c r="T465" i="4"/>
  <c r="Q465" i="4" s="1"/>
  <c r="U468" i="4"/>
  <c r="T470" i="4"/>
  <c r="W473" i="4"/>
  <c r="W475" i="4"/>
  <c r="U477" i="4"/>
  <c r="U480" i="4"/>
  <c r="V483" i="4"/>
  <c r="S483" i="4" s="1"/>
  <c r="T485" i="4"/>
  <c r="Q485" i="4" s="1"/>
  <c r="V486" i="4"/>
  <c r="S486" i="4" s="1"/>
  <c r="X486" i="4" s="1"/>
  <c r="AC486" i="4" s="1"/>
  <c r="T488" i="4"/>
  <c r="X488" i="4" s="1"/>
  <c r="AC488" i="4" s="1"/>
  <c r="W489" i="4"/>
  <c r="V491" i="4"/>
  <c r="S491" i="4" s="1"/>
  <c r="V493" i="4"/>
  <c r="V495" i="4"/>
  <c r="S495" i="4" s="1"/>
  <c r="T497" i="4"/>
  <c r="X497" i="4" s="1"/>
  <c r="AC497" i="4" s="1"/>
  <c r="W498" i="4"/>
  <c r="Y498" i="4" s="1"/>
  <c r="Z498" i="4" s="1"/>
  <c r="AA498" i="4" s="1"/>
  <c r="U500" i="4"/>
  <c r="T502" i="4"/>
  <c r="X502" i="4" s="1"/>
  <c r="AC502" i="4" s="1"/>
  <c r="W503" i="4"/>
  <c r="V505" i="4"/>
  <c r="S505" i="4" s="1"/>
  <c r="U507" i="4"/>
  <c r="T509" i="4"/>
  <c r="Y509" i="4" s="1"/>
  <c r="Z509" i="4" s="1"/>
  <c r="AA509" i="4" s="1"/>
  <c r="V512" i="4"/>
  <c r="S512" i="4" s="1"/>
  <c r="T514" i="4"/>
  <c r="V515" i="4"/>
  <c r="S515" i="4" s="1"/>
  <c r="T517" i="4"/>
  <c r="W518" i="4"/>
  <c r="W520" i="4"/>
  <c r="W522" i="4"/>
  <c r="V524" i="4"/>
  <c r="S524" i="4" s="1"/>
  <c r="T526" i="4"/>
  <c r="Y526" i="4" s="1"/>
  <c r="Z526" i="4" s="1"/>
  <c r="AA526" i="4" s="1"/>
  <c r="W529" i="4"/>
  <c r="W531" i="4"/>
  <c r="Y531" i="4" s="1"/>
  <c r="Z531" i="4" s="1"/>
  <c r="AA531" i="4" s="1"/>
  <c r="W533" i="4"/>
  <c r="W535" i="4"/>
  <c r="V537" i="4"/>
  <c r="S537" i="4" s="1"/>
  <c r="T539" i="4"/>
  <c r="Q539" i="4" s="1"/>
  <c r="U542" i="4"/>
  <c r="V545" i="4"/>
  <c r="U547" i="4"/>
  <c r="V550" i="4"/>
  <c r="S550" i="4" s="1"/>
  <c r="T552" i="4"/>
  <c r="Q552" i="4" s="1"/>
  <c r="V553" i="4"/>
  <c r="S553" i="4" s="1"/>
  <c r="T555" i="4"/>
  <c r="T557" i="4"/>
  <c r="X557" i="4" s="1"/>
  <c r="AC557" i="4" s="1"/>
  <c r="V558" i="4"/>
  <c r="S558" i="4" s="1"/>
  <c r="X558" i="4" s="1"/>
  <c r="AC558" i="4" s="1"/>
  <c r="T560" i="4"/>
  <c r="X560" i="4" s="1"/>
  <c r="AC560" i="4" s="1"/>
  <c r="U563" i="4"/>
  <c r="T565" i="4"/>
  <c r="Q565" i="4" s="1"/>
  <c r="V566" i="4"/>
  <c r="S566" i="4" s="1"/>
  <c r="T568" i="4"/>
  <c r="Y568" i="4" s="1"/>
  <c r="Z568" i="4" s="1"/>
  <c r="AA568" i="4" s="1"/>
  <c r="V569" i="4"/>
  <c r="S569" i="4" s="1"/>
  <c r="X569" i="4" s="1"/>
  <c r="AC569" i="4" s="1"/>
  <c r="T571" i="4"/>
  <c r="X571" i="4" s="1"/>
  <c r="AC571" i="4" s="1"/>
  <c r="T573" i="4"/>
  <c r="U576" i="4"/>
  <c r="T578" i="4"/>
  <c r="Y578" i="4" s="1"/>
  <c r="Z578" i="4" s="1"/>
  <c r="AA578" i="4" s="1"/>
  <c r="V579" i="4"/>
  <c r="S579" i="4" s="1"/>
  <c r="X579" i="4" s="1"/>
  <c r="AC579" i="4" s="1"/>
  <c r="T581" i="4"/>
  <c r="V582" i="4"/>
  <c r="S582" i="4" s="1"/>
  <c r="V584" i="4"/>
  <c r="S584" i="4" s="1"/>
  <c r="V586" i="4"/>
  <c r="S586" i="4" s="1"/>
  <c r="T588" i="4"/>
  <c r="V589" i="4"/>
  <c r="S589" i="4" s="1"/>
  <c r="X589" i="4" s="1"/>
  <c r="AC589" i="4" s="1"/>
  <c r="U591" i="4"/>
  <c r="T593" i="4"/>
  <c r="X593" i="4" s="1"/>
  <c r="AC593" i="4" s="1"/>
  <c r="W594" i="4"/>
  <c r="U596" i="4"/>
  <c r="T598" i="4"/>
  <c r="T600" i="4"/>
  <c r="X600" i="4" s="1"/>
  <c r="AC600" i="4" s="1"/>
  <c r="T602" i="4"/>
  <c r="Q602" i="4" s="1"/>
  <c r="U605" i="4"/>
  <c r="T607" i="4"/>
  <c r="Q607" i="4" s="1"/>
  <c r="W608" i="4"/>
  <c r="V610" i="4"/>
  <c r="S610" i="4" s="1"/>
  <c r="V612" i="4"/>
  <c r="U614" i="4"/>
  <c r="R615" i="4"/>
  <c r="T616" i="4"/>
  <c r="U617" i="4"/>
  <c r="Y617" i="4" s="1"/>
  <c r="Z617" i="4" s="1"/>
  <c r="AA617" i="4" s="1"/>
  <c r="T620" i="4"/>
  <c r="U623" i="4"/>
  <c r="W623" i="4"/>
  <c r="W624" i="4"/>
  <c r="Q625" i="4"/>
  <c r="W628" i="4"/>
  <c r="W629" i="4"/>
  <c r="Y629" i="4" s="1"/>
  <c r="Z629" i="4" s="1"/>
  <c r="AA629" i="4" s="1"/>
  <c r="U632" i="4"/>
  <c r="Q633" i="4"/>
  <c r="R634" i="4"/>
  <c r="T637" i="4"/>
  <c r="U640" i="4"/>
  <c r="W640" i="4"/>
  <c r="W641" i="4"/>
  <c r="Q642" i="4"/>
  <c r="W646" i="4"/>
  <c r="X646" i="4" s="1"/>
  <c r="AC646" i="4" s="1"/>
  <c r="U649" i="4"/>
  <c r="Q650" i="4"/>
  <c r="R651" i="4"/>
  <c r="R652" i="4"/>
  <c r="T653" i="4"/>
  <c r="U654" i="4"/>
  <c r="Y657" i="4"/>
  <c r="Z657" i="4" s="1"/>
  <c r="AA657" i="4" s="1"/>
  <c r="W659" i="4"/>
  <c r="Q660" i="4"/>
  <c r="T662" i="4"/>
  <c r="Q670" i="4"/>
  <c r="Q671" i="4"/>
  <c r="R673" i="4"/>
  <c r="V677" i="4"/>
  <c r="S677" i="4" s="1"/>
  <c r="U680" i="4"/>
  <c r="Q680" i="4" s="1"/>
  <c r="V683" i="4"/>
  <c r="T685" i="4"/>
  <c r="X685" i="4" s="1"/>
  <c r="AC685" i="4" s="1"/>
  <c r="T688" i="4"/>
  <c r="U692" i="4"/>
  <c r="W692" i="4"/>
  <c r="R695" i="4"/>
  <c r="V705" i="4"/>
  <c r="S705" i="4" s="1"/>
  <c r="Q711" i="4"/>
  <c r="S713" i="4"/>
  <c r="Q713" i="4" s="1"/>
  <c r="Y713" i="4"/>
  <c r="Z713" i="4" s="1"/>
  <c r="AA713" i="4" s="1"/>
  <c r="V717" i="4"/>
  <c r="X722" i="4"/>
  <c r="AC722" i="4" s="1"/>
  <c r="S722" i="4"/>
  <c r="Y722" i="4" s="1"/>
  <c r="Z722" i="4" s="1"/>
  <c r="AA722" i="4" s="1"/>
  <c r="W725" i="4"/>
  <c r="U725" i="4"/>
  <c r="T725" i="4"/>
  <c r="Y725" i="4" s="1"/>
  <c r="Z725" i="4" s="1"/>
  <c r="AA725" i="4" s="1"/>
  <c r="V735" i="4"/>
  <c r="T735" i="4"/>
  <c r="U742" i="4"/>
  <c r="T742" i="4"/>
  <c r="W742" i="4"/>
  <c r="R752" i="4"/>
  <c r="N752" i="4"/>
  <c r="S754" i="4"/>
  <c r="Y754" i="4" s="1"/>
  <c r="Z754" i="4" s="1"/>
  <c r="AA754" i="4" s="1"/>
  <c r="R766" i="4"/>
  <c r="N766" i="4"/>
  <c r="S769" i="4"/>
  <c r="X769" i="4" s="1"/>
  <c r="AC769" i="4" s="1"/>
  <c r="N774" i="4"/>
  <c r="R774" i="4"/>
  <c r="R793" i="4"/>
  <c r="N793" i="4"/>
  <c r="S807" i="4"/>
  <c r="Y810" i="4"/>
  <c r="Z810" i="4" s="1"/>
  <c r="AA810" i="4" s="1"/>
  <c r="V810" i="4"/>
  <c r="S810" i="4" s="1"/>
  <c r="T810" i="4"/>
  <c r="U811" i="4"/>
  <c r="T811" i="4"/>
  <c r="W811" i="4"/>
  <c r="R816" i="4"/>
  <c r="N816" i="4"/>
  <c r="S818" i="4"/>
  <c r="Y818" i="4" s="1"/>
  <c r="Z818" i="4" s="1"/>
  <c r="AA818" i="4" s="1"/>
  <c r="S821" i="4"/>
  <c r="U826" i="4"/>
  <c r="T826" i="4"/>
  <c r="W826" i="4"/>
  <c r="Y834" i="4"/>
  <c r="AA834" i="4" s="1"/>
  <c r="U837" i="4"/>
  <c r="T837" i="4"/>
  <c r="X838" i="4"/>
  <c r="AC838" i="4" s="1"/>
  <c r="U848" i="4"/>
  <c r="T848" i="4"/>
  <c r="X848" i="4" s="1"/>
  <c r="X855" i="4"/>
  <c r="AC855" i="4" s="1"/>
  <c r="S881" i="4"/>
  <c r="X881" i="4" s="1"/>
  <c r="S883" i="4"/>
  <c r="X883" i="4" s="1"/>
  <c r="Y888" i="4"/>
  <c r="Y894" i="4"/>
  <c r="AA894" i="4" s="1"/>
  <c r="Y914" i="4"/>
  <c r="AA914" i="4" s="1"/>
  <c r="Y920" i="4"/>
  <c r="Y929" i="4"/>
  <c r="AA928" i="4" s="1"/>
  <c r="AC929" i="4"/>
  <c r="T467" i="4"/>
  <c r="V468" i="4"/>
  <c r="S468" i="4" s="1"/>
  <c r="R469" i="4"/>
  <c r="R471" i="4"/>
  <c r="T472" i="4"/>
  <c r="T474" i="4"/>
  <c r="T476" i="4"/>
  <c r="V477" i="4"/>
  <c r="S477" i="4" s="1"/>
  <c r="R478" i="4"/>
  <c r="T479" i="4"/>
  <c r="V480" i="4"/>
  <c r="S480" i="4" s="1"/>
  <c r="R481" i="4"/>
  <c r="T482" i="4"/>
  <c r="T490" i="4"/>
  <c r="T499" i="4"/>
  <c r="V500" i="4"/>
  <c r="S500" i="4" s="1"/>
  <c r="R501" i="4"/>
  <c r="T504" i="4"/>
  <c r="V507" i="4"/>
  <c r="R508" i="4"/>
  <c r="R510" i="4"/>
  <c r="T511" i="4"/>
  <c r="T519" i="4"/>
  <c r="T521" i="4"/>
  <c r="T523" i="4"/>
  <c r="R527" i="4"/>
  <c r="T528" i="4"/>
  <c r="T530" i="4"/>
  <c r="T532" i="4"/>
  <c r="T534" i="4"/>
  <c r="T536" i="4"/>
  <c r="R540" i="4"/>
  <c r="T541" i="4"/>
  <c r="V542" i="4"/>
  <c r="S542" i="4" s="1"/>
  <c r="R543" i="4"/>
  <c r="T544" i="4"/>
  <c r="V547" i="4"/>
  <c r="S547" i="4" s="1"/>
  <c r="R548" i="4"/>
  <c r="T549" i="4"/>
  <c r="R556" i="4"/>
  <c r="R561" i="4"/>
  <c r="T562" i="4"/>
  <c r="V563" i="4"/>
  <c r="S563" i="4" s="1"/>
  <c r="R564" i="4"/>
  <c r="R572" i="4"/>
  <c r="R574" i="4"/>
  <c r="T575" i="4"/>
  <c r="V576" i="4"/>
  <c r="S576" i="4" s="1"/>
  <c r="R577" i="4"/>
  <c r="V591" i="4"/>
  <c r="S591" i="4" s="1"/>
  <c r="R592" i="4"/>
  <c r="T595" i="4"/>
  <c r="V596" i="4"/>
  <c r="S596" i="4" s="1"/>
  <c r="R597" i="4"/>
  <c r="R599" i="4"/>
  <c r="R601" i="4"/>
  <c r="R603" i="4"/>
  <c r="T604" i="4"/>
  <c r="V605" i="4"/>
  <c r="S605" i="4" s="1"/>
  <c r="R606" i="4"/>
  <c r="U607" i="4"/>
  <c r="Q608" i="4"/>
  <c r="X608" i="4"/>
  <c r="AC608" i="4" s="1"/>
  <c r="T609" i="4"/>
  <c r="V614" i="4"/>
  <c r="S614" i="4" s="1"/>
  <c r="W616" i="4"/>
  <c r="W620" i="4"/>
  <c r="W631" i="4"/>
  <c r="W637" i="4"/>
  <c r="W648" i="4"/>
  <c r="U656" i="4"/>
  <c r="W656" i="4"/>
  <c r="W662" i="4"/>
  <c r="X668" i="4"/>
  <c r="AC668" i="4" s="1"/>
  <c r="Q668" i="4"/>
  <c r="S668" i="4"/>
  <c r="W677" i="4"/>
  <c r="X682" i="4"/>
  <c r="AC682" i="4" s="1"/>
  <c r="V688" i="4"/>
  <c r="Y691" i="4"/>
  <c r="Z691" i="4" s="1"/>
  <c r="AA691" i="4" s="1"/>
  <c r="U691" i="4"/>
  <c r="X693" i="4"/>
  <c r="AC693" i="4" s="1"/>
  <c r="S693" i="4"/>
  <c r="Q693" i="4" s="1"/>
  <c r="W705" i="4"/>
  <c r="S715" i="4"/>
  <c r="Y715" i="4" s="1"/>
  <c r="Z715" i="4" s="1"/>
  <c r="AA715" i="4" s="1"/>
  <c r="X715" i="4"/>
  <c r="AC715" i="4" s="1"/>
  <c r="W728" i="4"/>
  <c r="U728" i="4"/>
  <c r="T728" i="4"/>
  <c r="Y728" i="4" s="1"/>
  <c r="Z728" i="4" s="1"/>
  <c r="AA728" i="4" s="1"/>
  <c r="V736" i="4"/>
  <c r="S736" i="4" s="1"/>
  <c r="X736" i="4" s="1"/>
  <c r="AC736" i="4" s="1"/>
  <c r="T736" i="4"/>
  <c r="Y736" i="4" s="1"/>
  <c r="Z736" i="4" s="1"/>
  <c r="AA736" i="4" s="1"/>
  <c r="V737" i="4"/>
  <c r="T737" i="4"/>
  <c r="S745" i="4"/>
  <c r="X745" i="4" s="1"/>
  <c r="AC745" i="4" s="1"/>
  <c r="N749" i="4"/>
  <c r="R749" i="4"/>
  <c r="N753" i="4"/>
  <c r="R753" i="4"/>
  <c r="N763" i="4"/>
  <c r="R763" i="4"/>
  <c r="S776" i="4"/>
  <c r="X776" i="4"/>
  <c r="AC776" i="4" s="1"/>
  <c r="X779" i="4"/>
  <c r="AC779" i="4" s="1"/>
  <c r="S779" i="4"/>
  <c r="R784" i="4"/>
  <c r="N784" i="4"/>
  <c r="U799" i="4"/>
  <c r="T799" i="4"/>
  <c r="W799" i="4"/>
  <c r="N817" i="4"/>
  <c r="R817" i="4"/>
  <c r="R823" i="4"/>
  <c r="N823" i="4"/>
  <c r="S845" i="4"/>
  <c r="U854" i="4"/>
  <c r="T854" i="4"/>
  <c r="X854" i="4" s="1"/>
  <c r="U857" i="4"/>
  <c r="T857" i="4"/>
  <c r="U860" i="4"/>
  <c r="T860" i="4"/>
  <c r="X860" i="4" s="1"/>
  <c r="U863" i="4"/>
  <c r="T863" i="4"/>
  <c r="X863" i="4" s="1"/>
  <c r="U866" i="4"/>
  <c r="T866" i="4"/>
  <c r="X866" i="4" s="1"/>
  <c r="S870" i="4"/>
  <c r="X870" i="4" s="1"/>
  <c r="S873" i="4"/>
  <c r="S876" i="4"/>
  <c r="X876" i="4" s="1"/>
  <c r="S879" i="4"/>
  <c r="X879" i="4" s="1"/>
  <c r="U880" i="4"/>
  <c r="T880" i="4"/>
  <c r="X898" i="4"/>
  <c r="AC898" i="4" s="1"/>
  <c r="S903" i="4"/>
  <c r="X903" i="4"/>
  <c r="X916" i="4"/>
  <c r="AC916" i="4" s="1"/>
  <c r="S934" i="4"/>
  <c r="X934" i="4" s="1"/>
  <c r="S946" i="4"/>
  <c r="W465" i="4"/>
  <c r="Y465" i="4" s="1"/>
  <c r="Z465" i="4" s="1"/>
  <c r="AA465" i="4" s="1"/>
  <c r="U467" i="4"/>
  <c r="W468" i="4"/>
  <c r="W470" i="4"/>
  <c r="V472" i="4"/>
  <c r="V474" i="4"/>
  <c r="U476" i="4"/>
  <c r="W477" i="4"/>
  <c r="U479" i="4"/>
  <c r="W480" i="4"/>
  <c r="V482" i="4"/>
  <c r="U490" i="4"/>
  <c r="Q493" i="4"/>
  <c r="X493" i="4"/>
  <c r="AC493" i="4" s="1"/>
  <c r="U499" i="4"/>
  <c r="W500" i="4"/>
  <c r="V504" i="4"/>
  <c r="Q507" i="4"/>
  <c r="W507" i="4"/>
  <c r="W509" i="4"/>
  <c r="U511" i="4"/>
  <c r="V519" i="4"/>
  <c r="V521" i="4"/>
  <c r="V523" i="4"/>
  <c r="W526" i="4"/>
  <c r="V528" i="4"/>
  <c r="V530" i="4"/>
  <c r="V532" i="4"/>
  <c r="V534" i="4"/>
  <c r="U536" i="4"/>
  <c r="W539" i="4"/>
  <c r="U541" i="4"/>
  <c r="W542" i="4"/>
  <c r="U544" i="4"/>
  <c r="Q545" i="4"/>
  <c r="X545" i="4"/>
  <c r="AC545" i="4" s="1"/>
  <c r="W547" i="4"/>
  <c r="U549" i="4"/>
  <c r="W555" i="4"/>
  <c r="W560" i="4"/>
  <c r="U562" i="4"/>
  <c r="W563" i="4"/>
  <c r="W571" i="4"/>
  <c r="W573" i="4"/>
  <c r="X573" i="4" s="1"/>
  <c r="AC573" i="4" s="1"/>
  <c r="U575" i="4"/>
  <c r="W576" i="4"/>
  <c r="W591" i="4"/>
  <c r="U595" i="4"/>
  <c r="W596" i="4"/>
  <c r="W598" i="4"/>
  <c r="W600" i="4"/>
  <c r="W602" i="4"/>
  <c r="X602" i="4" s="1"/>
  <c r="AC602" i="4" s="1"/>
  <c r="U604" i="4"/>
  <c r="W605" i="4"/>
  <c r="U609" i="4"/>
  <c r="W614" i="4"/>
  <c r="W617" i="4"/>
  <c r="T622" i="4"/>
  <c r="S623" i="4"/>
  <c r="Y623" i="4" s="1"/>
  <c r="Z623" i="4" s="1"/>
  <c r="AA623" i="4" s="1"/>
  <c r="X626" i="4"/>
  <c r="AC626" i="4" s="1"/>
  <c r="Q631" i="4"/>
  <c r="S631" i="4"/>
  <c r="X631" i="4" s="1"/>
  <c r="AC631" i="4" s="1"/>
  <c r="T639" i="4"/>
  <c r="X643" i="4"/>
  <c r="AC643" i="4" s="1"/>
  <c r="U645" i="4"/>
  <c r="W645" i="4"/>
  <c r="Q647" i="4"/>
  <c r="S648" i="4"/>
  <c r="Q648" i="4" s="1"/>
  <c r="N654" i="4"/>
  <c r="U655" i="4"/>
  <c r="X657" i="4"/>
  <c r="AC657" i="4" s="1"/>
  <c r="Q657" i="4"/>
  <c r="S657" i="4"/>
  <c r="Q664" i="4"/>
  <c r="S672" i="4"/>
  <c r="X672" i="4" s="1"/>
  <c r="AC672" i="4" s="1"/>
  <c r="N677" i="4"/>
  <c r="W680" i="4"/>
  <c r="N682" i="4"/>
  <c r="U689" i="4"/>
  <c r="W689" i="4"/>
  <c r="W690" i="4"/>
  <c r="S692" i="4"/>
  <c r="X692" i="4" s="1"/>
  <c r="AC692" i="4" s="1"/>
  <c r="S694" i="4"/>
  <c r="X694" i="4" s="1"/>
  <c r="AC694" i="4" s="1"/>
  <c r="Y699" i="4"/>
  <c r="Z699" i="4" s="1"/>
  <c r="AA699" i="4" s="1"/>
  <c r="S699" i="4"/>
  <c r="X699" i="4" s="1"/>
  <c r="AC699" i="4" s="1"/>
  <c r="U700" i="4"/>
  <c r="T700" i="4"/>
  <c r="S701" i="4"/>
  <c r="X701" i="4" s="1"/>
  <c r="AC701" i="4" s="1"/>
  <c r="Q706" i="4"/>
  <c r="N715" i="4"/>
  <c r="N717" i="4"/>
  <c r="R717" i="4"/>
  <c r="S718" i="4"/>
  <c r="Y718" i="4" s="1"/>
  <c r="Z718" i="4" s="1"/>
  <c r="AA718" i="4" s="1"/>
  <c r="S720" i="4"/>
  <c r="N724" i="4"/>
  <c r="R724" i="4"/>
  <c r="V731" i="4"/>
  <c r="S731" i="4" s="1"/>
  <c r="X731" i="4" s="1"/>
  <c r="AC731" i="4" s="1"/>
  <c r="T731" i="4"/>
  <c r="U732" i="4"/>
  <c r="T732" i="4"/>
  <c r="W732" i="4"/>
  <c r="V738" i="4"/>
  <c r="S738" i="4" s="1"/>
  <c r="Q738" i="4" s="1"/>
  <c r="T738" i="4"/>
  <c r="U739" i="4"/>
  <c r="T739" i="4"/>
  <c r="W739" i="4"/>
  <c r="S755" i="4"/>
  <c r="X755" i="4" s="1"/>
  <c r="AC755" i="4" s="1"/>
  <c r="N756" i="4"/>
  <c r="R756" i="4"/>
  <c r="X761" i="4"/>
  <c r="AC761" i="4" s="1"/>
  <c r="V767" i="4"/>
  <c r="T767" i="4"/>
  <c r="Q770" i="4"/>
  <c r="S770" i="4"/>
  <c r="X775" i="4"/>
  <c r="AC775" i="4" s="1"/>
  <c r="N785" i="4"/>
  <c r="R785" i="4"/>
  <c r="V794" i="4"/>
  <c r="T794" i="4"/>
  <c r="V803" i="4"/>
  <c r="S803" i="4" s="1"/>
  <c r="X803" i="4" s="1"/>
  <c r="AC803" i="4" s="1"/>
  <c r="T803" i="4"/>
  <c r="V804" i="4"/>
  <c r="T804" i="4"/>
  <c r="N809" i="4"/>
  <c r="R809" i="4"/>
  <c r="R813" i="4"/>
  <c r="N813" i="4"/>
  <c r="S819" i="4"/>
  <c r="X819" i="4" s="1"/>
  <c r="AC819" i="4" s="1"/>
  <c r="N824" i="4"/>
  <c r="R824" i="4"/>
  <c r="R830" i="4"/>
  <c r="N830" i="4"/>
  <c r="Y835" i="4"/>
  <c r="AA835" i="4" s="1"/>
  <c r="S840" i="4"/>
  <c r="X840" i="4"/>
  <c r="U843" i="4"/>
  <c r="T843" i="4"/>
  <c r="Y846" i="4"/>
  <c r="AA846" i="4" s="1"/>
  <c r="U852" i="4"/>
  <c r="T852" i="4"/>
  <c r="X853" i="4"/>
  <c r="AC853" i="4" s="1"/>
  <c r="U871" i="4"/>
  <c r="X871" i="4" s="1"/>
  <c r="T871" i="4"/>
  <c r="U874" i="4"/>
  <c r="T874" i="4"/>
  <c r="U877" i="4"/>
  <c r="X877" i="4" s="1"/>
  <c r="T877" i="4"/>
  <c r="Y882" i="4"/>
  <c r="Y900" i="4"/>
  <c r="AA900" i="4" s="1"/>
  <c r="S906" i="4"/>
  <c r="X906" i="4" s="1"/>
  <c r="Y907" i="4"/>
  <c r="AA907" i="4" s="1"/>
  <c r="AC907" i="4"/>
  <c r="Y978" i="4"/>
  <c r="V467" i="4"/>
  <c r="V476" i="4"/>
  <c r="V479" i="4"/>
  <c r="V490" i="4"/>
  <c r="Y493" i="4"/>
  <c r="Z493" i="4" s="1"/>
  <c r="AA493" i="4" s="1"/>
  <c r="V499" i="4"/>
  <c r="V511" i="4"/>
  <c r="V536" i="4"/>
  <c r="V541" i="4"/>
  <c r="V544" i="4"/>
  <c r="Y545" i="4"/>
  <c r="Z545" i="4" s="1"/>
  <c r="AA545" i="4" s="1"/>
  <c r="V549" i="4"/>
  <c r="V562" i="4"/>
  <c r="V575" i="4"/>
  <c r="V595" i="4"/>
  <c r="V604" i="4"/>
  <c r="V609" i="4"/>
  <c r="Q628" i="4"/>
  <c r="Q646" i="4"/>
  <c r="S646" i="4"/>
  <c r="Y646" i="4" s="1"/>
  <c r="Z646" i="4" s="1"/>
  <c r="AA646" i="4" s="1"/>
  <c r="U653" i="4"/>
  <c r="W653" i="4"/>
  <c r="W654" i="4"/>
  <c r="Q654" i="4" s="1"/>
  <c r="Y654" i="4"/>
  <c r="Z654" i="4" s="1"/>
  <c r="AA654" i="4" s="1"/>
  <c r="X670" i="4"/>
  <c r="AC670" i="4" s="1"/>
  <c r="X671" i="4"/>
  <c r="AC671" i="4" s="1"/>
  <c r="T683" i="4"/>
  <c r="X683" i="4" s="1"/>
  <c r="AC683" i="4" s="1"/>
  <c r="U688" i="4"/>
  <c r="Q689" i="4"/>
  <c r="S690" i="4"/>
  <c r="X690" i="4" s="1"/>
  <c r="AC690" i="4" s="1"/>
  <c r="S691" i="4"/>
  <c r="Q691" i="4" s="1"/>
  <c r="X697" i="4"/>
  <c r="AC697" i="4" s="1"/>
  <c r="S697" i="4"/>
  <c r="Y697" i="4" s="1"/>
  <c r="Z697" i="4" s="1"/>
  <c r="AA697" i="4" s="1"/>
  <c r="S704" i="4"/>
  <c r="Q704" i="4" s="1"/>
  <c r="X704" i="4"/>
  <c r="AC704" i="4" s="1"/>
  <c r="U705" i="4"/>
  <c r="T705" i="4"/>
  <c r="X711" i="4"/>
  <c r="AC711" i="4" s="1"/>
  <c r="U717" i="4"/>
  <c r="W717" i="4"/>
  <c r="S726" i="4"/>
  <c r="Y726" i="4" s="1"/>
  <c r="Z726" i="4" s="1"/>
  <c r="AA726" i="4" s="1"/>
  <c r="N727" i="4"/>
  <c r="R727" i="4"/>
  <c r="W736" i="4"/>
  <c r="W737" i="4"/>
  <c r="X743" i="4"/>
  <c r="AC743" i="4" s="1"/>
  <c r="S743" i="4"/>
  <c r="Y743" i="4" s="1"/>
  <c r="Z743" i="4" s="1"/>
  <c r="AA743" i="4" s="1"/>
  <c r="S746" i="4"/>
  <c r="X746" i="4" s="1"/>
  <c r="AC746" i="4" s="1"/>
  <c r="R750" i="4"/>
  <c r="N750" i="4"/>
  <c r="Q754" i="4"/>
  <c r="V759" i="4"/>
  <c r="T759" i="4"/>
  <c r="V760" i="4"/>
  <c r="T760" i="4"/>
  <c r="R764" i="4"/>
  <c r="N764" i="4"/>
  <c r="W768" i="4"/>
  <c r="U768" i="4"/>
  <c r="T768" i="4"/>
  <c r="X777" i="4"/>
  <c r="AC777" i="4" s="1"/>
  <c r="S777" i="4"/>
  <c r="Q777" i="4" s="1"/>
  <c r="S780" i="4"/>
  <c r="Y780" i="4" s="1"/>
  <c r="Z780" i="4" s="1"/>
  <c r="AA780" i="4" s="1"/>
  <c r="Q780" i="4"/>
  <c r="V788" i="4"/>
  <c r="S788" i="4" s="1"/>
  <c r="T788" i="4"/>
  <c r="V789" i="4"/>
  <c r="T789" i="4"/>
  <c r="V795" i="4"/>
  <c r="T795" i="4"/>
  <c r="U796" i="4"/>
  <c r="T796" i="4"/>
  <c r="W796" i="4"/>
  <c r="R801" i="4"/>
  <c r="N801" i="4"/>
  <c r="V805" i="4"/>
  <c r="T805" i="4"/>
  <c r="U806" i="4"/>
  <c r="T806" i="4"/>
  <c r="W806" i="4"/>
  <c r="Q818" i="4"/>
  <c r="S827" i="4"/>
  <c r="Q827" i="4" s="1"/>
  <c r="X834" i="4"/>
  <c r="AC834" i="4" s="1"/>
  <c r="X839" i="4"/>
  <c r="U841" i="4"/>
  <c r="T841" i="4"/>
  <c r="X841" i="4" s="1"/>
  <c r="X842" i="4"/>
  <c r="AC842" i="4" s="1"/>
  <c r="S849" i="4"/>
  <c r="X849" i="4" s="1"/>
  <c r="Y895" i="4"/>
  <c r="Y896" i="4"/>
  <c r="AC896" i="4"/>
  <c r="S917" i="4"/>
  <c r="X917" i="4"/>
  <c r="AC918" i="4"/>
  <c r="Y918" i="4"/>
  <c r="AA918" i="4" s="1"/>
  <c r="S980" i="4"/>
  <c r="X980" i="4" s="1"/>
  <c r="U615" i="4"/>
  <c r="R616" i="4"/>
  <c r="S621" i="4"/>
  <c r="X621" i="4" s="1"/>
  <c r="AC621" i="4" s="1"/>
  <c r="V623" i="4"/>
  <c r="V624" i="4"/>
  <c r="S624" i="4" s="1"/>
  <c r="X625" i="4"/>
  <c r="AC625" i="4" s="1"/>
  <c r="Y626" i="4"/>
  <c r="Z626" i="4" s="1"/>
  <c r="AA626" i="4" s="1"/>
  <c r="T627" i="4"/>
  <c r="Y627" i="4" s="1"/>
  <c r="Z627" i="4" s="1"/>
  <c r="AA627" i="4" s="1"/>
  <c r="S628" i="4"/>
  <c r="Y628" i="4" s="1"/>
  <c r="Z628" i="4" s="1"/>
  <c r="AA628" i="4" s="1"/>
  <c r="U629" i="4"/>
  <c r="U631" i="4"/>
  <c r="Y631" i="4" s="1"/>
  <c r="Z631" i="4" s="1"/>
  <c r="AA631" i="4" s="1"/>
  <c r="V632" i="4"/>
  <c r="S632" i="4" s="1"/>
  <c r="X633" i="4"/>
  <c r="AC633" i="4" s="1"/>
  <c r="W636" i="4"/>
  <c r="Q636" i="4" s="1"/>
  <c r="S638" i="4"/>
  <c r="V640" i="4"/>
  <c r="S640" i="4" s="1"/>
  <c r="V641" i="4"/>
  <c r="S641" i="4" s="1"/>
  <c r="X642" i="4"/>
  <c r="AC642" i="4" s="1"/>
  <c r="Y643" i="4"/>
  <c r="Z643" i="4" s="1"/>
  <c r="AA643" i="4" s="1"/>
  <c r="Y644" i="4"/>
  <c r="Z644" i="4" s="1"/>
  <c r="AA644" i="4" s="1"/>
  <c r="T644" i="4"/>
  <c r="X644" i="4" s="1"/>
  <c r="AC644" i="4" s="1"/>
  <c r="S645" i="4"/>
  <c r="X645" i="4" s="1"/>
  <c r="AC645" i="4" s="1"/>
  <c r="U648" i="4"/>
  <c r="Y648" i="4" s="1"/>
  <c r="Z648" i="4" s="1"/>
  <c r="AA648" i="4" s="1"/>
  <c r="V649" i="4"/>
  <c r="S649" i="4" s="1"/>
  <c r="X650" i="4"/>
  <c r="AC650" i="4" s="1"/>
  <c r="U652" i="4"/>
  <c r="R653" i="4"/>
  <c r="R655" i="4"/>
  <c r="T656" i="4"/>
  <c r="X656" i="4" s="1"/>
  <c r="AC656" i="4" s="1"/>
  <c r="V659" i="4"/>
  <c r="S659" i="4" s="1"/>
  <c r="X660" i="4"/>
  <c r="AC660" i="4" s="1"/>
  <c r="T664" i="4"/>
  <c r="Y664" i="4" s="1"/>
  <c r="Z664" i="4" s="1"/>
  <c r="AA664" i="4" s="1"/>
  <c r="X665" i="4"/>
  <c r="AC665" i="4" s="1"/>
  <c r="X666" i="4"/>
  <c r="AC666" i="4" s="1"/>
  <c r="V666" i="4"/>
  <c r="S666" i="4" s="1"/>
  <c r="Q666" i="4" s="1"/>
  <c r="N670" i="4"/>
  <c r="S679" i="4"/>
  <c r="Q682" i="4"/>
  <c r="T684" i="4"/>
  <c r="Q684" i="4" s="1"/>
  <c r="W685" i="4"/>
  <c r="U686" i="4"/>
  <c r="W686" i="4"/>
  <c r="W687" i="4"/>
  <c r="Q687" i="4" s="1"/>
  <c r="Y687" i="4"/>
  <c r="Z687" i="4" s="1"/>
  <c r="AA687" i="4" s="1"/>
  <c r="S689" i="4"/>
  <c r="X689" i="4" s="1"/>
  <c r="AC689" i="4" s="1"/>
  <c r="T690" i="4"/>
  <c r="Q690" i="4" s="1"/>
  <c r="T691" i="4"/>
  <c r="V692" i="4"/>
  <c r="V697" i="4"/>
  <c r="S700" i="4"/>
  <c r="X700" i="4" s="1"/>
  <c r="AC700" i="4" s="1"/>
  <c r="Y701" i="4"/>
  <c r="Z701" i="4" s="1"/>
  <c r="AA701" i="4" s="1"/>
  <c r="W702" i="4"/>
  <c r="T702" i="4"/>
  <c r="Y702" i="4"/>
  <c r="Z702" i="4" s="1"/>
  <c r="AA702" i="4" s="1"/>
  <c r="N704" i="4"/>
  <c r="Y707" i="4"/>
  <c r="Z707" i="4" s="1"/>
  <c r="AA707" i="4" s="1"/>
  <c r="S707" i="4"/>
  <c r="Q707" i="4" s="1"/>
  <c r="U708" i="4"/>
  <c r="T708" i="4"/>
  <c r="Q708" i="4" s="1"/>
  <c r="S709" i="4"/>
  <c r="X709" i="4" s="1"/>
  <c r="AC709" i="4" s="1"/>
  <c r="Y711" i="4"/>
  <c r="Z711" i="4" s="1"/>
  <c r="AA711" i="4" s="1"/>
  <c r="Q715" i="4"/>
  <c r="W718" i="4"/>
  <c r="X718" i="4" s="1"/>
  <c r="AC718" i="4" s="1"/>
  <c r="S721" i="4"/>
  <c r="Y721" i="4" s="1"/>
  <c r="Z721" i="4" s="1"/>
  <c r="AA721" i="4" s="1"/>
  <c r="X725" i="4"/>
  <c r="AC725" i="4" s="1"/>
  <c r="Q725" i="4"/>
  <c r="N730" i="4"/>
  <c r="R730" i="4"/>
  <c r="W731" i="4"/>
  <c r="V732" i="4"/>
  <c r="R734" i="4"/>
  <c r="N734" i="4"/>
  <c r="W738" i="4"/>
  <c r="V739" i="4"/>
  <c r="R741" i="4"/>
  <c r="N741" i="4"/>
  <c r="N751" i="4"/>
  <c r="R751" i="4"/>
  <c r="R757" i="4"/>
  <c r="N757" i="4"/>
  <c r="S759" i="4"/>
  <c r="X759" i="4" s="1"/>
  <c r="AC759" i="4" s="1"/>
  <c r="W761" i="4"/>
  <c r="U761" i="4"/>
  <c r="T761" i="4"/>
  <c r="Q761" i="4" s="1"/>
  <c r="N765" i="4"/>
  <c r="R765" i="4"/>
  <c r="W767" i="4"/>
  <c r="S768" i="4"/>
  <c r="X768" i="4" s="1"/>
  <c r="AC768" i="4" s="1"/>
  <c r="S771" i="4"/>
  <c r="Y771" i="4" s="1"/>
  <c r="Z771" i="4" s="1"/>
  <c r="AA771" i="4" s="1"/>
  <c r="W775" i="4"/>
  <c r="U775" i="4"/>
  <c r="T775" i="4"/>
  <c r="Y775" i="4" s="1"/>
  <c r="Z775" i="4" s="1"/>
  <c r="AA775" i="4" s="1"/>
  <c r="R782" i="4"/>
  <c r="N782" i="4"/>
  <c r="R786" i="4"/>
  <c r="N786" i="4"/>
  <c r="V790" i="4"/>
  <c r="S790" i="4" s="1"/>
  <c r="T790" i="4"/>
  <c r="U791" i="4"/>
  <c r="T791" i="4"/>
  <c r="W791" i="4"/>
  <c r="W794" i="4"/>
  <c r="S795" i="4"/>
  <c r="X795" i="4" s="1"/>
  <c r="AC795" i="4" s="1"/>
  <c r="N802" i="4"/>
  <c r="R802" i="4"/>
  <c r="W803" i="4"/>
  <c r="W804" i="4"/>
  <c r="S805" i="4"/>
  <c r="Q805" i="4" s="1"/>
  <c r="X810" i="4"/>
  <c r="AC810" i="4" s="1"/>
  <c r="Q810" i="4"/>
  <c r="U814" i="4"/>
  <c r="T814" i="4"/>
  <c r="W814" i="4"/>
  <c r="Y819" i="4"/>
  <c r="Z819" i="4" s="1"/>
  <c r="AA819" i="4" s="1"/>
  <c r="S820" i="4"/>
  <c r="R825" i="4"/>
  <c r="N825" i="4"/>
  <c r="V831" i="4"/>
  <c r="T831" i="4"/>
  <c r="X837" i="4"/>
  <c r="AC837" i="4" s="1"/>
  <c r="S843" i="4"/>
  <c r="X843" i="4" s="1"/>
  <c r="U850" i="4"/>
  <c r="T850" i="4"/>
  <c r="X850" i="4" s="1"/>
  <c r="S852" i="4"/>
  <c r="X852" i="4" s="1"/>
  <c r="V854" i="4"/>
  <c r="Y855" i="4"/>
  <c r="AA855" i="4" s="1"/>
  <c r="V857" i="4"/>
  <c r="V860" i="4"/>
  <c r="V863" i="4"/>
  <c r="V866" i="4"/>
  <c r="U867" i="4"/>
  <c r="T867" i="4"/>
  <c r="X867" i="4" s="1"/>
  <c r="X868" i="4"/>
  <c r="AC868" i="4" s="1"/>
  <c r="S871" i="4"/>
  <c r="S874" i="4"/>
  <c r="X874" i="4" s="1"/>
  <c r="S877" i="4"/>
  <c r="Y887" i="4"/>
  <c r="AA887" i="4" s="1"/>
  <c r="S895" i="4"/>
  <c r="Y898" i="4"/>
  <c r="AA898" i="4" s="1"/>
  <c r="X971" i="4"/>
  <c r="AC971" i="4" s="1"/>
  <c r="Y619" i="4"/>
  <c r="Z619" i="4" s="1"/>
  <c r="AA619" i="4" s="1"/>
  <c r="W630" i="4"/>
  <c r="X630" i="4" s="1"/>
  <c r="AC630" i="4" s="1"/>
  <c r="W635" i="4"/>
  <c r="X635" i="4" s="1"/>
  <c r="AC635" i="4" s="1"/>
  <c r="W647" i="4"/>
  <c r="X647" i="4" s="1"/>
  <c r="AC647" i="4" s="1"/>
  <c r="W658" i="4"/>
  <c r="Y658" i="4" s="1"/>
  <c r="Z658" i="4" s="1"/>
  <c r="AA658" i="4" s="1"/>
  <c r="Y661" i="4"/>
  <c r="Z661" i="4" s="1"/>
  <c r="AA661" i="4" s="1"/>
  <c r="Y663" i="4"/>
  <c r="Z663" i="4" s="1"/>
  <c r="AA663" i="4" s="1"/>
  <c r="W667" i="4"/>
  <c r="Y667" i="4" s="1"/>
  <c r="Z667" i="4" s="1"/>
  <c r="AA667" i="4" s="1"/>
  <c r="V669" i="4"/>
  <c r="S669" i="4" s="1"/>
  <c r="W672" i="4"/>
  <c r="W674" i="4"/>
  <c r="X674" i="4" s="1"/>
  <c r="AC674" i="4" s="1"/>
  <c r="W676" i="4"/>
  <c r="X676" i="4" s="1"/>
  <c r="AC676" i="4" s="1"/>
  <c r="V678" i="4"/>
  <c r="S678" i="4" s="1"/>
  <c r="V681" i="4"/>
  <c r="S681" i="4" s="1"/>
  <c r="W694" i="4"/>
  <c r="W696" i="4"/>
  <c r="Y696" i="4" s="1"/>
  <c r="Z696" i="4" s="1"/>
  <c r="AA696" i="4" s="1"/>
  <c r="V698" i="4"/>
  <c r="S698" i="4" s="1"/>
  <c r="X698" i="4" s="1"/>
  <c r="AC698" i="4" s="1"/>
  <c r="W701" i="4"/>
  <c r="V703" i="4"/>
  <c r="S703" i="4" s="1"/>
  <c r="V706" i="4"/>
  <c r="S706" i="4" s="1"/>
  <c r="Y706" i="4" s="1"/>
  <c r="Z706" i="4" s="1"/>
  <c r="AA706" i="4" s="1"/>
  <c r="V709" i="4"/>
  <c r="V712" i="4"/>
  <c r="S712" i="4" s="1"/>
  <c r="V714" i="4"/>
  <c r="S714" i="4" s="1"/>
  <c r="U716" i="4"/>
  <c r="W719" i="4"/>
  <c r="Y719" i="4" s="1"/>
  <c r="Z719" i="4" s="1"/>
  <c r="AA719" i="4" s="1"/>
  <c r="W721" i="4"/>
  <c r="V723" i="4"/>
  <c r="S723" i="4" s="1"/>
  <c r="V726" i="4"/>
  <c r="V729" i="4"/>
  <c r="S729" i="4" s="1"/>
  <c r="U734" i="4"/>
  <c r="U741" i="4"/>
  <c r="W744" i="4"/>
  <c r="W746" i="4"/>
  <c r="V748" i="4"/>
  <c r="S748" i="4" s="1"/>
  <c r="V750" i="4"/>
  <c r="V752" i="4"/>
  <c r="V755" i="4"/>
  <c r="V757" i="4"/>
  <c r="V762" i="4"/>
  <c r="S762" i="4" s="1"/>
  <c r="V764" i="4"/>
  <c r="U766" i="4"/>
  <c r="W769" i="4"/>
  <c r="Q769" i="4" s="1"/>
  <c r="W771" i="4"/>
  <c r="V773" i="4"/>
  <c r="W776" i="4"/>
  <c r="W778" i="4"/>
  <c r="Q778" i="4" s="1"/>
  <c r="W780" i="4"/>
  <c r="V782" i="4"/>
  <c r="V784" i="4"/>
  <c r="V786" i="4"/>
  <c r="U793" i="4"/>
  <c r="U798" i="4"/>
  <c r="V801" i="4"/>
  <c r="V808" i="4"/>
  <c r="S808" i="4" s="1"/>
  <c r="U813" i="4"/>
  <c r="V816" i="4"/>
  <c r="W819" i="4"/>
  <c r="W821" i="4"/>
  <c r="X821" i="4" s="1"/>
  <c r="AC821" i="4" s="1"/>
  <c r="V823" i="4"/>
  <c r="U825" i="4"/>
  <c r="Y827" i="4"/>
  <c r="Z827" i="4" s="1"/>
  <c r="AA827" i="4" s="1"/>
  <c r="U830" i="4"/>
  <c r="V836" i="4"/>
  <c r="X836" i="4" s="1"/>
  <c r="V840" i="4"/>
  <c r="U844" i="4"/>
  <c r="X844" i="4" s="1"/>
  <c r="AC844" i="4" s="1"/>
  <c r="V847" i="4"/>
  <c r="X847" i="4" s="1"/>
  <c r="U851" i="4"/>
  <c r="X851" i="4" s="1"/>
  <c r="AC851" i="4" s="1"/>
  <c r="U855" i="4"/>
  <c r="U858" i="4"/>
  <c r="X858" i="4" s="1"/>
  <c r="U861" i="4"/>
  <c r="X861" i="4" s="1"/>
  <c r="U864" i="4"/>
  <c r="X864" i="4" s="1"/>
  <c r="V869" i="4"/>
  <c r="X869" i="4" s="1"/>
  <c r="U872" i="4"/>
  <c r="X872" i="4" s="1"/>
  <c r="AC872" i="4" s="1"/>
  <c r="U875" i="4"/>
  <c r="X875" i="4" s="1"/>
  <c r="AC875" i="4" s="1"/>
  <c r="U878" i="4"/>
  <c r="X878" i="4" s="1"/>
  <c r="AC878" i="4" s="1"/>
  <c r="V881" i="4"/>
  <c r="V904" i="4"/>
  <c r="S904" i="4" s="1"/>
  <c r="Y916" i="4"/>
  <c r="V919" i="4"/>
  <c r="S919" i="4" s="1"/>
  <c r="X919" i="4" s="1"/>
  <c r="AC919" i="4" s="1"/>
  <c r="W922" i="4"/>
  <c r="X922" i="4" s="1"/>
  <c r="Y924" i="4"/>
  <c r="AA924" i="4" s="1"/>
  <c r="W938" i="4"/>
  <c r="X938" i="4" s="1"/>
  <c r="S940" i="4"/>
  <c r="X940" i="4" s="1"/>
  <c r="V944" i="4"/>
  <c r="X952" i="4"/>
  <c r="AC952" i="4" s="1"/>
  <c r="V957" i="4"/>
  <c r="R962" i="4"/>
  <c r="V962" i="4"/>
  <c r="X963" i="4"/>
  <c r="R967" i="4"/>
  <c r="V967" i="4"/>
  <c r="R972" i="4"/>
  <c r="V972" i="4"/>
  <c r="R977" i="4"/>
  <c r="R982" i="4"/>
  <c r="S986" i="4"/>
  <c r="R987" i="4"/>
  <c r="V1000" i="4"/>
  <c r="R1003" i="4"/>
  <c r="X1008" i="4"/>
  <c r="X1009" i="4"/>
  <c r="AC1009" i="4" s="1"/>
  <c r="S1029" i="4"/>
  <c r="X1029" i="4" s="1"/>
  <c r="S1044" i="4"/>
  <c r="X1044" i="4" s="1"/>
  <c r="X1050" i="4"/>
  <c r="S1055" i="4"/>
  <c r="X1055" i="4"/>
  <c r="S1058" i="4"/>
  <c r="X1058" i="4"/>
  <c r="S1083" i="4"/>
  <c r="X1083" i="4"/>
  <c r="S1109" i="4"/>
  <c r="X1109" i="4"/>
  <c r="X1121" i="4"/>
  <c r="X1136" i="4"/>
  <c r="Y1156" i="4"/>
  <c r="AA1156" i="4" s="1"/>
  <c r="Y1158" i="4"/>
  <c r="AA1158" i="4" s="1"/>
  <c r="X1168" i="4"/>
  <c r="AC1168" i="4" s="1"/>
  <c r="S1171" i="4"/>
  <c r="X1171" i="4"/>
  <c r="S1184" i="4"/>
  <c r="X1184" i="4"/>
  <c r="X1187" i="4"/>
  <c r="AC1187" i="4" s="1"/>
  <c r="Y1200" i="4"/>
  <c r="AA1200" i="4" s="1"/>
  <c r="Y1213" i="4"/>
  <c r="AA1213" i="4" s="1"/>
  <c r="X1218" i="4"/>
  <c r="S1226" i="4"/>
  <c r="X1226" i="4" s="1"/>
  <c r="S1255" i="4"/>
  <c r="X1255" i="4" s="1"/>
  <c r="Y1261" i="4"/>
  <c r="AA1261" i="4" s="1"/>
  <c r="Y1264" i="4"/>
  <c r="AA1264" i="4" s="1"/>
  <c r="Y1271" i="4"/>
  <c r="AA1271" i="4" s="1"/>
  <c r="X1279" i="4"/>
  <c r="Y1281" i="4"/>
  <c r="AA1281" i="4" s="1"/>
  <c r="Y1308" i="4"/>
  <c r="AA1308" i="4" s="1"/>
  <c r="S1322" i="4"/>
  <c r="X1322" i="4" s="1"/>
  <c r="S1334" i="4"/>
  <c r="X1334" i="4" s="1"/>
  <c r="S1342" i="4"/>
  <c r="X1342" i="4"/>
  <c r="AC1342" i="4" s="1"/>
  <c r="Y1344" i="4"/>
  <c r="AA1344" i="4" s="1"/>
  <c r="Y1354" i="4"/>
  <c r="AA1354" i="4" s="1"/>
  <c r="Y1379" i="4"/>
  <c r="AA1379" i="4" s="1"/>
  <c r="S1397" i="4"/>
  <c r="V716" i="4"/>
  <c r="S716" i="4" s="1"/>
  <c r="T720" i="4"/>
  <c r="Q720" i="4" s="1"/>
  <c r="T722" i="4"/>
  <c r="R732" i="4"/>
  <c r="T733" i="4"/>
  <c r="V734" i="4"/>
  <c r="R735" i="4"/>
  <c r="R737" i="4"/>
  <c r="R739" i="4"/>
  <c r="T740" i="4"/>
  <c r="V741" i="4"/>
  <c r="R742" i="4"/>
  <c r="T743" i="4"/>
  <c r="Q743" i="4" s="1"/>
  <c r="T745" i="4"/>
  <c r="Y745" i="4" s="1"/>
  <c r="Z745" i="4" s="1"/>
  <c r="AA745" i="4" s="1"/>
  <c r="T747" i="4"/>
  <c r="X747" i="4" s="1"/>
  <c r="AC747" i="4" s="1"/>
  <c r="R760" i="4"/>
  <c r="V766" i="4"/>
  <c r="R767" i="4"/>
  <c r="T770" i="4"/>
  <c r="X770" i="4" s="1"/>
  <c r="AC770" i="4" s="1"/>
  <c r="T772" i="4"/>
  <c r="T777" i="4"/>
  <c r="T779" i="4"/>
  <c r="Q779" i="4" s="1"/>
  <c r="T781" i="4"/>
  <c r="R789" i="4"/>
  <c r="R791" i="4"/>
  <c r="T792" i="4"/>
  <c r="V793" i="4"/>
  <c r="R794" i="4"/>
  <c r="R796" i="4"/>
  <c r="T797" i="4"/>
  <c r="V798" i="4"/>
  <c r="R799" i="4"/>
  <c r="T800" i="4"/>
  <c r="R804" i="4"/>
  <c r="R806" i="4"/>
  <c r="T807" i="4"/>
  <c r="Q807" i="4" s="1"/>
  <c r="R811" i="4"/>
  <c r="T812" i="4"/>
  <c r="V813" i="4"/>
  <c r="R814" i="4"/>
  <c r="T815" i="4"/>
  <c r="T820" i="4"/>
  <c r="T822" i="4"/>
  <c r="V825" i="4"/>
  <c r="R826" i="4"/>
  <c r="T827" i="4"/>
  <c r="V830" i="4"/>
  <c r="R831" i="4"/>
  <c r="T845" i="4"/>
  <c r="X845" i="4" s="1"/>
  <c r="T849" i="4"/>
  <c r="T856" i="4"/>
  <c r="X856" i="4" s="1"/>
  <c r="T859" i="4"/>
  <c r="X859" i="4" s="1"/>
  <c r="T862" i="4"/>
  <c r="T865" i="4"/>
  <c r="X865" i="4" s="1"/>
  <c r="T870" i="4"/>
  <c r="T873" i="4"/>
  <c r="X873" i="4" s="1"/>
  <c r="T876" i="4"/>
  <c r="T879" i="4"/>
  <c r="R886" i="4"/>
  <c r="Y893" i="4"/>
  <c r="AA893" i="4" s="1"/>
  <c r="Y899" i="4"/>
  <c r="AA899" i="4" s="1"/>
  <c r="V913" i="4"/>
  <c r="S913" i="4" s="1"/>
  <c r="X913" i="4" s="1"/>
  <c r="W921" i="4"/>
  <c r="X921" i="4" s="1"/>
  <c r="Y926" i="4"/>
  <c r="AA926" i="4" s="1"/>
  <c r="R932" i="4"/>
  <c r="R935" i="4"/>
  <c r="R936" i="4"/>
  <c r="V937" i="4"/>
  <c r="X948" i="4"/>
  <c r="AC948" i="4" s="1"/>
  <c r="X968" i="4"/>
  <c r="X973" i="4"/>
  <c r="R989" i="4"/>
  <c r="V989" i="4"/>
  <c r="V992" i="4"/>
  <c r="R1005" i="4"/>
  <c r="V1005" i="4"/>
  <c r="X1006" i="4"/>
  <c r="AC1006" i="4" s="1"/>
  <c r="S1027" i="4"/>
  <c r="X1027" i="4"/>
  <c r="S1053" i="4"/>
  <c r="X1053" i="4" s="1"/>
  <c r="Y1066" i="4"/>
  <c r="S1070" i="4"/>
  <c r="X1070" i="4" s="1"/>
  <c r="S1099" i="4"/>
  <c r="X1099" i="4" s="1"/>
  <c r="Y1134" i="4"/>
  <c r="AC1147" i="4"/>
  <c r="Y1147" i="4"/>
  <c r="AA1147" i="4" s="1"/>
  <c r="S1163" i="4"/>
  <c r="X1163" i="4" s="1"/>
  <c r="AC1164" i="4"/>
  <c r="Y1164" i="4"/>
  <c r="AA1164" i="4" s="1"/>
  <c r="S1178" i="4"/>
  <c r="X1178" i="4" s="1"/>
  <c r="Y1181" i="4"/>
  <c r="AA1181" i="4" s="1"/>
  <c r="AC1181" i="4"/>
  <c r="S1208" i="4"/>
  <c r="X1208" i="4" s="1"/>
  <c r="AC1225" i="4"/>
  <c r="Y1225" i="4"/>
  <c r="AA1225" i="4" s="1"/>
  <c r="Y1233" i="4"/>
  <c r="AA1233" i="4" s="1"/>
  <c r="Y1247" i="4"/>
  <c r="AA1247" i="4" s="1"/>
  <c r="S1248" i="4"/>
  <c r="X1248" i="4"/>
  <c r="X1274" i="4"/>
  <c r="Y1293" i="4"/>
  <c r="AA1293" i="4" s="1"/>
  <c r="AC1293" i="4"/>
  <c r="S1296" i="4"/>
  <c r="X1296" i="4"/>
  <c r="AC1302" i="4"/>
  <c r="Y1302" i="4"/>
  <c r="AA1302" i="4" s="1"/>
  <c r="S1312" i="4"/>
  <c r="X1312" i="4" s="1"/>
  <c r="S1316" i="4"/>
  <c r="X1316" i="4" s="1"/>
  <c r="AC1328" i="4"/>
  <c r="Y1328" i="4"/>
  <c r="AA1328" i="4" s="1"/>
  <c r="S1335" i="4"/>
  <c r="X1335" i="4" s="1"/>
  <c r="S1391" i="4"/>
  <c r="S1401" i="4"/>
  <c r="X1401" i="4" s="1"/>
  <c r="Y1403" i="4"/>
  <c r="AA1403" i="4" s="1"/>
  <c r="V906" i="4"/>
  <c r="X912" i="4"/>
  <c r="X923" i="4"/>
  <c r="Y944" i="4"/>
  <c r="Y945" i="4"/>
  <c r="AA944" i="4" s="1"/>
  <c r="S955" i="4"/>
  <c r="X955" i="4" s="1"/>
  <c r="X960" i="4"/>
  <c r="S960" i="4"/>
  <c r="X965" i="4"/>
  <c r="X970" i="4"/>
  <c r="X975" i="4"/>
  <c r="S976" i="4"/>
  <c r="X976" i="4"/>
  <c r="AC976" i="4" s="1"/>
  <c r="X996" i="4"/>
  <c r="Y1006" i="4"/>
  <c r="S1010" i="4"/>
  <c r="X1010" i="4" s="1"/>
  <c r="X1025" i="4"/>
  <c r="S1042" i="4"/>
  <c r="X1042" i="4" s="1"/>
  <c r="S1065" i="4"/>
  <c r="X1065" i="4"/>
  <c r="S1097" i="4"/>
  <c r="X1097" i="4" s="1"/>
  <c r="AC1098" i="4"/>
  <c r="Y1098" i="4"/>
  <c r="AA1098" i="4" s="1"/>
  <c r="S1118" i="4"/>
  <c r="X1118" i="4" s="1"/>
  <c r="Y1160" i="4"/>
  <c r="AA1160" i="4" s="1"/>
  <c r="AC1160" i="4"/>
  <c r="S1199" i="4"/>
  <c r="X1199" i="4" s="1"/>
  <c r="S1202" i="4"/>
  <c r="X1202" i="4" s="1"/>
  <c r="Y1205" i="4"/>
  <c r="AA1205" i="4" s="1"/>
  <c r="AC1205" i="4"/>
  <c r="Y1215" i="4"/>
  <c r="AA1215" i="4" s="1"/>
  <c r="AC1215" i="4"/>
  <c r="Y1217" i="4"/>
  <c r="AA1217" i="4" s="1"/>
  <c r="AC1230" i="4"/>
  <c r="Y1230" i="4"/>
  <c r="AA1230" i="4" s="1"/>
  <c r="S1232" i="4"/>
  <c r="X1232" i="4"/>
  <c r="S1246" i="4"/>
  <c r="X1246" i="4"/>
  <c r="Y1275" i="4"/>
  <c r="AA1275" i="4" s="1"/>
  <c r="Y1276" i="4"/>
  <c r="AA1276" i="4" s="1"/>
  <c r="AC1276" i="4"/>
  <c r="Y1285" i="4"/>
  <c r="AA1285" i="4" s="1"/>
  <c r="AC1285" i="4"/>
  <c r="Y1287" i="4"/>
  <c r="AA1287" i="4" s="1"/>
  <c r="AC1289" i="4"/>
  <c r="Y1289" i="4"/>
  <c r="AA1289" i="4" s="1"/>
  <c r="Y1306" i="4"/>
  <c r="AA1306" i="4" s="1"/>
  <c r="Y1342" i="4"/>
  <c r="Z1342" i="4" s="1"/>
  <c r="AA1342" i="4" s="1"/>
  <c r="Y1366" i="4"/>
  <c r="AA1366" i="4" s="1"/>
  <c r="AC1366" i="4"/>
  <c r="S1367" i="4"/>
  <c r="X1367" i="4" s="1"/>
  <c r="S1395" i="4"/>
  <c r="V733" i="4"/>
  <c r="S733" i="4" s="1"/>
  <c r="V740" i="4"/>
  <c r="S740" i="4" s="1"/>
  <c r="V772" i="4"/>
  <c r="S772" i="4" s="1"/>
  <c r="V781" i="4"/>
  <c r="S781" i="4" s="1"/>
  <c r="V792" i="4"/>
  <c r="S792" i="4" s="1"/>
  <c r="V797" i="4"/>
  <c r="S797" i="4" s="1"/>
  <c r="V800" i="4"/>
  <c r="S800" i="4" s="1"/>
  <c r="V812" i="4"/>
  <c r="S812" i="4" s="1"/>
  <c r="V815" i="4"/>
  <c r="S815" i="4" s="1"/>
  <c r="V822" i="4"/>
  <c r="S822" i="4" s="1"/>
  <c r="V827" i="4"/>
  <c r="X885" i="4"/>
  <c r="AC885" i="4" s="1"/>
  <c r="X895" i="4"/>
  <c r="AC895" i="4" s="1"/>
  <c r="X901" i="4"/>
  <c r="AC901" i="4" s="1"/>
  <c r="Y919" i="4"/>
  <c r="Y937" i="4"/>
  <c r="S944" i="4"/>
  <c r="X944" i="4" s="1"/>
  <c r="AC944" i="4" s="1"/>
  <c r="S957" i="4"/>
  <c r="X957" i="4" s="1"/>
  <c r="AC957" i="4" s="1"/>
  <c r="Y997" i="4"/>
  <c r="S1000" i="4"/>
  <c r="X1007" i="4"/>
  <c r="S1021" i="4"/>
  <c r="X1021" i="4" s="1"/>
  <c r="X1035" i="4"/>
  <c r="S1038" i="4"/>
  <c r="S1041" i="4"/>
  <c r="X1041" i="4" s="1"/>
  <c r="S1047" i="4"/>
  <c r="S1063" i="4"/>
  <c r="X1063" i="4"/>
  <c r="S1087" i="4"/>
  <c r="X1087" i="4" s="1"/>
  <c r="Y1141" i="4"/>
  <c r="AA1141" i="4" s="1"/>
  <c r="AC1141" i="4"/>
  <c r="S1144" i="4"/>
  <c r="X1144" i="4"/>
  <c r="Y1194" i="4"/>
  <c r="AA1194" i="4" s="1"/>
  <c r="AC1194" i="4"/>
  <c r="Y1196" i="4"/>
  <c r="S1197" i="4"/>
  <c r="X1197" i="4" s="1"/>
  <c r="S1198" i="4"/>
  <c r="X1198" i="4" s="1"/>
  <c r="S1201" i="4"/>
  <c r="X1201" i="4" s="1"/>
  <c r="S1204" i="4"/>
  <c r="S1214" i="4"/>
  <c r="S1236" i="4"/>
  <c r="X1236" i="4" s="1"/>
  <c r="Y1241" i="4"/>
  <c r="AA1241" i="4" s="1"/>
  <c r="AC1241" i="4"/>
  <c r="S1244" i="4"/>
  <c r="X1244" i="4" s="1"/>
  <c r="S1245" i="4"/>
  <c r="X1262" i="4"/>
  <c r="X1265" i="4"/>
  <c r="S1275" i="4"/>
  <c r="S1287" i="4"/>
  <c r="Y1309" i="4"/>
  <c r="AA1309" i="4" s="1"/>
  <c r="X1329" i="4"/>
  <c r="AC1329" i="4" s="1"/>
  <c r="V884" i="4"/>
  <c r="S884" i="4" s="1"/>
  <c r="X884" i="4" s="1"/>
  <c r="W891" i="4"/>
  <c r="X891" i="4" s="1"/>
  <c r="V892" i="4"/>
  <c r="S892" i="4" s="1"/>
  <c r="X892" i="4" s="1"/>
  <c r="W908" i="4"/>
  <c r="X908" i="4" s="1"/>
  <c r="V909" i="4"/>
  <c r="S909" i="4" s="1"/>
  <c r="X909" i="4" s="1"/>
  <c r="V910" i="4"/>
  <c r="S910" i="4" s="1"/>
  <c r="X910" i="4" s="1"/>
  <c r="V925" i="4"/>
  <c r="S925" i="4" s="1"/>
  <c r="X925" i="4" s="1"/>
  <c r="Y930" i="4"/>
  <c r="AA930" i="4" s="1"/>
  <c r="Y933" i="4"/>
  <c r="S937" i="4"/>
  <c r="X937" i="4" s="1"/>
  <c r="AC937" i="4" s="1"/>
  <c r="Y941" i="4"/>
  <c r="X942" i="4"/>
  <c r="Y948" i="4"/>
  <c r="AA947" i="4" s="1"/>
  <c r="Y951" i="4"/>
  <c r="AA951" i="4" s="1"/>
  <c r="W954" i="4"/>
  <c r="X954" i="4" s="1"/>
  <c r="R958" i="4"/>
  <c r="V958" i="4"/>
  <c r="R964" i="4"/>
  <c r="R969" i="4"/>
  <c r="R974" i="4"/>
  <c r="X990" i="4"/>
  <c r="AC990" i="4" s="1"/>
  <c r="S992" i="4"/>
  <c r="R993" i="4"/>
  <c r="S997" i="4"/>
  <c r="X997" i="4" s="1"/>
  <c r="AC997" i="4" s="1"/>
  <c r="R998" i="4"/>
  <c r="X1001" i="4"/>
  <c r="X1002" i="4"/>
  <c r="AC1002" i="4" s="1"/>
  <c r="S1008" i="4"/>
  <c r="Y1012" i="4"/>
  <c r="AA1012" i="4" s="1"/>
  <c r="Y1016" i="4"/>
  <c r="AA1016" i="4" s="1"/>
  <c r="S1018" i="4"/>
  <c r="X1018" i="4" s="1"/>
  <c r="AC1018" i="4" s="1"/>
  <c r="V1019" i="4"/>
  <c r="S1019" i="4" s="1"/>
  <c r="X1019" i="4" s="1"/>
  <c r="S1023" i="4"/>
  <c r="X1023" i="4" s="1"/>
  <c r="S1034" i="4"/>
  <c r="X1034" i="4" s="1"/>
  <c r="X1072" i="4"/>
  <c r="X1073" i="4"/>
  <c r="S1086" i="4"/>
  <c r="S1113" i="4"/>
  <c r="X1113" i="4" s="1"/>
  <c r="S1114" i="4"/>
  <c r="X1114" i="4" s="1"/>
  <c r="S1132" i="4"/>
  <c r="S1143" i="4"/>
  <c r="Y1152" i="4"/>
  <c r="AA1152" i="4" s="1"/>
  <c r="S1153" i="4"/>
  <c r="X1153" i="4" s="1"/>
  <c r="S1157" i="4"/>
  <c r="S1175" i="4"/>
  <c r="S1192" i="4"/>
  <c r="X1192" i="4" s="1"/>
  <c r="S1193" i="4"/>
  <c r="S1196" i="4"/>
  <c r="S1212" i="4"/>
  <c r="X1221" i="4"/>
  <c r="Y1223" i="4"/>
  <c r="AA1223" i="4" s="1"/>
  <c r="S1243" i="4"/>
  <c r="X1250" i="4"/>
  <c r="X1251" i="4"/>
  <c r="S1259" i="4"/>
  <c r="X1259" i="4" s="1"/>
  <c r="S1260" i="4"/>
  <c r="X1270" i="4"/>
  <c r="X1272" i="4"/>
  <c r="AC1272" i="4" s="1"/>
  <c r="S1273" i="4"/>
  <c r="X1282" i="4"/>
  <c r="X1298" i="4"/>
  <c r="Y1300" i="4"/>
  <c r="AA1300" i="4" s="1"/>
  <c r="Y1326" i="4"/>
  <c r="AA1326" i="4" s="1"/>
  <c r="S1347" i="4"/>
  <c r="X1347" i="4" s="1"/>
  <c r="Y1375" i="4"/>
  <c r="AA1375" i="4" s="1"/>
  <c r="S1381" i="4"/>
  <c r="X904" i="4"/>
  <c r="AC904" i="4" s="1"/>
  <c r="X945" i="4"/>
  <c r="AC945" i="4" s="1"/>
  <c r="Y947" i="4"/>
  <c r="S966" i="4"/>
  <c r="X966" i="4" s="1"/>
  <c r="S971" i="4"/>
  <c r="Y976" i="4"/>
  <c r="V979" i="4"/>
  <c r="S979" i="4" s="1"/>
  <c r="X979" i="4" s="1"/>
  <c r="S981" i="4"/>
  <c r="X981" i="4" s="1"/>
  <c r="S984" i="4"/>
  <c r="S995" i="4"/>
  <c r="X995" i="4"/>
  <c r="AC995" i="4" s="1"/>
  <c r="V995" i="4"/>
  <c r="Y1002" i="4"/>
  <c r="S1012" i="4"/>
  <c r="X1012" i="4" s="1"/>
  <c r="AC1012" i="4" s="1"/>
  <c r="S1013" i="4"/>
  <c r="X1013" i="4" s="1"/>
  <c r="S1014" i="4"/>
  <c r="X1014" i="4" s="1"/>
  <c r="AC1014" i="4" s="1"/>
  <c r="S1015" i="4"/>
  <c r="X1015" i="4" s="1"/>
  <c r="S1016" i="4"/>
  <c r="X1016" i="4" s="1"/>
  <c r="AC1016" i="4" s="1"/>
  <c r="X1020" i="4"/>
  <c r="X1030" i="4"/>
  <c r="S1033" i="4"/>
  <c r="S1036" i="4"/>
  <c r="S1045" i="4"/>
  <c r="S1076" i="4"/>
  <c r="X1076" i="4" s="1"/>
  <c r="S1077" i="4"/>
  <c r="Y1084" i="4"/>
  <c r="S1085" i="4"/>
  <c r="X1085" i="4" s="1"/>
  <c r="S1092" i="4"/>
  <c r="X1092" i="4"/>
  <c r="S1093" i="4"/>
  <c r="S1111" i="4"/>
  <c r="X1111" i="4" s="1"/>
  <c r="S1112" i="4"/>
  <c r="X1138" i="4"/>
  <c r="S1151" i="4"/>
  <c r="X1151" i="4"/>
  <c r="S1152" i="4"/>
  <c r="Y1172" i="4"/>
  <c r="S1183" i="4"/>
  <c r="X1183" i="4" s="1"/>
  <c r="S1191" i="4"/>
  <c r="Y1228" i="4"/>
  <c r="AA1228" i="4" s="1"/>
  <c r="X1234" i="4"/>
  <c r="X1235" i="4"/>
  <c r="S1257" i="4"/>
  <c r="X1257" i="4" s="1"/>
  <c r="S1258" i="4"/>
  <c r="X1258" i="4" s="1"/>
  <c r="S1269" i="4"/>
  <c r="X1269" i="4" s="1"/>
  <c r="Y1288" i="4"/>
  <c r="AA1288" i="4" s="1"/>
  <c r="Y1291" i="4"/>
  <c r="AA1291" i="4" s="1"/>
  <c r="X1306" i="4"/>
  <c r="AC1306" i="4" s="1"/>
  <c r="Y1317" i="4"/>
  <c r="AA1317" i="4" s="1"/>
  <c r="Y1336" i="4"/>
  <c r="AA1336" i="4" s="1"/>
  <c r="S1351" i="4"/>
  <c r="X1351" i="4" s="1"/>
  <c r="X1360" i="4"/>
  <c r="AC1360" i="4" s="1"/>
  <c r="W946" i="4"/>
  <c r="X946" i="4" s="1"/>
  <c r="W956" i="4"/>
  <c r="W963" i="4"/>
  <c r="W980" i="4"/>
  <c r="W983" i="4"/>
  <c r="X983" i="4" s="1"/>
  <c r="W988" i="4"/>
  <c r="X988" i="4" s="1"/>
  <c r="W991" i="4"/>
  <c r="X991" i="4" s="1"/>
  <c r="W994" i="4"/>
  <c r="X994" i="4" s="1"/>
  <c r="W999" i="4"/>
  <c r="X999" i="4" s="1"/>
  <c r="W1004" i="4"/>
  <c r="X1004" i="4" s="1"/>
  <c r="W1020" i="4"/>
  <c r="W1022" i="4"/>
  <c r="X1022" i="4" s="1"/>
  <c r="W1025" i="4"/>
  <c r="W1030" i="4"/>
  <c r="W1035" i="4"/>
  <c r="W1040" i="4"/>
  <c r="X1040" i="4" s="1"/>
  <c r="W1051" i="4"/>
  <c r="X1051" i="4" s="1"/>
  <c r="W1061" i="4"/>
  <c r="X1061" i="4" s="1"/>
  <c r="W1068" i="4"/>
  <c r="X1068" i="4" s="1"/>
  <c r="V1071" i="4"/>
  <c r="S1071" i="4" s="1"/>
  <c r="X1071" i="4" s="1"/>
  <c r="AC1071" i="4" s="1"/>
  <c r="W1073" i="4"/>
  <c r="W1075" i="4"/>
  <c r="X1075" i="4" s="1"/>
  <c r="W1081" i="4"/>
  <c r="X1081" i="4" s="1"/>
  <c r="W1088" i="4"/>
  <c r="X1088" i="4" s="1"/>
  <c r="W1095" i="4"/>
  <c r="X1095" i="4" s="1"/>
  <c r="W1100" i="4"/>
  <c r="X1100" i="4" s="1"/>
  <c r="W1105" i="4"/>
  <c r="X1105" i="4" s="1"/>
  <c r="W1107" i="4"/>
  <c r="X1107" i="4" s="1"/>
  <c r="W1121" i="4"/>
  <c r="W1123" i="4"/>
  <c r="X1123" i="4" s="1"/>
  <c r="W1125" i="4"/>
  <c r="X1125" i="4" s="1"/>
  <c r="V1128" i="4"/>
  <c r="S1128" i="4" s="1"/>
  <c r="X1128" i="4" s="1"/>
  <c r="AC1128" i="4" s="1"/>
  <c r="W1136" i="4"/>
  <c r="V1137" i="4"/>
  <c r="S1137" i="4" s="1"/>
  <c r="X1137" i="4" s="1"/>
  <c r="AC1137" i="4" s="1"/>
  <c r="V1140" i="4"/>
  <c r="S1140" i="4" s="1"/>
  <c r="X1140" i="4" s="1"/>
  <c r="AC1140" i="4" s="1"/>
  <c r="W1161" i="4"/>
  <c r="X1161" i="4" s="1"/>
  <c r="W1166" i="4"/>
  <c r="X1166" i="4" s="1"/>
  <c r="V1172" i="4"/>
  <c r="S1172" i="4" s="1"/>
  <c r="X1172" i="4" s="1"/>
  <c r="AC1172" i="4" s="1"/>
  <c r="W1174" i="4"/>
  <c r="X1174" i="4" s="1"/>
  <c r="W1179" i="4"/>
  <c r="X1179" i="4" s="1"/>
  <c r="W1182" i="4"/>
  <c r="X1182" i="4" s="1"/>
  <c r="W1203" i="4"/>
  <c r="X1203" i="4" s="1"/>
  <c r="W1206" i="4"/>
  <c r="X1206" i="4" s="1"/>
  <c r="V1209" i="4"/>
  <c r="S1209" i="4" s="1"/>
  <c r="X1209" i="4" s="1"/>
  <c r="AC1209" i="4" s="1"/>
  <c r="V1217" i="4"/>
  <c r="S1217" i="4" s="1"/>
  <c r="X1217" i="4" s="1"/>
  <c r="AC1217" i="4" s="1"/>
  <c r="V1220" i="4"/>
  <c r="S1220" i="4" s="1"/>
  <c r="X1220" i="4" s="1"/>
  <c r="AC1220" i="4" s="1"/>
  <c r="V1223" i="4"/>
  <c r="S1223" i="4" s="1"/>
  <c r="X1223" i="4" s="1"/>
  <c r="AC1223" i="4" s="1"/>
  <c r="V1228" i="4"/>
  <c r="S1228" i="4" s="1"/>
  <c r="X1228" i="4" s="1"/>
  <c r="AC1228" i="4" s="1"/>
  <c r="V1233" i="4"/>
  <c r="S1233" i="4" s="1"/>
  <c r="X1233" i="4" s="1"/>
  <c r="AC1233" i="4" s="1"/>
  <c r="W1235" i="4"/>
  <c r="W1237" i="4"/>
  <c r="X1237" i="4" s="1"/>
  <c r="V1240" i="4"/>
  <c r="S1240" i="4" s="1"/>
  <c r="X1240" i="4" s="1"/>
  <c r="AC1240" i="4" s="1"/>
  <c r="V1249" i="4"/>
  <c r="S1249" i="4" s="1"/>
  <c r="X1249" i="4" s="1"/>
  <c r="AC1249" i="4" s="1"/>
  <c r="W1251" i="4"/>
  <c r="W1253" i="4"/>
  <c r="X1253" i="4" s="1"/>
  <c r="V1268" i="4"/>
  <c r="S1268" i="4" s="1"/>
  <c r="X1268" i="4" s="1"/>
  <c r="AC1268" i="4" s="1"/>
  <c r="S1274" i="4"/>
  <c r="V1278" i="4"/>
  <c r="S1278" i="4" s="1"/>
  <c r="X1278" i="4" s="1"/>
  <c r="AC1278" i="4" s="1"/>
  <c r="V1281" i="4"/>
  <c r="S1281" i="4" s="1"/>
  <c r="X1281" i="4" s="1"/>
  <c r="AC1281" i="4" s="1"/>
  <c r="V1284" i="4"/>
  <c r="S1284" i="4" s="1"/>
  <c r="X1284" i="4" s="1"/>
  <c r="AC1284" i="4" s="1"/>
  <c r="V1297" i="4"/>
  <c r="S1297" i="4" s="1"/>
  <c r="X1297" i="4" s="1"/>
  <c r="AC1297" i="4" s="1"/>
  <c r="V1300" i="4"/>
  <c r="S1300" i="4" s="1"/>
  <c r="X1300" i="4" s="1"/>
  <c r="AC1300" i="4" s="1"/>
  <c r="V1309" i="4"/>
  <c r="S1309" i="4" s="1"/>
  <c r="X1309" i="4" s="1"/>
  <c r="AC1309" i="4" s="1"/>
  <c r="W1314" i="4"/>
  <c r="X1314" i="4" s="1"/>
  <c r="V1315" i="4"/>
  <c r="S1315" i="4" s="1"/>
  <c r="X1315" i="4" s="1"/>
  <c r="AC1315" i="4" s="1"/>
  <c r="V1320" i="4"/>
  <c r="S1320" i="4" s="1"/>
  <c r="X1320" i="4" s="1"/>
  <c r="AC1320" i="4" s="1"/>
  <c r="W1324" i="4"/>
  <c r="X1324" i="4" s="1"/>
  <c r="V1325" i="4"/>
  <c r="V1330" i="4"/>
  <c r="S1330" i="4" s="1"/>
  <c r="X1330" i="4" s="1"/>
  <c r="X1341" i="4"/>
  <c r="AC1341" i="4" s="1"/>
  <c r="V1341" i="4"/>
  <c r="S1341" i="4" s="1"/>
  <c r="V1355" i="4"/>
  <c r="S1355" i="4" s="1"/>
  <c r="X1355" i="4" s="1"/>
  <c r="W1360" i="4"/>
  <c r="S1371" i="4"/>
  <c r="W1371" i="4"/>
  <c r="X1371" i="4" s="1"/>
  <c r="Y1373" i="4"/>
  <c r="AA1373" i="4" s="1"/>
  <c r="R1376" i="4"/>
  <c r="V1376" i="4"/>
  <c r="Y1385" i="4"/>
  <c r="AA1385" i="4" s="1"/>
  <c r="S1386" i="4"/>
  <c r="X1386" i="4" s="1"/>
  <c r="X1403" i="4"/>
  <c r="AC1403" i="4" s="1"/>
  <c r="W1474" i="4"/>
  <c r="V1474" i="4"/>
  <c r="S1474" i="4" s="1"/>
  <c r="X1474" i="4" s="1"/>
  <c r="W1483" i="4"/>
  <c r="V1483" i="4"/>
  <c r="S1483" i="4" s="1"/>
  <c r="W1515" i="4"/>
  <c r="V1515" i="4"/>
  <c r="S1515" i="4" s="1"/>
  <c r="X1515" i="4" s="1"/>
  <c r="W1523" i="4"/>
  <c r="V1523" i="4"/>
  <c r="V1057" i="4"/>
  <c r="S1057" i="4" s="1"/>
  <c r="X1057" i="4" s="1"/>
  <c r="AC1057" i="4" s="1"/>
  <c r="V1231" i="4"/>
  <c r="S1231" i="4" s="1"/>
  <c r="X1231" i="4" s="1"/>
  <c r="AC1231" i="4" s="1"/>
  <c r="V1254" i="4"/>
  <c r="S1254" i="4" s="1"/>
  <c r="X1254" i="4" s="1"/>
  <c r="AC1254" i="4" s="1"/>
  <c r="V1263" i="4"/>
  <c r="S1263" i="4" s="1"/>
  <c r="X1263" i="4" s="1"/>
  <c r="AC1263" i="4" s="1"/>
  <c r="V1271" i="4"/>
  <c r="S1271" i="4" s="1"/>
  <c r="X1271" i="4" s="1"/>
  <c r="AC1271" i="4" s="1"/>
  <c r="V1290" i="4"/>
  <c r="S1290" i="4" s="1"/>
  <c r="X1290" i="4" s="1"/>
  <c r="AC1290" i="4" s="1"/>
  <c r="Y1307" i="4"/>
  <c r="AA1307" i="4" s="1"/>
  <c r="Y1318" i="4"/>
  <c r="AA1318" i="4" s="1"/>
  <c r="X1319" i="4"/>
  <c r="W1329" i="4"/>
  <c r="V1331" i="4"/>
  <c r="S1331" i="4" s="1"/>
  <c r="X1331" i="4" s="1"/>
  <c r="V1335" i="4"/>
  <c r="V1350" i="4"/>
  <c r="S1350" i="4" s="1"/>
  <c r="X1350" i="4" s="1"/>
  <c r="V1356" i="4"/>
  <c r="X1365" i="4"/>
  <c r="S1382" i="4"/>
  <c r="X1382" i="4"/>
  <c r="AC1382" i="4" s="1"/>
  <c r="Y1384" i="4"/>
  <c r="AA1384" i="4" s="1"/>
  <c r="S1392" i="4"/>
  <c r="X1392" i="4"/>
  <c r="AC1392" i="4" s="1"/>
  <c r="S1398" i="4"/>
  <c r="X1398" i="4"/>
  <c r="AC1398" i="4" s="1"/>
  <c r="S1404" i="4"/>
  <c r="X1404" i="4" s="1"/>
  <c r="P1434" i="4"/>
  <c r="W1462" i="4"/>
  <c r="V1462" i="4"/>
  <c r="S1462" i="4" s="1"/>
  <c r="W1471" i="4"/>
  <c r="V1471" i="4"/>
  <c r="S1471" i="4" s="1"/>
  <c r="V1021" i="4"/>
  <c r="V1026" i="4"/>
  <c r="S1026" i="4" s="1"/>
  <c r="X1026" i="4" s="1"/>
  <c r="X1033" i="4"/>
  <c r="AC1033" i="4" s="1"/>
  <c r="V1034" i="4"/>
  <c r="X1038" i="4"/>
  <c r="AC1038" i="4" s="1"/>
  <c r="V1039" i="4"/>
  <c r="S1039" i="4" s="1"/>
  <c r="X1039" i="4" s="1"/>
  <c r="X1043" i="4"/>
  <c r="AC1043" i="4" s="1"/>
  <c r="X1045" i="4"/>
  <c r="AC1045" i="4" s="1"/>
  <c r="X1047" i="4"/>
  <c r="AC1047" i="4" s="1"/>
  <c r="X1049" i="4"/>
  <c r="AC1049" i="4" s="1"/>
  <c r="X1056" i="4"/>
  <c r="AC1056" i="4" s="1"/>
  <c r="X1059" i="4"/>
  <c r="AC1059" i="4" s="1"/>
  <c r="V1062" i="4"/>
  <c r="S1062" i="4" s="1"/>
  <c r="X1062" i="4" s="1"/>
  <c r="X1066" i="4"/>
  <c r="AC1066" i="4" s="1"/>
  <c r="V1074" i="4"/>
  <c r="S1074" i="4" s="1"/>
  <c r="X1074" i="4" s="1"/>
  <c r="V1076" i="4"/>
  <c r="X1077" i="4"/>
  <c r="AC1077" i="4" s="1"/>
  <c r="X1079" i="4"/>
  <c r="AC1079" i="4" s="1"/>
  <c r="V1080" i="4"/>
  <c r="S1080" i="4" s="1"/>
  <c r="X1080" i="4" s="1"/>
  <c r="V1082" i="4"/>
  <c r="S1082" i="4" s="1"/>
  <c r="X1082" i="4" s="1"/>
  <c r="X1086" i="4"/>
  <c r="AC1086" i="4" s="1"/>
  <c r="V1089" i="4"/>
  <c r="S1089" i="4" s="1"/>
  <c r="X1089" i="4" s="1"/>
  <c r="X1093" i="4"/>
  <c r="AC1093" i="4" s="1"/>
  <c r="V1096" i="4"/>
  <c r="S1096" i="4" s="1"/>
  <c r="X1096" i="4" s="1"/>
  <c r="V1099" i="4"/>
  <c r="X1103" i="4"/>
  <c r="AC1103" i="4" s="1"/>
  <c r="V1106" i="4"/>
  <c r="S1106" i="4" s="1"/>
  <c r="X1106" i="4" s="1"/>
  <c r="V1108" i="4"/>
  <c r="S1108" i="4" s="1"/>
  <c r="X1108" i="4" s="1"/>
  <c r="X1116" i="4"/>
  <c r="AC1116" i="4" s="1"/>
  <c r="V1117" i="4"/>
  <c r="S1117" i="4" s="1"/>
  <c r="X1117" i="4" s="1"/>
  <c r="X1119" i="4"/>
  <c r="AC1119" i="4" s="1"/>
  <c r="V1122" i="4"/>
  <c r="S1122" i="4" s="1"/>
  <c r="X1122" i="4" s="1"/>
  <c r="V1124" i="4"/>
  <c r="S1124" i="4" s="1"/>
  <c r="X1124" i="4" s="1"/>
  <c r="V1126" i="4"/>
  <c r="S1126" i="4" s="1"/>
  <c r="X1126" i="4" s="1"/>
  <c r="X1130" i="4"/>
  <c r="AC1130" i="4" s="1"/>
  <c r="X1132" i="4"/>
  <c r="AC1132" i="4" s="1"/>
  <c r="X1134" i="4"/>
  <c r="AC1134" i="4" s="1"/>
  <c r="V1135" i="4"/>
  <c r="S1135" i="4" s="1"/>
  <c r="X1135" i="4" s="1"/>
  <c r="V1148" i="4"/>
  <c r="S1148" i="4" s="1"/>
  <c r="X1148" i="4" s="1"/>
  <c r="X1152" i="4"/>
  <c r="AC1152" i="4" s="1"/>
  <c r="X1154" i="4"/>
  <c r="AC1154" i="4" s="1"/>
  <c r="V1155" i="4"/>
  <c r="S1155" i="4" s="1"/>
  <c r="X1155" i="4" s="1"/>
  <c r="X1159" i="4"/>
  <c r="AC1159" i="4" s="1"/>
  <c r="V1162" i="4"/>
  <c r="S1162" i="4" s="1"/>
  <c r="X1162" i="4" s="1"/>
  <c r="V1165" i="4"/>
  <c r="S1165" i="4" s="1"/>
  <c r="X1165" i="4" s="1"/>
  <c r="X1169" i="4"/>
  <c r="AC1169" i="4" s="1"/>
  <c r="V1170" i="4"/>
  <c r="S1170" i="4" s="1"/>
  <c r="X1170" i="4" s="1"/>
  <c r="X1177" i="4"/>
  <c r="AC1177" i="4" s="1"/>
  <c r="V1183" i="4"/>
  <c r="X1185" i="4"/>
  <c r="AC1185" i="4" s="1"/>
  <c r="V1186" i="4"/>
  <c r="S1186" i="4" s="1"/>
  <c r="X1186" i="4" s="1"/>
  <c r="X1188" i="4"/>
  <c r="AC1188" i="4" s="1"/>
  <c r="X1193" i="4"/>
  <c r="AC1193" i="4" s="1"/>
  <c r="V1199" i="4"/>
  <c r="V1207" i="4"/>
  <c r="S1207" i="4" s="1"/>
  <c r="X1207" i="4" s="1"/>
  <c r="V1210" i="4"/>
  <c r="S1210" i="4" s="1"/>
  <c r="X1210" i="4" s="1"/>
  <c r="X1214" i="4"/>
  <c r="AC1214" i="4" s="1"/>
  <c r="V1226" i="4"/>
  <c r="V1236" i="4"/>
  <c r="V1238" i="4"/>
  <c r="S1238" i="4" s="1"/>
  <c r="X1238" i="4" s="1"/>
  <c r="V1252" i="4"/>
  <c r="S1252" i="4" s="1"/>
  <c r="X1252" i="4" s="1"/>
  <c r="V1266" i="4"/>
  <c r="S1266" i="4" s="1"/>
  <c r="X1266" i="4" s="1"/>
  <c r="X1273" i="4"/>
  <c r="AC1273" i="4" s="1"/>
  <c r="X1275" i="4"/>
  <c r="AC1275" i="4" s="1"/>
  <c r="X1292" i="4"/>
  <c r="AC1292" i="4" s="1"/>
  <c r="V1303" i="4"/>
  <c r="S1303" i="4" s="1"/>
  <c r="X1303" i="4" s="1"/>
  <c r="X1313" i="4"/>
  <c r="V1316" i="4"/>
  <c r="V1321" i="4"/>
  <c r="S1321" i="4" s="1"/>
  <c r="X1321" i="4" s="1"/>
  <c r="X1323" i="4"/>
  <c r="X1327" i="4"/>
  <c r="AC1327" i="4" s="1"/>
  <c r="X1337" i="4"/>
  <c r="AC1337" i="4" s="1"/>
  <c r="X1346" i="4"/>
  <c r="AC1346" i="4" s="1"/>
  <c r="X1348" i="4"/>
  <c r="AC1348" i="4" s="1"/>
  <c r="V1351" i="4"/>
  <c r="V1357" i="4"/>
  <c r="S1357" i="4" s="1"/>
  <c r="X1357" i="4" s="1"/>
  <c r="S1358" i="4"/>
  <c r="X1358" i="4"/>
  <c r="AC1358" i="4" s="1"/>
  <c r="X1374" i="4"/>
  <c r="AC1374" i="4" s="1"/>
  <c r="X1380" i="4"/>
  <c r="X1390" i="4"/>
  <c r="P1419" i="4"/>
  <c r="P1422" i="4"/>
  <c r="W1450" i="4"/>
  <c r="V1450" i="4"/>
  <c r="S1450" i="4" s="1"/>
  <c r="W1459" i="4"/>
  <c r="V1459" i="4"/>
  <c r="S1459" i="4" s="1"/>
  <c r="W1521" i="4"/>
  <c r="V1521" i="4"/>
  <c r="S1521" i="4" s="1"/>
  <c r="X1521" i="4" s="1"/>
  <c r="W1535" i="4"/>
  <c r="V1535" i="4"/>
  <c r="V982" i="4"/>
  <c r="X984" i="4"/>
  <c r="AC984" i="4" s="1"/>
  <c r="V985" i="4"/>
  <c r="S985" i="4" s="1"/>
  <c r="X985" i="4" s="1"/>
  <c r="X986" i="4"/>
  <c r="AC986" i="4" s="1"/>
  <c r="V987" i="4"/>
  <c r="X992" i="4"/>
  <c r="AC992" i="4" s="1"/>
  <c r="V993" i="4"/>
  <c r="V998" i="4"/>
  <c r="X1000" i="4"/>
  <c r="AC1000" i="4" s="1"/>
  <c r="V1003" i="4"/>
  <c r="V1010" i="4"/>
  <c r="V1013" i="4"/>
  <c r="V1015" i="4"/>
  <c r="V1017" i="4"/>
  <c r="S1017" i="4" s="1"/>
  <c r="X1017" i="4" s="1"/>
  <c r="V1024" i="4"/>
  <c r="S1024" i="4" s="1"/>
  <c r="X1024" i="4" s="1"/>
  <c r="X1028" i="4"/>
  <c r="AC1028" i="4" s="1"/>
  <c r="V1029" i="4"/>
  <c r="X1031" i="4"/>
  <c r="AC1031" i="4" s="1"/>
  <c r="V1032" i="4"/>
  <c r="S1032" i="4" s="1"/>
  <c r="X1032" i="4" s="1"/>
  <c r="X1036" i="4"/>
  <c r="AC1036" i="4" s="1"/>
  <c r="V1037" i="4"/>
  <c r="S1037" i="4" s="1"/>
  <c r="X1037" i="4" s="1"/>
  <c r="V1042" i="4"/>
  <c r="V1044" i="4"/>
  <c r="V1046" i="4"/>
  <c r="S1046" i="4" s="1"/>
  <c r="X1046" i="4" s="1"/>
  <c r="V1048" i="4"/>
  <c r="S1048" i="4" s="1"/>
  <c r="X1048" i="4" s="1"/>
  <c r="X1052" i="4"/>
  <c r="AC1052" i="4" s="1"/>
  <c r="X1054" i="4"/>
  <c r="AC1054" i="4" s="1"/>
  <c r="V1060" i="4"/>
  <c r="S1060" i="4" s="1"/>
  <c r="X1060" i="4" s="1"/>
  <c r="X1064" i="4"/>
  <c r="AC1064" i="4" s="1"/>
  <c r="V1067" i="4"/>
  <c r="S1067" i="4" s="1"/>
  <c r="X1067" i="4" s="1"/>
  <c r="X1069" i="4"/>
  <c r="AC1069" i="4" s="1"/>
  <c r="V1078" i="4"/>
  <c r="S1078" i="4" s="1"/>
  <c r="X1078" i="4" s="1"/>
  <c r="X1084" i="4"/>
  <c r="AC1084" i="4" s="1"/>
  <c r="V1085" i="4"/>
  <c r="V1087" i="4"/>
  <c r="X1091" i="4"/>
  <c r="AC1091" i="4" s="1"/>
  <c r="V1094" i="4"/>
  <c r="S1094" i="4" s="1"/>
  <c r="X1094" i="4" s="1"/>
  <c r="X1101" i="4"/>
  <c r="AC1101" i="4" s="1"/>
  <c r="V1102" i="4"/>
  <c r="S1102" i="4" s="1"/>
  <c r="X1102" i="4" s="1"/>
  <c r="V1104" i="4"/>
  <c r="S1104" i="4" s="1"/>
  <c r="X1104" i="4" s="1"/>
  <c r="X1110" i="4"/>
  <c r="AC1110" i="4" s="1"/>
  <c r="X1112" i="4"/>
  <c r="AC1112" i="4" s="1"/>
  <c r="V1115" i="4"/>
  <c r="S1115" i="4" s="1"/>
  <c r="X1115" i="4" s="1"/>
  <c r="V1120" i="4"/>
  <c r="S1120" i="4" s="1"/>
  <c r="X1120" i="4" s="1"/>
  <c r="V1129" i="4"/>
  <c r="S1129" i="4" s="1"/>
  <c r="X1129" i="4" s="1"/>
  <c r="V1131" i="4"/>
  <c r="S1131" i="4" s="1"/>
  <c r="X1131" i="4" s="1"/>
  <c r="V1133" i="4"/>
  <c r="S1133" i="4" s="1"/>
  <c r="X1133" i="4" s="1"/>
  <c r="X1143" i="4"/>
  <c r="AC1143" i="4" s="1"/>
  <c r="X1145" i="4"/>
  <c r="AC1145" i="4" s="1"/>
  <c r="V1146" i="4"/>
  <c r="S1146" i="4" s="1"/>
  <c r="X1146" i="4" s="1"/>
  <c r="X1150" i="4"/>
  <c r="AC1150" i="4" s="1"/>
  <c r="V1153" i="4"/>
  <c r="X1157" i="4"/>
  <c r="AC1157" i="4" s="1"/>
  <c r="X1167" i="4"/>
  <c r="AC1167" i="4" s="1"/>
  <c r="V1173" i="4"/>
  <c r="S1173" i="4" s="1"/>
  <c r="X1173" i="4" s="1"/>
  <c r="X1175" i="4"/>
  <c r="AC1175" i="4" s="1"/>
  <c r="V1176" i="4"/>
  <c r="S1176" i="4" s="1"/>
  <c r="X1176" i="4" s="1"/>
  <c r="V1178" i="4"/>
  <c r="X1180" i="4"/>
  <c r="AC1180" i="4" s="1"/>
  <c r="V1189" i="4"/>
  <c r="S1189" i="4" s="1"/>
  <c r="X1189" i="4" s="1"/>
  <c r="X1191" i="4"/>
  <c r="AC1191" i="4" s="1"/>
  <c r="X1196" i="4"/>
  <c r="AC1196" i="4" s="1"/>
  <c r="V1202" i="4"/>
  <c r="X1204" i="4"/>
  <c r="AC1204" i="4" s="1"/>
  <c r="X1212" i="4"/>
  <c r="AC1212" i="4" s="1"/>
  <c r="V1224" i="4"/>
  <c r="S1224" i="4" s="1"/>
  <c r="X1224" i="4" s="1"/>
  <c r="V1229" i="4"/>
  <c r="S1229" i="4" s="1"/>
  <c r="X1229" i="4" s="1"/>
  <c r="X1243" i="4"/>
  <c r="AC1243" i="4" s="1"/>
  <c r="X1245" i="4"/>
  <c r="AC1245" i="4" s="1"/>
  <c r="X1247" i="4"/>
  <c r="AC1247" i="4" s="1"/>
  <c r="X1256" i="4"/>
  <c r="AC1256" i="4" s="1"/>
  <c r="X1260" i="4"/>
  <c r="AC1260" i="4" s="1"/>
  <c r="V1269" i="4"/>
  <c r="V1274" i="4"/>
  <c r="X1287" i="4"/>
  <c r="AC1287" i="4" s="1"/>
  <c r="X1295" i="4"/>
  <c r="AC1295" i="4" s="1"/>
  <c r="V1301" i="4"/>
  <c r="S1301" i="4" s="1"/>
  <c r="X1301" i="4" s="1"/>
  <c r="X1305" i="4"/>
  <c r="AC1305" i="4" s="1"/>
  <c r="S1325" i="4"/>
  <c r="X1325" i="4" s="1"/>
  <c r="AC1325" i="4" s="1"/>
  <c r="V1338" i="4"/>
  <c r="S1338" i="4" s="1"/>
  <c r="X1338" i="4" s="1"/>
  <c r="X1352" i="4"/>
  <c r="AC1352" i="4" s="1"/>
  <c r="Y1364" i="4"/>
  <c r="AA1364" i="4" s="1"/>
  <c r="X1385" i="4"/>
  <c r="AC1385" i="4" s="1"/>
  <c r="Y1392" i="4"/>
  <c r="AA1392" i="4" s="1"/>
  <c r="S1396" i="4"/>
  <c r="X1396" i="4" s="1"/>
  <c r="Y1398" i="4"/>
  <c r="AA1398" i="4" s="1"/>
  <c r="X1405" i="4"/>
  <c r="AC1405" i="4" s="1"/>
  <c r="P1433" i="4"/>
  <c r="W1438" i="4"/>
  <c r="V1438" i="4"/>
  <c r="S1438" i="4" s="1"/>
  <c r="W1447" i="4"/>
  <c r="V1447" i="4"/>
  <c r="S1447" i="4" s="1"/>
  <c r="V939" i="4"/>
  <c r="S939" i="4" s="1"/>
  <c r="X939" i="4" s="1"/>
  <c r="V949" i="4"/>
  <c r="S949" i="4" s="1"/>
  <c r="X949" i="4" s="1"/>
  <c r="V1011" i="4"/>
  <c r="S1011" i="4" s="1"/>
  <c r="X1011" i="4" s="1"/>
  <c r="V1090" i="4"/>
  <c r="S1090" i="4" s="1"/>
  <c r="X1090" i="4" s="1"/>
  <c r="V1127" i="4"/>
  <c r="S1127" i="4" s="1"/>
  <c r="X1127" i="4" s="1"/>
  <c r="V1139" i="4"/>
  <c r="S1139" i="4" s="1"/>
  <c r="X1139" i="4" s="1"/>
  <c r="V1142" i="4"/>
  <c r="S1142" i="4" s="1"/>
  <c r="X1142" i="4" s="1"/>
  <c r="V1149" i="4"/>
  <c r="S1149" i="4" s="1"/>
  <c r="X1149" i="4" s="1"/>
  <c r="V1190" i="4"/>
  <c r="S1190" i="4" s="1"/>
  <c r="X1190" i="4" s="1"/>
  <c r="V1195" i="4"/>
  <c r="S1195" i="4" s="1"/>
  <c r="X1195" i="4" s="1"/>
  <c r="V1211" i="4"/>
  <c r="S1211" i="4" s="1"/>
  <c r="X1211" i="4" s="1"/>
  <c r="V1216" i="4"/>
  <c r="S1216" i="4" s="1"/>
  <c r="X1216" i="4" s="1"/>
  <c r="V1219" i="4"/>
  <c r="S1219" i="4" s="1"/>
  <c r="X1219" i="4" s="1"/>
  <c r="V1222" i="4"/>
  <c r="S1222" i="4" s="1"/>
  <c r="X1222" i="4" s="1"/>
  <c r="V1227" i="4"/>
  <c r="S1227" i="4" s="1"/>
  <c r="X1227" i="4" s="1"/>
  <c r="V1239" i="4"/>
  <c r="S1239" i="4" s="1"/>
  <c r="X1239" i="4" s="1"/>
  <c r="V1242" i="4"/>
  <c r="S1242" i="4" s="1"/>
  <c r="X1242" i="4" s="1"/>
  <c r="V1267" i="4"/>
  <c r="S1267" i="4" s="1"/>
  <c r="X1267" i="4" s="1"/>
  <c r="V1277" i="4"/>
  <c r="S1277" i="4" s="1"/>
  <c r="X1277" i="4" s="1"/>
  <c r="V1280" i="4"/>
  <c r="S1280" i="4" s="1"/>
  <c r="X1280" i="4" s="1"/>
  <c r="V1283" i="4"/>
  <c r="S1283" i="4" s="1"/>
  <c r="X1283" i="4" s="1"/>
  <c r="V1286" i="4"/>
  <c r="S1286" i="4" s="1"/>
  <c r="X1286" i="4" s="1"/>
  <c r="V1294" i="4"/>
  <c r="S1294" i="4" s="1"/>
  <c r="X1294" i="4" s="1"/>
  <c r="V1299" i="4"/>
  <c r="S1299" i="4" s="1"/>
  <c r="X1299" i="4" s="1"/>
  <c r="V1304" i="4"/>
  <c r="S1304" i="4" s="1"/>
  <c r="X1304" i="4" s="1"/>
  <c r="Y1310" i="4"/>
  <c r="AA1310" i="4" s="1"/>
  <c r="Y1332" i="4"/>
  <c r="AA1332" i="4" s="1"/>
  <c r="Y1333" i="4"/>
  <c r="AA1333" i="4" s="1"/>
  <c r="X1339" i="4"/>
  <c r="AC1339" i="4" s="1"/>
  <c r="V1339" i="4"/>
  <c r="S1339" i="4" s="1"/>
  <c r="V1353" i="4"/>
  <c r="S1353" i="4" s="1"/>
  <c r="X1353" i="4" s="1"/>
  <c r="S1356" i="4"/>
  <c r="X1356" i="4" s="1"/>
  <c r="X1361" i="4"/>
  <c r="AC1361" i="4" s="1"/>
  <c r="X1364" i="4"/>
  <c r="AC1364" i="4" s="1"/>
  <c r="Y1369" i="4"/>
  <c r="AA1369" i="4" s="1"/>
  <c r="R1378" i="4"/>
  <c r="V1378" i="4"/>
  <c r="AC1387" i="4"/>
  <c r="W1389" i="4"/>
  <c r="X1389" i="4" s="1"/>
  <c r="X1407" i="4"/>
  <c r="AC1407" i="4" s="1"/>
  <c r="W1426" i="4"/>
  <c r="V1426" i="4"/>
  <c r="S1426" i="4" s="1"/>
  <c r="W1435" i="4"/>
  <c r="V1435" i="4"/>
  <c r="S1435" i="4" s="1"/>
  <c r="X1435" i="4" s="1"/>
  <c r="AC1435" i="4" s="1"/>
  <c r="W1498" i="4"/>
  <c r="V1498" i="4"/>
  <c r="S1498" i="4" s="1"/>
  <c r="X1498" i="4" s="1"/>
  <c r="W1507" i="4"/>
  <c r="V1507" i="4"/>
  <c r="S1507" i="4" s="1"/>
  <c r="W1525" i="4"/>
  <c r="V1525" i="4"/>
  <c r="S1525" i="4" s="1"/>
  <c r="X1525" i="4" s="1"/>
  <c r="W1533" i="4"/>
  <c r="V1533" i="4"/>
  <c r="W1544" i="4"/>
  <c r="V1544" i="4"/>
  <c r="S1544" i="4" s="1"/>
  <c r="S1327" i="4"/>
  <c r="S1337" i="4"/>
  <c r="V1340" i="4"/>
  <c r="S1340" i="4" s="1"/>
  <c r="X1340" i="4" s="1"/>
  <c r="Y1343" i="4"/>
  <c r="AA1343" i="4" s="1"/>
  <c r="Y1345" i="4"/>
  <c r="AA1345" i="4" s="1"/>
  <c r="X1354" i="4"/>
  <c r="AC1354" i="4" s="1"/>
  <c r="AC1363" i="4"/>
  <c r="Y1368" i="4"/>
  <c r="AA1368" i="4" s="1"/>
  <c r="Y1374" i="4"/>
  <c r="AA1374" i="4" s="1"/>
  <c r="S1394" i="4"/>
  <c r="X1394" i="4"/>
  <c r="AC1394" i="4" s="1"/>
  <c r="S1400" i="4"/>
  <c r="X1400" i="4"/>
  <c r="AC1400" i="4" s="1"/>
  <c r="S1402" i="4"/>
  <c r="X1402" i="4" s="1"/>
  <c r="X1409" i="4"/>
  <c r="W1423" i="4"/>
  <c r="V1423" i="4"/>
  <c r="S1423" i="4" s="1"/>
  <c r="X1423" i="4" s="1"/>
  <c r="AC1423" i="4" s="1"/>
  <c r="W1486" i="4"/>
  <c r="V1486" i="4"/>
  <c r="S1486" i="4" s="1"/>
  <c r="X1486" i="4" s="1"/>
  <c r="W1495" i="4"/>
  <c r="V1495" i="4"/>
  <c r="S1495" i="4" s="1"/>
  <c r="W1359" i="4"/>
  <c r="X1359" i="4" s="1"/>
  <c r="W1367" i="4"/>
  <c r="W1372" i="4"/>
  <c r="X1372" i="4" s="1"/>
  <c r="W1381" i="4"/>
  <c r="X1381" i="4" s="1"/>
  <c r="W1383" i="4"/>
  <c r="X1383" i="4" s="1"/>
  <c r="W1391" i="4"/>
  <c r="X1391" i="4" s="1"/>
  <c r="W1393" i="4"/>
  <c r="X1393" i="4" s="1"/>
  <c r="W1395" i="4"/>
  <c r="X1395" i="4" s="1"/>
  <c r="W1397" i="4"/>
  <c r="X1397" i="4" s="1"/>
  <c r="W1399" i="4"/>
  <c r="X1399" i="4" s="1"/>
  <c r="W1401" i="4"/>
  <c r="O1415" i="4"/>
  <c r="O1416" i="4"/>
  <c r="P1417" i="4"/>
  <c r="Q1419" i="4"/>
  <c r="Q1421" i="4"/>
  <c r="N1428" i="4"/>
  <c r="O1429" i="4"/>
  <c r="O1430" i="4"/>
  <c r="P1431" i="4"/>
  <c r="Q1433" i="4"/>
  <c r="N1440" i="4"/>
  <c r="O1441" i="4"/>
  <c r="O1442" i="4"/>
  <c r="P1443" i="4"/>
  <c r="Q1445" i="4"/>
  <c r="N1452" i="4"/>
  <c r="O1453" i="4"/>
  <c r="O1454" i="4"/>
  <c r="P1455" i="4"/>
  <c r="Q1457" i="4"/>
  <c r="N1464" i="4"/>
  <c r="O1465" i="4"/>
  <c r="O1466" i="4"/>
  <c r="P1467" i="4"/>
  <c r="Q1469" i="4"/>
  <c r="N1476" i="4"/>
  <c r="O1477" i="4"/>
  <c r="O1478" i="4"/>
  <c r="P1479" i="4"/>
  <c r="Q1481" i="4"/>
  <c r="N1488" i="4"/>
  <c r="O1489" i="4"/>
  <c r="O1490" i="4"/>
  <c r="P1491" i="4"/>
  <c r="Q1493" i="4"/>
  <c r="N1500" i="4"/>
  <c r="O1501" i="4"/>
  <c r="O1502" i="4"/>
  <c r="P1503" i="4"/>
  <c r="Q1505" i="4"/>
  <c r="U1509" i="4"/>
  <c r="W1513" i="4"/>
  <c r="V1517" i="4"/>
  <c r="O1518" i="4"/>
  <c r="T1518" i="4" s="1"/>
  <c r="N1518" i="4"/>
  <c r="P1527" i="4"/>
  <c r="V1529" i="4"/>
  <c r="O1530" i="4"/>
  <c r="T1530" i="4" s="1"/>
  <c r="N1530" i="4"/>
  <c r="X1535" i="4"/>
  <c r="AC1535" i="4" s="1"/>
  <c r="V1537" i="4"/>
  <c r="V1541" i="4"/>
  <c r="S1541" i="4" s="1"/>
  <c r="X1541" i="4" s="1"/>
  <c r="U1544" i="4"/>
  <c r="T1545" i="4"/>
  <c r="P1545" i="4"/>
  <c r="Q1562" i="4"/>
  <c r="O1562" i="4"/>
  <c r="T1562" i="4" s="1"/>
  <c r="N1562" i="4"/>
  <c r="V1565" i="4"/>
  <c r="S1565" i="4" s="1"/>
  <c r="W1568" i="4"/>
  <c r="V1568" i="4"/>
  <c r="U1425" i="4"/>
  <c r="U1426" i="4"/>
  <c r="U1437" i="4"/>
  <c r="U1438" i="4"/>
  <c r="U1449" i="4"/>
  <c r="U1450" i="4"/>
  <c r="U1461" i="4"/>
  <c r="U1462" i="4"/>
  <c r="U1473" i="4"/>
  <c r="U1474" i="4"/>
  <c r="U1485" i="4"/>
  <c r="U1486" i="4"/>
  <c r="U1497" i="4"/>
  <c r="U1498" i="4"/>
  <c r="O1520" i="4"/>
  <c r="T1520" i="4" s="1"/>
  <c r="N1520" i="4"/>
  <c r="U1521" i="4"/>
  <c r="O1532" i="4"/>
  <c r="T1532" i="4" s="1"/>
  <c r="N1532" i="4"/>
  <c r="U1533" i="4"/>
  <c r="W1556" i="4"/>
  <c r="V1556" i="4"/>
  <c r="S1556" i="4" s="1"/>
  <c r="X1556" i="4" s="1"/>
  <c r="S1568" i="4"/>
  <c r="V1408" i="4"/>
  <c r="S1408" i="4" s="1"/>
  <c r="X1408" i="4" s="1"/>
  <c r="U1423" i="4"/>
  <c r="N1424" i="4"/>
  <c r="O1425" i="4"/>
  <c r="T1425" i="4" s="1"/>
  <c r="P1427" i="4"/>
  <c r="U1435" i="4"/>
  <c r="N1436" i="4"/>
  <c r="O1437" i="4"/>
  <c r="T1437" i="4" s="1"/>
  <c r="P1439" i="4"/>
  <c r="U1447" i="4"/>
  <c r="N1448" i="4"/>
  <c r="O1449" i="4"/>
  <c r="T1449" i="4" s="1"/>
  <c r="P1451" i="4"/>
  <c r="U1459" i="4"/>
  <c r="N1460" i="4"/>
  <c r="O1461" i="4"/>
  <c r="T1461" i="4" s="1"/>
  <c r="P1463" i="4"/>
  <c r="U1471" i="4"/>
  <c r="N1472" i="4"/>
  <c r="O1473" i="4"/>
  <c r="T1473" i="4" s="1"/>
  <c r="P1475" i="4"/>
  <c r="U1483" i="4"/>
  <c r="N1484" i="4"/>
  <c r="O1485" i="4"/>
  <c r="T1485" i="4" s="1"/>
  <c r="P1487" i="4"/>
  <c r="U1495" i="4"/>
  <c r="N1496" i="4"/>
  <c r="O1497" i="4"/>
  <c r="T1497" i="4" s="1"/>
  <c r="P1499" i="4"/>
  <c r="U1507" i="4"/>
  <c r="N1508" i="4"/>
  <c r="O1509" i="4"/>
  <c r="T1509" i="4" s="1"/>
  <c r="P1511" i="4"/>
  <c r="N1514" i="4"/>
  <c r="Y1517" i="4"/>
  <c r="AA1517" i="4" s="1"/>
  <c r="P1519" i="4"/>
  <c r="Q1520" i="4"/>
  <c r="O1522" i="4"/>
  <c r="T1522" i="4" s="1"/>
  <c r="N1522" i="4"/>
  <c r="U1523" i="4"/>
  <c r="P1531" i="4"/>
  <c r="Q1532" i="4"/>
  <c r="O1534" i="4"/>
  <c r="T1534" i="4" s="1"/>
  <c r="N1534" i="4"/>
  <c r="U1535" i="4"/>
  <c r="O1536" i="4"/>
  <c r="T1536" i="4" s="1"/>
  <c r="N1536" i="4"/>
  <c r="O1540" i="4"/>
  <c r="T1540" i="4" s="1"/>
  <c r="N1540" i="4"/>
  <c r="U1543" i="4"/>
  <c r="W1577" i="4"/>
  <c r="V1577" i="4"/>
  <c r="S1577" i="4" s="1"/>
  <c r="V1406" i="4"/>
  <c r="S1406" i="4" s="1"/>
  <c r="X1406" i="4" s="1"/>
  <c r="U1419" i="4"/>
  <c r="U1421" i="4"/>
  <c r="U1422" i="4"/>
  <c r="O1424" i="4"/>
  <c r="T1424" i="4" s="1"/>
  <c r="U1433" i="4"/>
  <c r="U1434" i="4"/>
  <c r="O1436" i="4"/>
  <c r="T1436" i="4" s="1"/>
  <c r="U1445" i="4"/>
  <c r="U1446" i="4"/>
  <c r="O1448" i="4"/>
  <c r="T1448" i="4" s="1"/>
  <c r="U1457" i="4"/>
  <c r="U1458" i="4"/>
  <c r="O1460" i="4"/>
  <c r="T1460" i="4" s="1"/>
  <c r="U1469" i="4"/>
  <c r="U1470" i="4"/>
  <c r="O1472" i="4"/>
  <c r="T1472" i="4" s="1"/>
  <c r="U1481" i="4"/>
  <c r="U1482" i="4"/>
  <c r="O1484" i="4"/>
  <c r="T1484" i="4" s="1"/>
  <c r="U1493" i="4"/>
  <c r="U1494" i="4"/>
  <c r="O1496" i="4"/>
  <c r="T1496" i="4" s="1"/>
  <c r="U1505" i="4"/>
  <c r="U1506" i="4"/>
  <c r="O1508" i="4"/>
  <c r="T1508" i="4" s="1"/>
  <c r="P1512" i="4"/>
  <c r="S1513" i="4"/>
  <c r="X1513" i="4" s="1"/>
  <c r="AC1513" i="4" s="1"/>
  <c r="O1514" i="4"/>
  <c r="T1514" i="4" s="1"/>
  <c r="X1517" i="4"/>
  <c r="AC1517" i="4" s="1"/>
  <c r="O1524" i="4"/>
  <c r="T1524" i="4" s="1"/>
  <c r="N1524" i="4"/>
  <c r="U1525" i="4"/>
  <c r="N1575" i="4"/>
  <c r="O1575" i="4"/>
  <c r="T1575" i="4" s="1"/>
  <c r="Q1575" i="4"/>
  <c r="V1388" i="4"/>
  <c r="S1388" i="4" s="1"/>
  <c r="X1388" i="4" s="1"/>
  <c r="N1418" i="4"/>
  <c r="O1419" i="4"/>
  <c r="T1419" i="4" s="1"/>
  <c r="O1421" i="4"/>
  <c r="T1421" i="4" s="1"/>
  <c r="O1422" i="4"/>
  <c r="T1422" i="4" s="1"/>
  <c r="Q1425" i="4"/>
  <c r="N1432" i="4"/>
  <c r="O1433" i="4"/>
  <c r="T1433" i="4" s="1"/>
  <c r="O1434" i="4"/>
  <c r="T1434" i="4" s="1"/>
  <c r="Q1437" i="4"/>
  <c r="N1444" i="4"/>
  <c r="O1445" i="4"/>
  <c r="T1445" i="4" s="1"/>
  <c r="O1446" i="4"/>
  <c r="T1446" i="4" s="1"/>
  <c r="Q1449" i="4"/>
  <c r="N1456" i="4"/>
  <c r="O1457" i="4"/>
  <c r="T1457" i="4" s="1"/>
  <c r="O1458" i="4"/>
  <c r="T1458" i="4" s="1"/>
  <c r="Q1461" i="4"/>
  <c r="N1468" i="4"/>
  <c r="O1469" i="4"/>
  <c r="T1469" i="4" s="1"/>
  <c r="O1470" i="4"/>
  <c r="T1470" i="4" s="1"/>
  <c r="Q1473" i="4"/>
  <c r="N1480" i="4"/>
  <c r="O1481" i="4"/>
  <c r="T1481" i="4" s="1"/>
  <c r="O1482" i="4"/>
  <c r="T1482" i="4" s="1"/>
  <c r="Q1485" i="4"/>
  <c r="N1492" i="4"/>
  <c r="O1493" i="4"/>
  <c r="T1493" i="4" s="1"/>
  <c r="O1494" i="4"/>
  <c r="T1494" i="4" s="1"/>
  <c r="Q1497" i="4"/>
  <c r="N1504" i="4"/>
  <c r="O1505" i="4"/>
  <c r="T1505" i="4" s="1"/>
  <c r="O1506" i="4"/>
  <c r="T1506" i="4" s="1"/>
  <c r="Q1509" i="4"/>
  <c r="N1510" i="4"/>
  <c r="O1512" i="4"/>
  <c r="T1512" i="4" s="1"/>
  <c r="O1516" i="4"/>
  <c r="T1516" i="4" s="1"/>
  <c r="Q1516" i="4"/>
  <c r="Q1524" i="4"/>
  <c r="O1526" i="4"/>
  <c r="T1526" i="4" s="1"/>
  <c r="N1526" i="4"/>
  <c r="Y1533" i="4"/>
  <c r="AA1533" i="4" s="1"/>
  <c r="X1537" i="4"/>
  <c r="AC1537" i="4" s="1"/>
  <c r="P1553" i="4"/>
  <c r="N1563" i="4"/>
  <c r="O1563" i="4"/>
  <c r="T1563" i="4" s="1"/>
  <c r="Q1563" i="4"/>
  <c r="S1592" i="4"/>
  <c r="X1592" i="4" s="1"/>
  <c r="X1412" i="4"/>
  <c r="AC1412" i="4" s="1"/>
  <c r="O1418" i="4"/>
  <c r="T1418" i="4" s="1"/>
  <c r="P1420" i="4"/>
  <c r="Q1423" i="4"/>
  <c r="O1432" i="4"/>
  <c r="T1432" i="4" s="1"/>
  <c r="Q1435" i="4"/>
  <c r="Y1435" i="4" s="1"/>
  <c r="AA1435" i="4" s="1"/>
  <c r="O1444" i="4"/>
  <c r="T1444" i="4" s="1"/>
  <c r="Q1447" i="4"/>
  <c r="O1456" i="4"/>
  <c r="T1456" i="4" s="1"/>
  <c r="Q1459" i="4"/>
  <c r="O1468" i="4"/>
  <c r="T1468" i="4" s="1"/>
  <c r="Q1471" i="4"/>
  <c r="O1480" i="4"/>
  <c r="T1480" i="4" s="1"/>
  <c r="Q1483" i="4"/>
  <c r="O1492" i="4"/>
  <c r="T1492" i="4" s="1"/>
  <c r="Q1495" i="4"/>
  <c r="O1504" i="4"/>
  <c r="T1504" i="4" s="1"/>
  <c r="Q1507" i="4"/>
  <c r="O1510" i="4"/>
  <c r="T1510" i="4" s="1"/>
  <c r="P1516" i="4"/>
  <c r="U1516" i="4"/>
  <c r="O1528" i="4"/>
  <c r="T1528" i="4" s="1"/>
  <c r="N1528" i="4"/>
  <c r="X1533" i="4"/>
  <c r="AC1533" i="4" s="1"/>
  <c r="O1538" i="4"/>
  <c r="T1538" i="4" s="1"/>
  <c r="N1538" i="4"/>
  <c r="P1539" i="4"/>
  <c r="O1542" i="4"/>
  <c r="T1542" i="4" s="1"/>
  <c r="N1542" i="4"/>
  <c r="Q1550" i="4"/>
  <c r="O1550" i="4"/>
  <c r="T1550" i="4" s="1"/>
  <c r="N1550" i="4"/>
  <c r="N1551" i="4"/>
  <c r="O1551" i="4"/>
  <c r="T1551" i="4" s="1"/>
  <c r="Q1551" i="4"/>
  <c r="Q1574" i="4"/>
  <c r="O1574" i="4"/>
  <c r="T1574" i="4" s="1"/>
  <c r="N1574" i="4"/>
  <c r="U1576" i="4"/>
  <c r="P1599" i="4"/>
  <c r="W1613" i="4"/>
  <c r="V1613" i="4"/>
  <c r="S1613" i="4" s="1"/>
  <c r="S1517" i="4"/>
  <c r="S1523" i="4"/>
  <c r="X1523" i="4" s="1"/>
  <c r="S1529" i="4"/>
  <c r="X1529" i="4" s="1"/>
  <c r="S1533" i="4"/>
  <c r="S1535" i="4"/>
  <c r="S1537" i="4"/>
  <c r="N1546" i="4"/>
  <c r="O1547" i="4"/>
  <c r="O1548" i="4"/>
  <c r="T1548" i="4" s="1"/>
  <c r="N1558" i="4"/>
  <c r="O1559" i="4"/>
  <c r="O1560" i="4"/>
  <c r="T1560" i="4" s="1"/>
  <c r="N1570" i="4"/>
  <c r="O1571" i="4"/>
  <c r="O1572" i="4"/>
  <c r="T1572" i="4" s="1"/>
  <c r="N1582" i="4"/>
  <c r="O1583" i="4"/>
  <c r="O1584" i="4"/>
  <c r="T1584" i="4" s="1"/>
  <c r="Q1587" i="4"/>
  <c r="N1594" i="4"/>
  <c r="O1595" i="4"/>
  <c r="O1596" i="4"/>
  <c r="T1596" i="4" s="1"/>
  <c r="Q1599" i="4"/>
  <c r="N1606" i="4"/>
  <c r="O1607" i="4"/>
  <c r="O1608" i="4"/>
  <c r="T1608" i="4" s="1"/>
  <c r="Q1611" i="4"/>
  <c r="N1618" i="4"/>
  <c r="O1619" i="4"/>
  <c r="O1620" i="4"/>
  <c r="T1620" i="4" s="1"/>
  <c r="P1670" i="4"/>
  <c r="P1676" i="4"/>
  <c r="W1683" i="4"/>
  <c r="V1683" i="4"/>
  <c r="S1683" i="4" s="1"/>
  <c r="X1683" i="4" s="1"/>
  <c r="W1687" i="4"/>
  <c r="V1687" i="4"/>
  <c r="S1687" i="4" s="1"/>
  <c r="W1697" i="4"/>
  <c r="V1697" i="4"/>
  <c r="P1680" i="4"/>
  <c r="P1684" i="4"/>
  <c r="P1688" i="4"/>
  <c r="W1699" i="4"/>
  <c r="V1699" i="4"/>
  <c r="S1699" i="4" s="1"/>
  <c r="U1553" i="4"/>
  <c r="N1554" i="4"/>
  <c r="O1555" i="4"/>
  <c r="P1557" i="4"/>
  <c r="U1565" i="4"/>
  <c r="N1566" i="4"/>
  <c r="O1567" i="4"/>
  <c r="P1569" i="4"/>
  <c r="U1577" i="4"/>
  <c r="N1578" i="4"/>
  <c r="O1579" i="4"/>
  <c r="P1581" i="4"/>
  <c r="U1589" i="4"/>
  <c r="N1590" i="4"/>
  <c r="O1591" i="4"/>
  <c r="V1592" i="4"/>
  <c r="P1593" i="4"/>
  <c r="U1601" i="4"/>
  <c r="N1602" i="4"/>
  <c r="O1603" i="4"/>
  <c r="P1605" i="4"/>
  <c r="U1613" i="4"/>
  <c r="N1614" i="4"/>
  <c r="O1615" i="4"/>
  <c r="P1617" i="4"/>
  <c r="Q1623" i="4"/>
  <c r="N1623" i="4"/>
  <c r="Q1631" i="4"/>
  <c r="N1631" i="4"/>
  <c r="O1632" i="4"/>
  <c r="T1632" i="4" s="1"/>
  <c r="N1632" i="4"/>
  <c r="Q1632" i="4"/>
  <c r="O1634" i="4"/>
  <c r="T1634" i="4" s="1"/>
  <c r="N1634" i="4"/>
  <c r="Q1634" i="4"/>
  <c r="O1636" i="4"/>
  <c r="T1636" i="4" s="1"/>
  <c r="N1636" i="4"/>
  <c r="Q1636" i="4"/>
  <c r="O1638" i="4"/>
  <c r="T1638" i="4" s="1"/>
  <c r="N1638" i="4"/>
  <c r="Q1638" i="4"/>
  <c r="O1640" i="4"/>
  <c r="T1640" i="4" s="1"/>
  <c r="N1640" i="4"/>
  <c r="Q1640" i="4"/>
  <c r="O1642" i="4"/>
  <c r="T1642" i="4" s="1"/>
  <c r="N1642" i="4"/>
  <c r="Q1642" i="4"/>
  <c r="O1644" i="4"/>
  <c r="T1644" i="4" s="1"/>
  <c r="N1644" i="4"/>
  <c r="Q1644" i="4"/>
  <c r="O1646" i="4"/>
  <c r="T1646" i="4" s="1"/>
  <c r="N1646" i="4"/>
  <c r="Q1646" i="4"/>
  <c r="O1648" i="4"/>
  <c r="T1648" i="4" s="1"/>
  <c r="N1648" i="4"/>
  <c r="Q1648" i="4"/>
  <c r="O1650" i="4"/>
  <c r="T1650" i="4" s="1"/>
  <c r="N1650" i="4"/>
  <c r="Q1650" i="4"/>
  <c r="O1652" i="4"/>
  <c r="T1652" i="4" s="1"/>
  <c r="N1652" i="4"/>
  <c r="Q1652" i="4"/>
  <c r="O1654" i="4"/>
  <c r="T1654" i="4" s="1"/>
  <c r="N1654" i="4"/>
  <c r="Q1654" i="4"/>
  <c r="O1656" i="4"/>
  <c r="T1656" i="4" s="1"/>
  <c r="N1656" i="4"/>
  <c r="Q1656" i="4"/>
  <c r="O1658" i="4"/>
  <c r="T1658" i="4" s="1"/>
  <c r="N1658" i="4"/>
  <c r="Q1658" i="4"/>
  <c r="O1660" i="4"/>
  <c r="T1660" i="4" s="1"/>
  <c r="N1660" i="4"/>
  <c r="Q1660" i="4"/>
  <c r="O1662" i="4"/>
  <c r="T1662" i="4" s="1"/>
  <c r="N1662" i="4"/>
  <c r="Q1662" i="4"/>
  <c r="O1664" i="4"/>
  <c r="T1664" i="4" s="1"/>
  <c r="N1664" i="4"/>
  <c r="Q1664" i="4"/>
  <c r="P1666" i="4"/>
  <c r="P1668" i="4"/>
  <c r="W1671" i="4"/>
  <c r="V1671" i="4"/>
  <c r="P1674" i="4"/>
  <c r="S1697" i="4"/>
  <c r="X1697" i="4" s="1"/>
  <c r="U1587" i="4"/>
  <c r="U1588" i="4"/>
  <c r="U1599" i="4"/>
  <c r="U1600" i="4"/>
  <c r="U1611" i="4"/>
  <c r="U1612" i="4"/>
  <c r="Q1629" i="4"/>
  <c r="N1629" i="4"/>
  <c r="O1630" i="4"/>
  <c r="T1630" i="4" s="1"/>
  <c r="N1630" i="4"/>
  <c r="Q1630" i="4"/>
  <c r="W1681" i="4"/>
  <c r="V1681" i="4"/>
  <c r="S1681" i="4" s="1"/>
  <c r="X1681" i="4" s="1"/>
  <c r="AC1681" i="4" s="1"/>
  <c r="W1685" i="4"/>
  <c r="V1685" i="4"/>
  <c r="S1685" i="4" s="1"/>
  <c r="W1689" i="4"/>
  <c r="V1689" i="4"/>
  <c r="S1689" i="4" s="1"/>
  <c r="O1552" i="4"/>
  <c r="T1552" i="4" s="1"/>
  <c r="Q1555" i="4"/>
  <c r="O1564" i="4"/>
  <c r="T1564" i="4" s="1"/>
  <c r="Q1567" i="4"/>
  <c r="O1576" i="4"/>
  <c r="T1576" i="4" s="1"/>
  <c r="Q1579" i="4"/>
  <c r="N1586" i="4"/>
  <c r="O1587" i="4"/>
  <c r="T1587" i="4" s="1"/>
  <c r="O1588" i="4"/>
  <c r="T1588" i="4" s="1"/>
  <c r="Q1591" i="4"/>
  <c r="N1598" i="4"/>
  <c r="O1599" i="4"/>
  <c r="T1599" i="4" s="1"/>
  <c r="O1600" i="4"/>
  <c r="T1600" i="4" s="1"/>
  <c r="Q1603" i="4"/>
  <c r="N1610" i="4"/>
  <c r="O1611" i="4"/>
  <c r="T1611" i="4" s="1"/>
  <c r="O1612" i="4"/>
  <c r="T1612" i="4" s="1"/>
  <c r="Q1615" i="4"/>
  <c r="N1622" i="4"/>
  <c r="N1624" i="4"/>
  <c r="Q1624" i="4"/>
  <c r="Q1627" i="4"/>
  <c r="N1627" i="4"/>
  <c r="O1628" i="4"/>
  <c r="T1628" i="4" s="1"/>
  <c r="N1628" i="4"/>
  <c r="Q1628" i="4"/>
  <c r="O1629" i="4"/>
  <c r="T1629" i="4" s="1"/>
  <c r="W1675" i="4"/>
  <c r="V1675" i="4"/>
  <c r="S1675" i="4" s="1"/>
  <c r="X1675" i="4" s="1"/>
  <c r="W1678" i="4"/>
  <c r="V1678" i="4"/>
  <c r="S1678" i="4" s="1"/>
  <c r="X1678" i="4" s="1"/>
  <c r="AC1678" i="4" s="1"/>
  <c r="U1680" i="4"/>
  <c r="U1684" i="4"/>
  <c r="W1686" i="4"/>
  <c r="V1686" i="4"/>
  <c r="S1686" i="4" s="1"/>
  <c r="X1686" i="4" s="1"/>
  <c r="AC1686" i="4" s="1"/>
  <c r="U1688" i="4"/>
  <c r="N1548" i="4"/>
  <c r="O1549" i="4"/>
  <c r="T1549" i="4" s="1"/>
  <c r="Q1553" i="4"/>
  <c r="N1560" i="4"/>
  <c r="O1561" i="4"/>
  <c r="T1561" i="4" s="1"/>
  <c r="Q1565" i="4"/>
  <c r="N1572" i="4"/>
  <c r="O1573" i="4"/>
  <c r="T1573" i="4" s="1"/>
  <c r="Q1577" i="4"/>
  <c r="N1584" i="4"/>
  <c r="O1585" i="4"/>
  <c r="T1585" i="4" s="1"/>
  <c r="O1586" i="4"/>
  <c r="T1586" i="4" s="1"/>
  <c r="Q1589" i="4"/>
  <c r="N1596" i="4"/>
  <c r="O1597" i="4"/>
  <c r="T1597" i="4" s="1"/>
  <c r="O1598" i="4"/>
  <c r="T1598" i="4" s="1"/>
  <c r="Q1601" i="4"/>
  <c r="N1608" i="4"/>
  <c r="O1609" i="4"/>
  <c r="T1609" i="4" s="1"/>
  <c r="O1610" i="4"/>
  <c r="T1610" i="4" s="1"/>
  <c r="Q1613" i="4"/>
  <c r="N1620" i="4"/>
  <c r="O1621" i="4"/>
  <c r="T1621" i="4" s="1"/>
  <c r="O1622" i="4"/>
  <c r="T1622" i="4" s="1"/>
  <c r="O1624" i="4"/>
  <c r="T1624" i="4" s="1"/>
  <c r="Q1625" i="4"/>
  <c r="N1625" i="4"/>
  <c r="O1626" i="4"/>
  <c r="T1626" i="4" s="1"/>
  <c r="N1626" i="4"/>
  <c r="Q1626" i="4"/>
  <c r="O1627" i="4"/>
  <c r="T1627" i="4" s="1"/>
  <c r="Q1633" i="4"/>
  <c r="O1633" i="4"/>
  <c r="T1633" i="4" s="1"/>
  <c r="N1633" i="4"/>
  <c r="Q1635" i="4"/>
  <c r="O1635" i="4"/>
  <c r="T1635" i="4" s="1"/>
  <c r="N1635" i="4"/>
  <c r="Q1637" i="4"/>
  <c r="O1637" i="4"/>
  <c r="T1637" i="4" s="1"/>
  <c r="N1637" i="4"/>
  <c r="Q1639" i="4"/>
  <c r="O1639" i="4"/>
  <c r="T1639" i="4" s="1"/>
  <c r="N1639" i="4"/>
  <c r="Q1641" i="4"/>
  <c r="O1641" i="4"/>
  <c r="T1641" i="4" s="1"/>
  <c r="N1641" i="4"/>
  <c r="Q1643" i="4"/>
  <c r="O1643" i="4"/>
  <c r="T1643" i="4" s="1"/>
  <c r="N1643" i="4"/>
  <c r="Q1645" i="4"/>
  <c r="O1645" i="4"/>
  <c r="T1645" i="4" s="1"/>
  <c r="N1645" i="4"/>
  <c r="Q1647" i="4"/>
  <c r="O1647" i="4"/>
  <c r="T1647" i="4" s="1"/>
  <c r="N1647" i="4"/>
  <c r="Q1649" i="4"/>
  <c r="O1649" i="4"/>
  <c r="T1649" i="4" s="1"/>
  <c r="N1649" i="4"/>
  <c r="Q1651" i="4"/>
  <c r="O1651" i="4"/>
  <c r="T1651" i="4" s="1"/>
  <c r="N1651" i="4"/>
  <c r="Q1653" i="4"/>
  <c r="O1653" i="4"/>
  <c r="T1653" i="4" s="1"/>
  <c r="N1653" i="4"/>
  <c r="Q1655" i="4"/>
  <c r="O1655" i="4"/>
  <c r="T1655" i="4" s="1"/>
  <c r="N1655" i="4"/>
  <c r="Q1657" i="4"/>
  <c r="O1657" i="4"/>
  <c r="T1657" i="4" s="1"/>
  <c r="N1657" i="4"/>
  <c r="Q1659" i="4"/>
  <c r="O1659" i="4"/>
  <c r="T1659" i="4" s="1"/>
  <c r="N1659" i="4"/>
  <c r="Q1661" i="4"/>
  <c r="O1661" i="4"/>
  <c r="T1661" i="4" s="1"/>
  <c r="N1661" i="4"/>
  <c r="Q1663" i="4"/>
  <c r="O1663" i="4"/>
  <c r="T1663" i="4" s="1"/>
  <c r="N1663" i="4"/>
  <c r="Q1665" i="4"/>
  <c r="O1665" i="4"/>
  <c r="T1665" i="4" s="1"/>
  <c r="N1665" i="4"/>
  <c r="S1671" i="4"/>
  <c r="X1671" i="4" s="1"/>
  <c r="AC1671" i="4" s="1"/>
  <c r="O1691" i="4"/>
  <c r="T1691" i="4" s="1"/>
  <c r="P1692" i="4"/>
  <c r="Q1694" i="4"/>
  <c r="T1699" i="4"/>
  <c r="N1701" i="4"/>
  <c r="O1702" i="4"/>
  <c r="T1702" i="4" s="1"/>
  <c r="O1703" i="4"/>
  <c r="T1703" i="4" s="1"/>
  <c r="O1705" i="4"/>
  <c r="T1705" i="4" s="1"/>
  <c r="O1707" i="4"/>
  <c r="T1707" i="4" s="1"/>
  <c r="O1709" i="4"/>
  <c r="T1709" i="4" s="1"/>
  <c r="O1711" i="4"/>
  <c r="T1711" i="4" s="1"/>
  <c r="O1713" i="4"/>
  <c r="T1713" i="4" s="1"/>
  <c r="O1715" i="4"/>
  <c r="T1715" i="4" s="1"/>
  <c r="O1717" i="4"/>
  <c r="T1717" i="4" s="1"/>
  <c r="O1719" i="4"/>
  <c r="T1719" i="4" s="1"/>
  <c r="O1721" i="4"/>
  <c r="T1721" i="4" s="1"/>
  <c r="O1723" i="4"/>
  <c r="T1723" i="4" s="1"/>
  <c r="O1725" i="4"/>
  <c r="T1725" i="4" s="1"/>
  <c r="O1727" i="4"/>
  <c r="T1727" i="4" s="1"/>
  <c r="O1729" i="4"/>
  <c r="T1729" i="4" s="1"/>
  <c r="O1731" i="4"/>
  <c r="T1731" i="4" s="1"/>
  <c r="O1733" i="4"/>
  <c r="T1733" i="4" s="1"/>
  <c r="O1735" i="4"/>
  <c r="T1735" i="4" s="1"/>
  <c r="O1737" i="4"/>
  <c r="T1737" i="4" s="1"/>
  <c r="O1739" i="4"/>
  <c r="T1739" i="4" s="1"/>
  <c r="O1741" i="4"/>
  <c r="T1741" i="4" s="1"/>
  <c r="O1743" i="4"/>
  <c r="T1743" i="4" s="1"/>
  <c r="O1745" i="4"/>
  <c r="T1745" i="4" s="1"/>
  <c r="O1747" i="4"/>
  <c r="T1747" i="4" s="1"/>
  <c r="O1749" i="4"/>
  <c r="T1749" i="4" s="1"/>
  <c r="O1751" i="4"/>
  <c r="T1751" i="4" s="1"/>
  <c r="O1753" i="4"/>
  <c r="T1753" i="4" s="1"/>
  <c r="O1755" i="4"/>
  <c r="T1755" i="4" s="1"/>
  <c r="O1757" i="4"/>
  <c r="T1757" i="4" s="1"/>
  <c r="O1759" i="4"/>
  <c r="T1759" i="4" s="1"/>
  <c r="O1761" i="4"/>
  <c r="T1761" i="4" s="1"/>
  <c r="O1763" i="4"/>
  <c r="T1763" i="4" s="1"/>
  <c r="O1765" i="4"/>
  <c r="T1765" i="4" s="1"/>
  <c r="O1767" i="4"/>
  <c r="T1767" i="4" s="1"/>
  <c r="O1769" i="4"/>
  <c r="T1769" i="4" s="1"/>
  <c r="O1771" i="4"/>
  <c r="T1771" i="4" s="1"/>
  <c r="O1773" i="4"/>
  <c r="T1773" i="4" s="1"/>
  <c r="O1775" i="4"/>
  <c r="T1775" i="4" s="1"/>
  <c r="P9" i="5"/>
  <c r="O9" i="5"/>
  <c r="N9" i="5"/>
  <c r="N45" i="5"/>
  <c r="O45" i="5"/>
  <c r="P45" i="5"/>
  <c r="Q1678" i="4"/>
  <c r="Q1680" i="4"/>
  <c r="T1681" i="4"/>
  <c r="Q1682" i="4"/>
  <c r="T1683" i="4"/>
  <c r="Q1684" i="4"/>
  <c r="T1685" i="4"/>
  <c r="Q1686" i="4"/>
  <c r="T1687" i="4"/>
  <c r="Q1688" i="4"/>
  <c r="T1689" i="4"/>
  <c r="Q1690" i="4"/>
  <c r="V1700" i="4"/>
  <c r="S1700" i="4" s="1"/>
  <c r="X1700" i="4" s="1"/>
  <c r="AC1700" i="4" s="1"/>
  <c r="O1701" i="4"/>
  <c r="T1701" i="4" s="1"/>
  <c r="P1705" i="4"/>
  <c r="P1709" i="4"/>
  <c r="P1711" i="4"/>
  <c r="P1721" i="4"/>
  <c r="P1733" i="4"/>
  <c r="P1735" i="4"/>
  <c r="P1745" i="4"/>
  <c r="P1747" i="4"/>
  <c r="P1749" i="4"/>
  <c r="P1751" i="4"/>
  <c r="P1753" i="4"/>
  <c r="P1771" i="4"/>
  <c r="P1775" i="4"/>
  <c r="A1787" i="4" a="1"/>
  <c r="A1787" i="4" s="1"/>
  <c r="U1696" i="4"/>
  <c r="U1697" i="4"/>
  <c r="Q1702" i="4"/>
  <c r="O1704" i="4"/>
  <c r="T1704" i="4" s="1"/>
  <c r="N1704" i="4"/>
  <c r="O1706" i="4"/>
  <c r="T1706" i="4" s="1"/>
  <c r="N1706" i="4"/>
  <c r="O1708" i="4"/>
  <c r="T1708" i="4" s="1"/>
  <c r="N1708" i="4"/>
  <c r="O1710" i="4"/>
  <c r="T1710" i="4" s="1"/>
  <c r="N1710" i="4"/>
  <c r="O1712" i="4"/>
  <c r="T1712" i="4" s="1"/>
  <c r="N1712" i="4"/>
  <c r="O1714" i="4"/>
  <c r="T1714" i="4" s="1"/>
  <c r="N1714" i="4"/>
  <c r="O1716" i="4"/>
  <c r="T1716" i="4" s="1"/>
  <c r="N1716" i="4"/>
  <c r="O1718" i="4"/>
  <c r="T1718" i="4" s="1"/>
  <c r="N1718" i="4"/>
  <c r="O1720" i="4"/>
  <c r="T1720" i="4" s="1"/>
  <c r="N1720" i="4"/>
  <c r="O1722" i="4"/>
  <c r="T1722" i="4" s="1"/>
  <c r="N1722" i="4"/>
  <c r="O1724" i="4"/>
  <c r="T1724" i="4" s="1"/>
  <c r="N1724" i="4"/>
  <c r="O1726" i="4"/>
  <c r="T1726" i="4" s="1"/>
  <c r="N1726" i="4"/>
  <c r="O1728" i="4"/>
  <c r="T1728" i="4" s="1"/>
  <c r="N1728" i="4"/>
  <c r="O1730" i="4"/>
  <c r="T1730" i="4" s="1"/>
  <c r="N1730" i="4"/>
  <c r="O1732" i="4"/>
  <c r="T1732" i="4" s="1"/>
  <c r="N1732" i="4"/>
  <c r="O1734" i="4"/>
  <c r="T1734" i="4" s="1"/>
  <c r="N1734" i="4"/>
  <c r="O1736" i="4"/>
  <c r="T1736" i="4" s="1"/>
  <c r="N1736" i="4"/>
  <c r="O1738" i="4"/>
  <c r="T1738" i="4" s="1"/>
  <c r="N1738" i="4"/>
  <c r="O1740" i="4"/>
  <c r="T1740" i="4" s="1"/>
  <c r="N1740" i="4"/>
  <c r="O1742" i="4"/>
  <c r="T1742" i="4" s="1"/>
  <c r="N1742" i="4"/>
  <c r="O1744" i="4"/>
  <c r="T1744" i="4" s="1"/>
  <c r="N1744" i="4"/>
  <c r="O1746" i="4"/>
  <c r="T1746" i="4" s="1"/>
  <c r="N1746" i="4"/>
  <c r="O1748" i="4"/>
  <c r="T1748" i="4" s="1"/>
  <c r="N1748" i="4"/>
  <c r="O1750" i="4"/>
  <c r="T1750" i="4" s="1"/>
  <c r="N1750" i="4"/>
  <c r="O1752" i="4"/>
  <c r="T1752" i="4" s="1"/>
  <c r="N1752" i="4"/>
  <c r="O1754" i="4"/>
  <c r="T1754" i="4" s="1"/>
  <c r="N1754" i="4"/>
  <c r="O1756" i="4"/>
  <c r="T1756" i="4" s="1"/>
  <c r="N1756" i="4"/>
  <c r="O1758" i="4"/>
  <c r="T1758" i="4" s="1"/>
  <c r="N1758" i="4"/>
  <c r="O1760" i="4"/>
  <c r="T1760" i="4" s="1"/>
  <c r="N1760" i="4"/>
  <c r="O1762" i="4"/>
  <c r="T1762" i="4" s="1"/>
  <c r="N1762" i="4"/>
  <c r="O1764" i="4"/>
  <c r="T1764" i="4" s="1"/>
  <c r="N1764" i="4"/>
  <c r="O1766" i="4"/>
  <c r="T1766" i="4" s="1"/>
  <c r="N1766" i="4"/>
  <c r="O1768" i="4"/>
  <c r="T1768" i="4" s="1"/>
  <c r="N1768" i="4"/>
  <c r="O1770" i="4"/>
  <c r="T1770" i="4" s="1"/>
  <c r="N1770" i="4"/>
  <c r="O1772" i="4"/>
  <c r="T1772" i="4" s="1"/>
  <c r="N1772" i="4"/>
  <c r="O1774" i="4"/>
  <c r="T1774" i="4" s="1"/>
  <c r="N1774" i="4"/>
  <c r="O1776" i="4"/>
  <c r="T1776" i="4" s="1"/>
  <c r="X1790" i="4" s="1"/>
  <c r="X1792" i="4" s="1"/>
  <c r="N1776" i="4"/>
  <c r="H1797" i="4"/>
  <c r="A1796" i="4"/>
  <c r="H1796" i="4"/>
  <c r="X1786" i="4"/>
  <c r="D98" i="3" s="1"/>
  <c r="D99" i="3" s="1"/>
  <c r="Z1785" i="4"/>
  <c r="Z1782" i="4"/>
  <c r="AD1785" i="4" s="1"/>
  <c r="Z1784" i="4"/>
  <c r="N28" i="5"/>
  <c r="O28" i="5"/>
  <c r="P28" i="5"/>
  <c r="N1695" i="4"/>
  <c r="O1696" i="4"/>
  <c r="T1696" i="4" s="1"/>
  <c r="P1698" i="4"/>
  <c r="O1779" i="4"/>
  <c r="T1779" i="4" s="1"/>
  <c r="N1779" i="4"/>
  <c r="A1788" i="4"/>
  <c r="I567" i="6" s="1"/>
  <c r="N1693" i="4"/>
  <c r="O1694" i="4"/>
  <c r="O1695" i="4"/>
  <c r="T1695" i="4" s="1"/>
  <c r="Q1704" i="4"/>
  <c r="Q1706" i="4"/>
  <c r="Q1708" i="4"/>
  <c r="Q1710" i="4"/>
  <c r="Q1712" i="4"/>
  <c r="Q1714" i="4"/>
  <c r="Q1716" i="4"/>
  <c r="Q1718" i="4"/>
  <c r="Q1720" i="4"/>
  <c r="Q1722" i="4"/>
  <c r="Q1724" i="4"/>
  <c r="Q1726" i="4"/>
  <c r="Q1728" i="4"/>
  <c r="Q1730" i="4"/>
  <c r="Q1732" i="4"/>
  <c r="Q1734" i="4"/>
  <c r="Q1736" i="4"/>
  <c r="Q1738" i="4"/>
  <c r="Q1740" i="4"/>
  <c r="Q1742" i="4"/>
  <c r="Q1744" i="4"/>
  <c r="Q1746" i="4"/>
  <c r="Q1748" i="4"/>
  <c r="Q1750" i="4"/>
  <c r="Q1752" i="4"/>
  <c r="Q1754" i="4"/>
  <c r="Q1756" i="4"/>
  <c r="Q1758" i="4"/>
  <c r="Q1760" i="4"/>
  <c r="Q1762" i="4"/>
  <c r="Q1764" i="4"/>
  <c r="Q1766" i="4"/>
  <c r="Q1768" i="4"/>
  <c r="Q1770" i="4"/>
  <c r="Q1772" i="4"/>
  <c r="Q1774" i="4"/>
  <c r="Q1776" i="4"/>
  <c r="H1794" i="4"/>
  <c r="K567" i="6" s="1"/>
  <c r="H1791" i="4"/>
  <c r="L567" i="6" s="1"/>
  <c r="H1793" i="4" a="1"/>
  <c r="H1793" i="4" s="1"/>
  <c r="U1792" i="4"/>
  <c r="X1785" i="4"/>
  <c r="D32" i="1" s="1"/>
  <c r="D33" i="1" s="1"/>
  <c r="Z1786" i="4"/>
  <c r="N34" i="5"/>
  <c r="O34" i="5"/>
  <c r="P34" i="5"/>
  <c r="AA1799" i="4"/>
  <c r="M25" i="5"/>
  <c r="I25" i="5" s="1"/>
  <c r="H25" i="5" s="1"/>
  <c r="P31" i="5"/>
  <c r="O31" i="5"/>
  <c r="N31" i="5"/>
  <c r="K31" i="5" s="1"/>
  <c r="S31" i="5" s="1"/>
  <c r="O44" i="5"/>
  <c r="N44" i="5"/>
  <c r="P44" i="5"/>
  <c r="M50" i="5"/>
  <c r="O60" i="5"/>
  <c r="P60" i="5"/>
  <c r="N60" i="5"/>
  <c r="P62" i="5"/>
  <c r="O62" i="5"/>
  <c r="N62" i="5"/>
  <c r="I71" i="5"/>
  <c r="H71" i="5" s="1"/>
  <c r="P85" i="5"/>
  <c r="O85" i="5"/>
  <c r="N85" i="5"/>
  <c r="K85" i="5" s="1"/>
  <c r="S85" i="5" s="1"/>
  <c r="P96" i="5"/>
  <c r="O96" i="5"/>
  <c r="N96" i="5"/>
  <c r="N98" i="5"/>
  <c r="P98" i="5"/>
  <c r="O98" i="5"/>
  <c r="P107" i="5"/>
  <c r="K107" i="5" s="1"/>
  <c r="S107" i="5" s="1"/>
  <c r="O107" i="5"/>
  <c r="N107" i="5"/>
  <c r="K125" i="5"/>
  <c r="R125" i="5" s="1"/>
  <c r="S125" i="5" s="1"/>
  <c r="P141" i="5"/>
  <c r="O141" i="5"/>
  <c r="N141" i="5"/>
  <c r="N145" i="5"/>
  <c r="P145" i="5"/>
  <c r="O145" i="5"/>
  <c r="K145" i="5" s="1"/>
  <c r="S145" i="5" s="1"/>
  <c r="M176" i="5"/>
  <c r="K199" i="5"/>
  <c r="S199" i="5" s="1"/>
  <c r="P199" i="5"/>
  <c r="O199" i="5"/>
  <c r="N199" i="5"/>
  <c r="U1799" i="4"/>
  <c r="AA1797" i="4"/>
  <c r="M6" i="5"/>
  <c r="I6" i="5" s="1"/>
  <c r="H6" i="5" s="1"/>
  <c r="O12" i="5"/>
  <c r="N12" i="5"/>
  <c r="P12" i="5"/>
  <c r="P21" i="5"/>
  <c r="N21" i="5"/>
  <c r="M27" i="5"/>
  <c r="M30" i="5"/>
  <c r="I33" i="5"/>
  <c r="H33" i="5" s="1"/>
  <c r="M33" i="5"/>
  <c r="K33" i="5" s="1"/>
  <c r="N37" i="5"/>
  <c r="O37" i="5"/>
  <c r="G40" i="5"/>
  <c r="J40" i="5" s="1"/>
  <c r="F40" i="5"/>
  <c r="L40" i="5" s="1"/>
  <c r="P46" i="5"/>
  <c r="O46" i="5"/>
  <c r="N46" i="5"/>
  <c r="P65" i="5"/>
  <c r="O65" i="5"/>
  <c r="N65" i="5"/>
  <c r="N67" i="5"/>
  <c r="K67" i="5" s="1"/>
  <c r="S67" i="5" s="1"/>
  <c r="P67" i="5"/>
  <c r="O67" i="5"/>
  <c r="P70" i="5"/>
  <c r="O70" i="5"/>
  <c r="N70" i="5"/>
  <c r="O75" i="5"/>
  <c r="P75" i="5"/>
  <c r="N75" i="5"/>
  <c r="K75" i="5"/>
  <c r="S75" i="5" s="1"/>
  <c r="K87" i="5"/>
  <c r="S87" i="5" s="1"/>
  <c r="P87" i="5"/>
  <c r="O87" i="5"/>
  <c r="I87" i="5" s="1"/>
  <c r="H87" i="5" s="1"/>
  <c r="N87" i="5"/>
  <c r="P101" i="5"/>
  <c r="K101" i="5" s="1"/>
  <c r="S101" i="5" s="1"/>
  <c r="O101" i="5"/>
  <c r="N101" i="5"/>
  <c r="O105" i="5"/>
  <c r="P105" i="5"/>
  <c r="N105" i="5"/>
  <c r="I106" i="5"/>
  <c r="H106" i="5" s="1"/>
  <c r="I107" i="5"/>
  <c r="H107" i="5" s="1"/>
  <c r="N110" i="5"/>
  <c r="P110" i="5"/>
  <c r="O110" i="5"/>
  <c r="P124" i="5"/>
  <c r="K124" i="5"/>
  <c r="O124" i="5"/>
  <c r="N124" i="5"/>
  <c r="N139" i="5"/>
  <c r="K139" i="5" s="1"/>
  <c r="S139" i="5" s="1"/>
  <c r="P139" i="5"/>
  <c r="O139" i="5"/>
  <c r="P143" i="5"/>
  <c r="O143" i="5"/>
  <c r="N143" i="5"/>
  <c r="K143" i="5" s="1"/>
  <c r="S143" i="5" s="1"/>
  <c r="P144" i="5"/>
  <c r="O144" i="5"/>
  <c r="I144" i="5" s="1"/>
  <c r="H144" i="5" s="1"/>
  <c r="N144" i="5"/>
  <c r="I145" i="5"/>
  <c r="H145" i="5" s="1"/>
  <c r="K150" i="5"/>
  <c r="S150" i="5" s="1"/>
  <c r="P150" i="5"/>
  <c r="O150" i="5"/>
  <c r="I150" i="5" s="1"/>
  <c r="H150" i="5" s="1"/>
  <c r="N150" i="5"/>
  <c r="P155" i="5"/>
  <c r="O155" i="5"/>
  <c r="N155" i="5"/>
  <c r="K155" i="5" s="1"/>
  <c r="S155" i="5" s="1"/>
  <c r="O164" i="5"/>
  <c r="P164" i="5"/>
  <c r="N164" i="5"/>
  <c r="K164" i="5" s="1"/>
  <c r="S164" i="5" s="1"/>
  <c r="M183" i="5"/>
  <c r="N185" i="5"/>
  <c r="K185" i="5" s="1"/>
  <c r="S185" i="5" s="1"/>
  <c r="P185" i="5"/>
  <c r="O185" i="5"/>
  <c r="N13" i="5"/>
  <c r="O13" i="5"/>
  <c r="P14" i="5"/>
  <c r="N14" i="5"/>
  <c r="M16" i="5"/>
  <c r="P18" i="5"/>
  <c r="O18" i="5"/>
  <c r="N20" i="5"/>
  <c r="O20" i="5"/>
  <c r="O27" i="5"/>
  <c r="N27" i="5"/>
  <c r="I27" i="5" s="1"/>
  <c r="H27" i="5" s="1"/>
  <c r="P27" i="5"/>
  <c r="O33" i="5"/>
  <c r="N33" i="5"/>
  <c r="P33" i="5"/>
  <c r="M36" i="5"/>
  <c r="K36" i="5" s="1"/>
  <c r="S36" i="5" s="1"/>
  <c r="M39" i="5"/>
  <c r="P42" i="5"/>
  <c r="N42" i="5"/>
  <c r="N48" i="5"/>
  <c r="P48" i="5"/>
  <c r="O48" i="5"/>
  <c r="M51" i="5"/>
  <c r="I51" i="5" s="1"/>
  <c r="H51" i="5" s="1"/>
  <c r="M53" i="5"/>
  <c r="N55" i="5"/>
  <c r="P55" i="5"/>
  <c r="O55" i="5"/>
  <c r="P57" i="5"/>
  <c r="O57" i="5"/>
  <c r="N57" i="5"/>
  <c r="I70" i="5"/>
  <c r="H70" i="5" s="1"/>
  <c r="O73" i="5"/>
  <c r="N73" i="5"/>
  <c r="P73" i="5"/>
  <c r="N79" i="5"/>
  <c r="K79" i="5" s="1"/>
  <c r="S79" i="5" s="1"/>
  <c r="P79" i="5"/>
  <c r="O79" i="5"/>
  <c r="O84" i="5"/>
  <c r="P84" i="5"/>
  <c r="N84" i="5"/>
  <c r="K84" i="5" s="1"/>
  <c r="S84" i="5" s="1"/>
  <c r="K90" i="5"/>
  <c r="S90" i="5" s="1"/>
  <c r="O93" i="5"/>
  <c r="N93" i="5"/>
  <c r="K93" i="5" s="1"/>
  <c r="P93" i="5"/>
  <c r="N104" i="5"/>
  <c r="K104" i="5" s="1"/>
  <c r="P104" i="5"/>
  <c r="I104" i="5" s="1"/>
  <c r="H104" i="5" s="1"/>
  <c r="O104" i="5"/>
  <c r="N115" i="5"/>
  <c r="K115" i="5" s="1"/>
  <c r="R115" i="5" s="1"/>
  <c r="O115" i="5"/>
  <c r="P115" i="5"/>
  <c r="I123" i="5"/>
  <c r="H123" i="5" s="1"/>
  <c r="I124" i="5"/>
  <c r="H124" i="5" s="1"/>
  <c r="I140" i="5"/>
  <c r="H140" i="5" s="1"/>
  <c r="N142" i="5"/>
  <c r="K142" i="5" s="1"/>
  <c r="S142" i="5" s="1"/>
  <c r="O142" i="5"/>
  <c r="P142" i="5"/>
  <c r="K149" i="5"/>
  <c r="S149" i="5" s="1"/>
  <c r="N149" i="5"/>
  <c r="P149" i="5"/>
  <c r="O149" i="5"/>
  <c r="P153" i="5"/>
  <c r="O153" i="5"/>
  <c r="N153" i="5"/>
  <c r="K153" i="5" s="1"/>
  <c r="S153" i="5" s="1"/>
  <c r="O154" i="5"/>
  <c r="N154" i="5"/>
  <c r="P154" i="5"/>
  <c r="O159" i="5"/>
  <c r="K159" i="5" s="1"/>
  <c r="S159" i="5" s="1"/>
  <c r="P159" i="5"/>
  <c r="N159" i="5"/>
  <c r="M161" i="5"/>
  <c r="P170" i="5"/>
  <c r="O170" i="5"/>
  <c r="N170" i="5"/>
  <c r="M197" i="5"/>
  <c r="O204" i="5"/>
  <c r="N204" i="5"/>
  <c r="P204" i="5"/>
  <c r="O7" i="5"/>
  <c r="M9" i="5"/>
  <c r="K9" i="5" s="1"/>
  <c r="S9" i="5" s="1"/>
  <c r="F15" i="5"/>
  <c r="L15" i="5" s="1"/>
  <c r="K17" i="5"/>
  <c r="S17" i="5" s="1"/>
  <c r="P17" i="5"/>
  <c r="N17" i="5"/>
  <c r="O19" i="5"/>
  <c r="N19" i="5"/>
  <c r="P19" i="5"/>
  <c r="I19" i="5" s="1"/>
  <c r="H19" i="5" s="1"/>
  <c r="L20" i="5"/>
  <c r="M24" i="5"/>
  <c r="P26" i="5"/>
  <c r="O26" i="5"/>
  <c r="N26" i="5"/>
  <c r="P29" i="5"/>
  <c r="N29" i="5"/>
  <c r="P32" i="5"/>
  <c r="O32" i="5"/>
  <c r="N32" i="5"/>
  <c r="O36" i="5"/>
  <c r="N36" i="5"/>
  <c r="P36" i="5"/>
  <c r="P51" i="5"/>
  <c r="O51" i="5"/>
  <c r="N51" i="5"/>
  <c r="K51" i="5" s="1"/>
  <c r="S51" i="5" s="1"/>
  <c r="N61" i="5"/>
  <c r="K61" i="5" s="1"/>
  <c r="S61" i="5" s="1"/>
  <c r="O61" i="5"/>
  <c r="P61" i="5"/>
  <c r="P63" i="5"/>
  <c r="O63" i="5"/>
  <c r="N63" i="5"/>
  <c r="K72" i="5"/>
  <c r="S72" i="5" s="1"/>
  <c r="I79" i="5"/>
  <c r="H79" i="5" s="1"/>
  <c r="O82" i="5"/>
  <c r="N82" i="5"/>
  <c r="P82" i="5"/>
  <c r="O97" i="5"/>
  <c r="K97" i="5" s="1"/>
  <c r="S97" i="5" s="1"/>
  <c r="P97" i="5"/>
  <c r="N97" i="5"/>
  <c r="I103" i="5"/>
  <c r="H103" i="5" s="1"/>
  <c r="P112" i="5"/>
  <c r="O112" i="5"/>
  <c r="N112" i="5"/>
  <c r="P122" i="5"/>
  <c r="I122" i="5" s="1"/>
  <c r="H122" i="5" s="1"/>
  <c r="N122" i="5"/>
  <c r="K122" i="5" s="1"/>
  <c r="R122" i="5" s="1"/>
  <c r="S122" i="5" s="1"/>
  <c r="O122" i="5"/>
  <c r="P137" i="5"/>
  <c r="O137" i="5"/>
  <c r="N137" i="5"/>
  <c r="O148" i="5"/>
  <c r="P148" i="5"/>
  <c r="N148" i="5"/>
  <c r="I149" i="5"/>
  <c r="H149" i="5" s="1"/>
  <c r="K152" i="5"/>
  <c r="S152" i="5" s="1"/>
  <c r="N152" i="5"/>
  <c r="P152" i="5"/>
  <c r="O152" i="5"/>
  <c r="O160" i="5"/>
  <c r="P160" i="5"/>
  <c r="N160" i="5"/>
  <c r="K160" i="5" s="1"/>
  <c r="S160" i="5" s="1"/>
  <c r="N188" i="5"/>
  <c r="O188" i="5"/>
  <c r="P188" i="5"/>
  <c r="K188" i="5"/>
  <c r="S188" i="5" s="1"/>
  <c r="K192" i="5"/>
  <c r="S192" i="5" s="1"/>
  <c r="I2" i="5"/>
  <c r="H2" i="5" s="1"/>
  <c r="L3" i="5"/>
  <c r="I5" i="5"/>
  <c r="H5" i="5" s="1"/>
  <c r="P7" i="5"/>
  <c r="S8" i="5"/>
  <c r="M12" i="5"/>
  <c r="K12" i="5" s="1"/>
  <c r="S12" i="5" s="1"/>
  <c r="L13" i="5"/>
  <c r="I17" i="5"/>
  <c r="H17" i="5" s="1"/>
  <c r="L18" i="5"/>
  <c r="P20" i="5"/>
  <c r="O21" i="5"/>
  <c r="P23" i="5"/>
  <c r="N23" i="5"/>
  <c r="K25" i="5"/>
  <c r="S25" i="5" s="1"/>
  <c r="P25" i="5"/>
  <c r="N25" i="5"/>
  <c r="L26" i="5"/>
  <c r="L32" i="5"/>
  <c r="P35" i="5"/>
  <c r="O35" i="5"/>
  <c r="N35" i="5"/>
  <c r="P38" i="5"/>
  <c r="N38" i="5"/>
  <c r="O42" i="5"/>
  <c r="P49" i="5"/>
  <c r="O49" i="5"/>
  <c r="N49" i="5"/>
  <c r="P56" i="5"/>
  <c r="O56" i="5"/>
  <c r="N56" i="5"/>
  <c r="K56" i="5" s="1"/>
  <c r="S56" i="5" s="1"/>
  <c r="O66" i="5"/>
  <c r="K66" i="5" s="1"/>
  <c r="S66" i="5" s="1"/>
  <c r="P66" i="5"/>
  <c r="N66" i="5"/>
  <c r="P74" i="5"/>
  <c r="O74" i="5"/>
  <c r="N74" i="5"/>
  <c r="N76" i="5"/>
  <c r="P76" i="5"/>
  <c r="O76" i="5"/>
  <c r="K81" i="5"/>
  <c r="S81" i="5" s="1"/>
  <c r="P86" i="5"/>
  <c r="O86" i="5"/>
  <c r="I86" i="5" s="1"/>
  <c r="H86" i="5" s="1"/>
  <c r="N86" i="5"/>
  <c r="N89" i="5"/>
  <c r="K89" i="5" s="1"/>
  <c r="S89" i="5" s="1"/>
  <c r="P89" i="5"/>
  <c r="O89" i="5"/>
  <c r="O95" i="5"/>
  <c r="N95" i="5"/>
  <c r="P95" i="5"/>
  <c r="V231" i="5"/>
  <c r="P109" i="5"/>
  <c r="O109" i="5"/>
  <c r="N109" i="5"/>
  <c r="N136" i="5"/>
  <c r="I136" i="5" s="1"/>
  <c r="H136" i="5" s="1"/>
  <c r="K136" i="5"/>
  <c r="S136" i="5" s="1"/>
  <c r="P136" i="5"/>
  <c r="O136" i="5"/>
  <c r="O151" i="5"/>
  <c r="P151" i="5"/>
  <c r="N151" i="5"/>
  <c r="M167" i="5"/>
  <c r="M179" i="5"/>
  <c r="M194" i="5"/>
  <c r="O201" i="5"/>
  <c r="N201" i="5"/>
  <c r="P201" i="5"/>
  <c r="N6" i="5"/>
  <c r="O6" i="5"/>
  <c r="P11" i="5"/>
  <c r="O11" i="5"/>
  <c r="I11" i="5" s="1"/>
  <c r="H11" i="5" s="1"/>
  <c r="P13" i="5"/>
  <c r="O14" i="5"/>
  <c r="N18" i="5"/>
  <c r="M19" i="5"/>
  <c r="K19" i="5" s="1"/>
  <c r="S19" i="5" s="1"/>
  <c r="O29" i="5"/>
  <c r="M35" i="5"/>
  <c r="K35" i="5" s="1"/>
  <c r="S35" i="5" s="1"/>
  <c r="N41" i="5"/>
  <c r="O41" i="5"/>
  <c r="M44" i="5"/>
  <c r="P52" i="5"/>
  <c r="O52" i="5"/>
  <c r="N52" i="5"/>
  <c r="K58" i="5"/>
  <c r="S58" i="5" s="1"/>
  <c r="P58" i="5"/>
  <c r="O58" i="5"/>
  <c r="N58" i="5"/>
  <c r="I58" i="5" s="1"/>
  <c r="H58" i="5" s="1"/>
  <c r="P64" i="5"/>
  <c r="O64" i="5"/>
  <c r="N64" i="5"/>
  <c r="O78" i="5"/>
  <c r="P78" i="5"/>
  <c r="N78" i="5"/>
  <c r="P83" i="5"/>
  <c r="O83" i="5"/>
  <c r="N83" i="5"/>
  <c r="O92" i="5"/>
  <c r="N92" i="5"/>
  <c r="P92" i="5"/>
  <c r="N102" i="5"/>
  <c r="K102" i="5" s="1"/>
  <c r="S102" i="5" s="1"/>
  <c r="P102" i="5"/>
  <c r="O102" i="5"/>
  <c r="I102" i="5" s="1"/>
  <c r="H102" i="5" s="1"/>
  <c r="K103" i="5"/>
  <c r="S103" i="5" s="1"/>
  <c r="O108" i="5"/>
  <c r="K108" i="5"/>
  <c r="S108" i="5" s="1"/>
  <c r="P108" i="5"/>
  <c r="N108" i="5"/>
  <c r="P114" i="5"/>
  <c r="I114" i="5" s="1"/>
  <c r="H114" i="5" s="1"/>
  <c r="N114" i="5"/>
  <c r="K114" i="5" s="1"/>
  <c r="O114" i="5"/>
  <c r="N116" i="5"/>
  <c r="K116" i="5" s="1"/>
  <c r="R116" i="5" s="1"/>
  <c r="S116" i="5" s="1"/>
  <c r="P116" i="5"/>
  <c r="O116" i="5"/>
  <c r="I116" i="5" s="1"/>
  <c r="H116" i="5" s="1"/>
  <c r="N118" i="5"/>
  <c r="I118" i="5" s="1"/>
  <c r="H118" i="5" s="1"/>
  <c r="K118" i="5"/>
  <c r="R118" i="5" s="1"/>
  <c r="P118" i="5"/>
  <c r="O118" i="5"/>
  <c r="P127" i="5"/>
  <c r="O127" i="5"/>
  <c r="N127" i="5"/>
  <c r="P146" i="5"/>
  <c r="N146" i="5"/>
  <c r="I146" i="5" s="1"/>
  <c r="H146" i="5" s="1"/>
  <c r="O146" i="5"/>
  <c r="P147" i="5"/>
  <c r="O147" i="5"/>
  <c r="N147" i="5"/>
  <c r="K147" i="5" s="1"/>
  <c r="S147" i="5" s="1"/>
  <c r="N166" i="5"/>
  <c r="K166" i="5"/>
  <c r="S166" i="5" s="1"/>
  <c r="P166" i="5"/>
  <c r="O166" i="5"/>
  <c r="N169" i="5"/>
  <c r="I169" i="5" s="1"/>
  <c r="H169" i="5" s="1"/>
  <c r="O169" i="5"/>
  <c r="P169" i="5"/>
  <c r="I189" i="5"/>
  <c r="H189" i="5" s="1"/>
  <c r="O206" i="5"/>
  <c r="N206" i="5"/>
  <c r="P206" i="5"/>
  <c r="N208" i="5"/>
  <c r="K208" i="5" s="1"/>
  <c r="S208" i="5" s="1"/>
  <c r="O208" i="5"/>
  <c r="P208" i="5"/>
  <c r="W8" i="5"/>
  <c r="G16" i="5"/>
  <c r="J16" i="5" s="1"/>
  <c r="G24" i="5"/>
  <c r="J24" i="5" s="1"/>
  <c r="G30" i="5"/>
  <c r="J30" i="5" s="1"/>
  <c r="G39" i="5"/>
  <c r="J39" i="5" s="1"/>
  <c r="E43" i="5"/>
  <c r="G50" i="5"/>
  <c r="J50" i="5" s="1"/>
  <c r="G53" i="5"/>
  <c r="J53" i="5" s="1"/>
  <c r="I61" i="5"/>
  <c r="H61" i="5" s="1"/>
  <c r="L64" i="5"/>
  <c r="L65" i="5"/>
  <c r="I68" i="5"/>
  <c r="H68" i="5" s="1"/>
  <c r="P68" i="5"/>
  <c r="P69" i="5"/>
  <c r="K71" i="5"/>
  <c r="S71" i="5" s="1"/>
  <c r="O72" i="5"/>
  <c r="I72" i="5" s="1"/>
  <c r="H72" i="5" s="1"/>
  <c r="L76" i="5"/>
  <c r="L78" i="5"/>
  <c r="O80" i="5"/>
  <c r="K80" i="5" s="1"/>
  <c r="S80" i="5" s="1"/>
  <c r="O81" i="5"/>
  <c r="I81" i="5" s="1"/>
  <c r="H81" i="5" s="1"/>
  <c r="O90" i="5"/>
  <c r="I90" i="5" s="1"/>
  <c r="H90" i="5" s="1"/>
  <c r="O91" i="5"/>
  <c r="K91" i="5" s="1"/>
  <c r="S91" i="5" s="1"/>
  <c r="P94" i="5"/>
  <c r="L98" i="5"/>
  <c r="N99" i="5"/>
  <c r="K99" i="5" s="1"/>
  <c r="S99" i="5" s="1"/>
  <c r="N100" i="5"/>
  <c r="I100" i="5" s="1"/>
  <c r="H100" i="5" s="1"/>
  <c r="N103" i="5"/>
  <c r="O106" i="5"/>
  <c r="P111" i="5"/>
  <c r="P113" i="5"/>
  <c r="I115" i="5"/>
  <c r="H115" i="5" s="1"/>
  <c r="O123" i="5"/>
  <c r="N125" i="5"/>
  <c r="I125" i="5" s="1"/>
  <c r="H125" i="5" s="1"/>
  <c r="L127" i="5"/>
  <c r="I129" i="5"/>
  <c r="H129" i="5" s="1"/>
  <c r="P129" i="5"/>
  <c r="N133" i="5"/>
  <c r="I133" i="5" s="1"/>
  <c r="H133" i="5" s="1"/>
  <c r="O135" i="5"/>
  <c r="I135" i="5" s="1"/>
  <c r="H135" i="5" s="1"/>
  <c r="L137" i="5"/>
  <c r="I138" i="5"/>
  <c r="H138" i="5" s="1"/>
  <c r="P138" i="5"/>
  <c r="L148" i="5"/>
  <c r="L151" i="5"/>
  <c r="L154" i="5"/>
  <c r="O156" i="5"/>
  <c r="P165" i="5"/>
  <c r="I166" i="5"/>
  <c r="H166" i="5" s="1"/>
  <c r="V166" i="5"/>
  <c r="K168" i="5"/>
  <c r="S168" i="5" s="1"/>
  <c r="L170" i="5"/>
  <c r="X116" i="5"/>
  <c r="X115" i="5"/>
  <c r="N172" i="5"/>
  <c r="V178" i="5"/>
  <c r="P181" i="5"/>
  <c r="M184" i="5"/>
  <c r="K184" i="5" s="1"/>
  <c r="S184" i="5" s="1"/>
  <c r="N190" i="5"/>
  <c r="V196" i="5"/>
  <c r="O200" i="5"/>
  <c r="K203" i="5"/>
  <c r="S203" i="5" s="1"/>
  <c r="G207" i="5"/>
  <c r="J207" i="5" s="1"/>
  <c r="M208" i="5"/>
  <c r="G213" i="5"/>
  <c r="J213" i="5" s="1"/>
  <c r="L213" i="5"/>
  <c r="M214" i="5"/>
  <c r="P215" i="5"/>
  <c r="O215" i="5"/>
  <c r="I222" i="5"/>
  <c r="H222" i="5" s="1"/>
  <c r="N225" i="5"/>
  <c r="P225" i="5"/>
  <c r="O225" i="5"/>
  <c r="E233" i="5"/>
  <c r="O239" i="5"/>
  <c r="P239" i="5"/>
  <c r="N239" i="5"/>
  <c r="L52" i="5"/>
  <c r="M54" i="5"/>
  <c r="M57" i="5"/>
  <c r="I57" i="5" s="1"/>
  <c r="H57" i="5" s="1"/>
  <c r="N59" i="5"/>
  <c r="I59" i="5" s="1"/>
  <c r="H59" i="5" s="1"/>
  <c r="M86" i="5"/>
  <c r="N88" i="5"/>
  <c r="I97" i="5"/>
  <c r="H97" i="5" s="1"/>
  <c r="N126" i="5"/>
  <c r="I126" i="5" s="1"/>
  <c r="H126" i="5" s="1"/>
  <c r="N140" i="5"/>
  <c r="K140" i="5" s="1"/>
  <c r="S140" i="5" s="1"/>
  <c r="M144" i="5"/>
  <c r="M159" i="5"/>
  <c r="I159" i="5"/>
  <c r="H159" i="5" s="1"/>
  <c r="N173" i="5"/>
  <c r="O173" i="5"/>
  <c r="P173" i="5"/>
  <c r="K178" i="5"/>
  <c r="S178" i="5" s="1"/>
  <c r="P180" i="5"/>
  <c r="O180" i="5"/>
  <c r="P186" i="5"/>
  <c r="O187" i="5"/>
  <c r="P187" i="5"/>
  <c r="I187" i="5" s="1"/>
  <c r="H187" i="5" s="1"/>
  <c r="I190" i="5"/>
  <c r="H190" i="5" s="1"/>
  <c r="N191" i="5"/>
  <c r="O191" i="5"/>
  <c r="P191" i="5"/>
  <c r="P198" i="5"/>
  <c r="O198" i="5"/>
  <c r="M203" i="5"/>
  <c r="I203" i="5" s="1"/>
  <c r="H203" i="5" s="1"/>
  <c r="M204" i="5"/>
  <c r="K204" i="5" s="1"/>
  <c r="S204" i="5" s="1"/>
  <c r="M215" i="5"/>
  <c r="K215" i="5" s="1"/>
  <c r="R215" i="5" s="1"/>
  <c r="I215" i="5"/>
  <c r="H215" i="5" s="1"/>
  <c r="N221" i="5"/>
  <c r="P221" i="5"/>
  <c r="O221" i="5"/>
  <c r="K221" i="5" s="1"/>
  <c r="S221" i="5" s="1"/>
  <c r="G224" i="5"/>
  <c r="J224" i="5" s="1"/>
  <c r="L224" i="5"/>
  <c r="O238" i="5"/>
  <c r="P238" i="5"/>
  <c r="N238" i="5"/>
  <c r="G245" i="5"/>
  <c r="J245" i="5" s="1"/>
  <c r="F245" i="5"/>
  <c r="L245" i="5" s="1"/>
  <c r="M245" i="5" s="1"/>
  <c r="S253" i="5"/>
  <c r="U253" i="5" s="1"/>
  <c r="X253" i="5" s="1"/>
  <c r="F47" i="5"/>
  <c r="L47" i="5" s="1"/>
  <c r="G54" i="5"/>
  <c r="J54" i="5" s="1"/>
  <c r="L55" i="5"/>
  <c r="O59" i="5"/>
  <c r="L62" i="5"/>
  <c r="M63" i="5"/>
  <c r="K63" i="5" s="1"/>
  <c r="S63" i="5" s="1"/>
  <c r="K68" i="5"/>
  <c r="S68" i="5" s="1"/>
  <c r="M70" i="5"/>
  <c r="K70" i="5" s="1"/>
  <c r="S70" i="5" s="1"/>
  <c r="M71" i="5"/>
  <c r="L73" i="5"/>
  <c r="L74" i="5"/>
  <c r="M75" i="5"/>
  <c r="I75" i="5" s="1"/>
  <c r="H75" i="5" s="1"/>
  <c r="M77" i="5"/>
  <c r="K77" i="5" s="1"/>
  <c r="S77" i="5" s="1"/>
  <c r="L82" i="5"/>
  <c r="L83" i="5"/>
  <c r="M84" i="5"/>
  <c r="O88" i="5"/>
  <c r="K88" i="5" s="1"/>
  <c r="S88" i="5" s="1"/>
  <c r="L92" i="5"/>
  <c r="L95" i="5"/>
  <c r="L96" i="5"/>
  <c r="M97" i="5"/>
  <c r="P99" i="5"/>
  <c r="P100" i="5"/>
  <c r="P103" i="5"/>
  <c r="L109" i="5"/>
  <c r="L110" i="5"/>
  <c r="L112" i="5"/>
  <c r="O126" i="5"/>
  <c r="K129" i="5"/>
  <c r="R129" i="5" s="1"/>
  <c r="S129" i="5" s="1"/>
  <c r="L132" i="5"/>
  <c r="F134" i="5"/>
  <c r="M134" i="5"/>
  <c r="I134" i="5" s="1"/>
  <c r="H134" i="5" s="1"/>
  <c r="K138" i="5"/>
  <c r="S138" i="5" s="1"/>
  <c r="O140" i="5"/>
  <c r="M141" i="5"/>
  <c r="K141" i="5" s="1"/>
  <c r="S141" i="5" s="1"/>
  <c r="M149" i="5"/>
  <c r="M152" i="5"/>
  <c r="I152" i="5" s="1"/>
  <c r="H152" i="5" s="1"/>
  <c r="O157" i="5"/>
  <c r="K157" i="5" s="1"/>
  <c r="S157" i="5" s="1"/>
  <c r="N157" i="5"/>
  <c r="G163" i="5"/>
  <c r="J163" i="5" s="1"/>
  <c r="P175" i="5"/>
  <c r="K175" i="5" s="1"/>
  <c r="S175" i="5" s="1"/>
  <c r="G176" i="5"/>
  <c r="J176" i="5" s="1"/>
  <c r="N178" i="5"/>
  <c r="I178" i="5" s="1"/>
  <c r="H178" i="5" s="1"/>
  <c r="O189" i="5"/>
  <c r="K193" i="5"/>
  <c r="S193" i="5" s="1"/>
  <c r="P193" i="5"/>
  <c r="G194" i="5"/>
  <c r="J194" i="5" s="1"/>
  <c r="N196" i="5"/>
  <c r="I196" i="5" s="1"/>
  <c r="H196" i="5" s="1"/>
  <c r="G205" i="5"/>
  <c r="J205" i="5" s="1"/>
  <c r="N211" i="5"/>
  <c r="I211" i="5" s="1"/>
  <c r="H211" i="5" s="1"/>
  <c r="P211" i="5"/>
  <c r="N220" i="5"/>
  <c r="O220" i="5"/>
  <c r="K220" i="5" s="1"/>
  <c r="S220" i="5" s="1"/>
  <c r="P220" i="5"/>
  <c r="M221" i="5"/>
  <c r="I221" i="5" s="1"/>
  <c r="H221" i="5" s="1"/>
  <c r="K222" i="5"/>
  <c r="S222" i="5" s="1"/>
  <c r="N223" i="5"/>
  <c r="I223" i="5" s="1"/>
  <c r="H223" i="5" s="1"/>
  <c r="P223" i="5"/>
  <c r="O223" i="5"/>
  <c r="L28" i="5"/>
  <c r="L34" i="5"/>
  <c r="L37" i="5"/>
  <c r="L41" i="5"/>
  <c r="L45" i="5"/>
  <c r="L48" i="5"/>
  <c r="N71" i="5"/>
  <c r="N77" i="5"/>
  <c r="I93" i="5"/>
  <c r="H93" i="5" s="1"/>
  <c r="V229" i="5"/>
  <c r="K106" i="5"/>
  <c r="S106" i="5" s="1"/>
  <c r="K123" i="5"/>
  <c r="R123" i="5" s="1"/>
  <c r="S123" i="5" s="1"/>
  <c r="M145" i="5"/>
  <c r="G161" i="5"/>
  <c r="J161" i="5" s="1"/>
  <c r="G167" i="5"/>
  <c r="J167" i="5" s="1"/>
  <c r="I173" i="5"/>
  <c r="H173" i="5" s="1"/>
  <c r="P174" i="5"/>
  <c r="N174" i="5"/>
  <c r="K174" i="5" s="1"/>
  <c r="S174" i="5" s="1"/>
  <c r="O178" i="5"/>
  <c r="G179" i="5"/>
  <c r="J179" i="5" s="1"/>
  <c r="G183" i="5"/>
  <c r="J183" i="5" s="1"/>
  <c r="I191" i="5"/>
  <c r="H191" i="5" s="1"/>
  <c r="P192" i="5"/>
  <c r="N192" i="5"/>
  <c r="I192" i="5" s="1"/>
  <c r="H192" i="5" s="1"/>
  <c r="O196" i="5"/>
  <c r="G197" i="5"/>
  <c r="J197" i="5" s="1"/>
  <c r="I198" i="5"/>
  <c r="H198" i="5" s="1"/>
  <c r="M201" i="5"/>
  <c r="K201" i="5" s="1"/>
  <c r="S201" i="5" s="1"/>
  <c r="N202" i="5"/>
  <c r="I202" i="5" s="1"/>
  <c r="H202" i="5" s="1"/>
  <c r="P217" i="5"/>
  <c r="N217" i="5"/>
  <c r="O227" i="5"/>
  <c r="P227" i="5"/>
  <c r="N227" i="5"/>
  <c r="K227" i="5"/>
  <c r="S227" i="5" s="1"/>
  <c r="O228" i="5"/>
  <c r="K228" i="5" s="1"/>
  <c r="R228" i="5" s="1"/>
  <c r="P228" i="5"/>
  <c r="N228" i="5"/>
  <c r="O241" i="5"/>
  <c r="P241" i="5"/>
  <c r="N241" i="5"/>
  <c r="S289" i="5"/>
  <c r="L7" i="5"/>
  <c r="L14" i="5"/>
  <c r="L21" i="5"/>
  <c r="L23" i="5"/>
  <c r="L29" i="5"/>
  <c r="L38" i="5"/>
  <c r="L42" i="5"/>
  <c r="L46" i="5"/>
  <c r="L49" i="5"/>
  <c r="K59" i="5"/>
  <c r="S59" i="5" s="1"/>
  <c r="N68" i="5"/>
  <c r="N69" i="5"/>
  <c r="K69" i="5" s="1"/>
  <c r="S69" i="5" s="1"/>
  <c r="O71" i="5"/>
  <c r="O77" i="5"/>
  <c r="I85" i="5"/>
  <c r="H85" i="5" s="1"/>
  <c r="M93" i="5"/>
  <c r="N94" i="5"/>
  <c r="K94" i="5" s="1"/>
  <c r="S94" i="5" s="1"/>
  <c r="N111" i="5"/>
  <c r="I111" i="5" s="1"/>
  <c r="H111" i="5" s="1"/>
  <c r="N113" i="5"/>
  <c r="I113" i="5" s="1"/>
  <c r="H113" i="5" s="1"/>
  <c r="K126" i="5"/>
  <c r="R126" i="5" s="1"/>
  <c r="S126" i="5" s="1"/>
  <c r="N129" i="5"/>
  <c r="N132" i="5"/>
  <c r="N138" i="5"/>
  <c r="L156" i="5"/>
  <c r="M157" i="5"/>
  <c r="N162" i="5"/>
  <c r="I162" i="5" s="1"/>
  <c r="H162" i="5" s="1"/>
  <c r="O162" i="5"/>
  <c r="M164" i="5"/>
  <c r="K172" i="5"/>
  <c r="S172" i="5" s="1"/>
  <c r="M173" i="5"/>
  <c r="K173" i="5" s="1"/>
  <c r="S173" i="5" s="1"/>
  <c r="I175" i="5"/>
  <c r="H175" i="5" s="1"/>
  <c r="P178" i="5"/>
  <c r="M180" i="5"/>
  <c r="N184" i="5"/>
  <c r="I184" i="5" s="1"/>
  <c r="H184" i="5" s="1"/>
  <c r="O184" i="5"/>
  <c r="N187" i="5"/>
  <c r="I188" i="5"/>
  <c r="H188" i="5" s="1"/>
  <c r="M191" i="5"/>
  <c r="K191" i="5" s="1"/>
  <c r="S191" i="5" s="1"/>
  <c r="I193" i="5"/>
  <c r="H193" i="5" s="1"/>
  <c r="P196" i="5"/>
  <c r="M198" i="5"/>
  <c r="K198" i="5" s="1"/>
  <c r="R198" i="5" s="1"/>
  <c r="L200" i="5"/>
  <c r="O202" i="5"/>
  <c r="M206" i="5"/>
  <c r="I206" i="5" s="1"/>
  <c r="H206" i="5" s="1"/>
  <c r="P210" i="5"/>
  <c r="I210" i="5" s="1"/>
  <c r="H210" i="5" s="1"/>
  <c r="K210" i="5"/>
  <c r="S210" i="5" s="1"/>
  <c r="M211" i="5"/>
  <c r="O217" i="5"/>
  <c r="K217" i="5" s="1"/>
  <c r="R217" i="5" s="1"/>
  <c r="K218" i="5"/>
  <c r="R218" i="5" s="1"/>
  <c r="M227" i="5"/>
  <c r="I227" i="5"/>
  <c r="H227" i="5" s="1"/>
  <c r="M228" i="5"/>
  <c r="I228" i="5" s="1"/>
  <c r="H228" i="5" s="1"/>
  <c r="O229" i="5"/>
  <c r="P229" i="5"/>
  <c r="N229" i="5"/>
  <c r="M230" i="5"/>
  <c r="I230" i="5" s="1"/>
  <c r="H230" i="5" s="1"/>
  <c r="O240" i="5"/>
  <c r="P240" i="5"/>
  <c r="S281" i="5"/>
  <c r="M60" i="5"/>
  <c r="I60" i="5" s="1"/>
  <c r="H60" i="5" s="1"/>
  <c r="M105" i="5"/>
  <c r="I105" i="5" s="1"/>
  <c r="H105" i="5" s="1"/>
  <c r="I108" i="5"/>
  <c r="H108" i="5" s="1"/>
  <c r="O132" i="5"/>
  <c r="I153" i="5"/>
  <c r="H153" i="5" s="1"/>
  <c r="N156" i="5"/>
  <c r="P157" i="5"/>
  <c r="G158" i="5"/>
  <c r="J158" i="5" s="1"/>
  <c r="M163" i="5"/>
  <c r="O165" i="5"/>
  <c r="I165" i="5" s="1"/>
  <c r="H165" i="5" s="1"/>
  <c r="N171" i="5"/>
  <c r="I171" i="5" s="1"/>
  <c r="H171" i="5" s="1"/>
  <c r="O171" i="5"/>
  <c r="M172" i="5"/>
  <c r="I172" i="5" s="1"/>
  <c r="H172" i="5" s="1"/>
  <c r="P177" i="5"/>
  <c r="N177" i="5"/>
  <c r="I177" i="5" s="1"/>
  <c r="H177" i="5" s="1"/>
  <c r="O177" i="5"/>
  <c r="N180" i="5"/>
  <c r="K180" i="5" s="1"/>
  <c r="S180" i="5" s="1"/>
  <c r="O181" i="5"/>
  <c r="K181" i="5" s="1"/>
  <c r="S181" i="5" s="1"/>
  <c r="G182" i="5"/>
  <c r="J182" i="5" s="1"/>
  <c r="N186" i="5"/>
  <c r="I186" i="5" s="1"/>
  <c r="H186" i="5" s="1"/>
  <c r="K189" i="5"/>
  <c r="S189" i="5" s="1"/>
  <c r="M190" i="5"/>
  <c r="K190" i="5" s="1"/>
  <c r="S190" i="5" s="1"/>
  <c r="P195" i="5"/>
  <c r="N195" i="5"/>
  <c r="K195" i="5" s="1"/>
  <c r="S195" i="5" s="1"/>
  <c r="O195" i="5"/>
  <c r="N198" i="5"/>
  <c r="N200" i="5"/>
  <c r="P202" i="5"/>
  <c r="P209" i="5"/>
  <c r="N209" i="5"/>
  <c r="O211" i="5"/>
  <c r="N240" i="5"/>
  <c r="S296" i="5"/>
  <c r="V182" i="5"/>
  <c r="V213" i="5"/>
  <c r="G216" i="5"/>
  <c r="J216" i="5" s="1"/>
  <c r="M217" i="5"/>
  <c r="O219" i="5"/>
  <c r="V223" i="5"/>
  <c r="E243" i="5"/>
  <c r="F246" i="5"/>
  <c r="R254" i="5"/>
  <c r="Q260" i="5"/>
  <c r="S260" i="5" s="1"/>
  <c r="Q266" i="5"/>
  <c r="Q272" i="5"/>
  <c r="S272" i="5" s="1"/>
  <c r="R307" i="5"/>
  <c r="Q307" i="5"/>
  <c r="S307" i="5" s="1"/>
  <c r="S309" i="5"/>
  <c r="U309" i="5" s="1"/>
  <c r="X309" i="5" s="1"/>
  <c r="R310" i="5"/>
  <c r="Q310" i="5"/>
  <c r="R313" i="5"/>
  <c r="Q313" i="5"/>
  <c r="S313" i="5" s="1"/>
  <c r="S315" i="5"/>
  <c r="U315" i="5" s="1"/>
  <c r="X315" i="5" s="1"/>
  <c r="R316" i="5"/>
  <c r="Q316" i="5"/>
  <c r="S316" i="5" s="1"/>
  <c r="V212" i="5"/>
  <c r="V221" i="5"/>
  <c r="L225" i="5"/>
  <c r="F247" i="5"/>
  <c r="L247" i="5" s="1"/>
  <c r="E249" i="5"/>
  <c r="L252" i="5"/>
  <c r="N252" i="5"/>
  <c r="O252" i="5" s="1"/>
  <c r="V254" i="5"/>
  <c r="V257" i="5"/>
  <c r="M257" i="5"/>
  <c r="Q259" i="5"/>
  <c r="P259" i="5"/>
  <c r="S259" i="5" s="1"/>
  <c r="U259" i="5" s="1"/>
  <c r="X259" i="5" s="1"/>
  <c r="R259" i="5"/>
  <c r="V263" i="5"/>
  <c r="M263" i="5"/>
  <c r="Q265" i="5"/>
  <c r="P265" i="5"/>
  <c r="R265" i="5"/>
  <c r="S265" i="5" s="1"/>
  <c r="U265" i="5" s="1"/>
  <c r="X265" i="5" s="1"/>
  <c r="V269" i="5"/>
  <c r="M269" i="5"/>
  <c r="Q271" i="5"/>
  <c r="P271" i="5"/>
  <c r="S271" i="5" s="1"/>
  <c r="U271" i="5" s="1"/>
  <c r="X271" i="5" s="1"/>
  <c r="R271" i="5"/>
  <c r="V275" i="5"/>
  <c r="M275" i="5"/>
  <c r="Q277" i="5"/>
  <c r="P277" i="5"/>
  <c r="S277" i="5" s="1"/>
  <c r="U277" i="5" s="1"/>
  <c r="X277" i="5" s="1"/>
  <c r="R277" i="5"/>
  <c r="P305" i="5"/>
  <c r="R305" i="5"/>
  <c r="Q305" i="5"/>
  <c r="S317" i="5"/>
  <c r="S321" i="5"/>
  <c r="U321" i="5" s="1"/>
  <c r="X321" i="5" s="1"/>
  <c r="L255" i="5"/>
  <c r="N255" i="5"/>
  <c r="O255" i="5" s="1"/>
  <c r="L261" i="5"/>
  <c r="N261" i="5"/>
  <c r="O261" i="5" s="1"/>
  <c r="S266" i="5"/>
  <c r="L267" i="5"/>
  <c r="N267" i="5"/>
  <c r="O267" i="5" s="1"/>
  <c r="L273" i="5"/>
  <c r="N273" i="5"/>
  <c r="O273" i="5" s="1"/>
  <c r="P304" i="5"/>
  <c r="S304" i="5" s="1"/>
  <c r="R304" i="5"/>
  <c r="Q304" i="5"/>
  <c r="O214" i="5"/>
  <c r="I214" i="5" s="1"/>
  <c r="H214" i="5" s="1"/>
  <c r="G226" i="5"/>
  <c r="J226" i="5" s="1"/>
  <c r="O230" i="5"/>
  <c r="K230" i="5" s="1"/>
  <c r="R230" i="5" s="1"/>
  <c r="F244" i="5"/>
  <c r="L244" i="5" s="1"/>
  <c r="Q257" i="5"/>
  <c r="S257" i="5" s="1"/>
  <c r="Q263" i="5"/>
  <c r="S263" i="5" s="1"/>
  <c r="Q269" i="5"/>
  <c r="Q275" i="5"/>
  <c r="R323" i="5"/>
  <c r="Q323" i="5"/>
  <c r="S323" i="5" s="1"/>
  <c r="U323" i="5" s="1"/>
  <c r="X323" i="5" s="1"/>
  <c r="O212" i="5"/>
  <c r="K212" i="5" s="1"/>
  <c r="S212" i="5" s="1"/>
  <c r="O218" i="5"/>
  <c r="I218" i="5" s="1"/>
  <c r="H218" i="5" s="1"/>
  <c r="O222" i="5"/>
  <c r="F226" i="5"/>
  <c r="L226" i="5" s="1"/>
  <c r="I229" i="5"/>
  <c r="H229" i="5" s="1"/>
  <c r="F236" i="5"/>
  <c r="L236" i="5" s="1"/>
  <c r="F237" i="5"/>
  <c r="L237" i="5" s="1"/>
  <c r="N242" i="5"/>
  <c r="P253" i="5"/>
  <c r="R253" i="5"/>
  <c r="Q256" i="5"/>
  <c r="P256" i="5"/>
  <c r="S256" i="5" s="1"/>
  <c r="U256" i="5" s="1"/>
  <c r="X256" i="5" s="1"/>
  <c r="R256" i="5"/>
  <c r="R257" i="5"/>
  <c r="V260" i="5"/>
  <c r="M260" i="5"/>
  <c r="Q262" i="5"/>
  <c r="P262" i="5"/>
  <c r="S262" i="5" s="1"/>
  <c r="U262" i="5" s="1"/>
  <c r="X262" i="5" s="1"/>
  <c r="R262" i="5"/>
  <c r="R263" i="5"/>
  <c r="V266" i="5"/>
  <c r="M266" i="5"/>
  <c r="Q268" i="5"/>
  <c r="P268" i="5"/>
  <c r="S268" i="5" s="1"/>
  <c r="U268" i="5" s="1"/>
  <c r="X268" i="5" s="1"/>
  <c r="R268" i="5"/>
  <c r="R269" i="5"/>
  <c r="V272" i="5"/>
  <c r="M272" i="5"/>
  <c r="Q274" i="5"/>
  <c r="P274" i="5"/>
  <c r="S274" i="5" s="1"/>
  <c r="U274" i="5" s="1"/>
  <c r="X274" i="5" s="1"/>
  <c r="R274" i="5"/>
  <c r="R275" i="5"/>
  <c r="V278" i="5"/>
  <c r="M278" i="5"/>
  <c r="V280" i="5"/>
  <c r="M280" i="5"/>
  <c r="V281" i="5"/>
  <c r="M281" i="5"/>
  <c r="V283" i="5"/>
  <c r="M283" i="5"/>
  <c r="V284" i="5"/>
  <c r="M284" i="5"/>
  <c r="V286" i="5"/>
  <c r="M286" i="5"/>
  <c r="V287" i="5"/>
  <c r="M287" i="5"/>
  <c r="V289" i="5"/>
  <c r="M289" i="5"/>
  <c r="U289" i="5" s="1"/>
  <c r="X289" i="5" s="1"/>
  <c r="V290" i="5"/>
  <c r="M290" i="5"/>
  <c r="V292" i="5"/>
  <c r="M292" i="5"/>
  <c r="V293" i="5"/>
  <c r="M293" i="5"/>
  <c r="V295" i="5"/>
  <c r="M295" i="5"/>
  <c r="V296" i="5"/>
  <c r="M296" i="5"/>
  <c r="V298" i="5"/>
  <c r="M298" i="5"/>
  <c r="V299" i="5"/>
  <c r="M299" i="5"/>
  <c r="V301" i="5"/>
  <c r="M301" i="5"/>
  <c r="P302" i="5"/>
  <c r="R302" i="5"/>
  <c r="Q302" i="5"/>
  <c r="S302" i="5" s="1"/>
  <c r="S320" i="5"/>
  <c r="P212" i="5"/>
  <c r="M229" i="5"/>
  <c r="K229" i="5" s="1"/>
  <c r="S229" i="5" s="1"/>
  <c r="O231" i="5"/>
  <c r="E232" i="5"/>
  <c r="G234" i="5"/>
  <c r="J234" i="5" s="1"/>
  <c r="J235" i="5"/>
  <c r="G236" i="5"/>
  <c r="J236" i="5" s="1"/>
  <c r="P242" i="5"/>
  <c r="Q254" i="5"/>
  <c r="S254" i="5" s="1"/>
  <c r="U254" i="5" s="1"/>
  <c r="X254" i="5" s="1"/>
  <c r="L258" i="5"/>
  <c r="N258" i="5"/>
  <c r="O258" i="5" s="1"/>
  <c r="L264" i="5"/>
  <c r="N264" i="5"/>
  <c r="O264" i="5" s="1"/>
  <c r="S269" i="5"/>
  <c r="L270" i="5"/>
  <c r="N270" i="5"/>
  <c r="O270" i="5" s="1"/>
  <c r="S275" i="5"/>
  <c r="L276" i="5"/>
  <c r="N276" i="5"/>
  <c r="O276" i="5" s="1"/>
  <c r="P278" i="5"/>
  <c r="Q278" i="5"/>
  <c r="S278" i="5" s="1"/>
  <c r="M279" i="5"/>
  <c r="P280" i="5"/>
  <c r="S280" i="5" s="1"/>
  <c r="Q280" i="5"/>
  <c r="P281" i="5"/>
  <c r="Q281" i="5"/>
  <c r="M282" i="5"/>
  <c r="P283" i="5"/>
  <c r="S283" i="5" s="1"/>
  <c r="Q283" i="5"/>
  <c r="P284" i="5"/>
  <c r="S284" i="5" s="1"/>
  <c r="Q284" i="5"/>
  <c r="M285" i="5"/>
  <c r="P286" i="5"/>
  <c r="Q286" i="5"/>
  <c r="S286" i="5" s="1"/>
  <c r="P287" i="5"/>
  <c r="S287" i="5" s="1"/>
  <c r="Q287" i="5"/>
  <c r="M288" i="5"/>
  <c r="P289" i="5"/>
  <c r="Q289" i="5"/>
  <c r="P290" i="5"/>
  <c r="S290" i="5" s="1"/>
  <c r="Q290" i="5"/>
  <c r="M291" i="5"/>
  <c r="P292" i="5"/>
  <c r="S292" i="5" s="1"/>
  <c r="Q292" i="5"/>
  <c r="P293" i="5"/>
  <c r="S293" i="5" s="1"/>
  <c r="Q293" i="5"/>
  <c r="M294" i="5"/>
  <c r="U294" i="5" s="1"/>
  <c r="X294" i="5" s="1"/>
  <c r="P295" i="5"/>
  <c r="S295" i="5" s="1"/>
  <c r="Q295" i="5"/>
  <c r="P296" i="5"/>
  <c r="Q296" i="5"/>
  <c r="M297" i="5"/>
  <c r="P298" i="5"/>
  <c r="S298" i="5" s="1"/>
  <c r="Q298" i="5"/>
  <c r="P299" i="5"/>
  <c r="S299" i="5" s="1"/>
  <c r="Q299" i="5"/>
  <c r="M300" i="5"/>
  <c r="P301" i="5"/>
  <c r="S301" i="5" s="1"/>
  <c r="R301" i="5"/>
  <c r="Q301" i="5"/>
  <c r="R308" i="5"/>
  <c r="Q308" i="5"/>
  <c r="S308" i="5" s="1"/>
  <c r="R311" i="5"/>
  <c r="Q311" i="5"/>
  <c r="S311" i="5" s="1"/>
  <c r="R314" i="5"/>
  <c r="Q314" i="5"/>
  <c r="S314" i="5" s="1"/>
  <c r="Q279" i="5"/>
  <c r="Q282" i="5"/>
  <c r="Q285" i="5"/>
  <c r="Q288" i="5"/>
  <c r="Q291" i="5"/>
  <c r="Q294" i="5"/>
  <c r="Q297" i="5"/>
  <c r="Q300" i="5"/>
  <c r="Q303" i="5"/>
  <c r="Q306" i="5"/>
  <c r="Q309" i="5"/>
  <c r="Q312" i="5"/>
  <c r="S312" i="5" s="1"/>
  <c r="U312" i="5" s="1"/>
  <c r="X312" i="5" s="1"/>
  <c r="Q315" i="5"/>
  <c r="Q317" i="5"/>
  <c r="Q318" i="5"/>
  <c r="S318" i="5" s="1"/>
  <c r="U318" i="5" s="1"/>
  <c r="X318" i="5" s="1"/>
  <c r="Q319" i="5"/>
  <c r="S319" i="5" s="1"/>
  <c r="Q320" i="5"/>
  <c r="V323" i="5"/>
  <c r="J84" i="6"/>
  <c r="H198" i="6"/>
  <c r="AA198" i="6"/>
  <c r="T198" i="6"/>
  <c r="V198" i="6" s="1"/>
  <c r="E561" i="6" s="1"/>
  <c r="Z1783" i="4" s="1"/>
  <c r="AE1785" i="4" s="1"/>
  <c r="W90" i="6"/>
  <c r="L238" i="5"/>
  <c r="L239" i="5"/>
  <c r="L240" i="5"/>
  <c r="L241" i="5"/>
  <c r="L242" i="5"/>
  <c r="N279" i="5"/>
  <c r="O279" i="5" s="1"/>
  <c r="N282" i="5"/>
  <c r="O282" i="5" s="1"/>
  <c r="N285" i="5"/>
  <c r="O285" i="5" s="1"/>
  <c r="S285" i="5" s="1"/>
  <c r="N288" i="5"/>
  <c r="O288" i="5" s="1"/>
  <c r="S288" i="5" s="1"/>
  <c r="N291" i="5"/>
  <c r="O291" i="5" s="1"/>
  <c r="N294" i="5"/>
  <c r="O294" i="5" s="1"/>
  <c r="S294" i="5" s="1"/>
  <c r="N297" i="5"/>
  <c r="O297" i="5" s="1"/>
  <c r="N300" i="5"/>
  <c r="O300" i="5" s="1"/>
  <c r="M302" i="5"/>
  <c r="N303" i="5"/>
  <c r="O303" i="5" s="1"/>
  <c r="M304" i="5"/>
  <c r="M305" i="5"/>
  <c r="N306" i="5"/>
  <c r="M307" i="5"/>
  <c r="U307" i="5" s="1"/>
  <c r="X307" i="5" s="1"/>
  <c r="M308" i="5"/>
  <c r="M310" i="5"/>
  <c r="M311" i="5"/>
  <c r="M313" i="5"/>
  <c r="U313" i="5" s="1"/>
  <c r="X313" i="5" s="1"/>
  <c r="M314" i="5"/>
  <c r="M316" i="5"/>
  <c r="M317" i="5"/>
  <c r="U317" i="5" s="1"/>
  <c r="X317" i="5" s="1"/>
  <c r="M319" i="5"/>
  <c r="M320" i="5"/>
  <c r="M32" i="6"/>
  <c r="W101" i="6"/>
  <c r="P279" i="5"/>
  <c r="P282" i="5"/>
  <c r="P285" i="5"/>
  <c r="P288" i="5"/>
  <c r="P291" i="5"/>
  <c r="P294" i="5"/>
  <c r="P297" i="5"/>
  <c r="P300" i="5"/>
  <c r="P303" i="5"/>
  <c r="Q321" i="5"/>
  <c r="U32" i="6"/>
  <c r="E563" i="6"/>
  <c r="W121" i="6"/>
  <c r="W151" i="6"/>
  <c r="W162" i="6"/>
  <c r="W179" i="6"/>
  <c r="W197" i="6"/>
  <c r="W211" i="6"/>
  <c r="W229" i="6"/>
  <c r="W323" i="6"/>
  <c r="W327" i="6"/>
  <c r="W352" i="6"/>
  <c r="W379" i="6"/>
  <c r="W394" i="6"/>
  <c r="W420" i="6"/>
  <c r="W425" i="6"/>
  <c r="W445" i="6"/>
  <c r="W471" i="6"/>
  <c r="W484" i="6"/>
  <c r="W495" i="6"/>
  <c r="W500" i="6"/>
  <c r="V562" i="6"/>
  <c r="W120" i="6"/>
  <c r="U128" i="6"/>
  <c r="H128" i="6"/>
  <c r="W135" i="6"/>
  <c r="W140" i="6"/>
  <c r="W186" i="6"/>
  <c r="W216" i="6"/>
  <c r="W234" i="6"/>
  <c r="W302" i="6"/>
  <c r="W381" i="6"/>
  <c r="W399" i="6"/>
  <c r="W467" i="6"/>
  <c r="E562" i="6"/>
  <c r="W494" i="6"/>
  <c r="W511" i="6"/>
  <c r="W519" i="6"/>
  <c r="W533" i="6"/>
  <c r="W538" i="6"/>
  <c r="W545" i="6"/>
  <c r="W550" i="6"/>
  <c r="W557" i="6"/>
  <c r="W150" i="6"/>
  <c r="W154" i="6"/>
  <c r="W163" i="6"/>
  <c r="W180" i="6"/>
  <c r="W210" i="6"/>
  <c r="W228" i="6"/>
  <c r="W324" i="6"/>
  <c r="W328" i="6"/>
  <c r="W333" i="6"/>
  <c r="W353" i="6"/>
  <c r="W376" i="6"/>
  <c r="W393" i="6"/>
  <c r="W419" i="6"/>
  <c r="W424" i="6"/>
  <c r="W436" i="6"/>
  <c r="W446" i="6"/>
  <c r="W450" i="6"/>
  <c r="W462" i="6"/>
  <c r="W481" i="6"/>
  <c r="W485" i="6"/>
  <c r="W490" i="6"/>
  <c r="W501" i="6"/>
  <c r="V506" i="6"/>
  <c r="W506" i="6" s="1"/>
  <c r="AA128" i="6"/>
  <c r="S561" i="6"/>
  <c r="S562" i="6" s="1"/>
  <c r="W378" i="6"/>
  <c r="W114" i="6"/>
  <c r="W247" i="6"/>
  <c r="H247" i="6"/>
  <c r="AA247" i="6"/>
  <c r="T247" i="6"/>
  <c r="V247" i="6" s="1"/>
  <c r="H377" i="6"/>
  <c r="T377" i="6"/>
  <c r="V377" i="6" s="1"/>
  <c r="W377" i="6" s="1"/>
  <c r="W463" i="6"/>
  <c r="T562" i="6"/>
  <c r="R563" i="6"/>
  <c r="R562" i="6" s="1"/>
  <c r="S15" i="8"/>
  <c r="P14" i="8"/>
  <c r="AX18" i="8"/>
  <c r="BG18" i="8"/>
  <c r="AN15" i="8"/>
  <c r="AK14" i="8"/>
  <c r="AR18" i="8"/>
  <c r="B14" i="8"/>
  <c r="AR44" i="8"/>
  <c r="C44" i="8" s="1"/>
  <c r="E43" i="8"/>
  <c r="E42" i="8"/>
  <c r="B43" i="8"/>
  <c r="E74" i="8" s="1"/>
  <c r="W43" i="8"/>
  <c r="Z42" i="8"/>
  <c r="BA44" i="8"/>
  <c r="X44" i="8" s="1"/>
  <c r="Z43" i="8"/>
  <c r="E567" i="6"/>
  <c r="D1187" i="6"/>
  <c r="E1187" i="6" s="1"/>
  <c r="E445" i="7"/>
  <c r="AK15" i="8"/>
  <c r="AN14" i="8"/>
  <c r="BG16" i="8"/>
  <c r="AL16" i="8" s="1"/>
  <c r="AU46" i="8"/>
  <c r="L43" i="8"/>
  <c r="I42" i="8"/>
  <c r="BC42" i="8"/>
  <c r="BD43" i="8" s="1"/>
  <c r="AD44" i="8" s="1"/>
  <c r="AX42" i="8"/>
  <c r="F1190" i="6"/>
  <c r="H377" i="7"/>
  <c r="AZ14" i="8"/>
  <c r="BA15" i="8" s="1"/>
  <c r="W16" i="8" s="1"/>
  <c r="BF42" i="8"/>
  <c r="T378" i="6"/>
  <c r="V378" i="6" s="1"/>
  <c r="T379" i="6"/>
  <c r="V379" i="6" s="1"/>
  <c r="I378" i="7"/>
  <c r="BA16" i="8"/>
  <c r="X16" i="8" s="1"/>
  <c r="Z14" i="8"/>
  <c r="AG14" i="8"/>
  <c r="BD16" i="8"/>
  <c r="AE16" i="8" s="1"/>
  <c r="AX46" i="8"/>
  <c r="S43" i="8"/>
  <c r="P42" i="8"/>
  <c r="BG46" i="8"/>
  <c r="AN43" i="8"/>
  <c r="AK42" i="8"/>
  <c r="BG42" i="8"/>
  <c r="B1191" i="6"/>
  <c r="C1191" i="6"/>
  <c r="E374" i="7"/>
  <c r="D374" i="7"/>
  <c r="I14" i="8"/>
  <c r="AU18" i="8"/>
  <c r="AX44" i="8"/>
  <c r="Q44" i="8" s="1"/>
  <c r="S42" i="8"/>
  <c r="P43" i="8"/>
  <c r="BG44" i="8"/>
  <c r="AL44" i="8" s="1"/>
  <c r="AK43" i="8"/>
  <c r="AN42" i="8"/>
  <c r="AU14" i="8"/>
  <c r="AR43" i="8"/>
  <c r="B44" i="8" s="1"/>
  <c r="AR42" i="8"/>
  <c r="AW3" i="8"/>
  <c r="AW14" i="8" s="1"/>
  <c r="AX15" i="8" s="1"/>
  <c r="P16" i="8" s="1"/>
  <c r="BF3" i="8"/>
  <c r="BF14" i="8" s="1"/>
  <c r="AQ13" i="8"/>
  <c r="AQ14" i="8" s="1"/>
  <c r="AR15" i="8" s="1"/>
  <c r="B16" i="8" s="1"/>
  <c r="P15" i="8"/>
  <c r="S14" i="8"/>
  <c r="J7" i="9"/>
  <c r="H7" i="9"/>
  <c r="B7" i="9"/>
  <c r="F7" i="9"/>
  <c r="J8" i="9"/>
  <c r="I8" i="9"/>
  <c r="I19" i="9"/>
  <c r="G19" i="9"/>
  <c r="AE19" i="9"/>
  <c r="AE24" i="9"/>
  <c r="A24" i="9" s="1"/>
  <c r="AB24" i="9"/>
  <c r="D24" i="9" s="1"/>
  <c r="J26" i="9"/>
  <c r="I26" i="9"/>
  <c r="F31" i="9"/>
  <c r="AH31" i="9"/>
  <c r="AE33" i="9"/>
  <c r="AB33" i="9"/>
  <c r="D33" i="9" s="1"/>
  <c r="A33" i="9"/>
  <c r="A35" i="9"/>
  <c r="AB35" i="9"/>
  <c r="D35" i="9" s="1"/>
  <c r="AE35" i="9"/>
  <c r="B39" i="9"/>
  <c r="F39" i="9"/>
  <c r="AH39" i="9"/>
  <c r="J42" i="9"/>
  <c r="I42" i="9"/>
  <c r="H42" i="9"/>
  <c r="G42" i="9"/>
  <c r="AA42" i="9"/>
  <c r="C42" i="9" s="1"/>
  <c r="F45" i="9"/>
  <c r="AH45" i="9"/>
  <c r="B45" i="9" s="1"/>
  <c r="E45" i="9" s="1"/>
  <c r="F65" i="9"/>
  <c r="AH65" i="9"/>
  <c r="B65" i="9"/>
  <c r="J65" i="9"/>
  <c r="BG3" i="8"/>
  <c r="BG14" i="8" s="1"/>
  <c r="M14" i="8"/>
  <c r="AX16" i="8"/>
  <c r="Q16" i="8" s="1"/>
  <c r="AE3" i="9"/>
  <c r="A3" i="9" s="1"/>
  <c r="E3" i="9" s="1"/>
  <c r="AB3" i="9"/>
  <c r="D3" i="9" s="1"/>
  <c r="AA7" i="9"/>
  <c r="C7" i="9" s="1"/>
  <c r="AA8" i="9"/>
  <c r="C8" i="9" s="1"/>
  <c r="AB9" i="9"/>
  <c r="D9" i="9" s="1"/>
  <c r="AE12" i="9"/>
  <c r="AB12" i="9"/>
  <c r="D12" i="9" s="1"/>
  <c r="A12" i="9"/>
  <c r="H17" i="9"/>
  <c r="AH17" i="9"/>
  <c r="B17" i="9" s="1"/>
  <c r="F17" i="9"/>
  <c r="AH19" i="9"/>
  <c r="B19" i="9" s="1"/>
  <c r="F19" i="9"/>
  <c r="AE21" i="9"/>
  <c r="AB21" i="9"/>
  <c r="D21" i="9" s="1"/>
  <c r="A21" i="9"/>
  <c r="E21" i="9" s="1"/>
  <c r="B31" i="9"/>
  <c r="AB32" i="9"/>
  <c r="D32" i="9" s="1"/>
  <c r="F34" i="9"/>
  <c r="J34" i="9"/>
  <c r="H34" i="9"/>
  <c r="AH34" i="9"/>
  <c r="B34" i="9" s="1"/>
  <c r="AE49" i="9"/>
  <c r="A49" i="9" s="1"/>
  <c r="E49" i="9" s="1"/>
  <c r="G49" i="9"/>
  <c r="J66" i="9"/>
  <c r="AA66" i="9"/>
  <c r="C66" i="9" s="1"/>
  <c r="G66" i="9"/>
  <c r="I66" i="9"/>
  <c r="H66" i="9"/>
  <c r="BD13" i="8"/>
  <c r="BD14" i="8" s="1"/>
  <c r="BD15" i="8" s="1"/>
  <c r="AD16" i="8" s="1"/>
  <c r="F14" i="8"/>
  <c r="AE14" i="8"/>
  <c r="AD15" i="8" s="1"/>
  <c r="AW24" i="8"/>
  <c r="AW42" i="8" s="1"/>
  <c r="AX43" i="8" s="1"/>
  <c r="P44" i="8" s="1"/>
  <c r="AE42" i="8"/>
  <c r="B80" i="8"/>
  <c r="B81" i="8" s="1"/>
  <c r="F4" i="9"/>
  <c r="AH4" i="9"/>
  <c r="B5" i="9"/>
  <c r="G6" i="9"/>
  <c r="AB7" i="9"/>
  <c r="D7" i="9" s="1"/>
  <c r="AH7" i="9"/>
  <c r="AE8" i="9"/>
  <c r="A8" i="9" s="1"/>
  <c r="AB8" i="9"/>
  <c r="D8" i="9" s="1"/>
  <c r="G11" i="9"/>
  <c r="AE11" i="9"/>
  <c r="A14" i="9"/>
  <c r="A15" i="9"/>
  <c r="I17" i="9"/>
  <c r="AH18" i="9"/>
  <c r="B18" i="9" s="1"/>
  <c r="F18" i="9"/>
  <c r="I20" i="9"/>
  <c r="AE20" i="9"/>
  <c r="J22" i="9"/>
  <c r="I22" i="9"/>
  <c r="A22" i="9"/>
  <c r="G22" i="9"/>
  <c r="F25" i="9"/>
  <c r="J25" i="9"/>
  <c r="AH25" i="9"/>
  <c r="B25" i="9" s="1"/>
  <c r="A26" i="9"/>
  <c r="AB26" i="9"/>
  <c r="D26" i="9" s="1"/>
  <c r="AE26" i="9"/>
  <c r="F27" i="9"/>
  <c r="J36" i="9"/>
  <c r="AH36" i="9"/>
  <c r="B36" i="9"/>
  <c r="F36" i="9"/>
  <c r="AE48" i="9"/>
  <c r="AB48" i="9"/>
  <c r="D48" i="9" s="1"/>
  <c r="A48" i="9"/>
  <c r="E48" i="9" s="1"/>
  <c r="A63" i="9"/>
  <c r="E63" i="9" s="1"/>
  <c r="AB63" i="9"/>
  <c r="D63" i="9" s="1"/>
  <c r="AE63" i="9"/>
  <c r="BA3" i="8"/>
  <c r="BA14" i="8" s="1"/>
  <c r="H16" i="8"/>
  <c r="X14" i="8"/>
  <c r="B10" i="9"/>
  <c r="AH10" i="9"/>
  <c r="I13" i="9"/>
  <c r="AE13" i="9"/>
  <c r="A13" i="9"/>
  <c r="E13" i="9" s="1"/>
  <c r="A18" i="9"/>
  <c r="H24" i="9"/>
  <c r="F24" i="9"/>
  <c r="J24" i="9"/>
  <c r="G26" i="9"/>
  <c r="E28" i="9"/>
  <c r="G30" i="9"/>
  <c r="J31" i="9"/>
  <c r="I31" i="9"/>
  <c r="G31" i="9"/>
  <c r="J40" i="9"/>
  <c r="H40" i="9"/>
  <c r="B40" i="9"/>
  <c r="E40" i="9" s="1"/>
  <c r="F40" i="9"/>
  <c r="AH40" i="9"/>
  <c r="AH43" i="9"/>
  <c r="B43" i="9"/>
  <c r="E43" i="9" s="1"/>
  <c r="J46" i="9"/>
  <c r="F46" i="9"/>
  <c r="D354" i="7"/>
  <c r="AT3" i="8"/>
  <c r="AT14" i="8" s="1"/>
  <c r="AU15" i="8" s="1"/>
  <c r="I16" i="8" s="1"/>
  <c r="A16" i="8"/>
  <c r="E52" i="8" s="1"/>
  <c r="BA24" i="8"/>
  <c r="BA42" i="8" s="1"/>
  <c r="BA43" i="8" s="1"/>
  <c r="W44" i="8" s="1"/>
  <c r="I4" i="9"/>
  <c r="AH8" i="9"/>
  <c r="B8" i="9" s="1"/>
  <c r="F8" i="9"/>
  <c r="AH9" i="9"/>
  <c r="B9" i="9" s="1"/>
  <c r="E9" i="9" s="1"/>
  <c r="J12" i="9"/>
  <c r="H12" i="9"/>
  <c r="G15" i="9"/>
  <c r="A19" i="9"/>
  <c r="AB19" i="9"/>
  <c r="D19" i="9" s="1"/>
  <c r="AA19" i="9"/>
  <c r="C19" i="9" s="1"/>
  <c r="H21" i="9"/>
  <c r="AH21" i="9"/>
  <c r="B21" i="9" s="1"/>
  <c r="AA28" i="9"/>
  <c r="C28" i="9" s="1"/>
  <c r="J28" i="9"/>
  <c r="J29" i="9"/>
  <c r="H29" i="9"/>
  <c r="H31" i="9"/>
  <c r="AE31" i="9"/>
  <c r="A31" i="9" s="1"/>
  <c r="F43" i="9"/>
  <c r="AE47" i="9"/>
  <c r="A47" i="9" s="1"/>
  <c r="E47" i="9" s="1"/>
  <c r="AB47" i="9"/>
  <c r="D47" i="9" s="1"/>
  <c r="E354" i="7"/>
  <c r="AJ16" i="8"/>
  <c r="I43" i="8"/>
  <c r="AU44" i="8"/>
  <c r="J44" i="8" s="1"/>
  <c r="AH3" i="9"/>
  <c r="H4" i="9"/>
  <c r="AE4" i="9"/>
  <c r="A4" i="9" s="1"/>
  <c r="E4" i="9" s="1"/>
  <c r="F5" i="9"/>
  <c r="A5" i="9"/>
  <c r="B6" i="9"/>
  <c r="F6" i="9"/>
  <c r="G7" i="9"/>
  <c r="H8" i="9"/>
  <c r="AH12" i="9"/>
  <c r="B12" i="9" s="1"/>
  <c r="B14" i="9"/>
  <c r="A17" i="9"/>
  <c r="AB17" i="9"/>
  <c r="D17" i="9" s="1"/>
  <c r="AE17" i="9"/>
  <c r="AB18" i="9"/>
  <c r="D18" i="9" s="1"/>
  <c r="AA20" i="9"/>
  <c r="C20" i="9" s="1"/>
  <c r="AB20" i="9"/>
  <c r="D20" i="9" s="1"/>
  <c r="AA22" i="9"/>
  <c r="C22" i="9" s="1"/>
  <c r="H26" i="9"/>
  <c r="J27" i="9"/>
  <c r="AH27" i="9"/>
  <c r="B27" i="9"/>
  <c r="E37" i="9"/>
  <c r="I39" i="9"/>
  <c r="A39" i="9"/>
  <c r="G39" i="9"/>
  <c r="H43" i="9"/>
  <c r="J43" i="9"/>
  <c r="I43" i="9"/>
  <c r="G43" i="9"/>
  <c r="AA43" i="9"/>
  <c r="C43" i="9" s="1"/>
  <c r="G50" i="9"/>
  <c r="AE50" i="9"/>
  <c r="I50" i="9"/>
  <c r="A50" i="9"/>
  <c r="E50" i="9" s="1"/>
  <c r="AA5" i="9"/>
  <c r="C5" i="9" s="1"/>
  <c r="G10" i="9"/>
  <c r="A11" i="9"/>
  <c r="E11" i="9" s="1"/>
  <c r="G14" i="9"/>
  <c r="B15" i="9"/>
  <c r="AE15" i="9"/>
  <c r="B16" i="9"/>
  <c r="E16" i="9" s="1"/>
  <c r="I16" i="9"/>
  <c r="AH24" i="9"/>
  <c r="B24" i="9" s="1"/>
  <c r="G25" i="9"/>
  <c r="I28" i="9"/>
  <c r="AA29" i="9"/>
  <c r="C29" i="9" s="1"/>
  <c r="AE30" i="9"/>
  <c r="A30" i="9" s="1"/>
  <c r="E30" i="9" s="1"/>
  <c r="AB30" i="9"/>
  <c r="D30" i="9" s="1"/>
  <c r="A32" i="9"/>
  <c r="J33" i="9"/>
  <c r="AH33" i="9"/>
  <c r="B33" i="9"/>
  <c r="G34" i="9"/>
  <c r="I35" i="9"/>
  <c r="J37" i="9"/>
  <c r="I37" i="9"/>
  <c r="AA40" i="9"/>
  <c r="C40" i="9" s="1"/>
  <c r="J41" i="9"/>
  <c r="I41" i="9"/>
  <c r="B42" i="9"/>
  <c r="E42" i="9" s="1"/>
  <c r="AB46" i="9"/>
  <c r="D46" i="9" s="1"/>
  <c r="AE46" i="9"/>
  <c r="A46" i="9"/>
  <c r="G56" i="9"/>
  <c r="AE56" i="9"/>
  <c r="A56" i="9" s="1"/>
  <c r="E56" i="9" s="1"/>
  <c r="G8" i="9"/>
  <c r="AA17" i="9"/>
  <c r="C17" i="9" s="1"/>
  <c r="AA26" i="9"/>
  <c r="C26" i="9" s="1"/>
  <c r="AE27" i="9"/>
  <c r="A27" i="9" s="1"/>
  <c r="E27" i="9" s="1"/>
  <c r="AB27" i="9"/>
  <c r="D27" i="9" s="1"/>
  <c r="A29" i="9"/>
  <c r="E29" i="9" s="1"/>
  <c r="AH30" i="9"/>
  <c r="B30" i="9"/>
  <c r="AA35" i="9"/>
  <c r="C35" i="9" s="1"/>
  <c r="AE36" i="9"/>
  <c r="A36" i="9" s="1"/>
  <c r="E36" i="9" s="1"/>
  <c r="AB36" i="9"/>
  <c r="D36" i="9" s="1"/>
  <c r="AH41" i="9"/>
  <c r="B41" i="9" s="1"/>
  <c r="F41" i="9"/>
  <c r="AB45" i="9"/>
  <c r="D45" i="9" s="1"/>
  <c r="F47" i="9"/>
  <c r="J47" i="9"/>
  <c r="AH47" i="9"/>
  <c r="B47" i="9" s="1"/>
  <c r="H47" i="9"/>
  <c r="B48" i="9"/>
  <c r="AH48" i="9"/>
  <c r="H59" i="9"/>
  <c r="J59" i="9"/>
  <c r="I59" i="9"/>
  <c r="G59" i="9"/>
  <c r="AA59" i="9"/>
  <c r="C59" i="9" s="1"/>
  <c r="E60" i="9"/>
  <c r="I68" i="9"/>
  <c r="A68" i="9"/>
  <c r="AE68" i="9"/>
  <c r="A2" i="9"/>
  <c r="E2" i="9" s="1"/>
  <c r="G5" i="9"/>
  <c r="AE6" i="9"/>
  <c r="A6" i="9" s="1"/>
  <c r="E6" i="9" s="1"/>
  <c r="I7" i="9"/>
  <c r="AE10" i="9"/>
  <c r="A10" i="9" s="1"/>
  <c r="AA14" i="9"/>
  <c r="C14" i="9" s="1"/>
  <c r="A20" i="9"/>
  <c r="E20" i="9" s="1"/>
  <c r="AE25" i="9"/>
  <c r="A25" i="9" s="1"/>
  <c r="G29" i="9"/>
  <c r="F33" i="9"/>
  <c r="AE34" i="9"/>
  <c r="A34" i="9" s="1"/>
  <c r="I38" i="9"/>
  <c r="H38" i="9"/>
  <c r="I56" i="9"/>
  <c r="AB58" i="9"/>
  <c r="D58" i="9" s="1"/>
  <c r="A58" i="9"/>
  <c r="E58" i="9" s="1"/>
  <c r="AE58" i="9"/>
  <c r="I62" i="9"/>
  <c r="AE62" i="9"/>
  <c r="A62" i="9" s="1"/>
  <c r="E62" i="9" s="1"/>
  <c r="J70" i="9"/>
  <c r="H70" i="9"/>
  <c r="AA70" i="9"/>
  <c r="C70" i="9" s="1"/>
  <c r="G74" i="9"/>
  <c r="I74" i="9"/>
  <c r="H90" i="9"/>
  <c r="J90" i="9"/>
  <c r="I90" i="9"/>
  <c r="G90" i="9"/>
  <c r="J118" i="9"/>
  <c r="H118" i="9"/>
  <c r="F118" i="9"/>
  <c r="AA38" i="9"/>
  <c r="C38" i="9" s="1"/>
  <c r="E38" i="9" s="1"/>
  <c r="H51" i="9"/>
  <c r="H52" i="9"/>
  <c r="J52" i="9"/>
  <c r="AH52" i="9"/>
  <c r="B52" i="9" s="1"/>
  <c r="E52" i="9" s="1"/>
  <c r="G53" i="9"/>
  <c r="B54" i="9"/>
  <c r="E54" i="9" s="1"/>
  <c r="J54" i="9"/>
  <c r="J56" i="9"/>
  <c r="F59" i="9"/>
  <c r="AH59" i="9"/>
  <c r="B59" i="9"/>
  <c r="H60" i="9"/>
  <c r="H61" i="9"/>
  <c r="J61" i="9"/>
  <c r="AH61" i="9"/>
  <c r="B61" i="9" s="1"/>
  <c r="E61" i="9" s="1"/>
  <c r="J62" i="9"/>
  <c r="AH67" i="9"/>
  <c r="B67" i="9"/>
  <c r="J68" i="9"/>
  <c r="A71" i="9"/>
  <c r="E71" i="9" s="1"/>
  <c r="G71" i="9"/>
  <c r="AE71" i="9"/>
  <c r="AE74" i="9"/>
  <c r="A74" i="9" s="1"/>
  <c r="E74" i="9" s="1"/>
  <c r="H79" i="9"/>
  <c r="J79" i="9"/>
  <c r="AE81" i="9"/>
  <c r="AB81" i="9"/>
  <c r="D81" i="9" s="1"/>
  <c r="A81" i="9"/>
  <c r="E81" i="9" s="1"/>
  <c r="B82" i="9"/>
  <c r="AH82" i="9"/>
  <c r="F82" i="9"/>
  <c r="F94" i="9"/>
  <c r="B94" i="9"/>
  <c r="E94" i="9" s="1"/>
  <c r="AH94" i="9"/>
  <c r="F100" i="9"/>
  <c r="B100" i="9"/>
  <c r="AH100" i="9"/>
  <c r="F106" i="9"/>
  <c r="B106" i="9"/>
  <c r="AH106" i="9"/>
  <c r="AE111" i="9"/>
  <c r="A111" i="9" s="1"/>
  <c r="E111" i="9" s="1"/>
  <c r="AB111" i="9"/>
  <c r="D111" i="9" s="1"/>
  <c r="H120" i="9"/>
  <c r="J120" i="9"/>
  <c r="AB55" i="9"/>
  <c r="D55" i="9" s="1"/>
  <c r="AB64" i="9"/>
  <c r="D64" i="9" s="1"/>
  <c r="AE64" i="9"/>
  <c r="A64" i="9" s="1"/>
  <c r="G72" i="9"/>
  <c r="I72" i="9"/>
  <c r="AA76" i="9"/>
  <c r="C76" i="9" s="1"/>
  <c r="H80" i="9"/>
  <c r="J80" i="9"/>
  <c r="B84" i="9"/>
  <c r="AH84" i="9"/>
  <c r="F84" i="9"/>
  <c r="AH97" i="9"/>
  <c r="B97" i="9"/>
  <c r="F97" i="9"/>
  <c r="AH103" i="9"/>
  <c r="B103" i="9" s="1"/>
  <c r="F103" i="9"/>
  <c r="AH109" i="9"/>
  <c r="B109" i="9"/>
  <c r="F109" i="9"/>
  <c r="E116" i="9"/>
  <c r="A53" i="9"/>
  <c r="F56" i="9"/>
  <c r="AH56" i="9"/>
  <c r="B56" i="9"/>
  <c r="H58" i="9"/>
  <c r="J58" i="9"/>
  <c r="AH58" i="9"/>
  <c r="B58" i="9"/>
  <c r="F62" i="9"/>
  <c r="AH62" i="9"/>
  <c r="B62" i="9" s="1"/>
  <c r="J63" i="9"/>
  <c r="AA63" i="9"/>
  <c r="C63" i="9" s="1"/>
  <c r="G63" i="9"/>
  <c r="F68" i="9"/>
  <c r="AH68" i="9"/>
  <c r="B68" i="9"/>
  <c r="G69" i="9"/>
  <c r="AE69" i="9"/>
  <c r="A69" i="9" s="1"/>
  <c r="E69" i="9" s="1"/>
  <c r="A72" i="9"/>
  <c r="E72" i="9" s="1"/>
  <c r="AE72" i="9"/>
  <c r="A75" i="9"/>
  <c r="E75" i="9" s="1"/>
  <c r="G75" i="9"/>
  <c r="AE75" i="9"/>
  <c r="AB79" i="9"/>
  <c r="D79" i="9" s="1"/>
  <c r="F81" i="9"/>
  <c r="AH81" i="9"/>
  <c r="B81" i="9"/>
  <c r="H82" i="9"/>
  <c r="J82" i="9"/>
  <c r="E83" i="9"/>
  <c r="AB87" i="9"/>
  <c r="D87" i="9" s="1"/>
  <c r="AE87" i="9"/>
  <c r="A87" i="9"/>
  <c r="E100" i="9"/>
  <c r="E106" i="9"/>
  <c r="AB112" i="9"/>
  <c r="D112" i="9" s="1"/>
  <c r="AE112" i="9"/>
  <c r="A112" i="9"/>
  <c r="G38" i="9"/>
  <c r="AE39" i="9"/>
  <c r="I40" i="9"/>
  <c r="A41" i="9"/>
  <c r="J44" i="9"/>
  <c r="J48" i="9"/>
  <c r="AH49" i="9"/>
  <c r="B49" i="9"/>
  <c r="F52" i="9"/>
  <c r="AB52" i="9"/>
  <c r="D52" i="9" s="1"/>
  <c r="G54" i="9"/>
  <c r="AH54" i="9"/>
  <c r="AE55" i="9"/>
  <c r="AA56" i="9"/>
  <c r="C56" i="9" s="1"/>
  <c r="A57" i="9"/>
  <c r="F61" i="9"/>
  <c r="AB61" i="9"/>
  <c r="D61" i="9" s="1"/>
  <c r="AA62" i="9"/>
  <c r="C62" i="9" s="1"/>
  <c r="AH64" i="9"/>
  <c r="B64" i="9"/>
  <c r="AE65" i="9"/>
  <c r="A65" i="9" s="1"/>
  <c r="E65" i="9" s="1"/>
  <c r="AA68" i="9"/>
  <c r="C68" i="9" s="1"/>
  <c r="G70" i="9"/>
  <c r="I70" i="9"/>
  <c r="AH71" i="9"/>
  <c r="AA74" i="9"/>
  <c r="C74" i="9" s="1"/>
  <c r="H76" i="9"/>
  <c r="G76" i="9"/>
  <c r="I76" i="9"/>
  <c r="I78" i="9"/>
  <c r="AE78" i="9"/>
  <c r="G79" i="9"/>
  <c r="A79" i="9"/>
  <c r="H84" i="9"/>
  <c r="J84" i="9"/>
  <c r="G84" i="9"/>
  <c r="A89" i="9"/>
  <c r="E89" i="9" s="1"/>
  <c r="B90" i="9"/>
  <c r="AH90" i="9"/>
  <c r="F90" i="9"/>
  <c r="G110" i="9"/>
  <c r="G41" i="9"/>
  <c r="AE43" i="9"/>
  <c r="J45" i="9"/>
  <c r="H46" i="9"/>
  <c r="AH46" i="9"/>
  <c r="B46" i="9"/>
  <c r="AA51" i="9"/>
  <c r="C51" i="9" s="1"/>
  <c r="E51" i="9" s="1"/>
  <c r="G52" i="9"/>
  <c r="F53" i="9"/>
  <c r="AH53" i="9"/>
  <c r="B53" i="9"/>
  <c r="H54" i="9"/>
  <c r="A55" i="9"/>
  <c r="E55" i="9" s="1"/>
  <c r="H55" i="9"/>
  <c r="J55" i="9"/>
  <c r="AH55" i="9"/>
  <c r="B55" i="9"/>
  <c r="B57" i="9"/>
  <c r="J57" i="9"/>
  <c r="AE59" i="9"/>
  <c r="A59" i="9" s="1"/>
  <c r="E59" i="9" s="1"/>
  <c r="AA60" i="9"/>
  <c r="C60" i="9" s="1"/>
  <c r="G61" i="9"/>
  <c r="H65" i="9"/>
  <c r="AE66" i="9"/>
  <c r="A66" i="9" s="1"/>
  <c r="E66" i="9" s="1"/>
  <c r="F67" i="9"/>
  <c r="AB67" i="9"/>
  <c r="D67" i="9" s="1"/>
  <c r="AE67" i="9"/>
  <c r="A67" i="9" s="1"/>
  <c r="AE70" i="9"/>
  <c r="A70" i="9" s="1"/>
  <c r="E70" i="9" s="1"/>
  <c r="A73" i="9"/>
  <c r="E73" i="9" s="1"/>
  <c r="G73" i="9"/>
  <c r="AE73" i="9"/>
  <c r="F74" i="9"/>
  <c r="AE76" i="9"/>
  <c r="A76" i="9" s="1"/>
  <c r="E76" i="9" s="1"/>
  <c r="A78" i="9"/>
  <c r="I79" i="9"/>
  <c r="AE82" i="9"/>
  <c r="A82" i="9" s="1"/>
  <c r="AB82" i="9"/>
  <c r="D82" i="9" s="1"/>
  <c r="AB93" i="9"/>
  <c r="D93" i="9" s="1"/>
  <c r="AE93" i="9"/>
  <c r="A93" i="9"/>
  <c r="AE98" i="9"/>
  <c r="A98" i="9" s="1"/>
  <c r="E98" i="9" s="1"/>
  <c r="AB98" i="9"/>
  <c r="D98" i="9" s="1"/>
  <c r="AE104" i="9"/>
  <c r="AB104" i="9"/>
  <c r="D104" i="9" s="1"/>
  <c r="A104" i="9"/>
  <c r="I110" i="9"/>
  <c r="H117" i="9"/>
  <c r="J117" i="9"/>
  <c r="J121" i="9"/>
  <c r="B121" i="9"/>
  <c r="H121" i="9"/>
  <c r="AH121" i="9"/>
  <c r="J64" i="9"/>
  <c r="J67" i="9"/>
  <c r="AA82" i="9"/>
  <c r="C82" i="9" s="1"/>
  <c r="AA84" i="9"/>
  <c r="C84" i="9" s="1"/>
  <c r="I86" i="9"/>
  <c r="J87" i="9"/>
  <c r="B89" i="9"/>
  <c r="AA90" i="9"/>
  <c r="C90" i="9" s="1"/>
  <c r="I92" i="9"/>
  <c r="J93" i="9"/>
  <c r="AB96" i="9"/>
  <c r="D96" i="9" s="1"/>
  <c r="E96" i="9" s="1"/>
  <c r="A97" i="9"/>
  <c r="I97" i="9"/>
  <c r="H97" i="9"/>
  <c r="AB99" i="9"/>
  <c r="D99" i="9" s="1"/>
  <c r="AB102" i="9"/>
  <c r="D102" i="9" s="1"/>
  <c r="A103" i="9"/>
  <c r="I103" i="9"/>
  <c r="H103" i="9"/>
  <c r="AB105" i="9"/>
  <c r="D105" i="9" s="1"/>
  <c r="AB108" i="9"/>
  <c r="D108" i="9" s="1"/>
  <c r="I109" i="9"/>
  <c r="H109" i="9"/>
  <c r="J110" i="9"/>
  <c r="J111" i="9"/>
  <c r="H112" i="9"/>
  <c r="I112" i="9"/>
  <c r="G112" i="9"/>
  <c r="F114" i="9"/>
  <c r="AB114" i="9"/>
  <c r="D114" i="9" s="1"/>
  <c r="AE114" i="9"/>
  <c r="A114" i="9" s="1"/>
  <c r="E114" i="9" s="1"/>
  <c r="AB115" i="9"/>
  <c r="D115" i="9" s="1"/>
  <c r="E115" i="9" s="1"/>
  <c r="F123" i="9"/>
  <c r="AH123" i="9"/>
  <c r="B123" i="9"/>
  <c r="AA127" i="9"/>
  <c r="C127" i="9" s="1"/>
  <c r="AB127" i="9"/>
  <c r="D127" i="9" s="1"/>
  <c r="E134" i="9"/>
  <c r="B78" i="9"/>
  <c r="AB84" i="9"/>
  <c r="D84" i="9" s="1"/>
  <c r="J86" i="9"/>
  <c r="AB90" i="9"/>
  <c r="D90" i="9" s="1"/>
  <c r="J92" i="9"/>
  <c r="AH95" i="9"/>
  <c r="B95" i="9"/>
  <c r="E95" i="9" s="1"/>
  <c r="F98" i="9"/>
  <c r="B98" i="9"/>
  <c r="AH101" i="9"/>
  <c r="B101" i="9"/>
  <c r="F104" i="9"/>
  <c r="B104" i="9"/>
  <c r="AH107" i="9"/>
  <c r="B107" i="9"/>
  <c r="E107" i="9" s="1"/>
  <c r="AH111" i="9"/>
  <c r="B111" i="9" s="1"/>
  <c r="J112" i="9"/>
  <c r="J113" i="9"/>
  <c r="I114" i="9"/>
  <c r="G114" i="9"/>
  <c r="AB116" i="9"/>
  <c r="D116" i="9" s="1"/>
  <c r="AE116" i="9"/>
  <c r="AB117" i="9"/>
  <c r="D117" i="9" s="1"/>
  <c r="AE120" i="9"/>
  <c r="A120" i="9" s="1"/>
  <c r="E120" i="9" s="1"/>
  <c r="I122" i="9"/>
  <c r="A122" i="9"/>
  <c r="AB124" i="9"/>
  <c r="D124" i="9" s="1"/>
  <c r="AE124" i="9"/>
  <c r="A124" i="9"/>
  <c r="E126" i="9"/>
  <c r="AH128" i="9"/>
  <c r="B128" i="9"/>
  <c r="F128" i="9"/>
  <c r="E85" i="9"/>
  <c r="E91" i="9"/>
  <c r="I95" i="9"/>
  <c r="H95" i="9"/>
  <c r="E101" i="9"/>
  <c r="I101" i="9"/>
  <c r="H101" i="9"/>
  <c r="I107" i="9"/>
  <c r="H107" i="9"/>
  <c r="E113" i="9"/>
  <c r="I116" i="9"/>
  <c r="G116" i="9"/>
  <c r="AB118" i="9"/>
  <c r="D118" i="9" s="1"/>
  <c r="AE118" i="9"/>
  <c r="A118" i="9" s="1"/>
  <c r="I120" i="9"/>
  <c r="E131" i="9"/>
  <c r="A84" i="9"/>
  <c r="B86" i="9"/>
  <c r="E86" i="9" s="1"/>
  <c r="F87" i="9"/>
  <c r="AA87" i="9"/>
  <c r="C87" i="9" s="1"/>
  <c r="AB88" i="9"/>
  <c r="D88" i="9" s="1"/>
  <c r="E88" i="9" s="1"/>
  <c r="A90" i="9"/>
  <c r="E90" i="9" s="1"/>
  <c r="B92" i="9"/>
  <c r="E92" i="9" s="1"/>
  <c r="F93" i="9"/>
  <c r="AA93" i="9"/>
  <c r="C93" i="9" s="1"/>
  <c r="AA95" i="9"/>
  <c r="C95" i="9" s="1"/>
  <c r="F96" i="9"/>
  <c r="B96" i="9"/>
  <c r="AH99" i="9"/>
  <c r="B99" i="9" s="1"/>
  <c r="AA101" i="9"/>
  <c r="C101" i="9" s="1"/>
  <c r="E102" i="9"/>
  <c r="F102" i="9"/>
  <c r="B102" i="9"/>
  <c r="AH105" i="9"/>
  <c r="B105" i="9" s="1"/>
  <c r="AA107" i="9"/>
  <c r="C107" i="9" s="1"/>
  <c r="E108" i="9"/>
  <c r="F108" i="9"/>
  <c r="B108" i="9"/>
  <c r="I118" i="9"/>
  <c r="G118" i="9"/>
  <c r="G120" i="9"/>
  <c r="AH120" i="9"/>
  <c r="B120" i="9" s="1"/>
  <c r="F120" i="9"/>
  <c r="AE136" i="9"/>
  <c r="A136" i="9"/>
  <c r="AB136" i="9"/>
  <c r="D136" i="9" s="1"/>
  <c r="F80" i="9"/>
  <c r="AA80" i="9"/>
  <c r="C80" i="9" s="1"/>
  <c r="E80" i="9" s="1"/>
  <c r="B85" i="9"/>
  <c r="F86" i="9"/>
  <c r="AA86" i="9"/>
  <c r="C86" i="9" s="1"/>
  <c r="G87" i="9"/>
  <c r="AH87" i="9"/>
  <c r="B87" i="9" s="1"/>
  <c r="I88" i="9"/>
  <c r="J89" i="9"/>
  <c r="F92" i="9"/>
  <c r="AA92" i="9"/>
  <c r="C92" i="9" s="1"/>
  <c r="G93" i="9"/>
  <c r="AH93" i="9"/>
  <c r="B93" i="9" s="1"/>
  <c r="F95" i="9"/>
  <c r="AB95" i="9"/>
  <c r="D95" i="9" s="1"/>
  <c r="J97" i="9"/>
  <c r="AE97" i="9"/>
  <c r="A99" i="9"/>
  <c r="I99" i="9"/>
  <c r="H99" i="9"/>
  <c r="F101" i="9"/>
  <c r="AB101" i="9"/>
  <c r="D101" i="9" s="1"/>
  <c r="J103" i="9"/>
  <c r="AE103" i="9"/>
  <c r="A105" i="9"/>
  <c r="I105" i="9"/>
  <c r="H105" i="9"/>
  <c r="F107" i="9"/>
  <c r="AB107" i="9"/>
  <c r="D107" i="9" s="1"/>
  <c r="J109" i="9"/>
  <c r="AE109" i="9"/>
  <c r="A109" i="9" s="1"/>
  <c r="E109" i="9" s="1"/>
  <c r="AB110" i="9"/>
  <c r="D110" i="9" s="1"/>
  <c r="AE110" i="9"/>
  <c r="A110" i="9" s="1"/>
  <c r="E110" i="9" s="1"/>
  <c r="A117" i="9"/>
  <c r="AH117" i="9"/>
  <c r="B117" i="9" s="1"/>
  <c r="J119" i="9"/>
  <c r="F125" i="9"/>
  <c r="B125" i="9"/>
  <c r="AH125" i="9"/>
  <c r="E123" i="9"/>
  <c r="E127" i="9"/>
  <c r="AH130" i="9"/>
  <c r="B130" i="9"/>
  <c r="E130" i="9" s="1"/>
  <c r="B134" i="9"/>
  <c r="F134" i="9"/>
  <c r="AH134" i="9"/>
  <c r="I135" i="9"/>
  <c r="H135" i="9"/>
  <c r="G135" i="9"/>
  <c r="J135" i="9"/>
  <c r="F121" i="9"/>
  <c r="AB122" i="9"/>
  <c r="D122" i="9" s="1"/>
  <c r="AA124" i="9"/>
  <c r="C124" i="9" s="1"/>
  <c r="A125" i="9"/>
  <c r="E125" i="9" s="1"/>
  <c r="AB126" i="9"/>
  <c r="D126" i="9" s="1"/>
  <c r="F127" i="9"/>
  <c r="B127" i="9"/>
  <c r="G128" i="9"/>
  <c r="I128" i="9"/>
  <c r="H130" i="9"/>
  <c r="J130" i="9"/>
  <c r="AA135" i="9"/>
  <c r="C135" i="9" s="1"/>
  <c r="AA138" i="9"/>
  <c r="C138" i="9" s="1"/>
  <c r="AB138" i="9"/>
  <c r="D138" i="9" s="1"/>
  <c r="AB139" i="9"/>
  <c r="D139" i="9" s="1"/>
  <c r="AE139" i="9"/>
  <c r="A139" i="9" s="1"/>
  <c r="E139" i="9" s="1"/>
  <c r="I140" i="9"/>
  <c r="G140" i="9"/>
  <c r="AH141" i="9"/>
  <c r="B141" i="9" s="1"/>
  <c r="E141" i="9" s="1"/>
  <c r="A145" i="9"/>
  <c r="AB145" i="9"/>
  <c r="D145" i="9" s="1"/>
  <c r="AE145" i="9"/>
  <c r="B140" i="9"/>
  <c r="F140" i="9"/>
  <c r="AH140" i="9"/>
  <c r="I141" i="9"/>
  <c r="H141" i="9"/>
  <c r="G141" i="9"/>
  <c r="J141" i="9"/>
  <c r="H147" i="9"/>
  <c r="G147" i="9"/>
  <c r="I147" i="9"/>
  <c r="J147" i="9"/>
  <c r="AA120" i="9"/>
  <c r="C120" i="9" s="1"/>
  <c r="E121" i="9"/>
  <c r="AH122" i="9"/>
  <c r="B122" i="9" s="1"/>
  <c r="J124" i="9"/>
  <c r="AH126" i="9"/>
  <c r="B126" i="9"/>
  <c r="A128" i="9"/>
  <c r="E128" i="9" s="1"/>
  <c r="F130" i="9"/>
  <c r="I130" i="9"/>
  <c r="AA141" i="9"/>
  <c r="C141" i="9" s="1"/>
  <c r="AH110" i="9"/>
  <c r="B110" i="9" s="1"/>
  <c r="F111" i="9"/>
  <c r="AH112" i="9"/>
  <c r="B112" i="9" s="1"/>
  <c r="F113" i="9"/>
  <c r="AH114" i="9"/>
  <c r="B114" i="9" s="1"/>
  <c r="F115" i="9"/>
  <c r="AH116" i="9"/>
  <c r="B116" i="9" s="1"/>
  <c r="F117" i="9"/>
  <c r="AH118" i="9"/>
  <c r="B118" i="9" s="1"/>
  <c r="F119" i="9"/>
  <c r="AB120" i="9"/>
  <c r="D120" i="9" s="1"/>
  <c r="AH124" i="9"/>
  <c r="B124" i="9" s="1"/>
  <c r="AB125" i="9"/>
  <c r="D125" i="9" s="1"/>
  <c r="AA128" i="9"/>
  <c r="C128" i="9" s="1"/>
  <c r="A129" i="9"/>
  <c r="E129" i="9" s="1"/>
  <c r="G130" i="9"/>
  <c r="AA132" i="9"/>
  <c r="C132" i="9" s="1"/>
  <c r="AB132" i="9"/>
  <c r="D132" i="9" s="1"/>
  <c r="AB133" i="9"/>
  <c r="D133" i="9" s="1"/>
  <c r="AE133" i="9"/>
  <c r="A133" i="9"/>
  <c r="E133" i="9" s="1"/>
  <c r="I134" i="9"/>
  <c r="G134" i="9"/>
  <c r="AH135" i="9"/>
  <c r="B135" i="9"/>
  <c r="AE142" i="9"/>
  <c r="A142" i="9"/>
  <c r="E142" i="9" s="1"/>
  <c r="E135" i="9"/>
  <c r="B144" i="9"/>
  <c r="E144" i="9" s="1"/>
  <c r="F144" i="9"/>
  <c r="B149" i="9"/>
  <c r="E149" i="9" s="1"/>
  <c r="B150" i="9"/>
  <c r="E152" i="9"/>
  <c r="B129" i="9"/>
  <c r="B132" i="9"/>
  <c r="F132" i="9"/>
  <c r="F133" i="9"/>
  <c r="AE134" i="9"/>
  <c r="B138" i="9"/>
  <c r="F138" i="9"/>
  <c r="F139" i="9"/>
  <c r="AE140" i="9"/>
  <c r="A140" i="9" s="1"/>
  <c r="E140" i="9" s="1"/>
  <c r="H143" i="9"/>
  <c r="H145" i="9"/>
  <c r="G145" i="9"/>
  <c r="I145" i="9"/>
  <c r="B146" i="9"/>
  <c r="E146" i="9" s="1"/>
  <c r="F146" i="9"/>
  <c r="B147" i="9"/>
  <c r="H149" i="9"/>
  <c r="G149" i="9"/>
  <c r="J149" i="9"/>
  <c r="I149" i="9"/>
  <c r="AA147" i="9"/>
  <c r="C147" i="9" s="1"/>
  <c r="E148" i="9"/>
  <c r="G132" i="9"/>
  <c r="J133" i="9"/>
  <c r="G138" i="9"/>
  <c r="J139" i="9"/>
  <c r="AB146" i="9"/>
  <c r="D146" i="9" s="1"/>
  <c r="A147" i="9"/>
  <c r="AB147" i="9"/>
  <c r="D147" i="9" s="1"/>
  <c r="E150" i="9"/>
  <c r="B151" i="9"/>
  <c r="E151" i="9" s="1"/>
  <c r="E153" i="9"/>
  <c r="AE132" i="9"/>
  <c r="A132" i="9" s="1"/>
  <c r="E132" i="9" s="1"/>
  <c r="B133" i="9"/>
  <c r="AB135" i="9"/>
  <c r="D135" i="9" s="1"/>
  <c r="B136" i="9"/>
  <c r="F136" i="9"/>
  <c r="F137" i="9"/>
  <c r="AE138" i="9"/>
  <c r="A138" i="9" s="1"/>
  <c r="B139" i="9"/>
  <c r="AB141" i="9"/>
  <c r="D141" i="9" s="1"/>
  <c r="B142" i="9"/>
  <c r="F142" i="9"/>
  <c r="J145" i="9"/>
  <c r="H151" i="9"/>
  <c r="G151" i="9"/>
  <c r="J151" i="9"/>
  <c r="I151" i="9"/>
  <c r="AH145" i="9"/>
  <c r="B145" i="9" s="1"/>
  <c r="AH147" i="9"/>
  <c r="F148" i="9"/>
  <c r="AB149" i="9"/>
  <c r="D149" i="9" s="1"/>
  <c r="AH149" i="9"/>
  <c r="F150" i="9"/>
  <c r="AB151" i="9"/>
  <c r="D151" i="9" s="1"/>
  <c r="AH151" i="9"/>
  <c r="I153" i="9"/>
  <c r="J153" i="9"/>
  <c r="H160" i="9"/>
  <c r="J159" i="9"/>
  <c r="F159" i="9"/>
  <c r="AH160" i="9"/>
  <c r="B160" i="9" s="1"/>
  <c r="G153" i="9"/>
  <c r="I159" i="9"/>
  <c r="AE159" i="9"/>
  <c r="A159" i="9" s="1"/>
  <c r="I160" i="9"/>
  <c r="AB160" i="9"/>
  <c r="D160" i="9" s="1"/>
  <c r="A139" i="10"/>
  <c r="A145" i="10"/>
  <c r="A151" i="10"/>
  <c r="A157" i="10"/>
  <c r="A163" i="10"/>
  <c r="A169" i="10"/>
  <c r="A175" i="10"/>
  <c r="A181" i="10"/>
  <c r="A187" i="10"/>
  <c r="A193" i="10"/>
  <c r="A199" i="10"/>
  <c r="A205" i="10"/>
  <c r="A211" i="10"/>
  <c r="A217" i="10"/>
  <c r="A223" i="10"/>
  <c r="A229" i="10"/>
  <c r="A235" i="10"/>
  <c r="A241" i="10"/>
  <c r="A247" i="10"/>
  <c r="A253" i="10"/>
  <c r="A259" i="10"/>
  <c r="A265" i="10"/>
  <c r="A271" i="10"/>
  <c r="A277" i="10"/>
  <c r="A283" i="10"/>
  <c r="A289" i="10"/>
  <c r="A295" i="10"/>
  <c r="A301" i="10"/>
  <c r="A307" i="10"/>
  <c r="A313" i="10"/>
  <c r="A319" i="10"/>
  <c r="A325" i="10"/>
  <c r="A331" i="10"/>
  <c r="A337" i="10"/>
  <c r="A343" i="10"/>
  <c r="A349" i="10"/>
  <c r="A355" i="10"/>
  <c r="A361" i="10"/>
  <c r="A367" i="10"/>
  <c r="A373" i="10"/>
  <c r="A379" i="10"/>
  <c r="A385" i="10"/>
  <c r="A391" i="10"/>
  <c r="A397" i="10"/>
  <c r="A403" i="10"/>
  <c r="A409" i="10"/>
  <c r="A415" i="10"/>
  <c r="A421" i="10"/>
  <c r="A427" i="10"/>
  <c r="A433" i="10"/>
  <c r="A8" i="10"/>
  <c r="A14" i="10"/>
  <c r="A20" i="10"/>
  <c r="A26" i="10"/>
  <c r="A32" i="10"/>
  <c r="A38" i="10"/>
  <c r="A44" i="10"/>
  <c r="A50" i="10"/>
  <c r="A56" i="10"/>
  <c r="A62" i="10"/>
  <c r="A68" i="10"/>
  <c r="A74" i="10"/>
  <c r="A80" i="10"/>
  <c r="A86" i="10"/>
  <c r="A92" i="10"/>
  <c r="A98" i="10"/>
  <c r="A104" i="10"/>
  <c r="A110" i="10"/>
  <c r="A116" i="10"/>
  <c r="A122" i="10"/>
  <c r="A128" i="10"/>
  <c r="A134" i="10"/>
  <c r="A140" i="10"/>
  <c r="A146" i="10"/>
  <c r="A152" i="10"/>
  <c r="A158" i="10"/>
  <c r="A164" i="10"/>
  <c r="A170" i="10"/>
  <c r="A176" i="10"/>
  <c r="A182" i="10"/>
  <c r="A188" i="10"/>
  <c r="A194" i="10"/>
  <c r="A200" i="10"/>
  <c r="A206" i="10"/>
  <c r="A212" i="10"/>
  <c r="A218" i="10"/>
  <c r="A224" i="10"/>
  <c r="A230" i="10"/>
  <c r="A236" i="10"/>
  <c r="A242" i="10"/>
  <c r="A248" i="10"/>
  <c r="A254" i="10"/>
  <c r="A260" i="10"/>
  <c r="A266" i="10"/>
  <c r="A272" i="10"/>
  <c r="A278" i="10"/>
  <c r="A284" i="10"/>
  <c r="A290" i="10"/>
  <c r="A296" i="10"/>
  <c r="A302" i="10"/>
  <c r="A308" i="10"/>
  <c r="A314" i="10"/>
  <c r="A320" i="10"/>
  <c r="A326" i="10"/>
  <c r="A332" i="10"/>
  <c r="A338" i="10"/>
  <c r="A344" i="10"/>
  <c r="A350" i="10"/>
  <c r="A356" i="10"/>
  <c r="A362" i="10"/>
  <c r="A368" i="10"/>
  <c r="A374" i="10"/>
  <c r="A380" i="10"/>
  <c r="A386" i="10"/>
  <c r="A392" i="10"/>
  <c r="A398" i="10"/>
  <c r="A404" i="10"/>
  <c r="A410" i="10"/>
  <c r="A416" i="10"/>
  <c r="A422" i="10"/>
  <c r="A428" i="10"/>
  <c r="A434" i="10"/>
  <c r="A3" i="10"/>
  <c r="A9" i="10"/>
  <c r="A15" i="10"/>
  <c r="A21" i="10"/>
  <c r="A27" i="10"/>
  <c r="A33" i="10"/>
  <c r="A39" i="10"/>
  <c r="A45" i="10"/>
  <c r="A51" i="10"/>
  <c r="A57" i="10"/>
  <c r="A63" i="10"/>
  <c r="A69" i="10"/>
  <c r="A75" i="10"/>
  <c r="A81" i="10"/>
  <c r="A87" i="10"/>
  <c r="A93" i="10"/>
  <c r="A99" i="10"/>
  <c r="A105" i="10"/>
  <c r="A111" i="10"/>
  <c r="A117" i="10"/>
  <c r="A123" i="10"/>
  <c r="A129" i="10"/>
  <c r="A135" i="10"/>
  <c r="A141" i="10"/>
  <c r="A147" i="10"/>
  <c r="A153" i="10"/>
  <c r="A159" i="10"/>
  <c r="A165" i="10"/>
  <c r="A171" i="10"/>
  <c r="A177" i="10"/>
  <c r="A183" i="10"/>
  <c r="A189" i="10"/>
  <c r="A195" i="10"/>
  <c r="A201" i="10"/>
  <c r="A207" i="10"/>
  <c r="A213" i="10"/>
  <c r="A219" i="10"/>
  <c r="A225" i="10"/>
  <c r="A231" i="10"/>
  <c r="A237" i="10"/>
  <c r="A243" i="10"/>
  <c r="A249" i="10"/>
  <c r="A255" i="10"/>
  <c r="A261" i="10"/>
  <c r="A267" i="10"/>
  <c r="A273" i="10"/>
  <c r="A279" i="10"/>
  <c r="A285" i="10"/>
  <c r="A291" i="10"/>
  <c r="A297" i="10"/>
  <c r="A303" i="10"/>
  <c r="A309" i="10"/>
  <c r="A315" i="10"/>
  <c r="A321" i="10"/>
  <c r="A327" i="10"/>
  <c r="A333" i="10"/>
  <c r="A339" i="10"/>
  <c r="A345" i="10"/>
  <c r="A351" i="10"/>
  <c r="A357" i="10"/>
  <c r="A363" i="10"/>
  <c r="A369" i="10"/>
  <c r="A375" i="10"/>
  <c r="A381" i="10"/>
  <c r="A387" i="10"/>
  <c r="A393" i="10"/>
  <c r="A399" i="10"/>
  <c r="A405" i="10"/>
  <c r="A411" i="10"/>
  <c r="A417" i="10"/>
  <c r="A423" i="10"/>
  <c r="A429" i="10"/>
  <c r="A4" i="10"/>
  <c r="A10" i="10"/>
  <c r="A16" i="10"/>
  <c r="A22" i="10"/>
  <c r="A28" i="10"/>
  <c r="A34" i="10"/>
  <c r="A40" i="10"/>
  <c r="A46" i="10"/>
  <c r="A52" i="10"/>
  <c r="A58" i="10"/>
  <c r="A64" i="10"/>
  <c r="A70" i="10"/>
  <c r="A76" i="10"/>
  <c r="A82" i="10"/>
  <c r="A88" i="10"/>
  <c r="A94" i="10"/>
  <c r="A100" i="10"/>
  <c r="A106" i="10"/>
  <c r="A112" i="10"/>
  <c r="A118" i="10"/>
  <c r="A124" i="10"/>
  <c r="A130" i="10"/>
  <c r="A136" i="10"/>
  <c r="A142" i="10"/>
  <c r="A148" i="10"/>
  <c r="A154" i="10"/>
  <c r="A160" i="10"/>
  <c r="A166" i="10"/>
  <c r="A172" i="10"/>
  <c r="A178" i="10"/>
  <c r="A184" i="10"/>
  <c r="A190" i="10"/>
  <c r="A196" i="10"/>
  <c r="A202" i="10"/>
  <c r="A208" i="10"/>
  <c r="A214" i="10"/>
  <c r="A220" i="10"/>
  <c r="A226" i="10"/>
  <c r="A232" i="10"/>
  <c r="A238" i="10"/>
  <c r="A244" i="10"/>
  <c r="A250" i="10"/>
  <c r="A256" i="10"/>
  <c r="A262" i="10"/>
  <c r="A268" i="10"/>
  <c r="A274" i="10"/>
  <c r="A280" i="10"/>
  <c r="A286" i="10"/>
  <c r="A292" i="10"/>
  <c r="A298" i="10"/>
  <c r="A304" i="10"/>
  <c r="A310" i="10"/>
  <c r="A316" i="10"/>
  <c r="A322" i="10"/>
  <c r="A328" i="10"/>
  <c r="A334" i="10"/>
  <c r="A340" i="10"/>
  <c r="A346" i="10"/>
  <c r="A352" i="10"/>
  <c r="A358" i="10"/>
  <c r="A364" i="10"/>
  <c r="A370" i="10"/>
  <c r="A376" i="10"/>
  <c r="A382" i="10"/>
  <c r="A388" i="10"/>
  <c r="A394" i="10"/>
  <c r="A400" i="10"/>
  <c r="A406" i="10"/>
  <c r="A412" i="10"/>
  <c r="A418" i="10"/>
  <c r="A424" i="10"/>
  <c r="A430" i="10"/>
  <c r="A160" i="9"/>
  <c r="A5" i="10"/>
  <c r="A11" i="10"/>
  <c r="A17" i="10"/>
  <c r="A23" i="10"/>
  <c r="A29" i="10"/>
  <c r="A35" i="10"/>
  <c r="A41" i="10"/>
  <c r="A47" i="10"/>
  <c r="A53" i="10"/>
  <c r="A59" i="10"/>
  <c r="A65" i="10"/>
  <c r="A71" i="10"/>
  <c r="A77" i="10"/>
  <c r="A83" i="10"/>
  <c r="A89" i="10"/>
  <c r="A95" i="10"/>
  <c r="A101" i="10"/>
  <c r="A107" i="10"/>
  <c r="A113" i="10"/>
  <c r="A119" i="10"/>
  <c r="A125" i="10"/>
  <c r="A131" i="10"/>
  <c r="A137" i="10"/>
  <c r="A143" i="10"/>
  <c r="A149" i="10"/>
  <c r="A155" i="10"/>
  <c r="A161" i="10"/>
  <c r="A167" i="10"/>
  <c r="A173" i="10"/>
  <c r="A179" i="10"/>
  <c r="A185" i="10"/>
  <c r="A191" i="10"/>
  <c r="A197" i="10"/>
  <c r="A203" i="10"/>
  <c r="A209" i="10"/>
  <c r="A215" i="10"/>
  <c r="A221" i="10"/>
  <c r="A227" i="10"/>
  <c r="A233" i="10"/>
  <c r="A239" i="10"/>
  <c r="A245" i="10"/>
  <c r="A251" i="10"/>
  <c r="A257" i="10"/>
  <c r="A263" i="10"/>
  <c r="A269" i="10"/>
  <c r="A275" i="10"/>
  <c r="A281" i="10"/>
  <c r="A287" i="10"/>
  <c r="A293" i="10"/>
  <c r="A299" i="10"/>
  <c r="A305" i="10"/>
  <c r="A311" i="10"/>
  <c r="A317" i="10"/>
  <c r="A323" i="10"/>
  <c r="A329" i="10"/>
  <c r="A335" i="10"/>
  <c r="A341" i="10"/>
  <c r="A347" i="10"/>
  <c r="A353" i="10"/>
  <c r="A359" i="10"/>
  <c r="A365" i="10"/>
  <c r="A371" i="10"/>
  <c r="A377" i="10"/>
  <c r="A383" i="10"/>
  <c r="A389" i="10"/>
  <c r="A395" i="10"/>
  <c r="A401" i="10"/>
  <c r="A407" i="10"/>
  <c r="A413" i="10"/>
  <c r="A419" i="10"/>
  <c r="A425" i="10"/>
  <c r="A431" i="10"/>
  <c r="A6" i="10"/>
  <c r="A12" i="10"/>
  <c r="A18" i="10"/>
  <c r="A24" i="10"/>
  <c r="A30" i="10"/>
  <c r="A36" i="10"/>
  <c r="A42" i="10"/>
  <c r="A48" i="10"/>
  <c r="A54" i="10"/>
  <c r="A60" i="10"/>
  <c r="A66" i="10"/>
  <c r="A72" i="10"/>
  <c r="A78" i="10"/>
  <c r="A84" i="10"/>
  <c r="A90" i="10"/>
  <c r="A96" i="10"/>
  <c r="A102" i="10"/>
  <c r="A108" i="10"/>
  <c r="A114" i="10"/>
  <c r="A120" i="10"/>
  <c r="A126" i="10"/>
  <c r="A132" i="10"/>
  <c r="A138" i="10"/>
  <c r="A144" i="10"/>
  <c r="A150" i="10"/>
  <c r="A156" i="10"/>
  <c r="A162" i="10"/>
  <c r="A168" i="10"/>
  <c r="A174" i="10"/>
  <c r="A180" i="10"/>
  <c r="A186" i="10"/>
  <c r="A192" i="10"/>
  <c r="A198" i="10"/>
  <c r="A204" i="10"/>
  <c r="A210" i="10"/>
  <c r="A216" i="10"/>
  <c r="A222" i="10"/>
  <c r="A228" i="10"/>
  <c r="A234" i="10"/>
  <c r="A240" i="10"/>
  <c r="A246" i="10"/>
  <c r="A252" i="10"/>
  <c r="A258" i="10"/>
  <c r="A264" i="10"/>
  <c r="A270" i="10"/>
  <c r="A276" i="10"/>
  <c r="A282" i="10"/>
  <c r="A288" i="10"/>
  <c r="A294" i="10"/>
  <c r="A300" i="10"/>
  <c r="A306" i="10"/>
  <c r="A312" i="10"/>
  <c r="A318" i="10"/>
  <c r="A324" i="10"/>
  <c r="A330" i="10"/>
  <c r="A336" i="10"/>
  <c r="A342" i="10"/>
  <c r="A348" i="10"/>
  <c r="A354" i="10"/>
  <c r="A360" i="10"/>
  <c r="A366" i="10"/>
  <c r="A372" i="10"/>
  <c r="A378" i="10"/>
  <c r="A384" i="10"/>
  <c r="A390" i="10"/>
  <c r="A396" i="10"/>
  <c r="A402" i="10"/>
  <c r="A408" i="10"/>
  <c r="A414" i="10"/>
  <c r="A420" i="10"/>
  <c r="A426" i="10"/>
  <c r="P1543" i="4" l="1"/>
  <c r="P1549" i="4"/>
  <c r="P1580" i="4"/>
  <c r="P1587" i="4"/>
  <c r="P1588" i="4"/>
  <c r="P1589" i="4"/>
  <c r="P1601" i="4"/>
  <c r="U1604" i="4"/>
  <c r="P1604" i="4"/>
  <c r="P1609" i="4"/>
  <c r="P1616" i="4"/>
  <c r="P1621" i="4"/>
  <c r="P1667" i="4"/>
  <c r="P1669" i="4"/>
  <c r="U1669" i="4"/>
  <c r="P1672" i="4"/>
  <c r="P1673" i="4"/>
  <c r="P1677" i="4"/>
  <c r="U1677" i="4"/>
  <c r="P1679" i="4"/>
  <c r="U1679" i="4"/>
  <c r="P1682" i="4"/>
  <c r="X1687" i="4"/>
  <c r="AC1687" i="4" s="1"/>
  <c r="X1689" i="4"/>
  <c r="P1690" i="4"/>
  <c r="P1702" i="4"/>
  <c r="P1703" i="4"/>
  <c r="P1713" i="4"/>
  <c r="P1715" i="4"/>
  <c r="P1717" i="4"/>
  <c r="P1723" i="4"/>
  <c r="P1725" i="4"/>
  <c r="P1727" i="4"/>
  <c r="P1729" i="4"/>
  <c r="P1737" i="4"/>
  <c r="P1739" i="4"/>
  <c r="P1741" i="4"/>
  <c r="P1757" i="4"/>
  <c r="P1759" i="4"/>
  <c r="P1769" i="4"/>
  <c r="P1761" i="4"/>
  <c r="P1763" i="4"/>
  <c r="AA158" i="9"/>
  <c r="C158" i="9" s="1"/>
  <c r="P1765" i="4"/>
  <c r="P1773" i="4"/>
  <c r="A1794" i="4"/>
  <c r="AC1697" i="4"/>
  <c r="Y1697" i="4"/>
  <c r="AA1697" i="4" s="1"/>
  <c r="AC1372" i="4"/>
  <c r="Y1372" i="4"/>
  <c r="AA1372" i="4" s="1"/>
  <c r="AC1356" i="4"/>
  <c r="Y1356" i="4"/>
  <c r="AA1356" i="4" s="1"/>
  <c r="AC1521" i="4"/>
  <c r="Y1521" i="4"/>
  <c r="AA1521" i="4" s="1"/>
  <c r="AC1076" i="4"/>
  <c r="Y1076" i="4"/>
  <c r="AA1076" i="4" s="1"/>
  <c r="X781" i="4"/>
  <c r="AC781" i="4" s="1"/>
  <c r="Q781" i="4"/>
  <c r="Y781" i="4"/>
  <c r="Z781" i="4" s="1"/>
  <c r="AA781" i="4" s="1"/>
  <c r="AC1208" i="4"/>
  <c r="Y1208" i="4"/>
  <c r="AC847" i="4"/>
  <c r="Y847" i="4"/>
  <c r="AC841" i="4"/>
  <c r="Y841" i="4"/>
  <c r="AC934" i="4"/>
  <c r="Y934" i="4"/>
  <c r="Y550" i="4"/>
  <c r="Z550" i="4" s="1"/>
  <c r="AA550" i="4" s="1"/>
  <c r="Q550" i="4"/>
  <c r="X550" i="4"/>
  <c r="AC550" i="4" s="1"/>
  <c r="Y897" i="4"/>
  <c r="AC897" i="4"/>
  <c r="Q347" i="4"/>
  <c r="Y347" i="4"/>
  <c r="Z347" i="4" s="1"/>
  <c r="AA347" i="4" s="1"/>
  <c r="X347" i="4"/>
  <c r="AC347" i="4" s="1"/>
  <c r="Y243" i="4"/>
  <c r="Z243" i="4" s="1"/>
  <c r="AA243" i="4" s="1"/>
  <c r="X243" i="4"/>
  <c r="AC243" i="4" s="1"/>
  <c r="Q243" i="4"/>
  <c r="X234" i="4"/>
  <c r="AC234" i="4" s="1"/>
  <c r="Q234" i="4"/>
  <c r="Y234" i="4"/>
  <c r="Z234" i="4" s="1"/>
  <c r="AA234" i="4" s="1"/>
  <c r="X223" i="4"/>
  <c r="AC223" i="4" s="1"/>
  <c r="Q223" i="4"/>
  <c r="Y223" i="4"/>
  <c r="AA223" i="4" s="1"/>
  <c r="Y187" i="4"/>
  <c r="AA187" i="4" s="1"/>
  <c r="Q187" i="4"/>
  <c r="X187" i="4"/>
  <c r="AC187" i="4" s="1"/>
  <c r="Y93" i="4"/>
  <c r="AA93" i="4" s="1"/>
  <c r="X93" i="4"/>
  <c r="AC93" i="4" s="1"/>
  <c r="Q93" i="4"/>
  <c r="X172" i="4"/>
  <c r="AC172" i="4" s="1"/>
  <c r="Q172" i="4"/>
  <c r="Y172" i="4"/>
  <c r="AA172" i="4" s="1"/>
  <c r="X105" i="4"/>
  <c r="AC105" i="4" s="1"/>
  <c r="Q105" i="4"/>
  <c r="Y105" i="4"/>
  <c r="AA105" i="4" s="1"/>
  <c r="Q33" i="4"/>
  <c r="Y33" i="4"/>
  <c r="X33" i="4"/>
  <c r="AC33" i="4" s="1"/>
  <c r="E8" i="9"/>
  <c r="S33" i="5"/>
  <c r="AC1683" i="4"/>
  <c r="Y1683" i="4"/>
  <c r="AA1683" i="4" s="1"/>
  <c r="AC1541" i="4"/>
  <c r="Y1541" i="4"/>
  <c r="AA1541" i="4" s="1"/>
  <c r="AC1395" i="4"/>
  <c r="Y1395" i="4"/>
  <c r="AA1395" i="4" s="1"/>
  <c r="AC1353" i="4"/>
  <c r="Y1353" i="4"/>
  <c r="AA1353" i="4" s="1"/>
  <c r="AC1176" i="4"/>
  <c r="Y1176" i="4"/>
  <c r="AA1176" i="4" s="1"/>
  <c r="AC1129" i="4"/>
  <c r="Y1129" i="4"/>
  <c r="AA1129" i="4" s="1"/>
  <c r="AC1102" i="4"/>
  <c r="Y1102" i="4"/>
  <c r="AA1102" i="4" s="1"/>
  <c r="AC1037" i="4"/>
  <c r="Y1037" i="4"/>
  <c r="AC1024" i="4"/>
  <c r="Y1024" i="4"/>
  <c r="AC985" i="4"/>
  <c r="Y985" i="4"/>
  <c r="AC1357" i="4"/>
  <c r="Y1357" i="4"/>
  <c r="AA1357" i="4" s="1"/>
  <c r="AC1126" i="4"/>
  <c r="Y1126" i="4"/>
  <c r="AA1126" i="4" s="1"/>
  <c r="AC1108" i="4"/>
  <c r="Y1108" i="4"/>
  <c r="AC1089" i="4"/>
  <c r="Y1089" i="4"/>
  <c r="AA1089" i="4" s="1"/>
  <c r="AC1324" i="4"/>
  <c r="Y1324" i="4"/>
  <c r="AA1324" i="4" s="1"/>
  <c r="AC1253" i="4"/>
  <c r="Y1253" i="4"/>
  <c r="AA1253" i="4" s="1"/>
  <c r="AC1206" i="4"/>
  <c r="Y1206" i="4"/>
  <c r="AC1166" i="4"/>
  <c r="Y1166" i="4"/>
  <c r="AA1165" i="4" s="1"/>
  <c r="AC1125" i="4"/>
  <c r="Y1125" i="4"/>
  <c r="AC1095" i="4"/>
  <c r="Y1095" i="4"/>
  <c r="AC1068" i="4"/>
  <c r="Y1068" i="4"/>
  <c r="AC991" i="4"/>
  <c r="Y991" i="4"/>
  <c r="AC946" i="4"/>
  <c r="Y946" i="4"/>
  <c r="AA946" i="4" s="1"/>
  <c r="AC1015" i="4"/>
  <c r="Y1015" i="4"/>
  <c r="AA1015" i="4" s="1"/>
  <c r="AC909" i="4"/>
  <c r="Y909" i="4"/>
  <c r="AC1244" i="4"/>
  <c r="Y1244" i="4"/>
  <c r="AA1244" i="4" s="1"/>
  <c r="AC1201" i="4"/>
  <c r="Y1201" i="4"/>
  <c r="X815" i="4"/>
  <c r="AC815" i="4" s="1"/>
  <c r="Q815" i="4"/>
  <c r="Y815" i="4"/>
  <c r="Z815" i="4" s="1"/>
  <c r="AA815" i="4" s="1"/>
  <c r="X772" i="4"/>
  <c r="AC772" i="4" s="1"/>
  <c r="Q772" i="4"/>
  <c r="Y772" i="4"/>
  <c r="Z772" i="4" s="1"/>
  <c r="AA772" i="4" s="1"/>
  <c r="AC1053" i="4"/>
  <c r="Y1053" i="4"/>
  <c r="AA1053" i="4" s="1"/>
  <c r="Y873" i="4"/>
  <c r="AA873" i="4" s="1"/>
  <c r="AC873" i="4"/>
  <c r="AC940" i="4"/>
  <c r="Y940" i="4"/>
  <c r="AC864" i="4"/>
  <c r="Y864" i="4"/>
  <c r="AA864" i="4" s="1"/>
  <c r="X729" i="4"/>
  <c r="AC729" i="4" s="1"/>
  <c r="Y729" i="4"/>
  <c r="Z729" i="4" s="1"/>
  <c r="AA729" i="4" s="1"/>
  <c r="Q729" i="4"/>
  <c r="X714" i="4"/>
  <c r="AC714" i="4" s="1"/>
  <c r="Y714" i="4"/>
  <c r="Z714" i="4" s="1"/>
  <c r="AA714" i="4" s="1"/>
  <c r="Q714" i="4"/>
  <c r="AC843" i="4"/>
  <c r="Y843" i="4"/>
  <c r="AA843" i="4" s="1"/>
  <c r="X790" i="4"/>
  <c r="AC790" i="4" s="1"/>
  <c r="Q790" i="4"/>
  <c r="Y790" i="4"/>
  <c r="Z790" i="4" s="1"/>
  <c r="AA790" i="4" s="1"/>
  <c r="AC871" i="4"/>
  <c r="Y871" i="4"/>
  <c r="AA871" i="4" s="1"/>
  <c r="AC879" i="4"/>
  <c r="Y879" i="4"/>
  <c r="AC863" i="4"/>
  <c r="Y863" i="4"/>
  <c r="AA863" i="4" s="1"/>
  <c r="AC854" i="4"/>
  <c r="Y854" i="4"/>
  <c r="AA854" i="4" s="1"/>
  <c r="Q591" i="4"/>
  <c r="X591" i="4"/>
  <c r="AC591" i="4" s="1"/>
  <c r="Y591" i="4"/>
  <c r="Z591" i="4" s="1"/>
  <c r="AA591" i="4" s="1"/>
  <c r="Y477" i="4"/>
  <c r="Z477" i="4" s="1"/>
  <c r="AA477" i="4" s="1"/>
  <c r="X477" i="4"/>
  <c r="AC477" i="4" s="1"/>
  <c r="Q477" i="4"/>
  <c r="Y468" i="4"/>
  <c r="Z468" i="4" s="1"/>
  <c r="AA468" i="4" s="1"/>
  <c r="Q468" i="4"/>
  <c r="X468" i="4"/>
  <c r="AC468" i="4" s="1"/>
  <c r="Q419" i="4"/>
  <c r="Y419" i="4"/>
  <c r="Z419" i="4" s="1"/>
  <c r="AA419" i="4" s="1"/>
  <c r="X419" i="4"/>
  <c r="AC419" i="4" s="1"/>
  <c r="AC956" i="4"/>
  <c r="Y956" i="4"/>
  <c r="AC889" i="4"/>
  <c r="Y889" i="4"/>
  <c r="AA889" i="4" s="1"/>
  <c r="Y408" i="4"/>
  <c r="Z408" i="4" s="1"/>
  <c r="AA408" i="4" s="1"/>
  <c r="X408" i="4"/>
  <c r="AC408" i="4" s="1"/>
  <c r="Q408" i="4"/>
  <c r="Y112" i="4"/>
  <c r="AA112" i="4" s="1"/>
  <c r="Q112" i="4"/>
  <c r="X112" i="4"/>
  <c r="AC112" i="4" s="1"/>
  <c r="AC862" i="4"/>
  <c r="Y862" i="4"/>
  <c r="AA862" i="4" s="1"/>
  <c r="Q268" i="4"/>
  <c r="X268" i="4"/>
  <c r="AC268" i="4" s="1"/>
  <c r="Y268" i="4"/>
  <c r="Z268" i="4" s="1"/>
  <c r="AA268" i="4" s="1"/>
  <c r="Y196" i="4"/>
  <c r="AA196" i="4" s="1"/>
  <c r="X196" i="4"/>
  <c r="AC196" i="4" s="1"/>
  <c r="Q196" i="4"/>
  <c r="X170" i="4"/>
  <c r="AC170" i="4" s="1"/>
  <c r="Q170" i="4"/>
  <c r="Y170" i="4"/>
  <c r="AA170" i="4" s="1"/>
  <c r="X134" i="4"/>
  <c r="AC134" i="4" s="1"/>
  <c r="Y134" i="4"/>
  <c r="AA134" i="4" s="1"/>
  <c r="Q134" i="4"/>
  <c r="X113" i="4"/>
  <c r="AC113" i="4" s="1"/>
  <c r="Q113" i="4"/>
  <c r="Y113" i="4"/>
  <c r="AA113" i="4" s="1"/>
  <c r="R114" i="5"/>
  <c r="U121" i="5"/>
  <c r="V121" i="5" s="1"/>
  <c r="W239" i="5" s="1"/>
  <c r="AC1131" i="4"/>
  <c r="Y1131" i="4"/>
  <c r="AA1131" i="4" s="1"/>
  <c r="S215" i="5"/>
  <c r="U215" i="5"/>
  <c r="V215" i="5" s="1"/>
  <c r="AC1675" i="4"/>
  <c r="Y1675" i="4"/>
  <c r="AA1675" i="4" s="1"/>
  <c r="AC1393" i="4"/>
  <c r="Y1393" i="4"/>
  <c r="AA1393" i="4" s="1"/>
  <c r="AC1359" i="4"/>
  <c r="Y1359" i="4"/>
  <c r="AA1359" i="4" s="1"/>
  <c r="Y1338" i="4"/>
  <c r="AA1338" i="4" s="1"/>
  <c r="AC1338" i="4"/>
  <c r="AC1146" i="4"/>
  <c r="Y1146" i="4"/>
  <c r="AA1146" i="4" s="1"/>
  <c r="AC1120" i="4"/>
  <c r="Y1120" i="4"/>
  <c r="AC1078" i="4"/>
  <c r="Y1078" i="4"/>
  <c r="AC1017" i="4"/>
  <c r="Y1017" i="4"/>
  <c r="Y1321" i="4"/>
  <c r="AA1321" i="4" s="1"/>
  <c r="AC1321" i="4"/>
  <c r="AC1186" i="4"/>
  <c r="Y1186" i="4"/>
  <c r="AC1165" i="4"/>
  <c r="Y1165" i="4"/>
  <c r="AC1148" i="4"/>
  <c r="Y1148" i="4"/>
  <c r="AA1148" i="4" s="1"/>
  <c r="AC1124" i="4"/>
  <c r="Y1124" i="4"/>
  <c r="AA1124" i="4" s="1"/>
  <c r="AC1106" i="4"/>
  <c r="Y1106" i="4"/>
  <c r="AA1106" i="4" s="1"/>
  <c r="AC1074" i="4"/>
  <c r="Y1074" i="4"/>
  <c r="AA1074" i="4" s="1"/>
  <c r="AC1355" i="4"/>
  <c r="Y1355" i="4"/>
  <c r="AA1355" i="4" s="1"/>
  <c r="AC1203" i="4"/>
  <c r="Y1203" i="4"/>
  <c r="AC1161" i="4"/>
  <c r="Y1161" i="4"/>
  <c r="AC1123" i="4"/>
  <c r="Y1123" i="4"/>
  <c r="AA1123" i="4" s="1"/>
  <c r="AC1088" i="4"/>
  <c r="Y1088" i="4"/>
  <c r="AA1088" i="4" s="1"/>
  <c r="AC1061" i="4"/>
  <c r="Y1061" i="4"/>
  <c r="AC1022" i="4"/>
  <c r="Y1022" i="4"/>
  <c r="AC988" i="4"/>
  <c r="Y988" i="4"/>
  <c r="AC966" i="4"/>
  <c r="Y966" i="4"/>
  <c r="AC1347" i="4"/>
  <c r="Y1347" i="4"/>
  <c r="AA1347" i="4" s="1"/>
  <c r="AC1192" i="4"/>
  <c r="Y1192" i="4"/>
  <c r="AC1034" i="4"/>
  <c r="Y1034" i="4"/>
  <c r="AC908" i="4"/>
  <c r="Y908" i="4"/>
  <c r="AC1198" i="4"/>
  <c r="Y1198" i="4"/>
  <c r="X812" i="4"/>
  <c r="AC812" i="4" s="1"/>
  <c r="Q812" i="4"/>
  <c r="Y812" i="4"/>
  <c r="Z812" i="4" s="1"/>
  <c r="AA812" i="4" s="1"/>
  <c r="X740" i="4"/>
  <c r="AC740" i="4" s="1"/>
  <c r="Y740" i="4"/>
  <c r="Z740" i="4" s="1"/>
  <c r="AA740" i="4" s="1"/>
  <c r="Q740" i="4"/>
  <c r="AC845" i="4"/>
  <c r="Y845" i="4"/>
  <c r="Q716" i="4"/>
  <c r="X716" i="4"/>
  <c r="AC716" i="4" s="1"/>
  <c r="Y716" i="4"/>
  <c r="Z716" i="4" s="1"/>
  <c r="AA716" i="4" s="1"/>
  <c r="Y938" i="4"/>
  <c r="AC938" i="4"/>
  <c r="AC861" i="4"/>
  <c r="Y861" i="4"/>
  <c r="AA861" i="4" s="1"/>
  <c r="Y748" i="4"/>
  <c r="Z748" i="4" s="1"/>
  <c r="AA748" i="4" s="1"/>
  <c r="Q748" i="4"/>
  <c r="X748" i="4"/>
  <c r="AC748" i="4" s="1"/>
  <c r="Y712" i="4"/>
  <c r="Z712" i="4" s="1"/>
  <c r="AA712" i="4" s="1"/>
  <c r="X712" i="4"/>
  <c r="AC712" i="4" s="1"/>
  <c r="Q712" i="4"/>
  <c r="AC867" i="4"/>
  <c r="Y867" i="4"/>
  <c r="AA867" i="4" s="1"/>
  <c r="X659" i="4"/>
  <c r="AC659" i="4" s="1"/>
  <c r="Y659" i="4"/>
  <c r="Z659" i="4" s="1"/>
  <c r="AA659" i="4" s="1"/>
  <c r="Q659" i="4"/>
  <c r="Q649" i="4"/>
  <c r="Y649" i="4"/>
  <c r="Z649" i="4" s="1"/>
  <c r="AA649" i="4" s="1"/>
  <c r="X649" i="4"/>
  <c r="AC649" i="4" s="1"/>
  <c r="Q632" i="4"/>
  <c r="Y632" i="4"/>
  <c r="Z632" i="4" s="1"/>
  <c r="AA632" i="4" s="1"/>
  <c r="X632" i="4"/>
  <c r="AC632" i="4" s="1"/>
  <c r="AC980" i="4"/>
  <c r="Y980" i="4"/>
  <c r="Y876" i="4"/>
  <c r="AA876" i="4" s="1"/>
  <c r="AC876" i="4"/>
  <c r="Y563" i="4"/>
  <c r="Z563" i="4" s="1"/>
  <c r="AA563" i="4" s="1"/>
  <c r="Q563" i="4"/>
  <c r="X563" i="4"/>
  <c r="AC563" i="4" s="1"/>
  <c r="Q547" i="4"/>
  <c r="X547" i="4"/>
  <c r="AC547" i="4" s="1"/>
  <c r="Y547" i="4"/>
  <c r="Z547" i="4" s="1"/>
  <c r="AA547" i="4" s="1"/>
  <c r="Q705" i="4"/>
  <c r="Y705" i="4"/>
  <c r="Z705" i="4" s="1"/>
  <c r="AA705" i="4" s="1"/>
  <c r="X705" i="4"/>
  <c r="AC705" i="4" s="1"/>
  <c r="X460" i="4"/>
  <c r="AC460" i="4" s="1"/>
  <c r="Y460" i="4"/>
  <c r="Z460" i="4" s="1"/>
  <c r="AA460" i="4" s="1"/>
  <c r="Q460" i="4"/>
  <c r="Y104" i="4"/>
  <c r="AA104" i="4" s="1"/>
  <c r="Q104" i="4"/>
  <c r="X104" i="4"/>
  <c r="AC104" i="4" s="1"/>
  <c r="X304" i="4"/>
  <c r="AC304" i="4" s="1"/>
  <c r="Y304" i="4"/>
  <c r="Z304" i="4" s="1"/>
  <c r="AA304" i="4" s="1"/>
  <c r="Q304" i="4"/>
  <c r="Q221" i="4"/>
  <c r="Y221" i="4"/>
  <c r="AA221" i="4" s="1"/>
  <c r="X221" i="4"/>
  <c r="AC221" i="4" s="1"/>
  <c r="X192" i="4"/>
  <c r="AC192" i="4" s="1"/>
  <c r="Y192" i="4"/>
  <c r="AA192" i="4" s="1"/>
  <c r="Q192" i="4"/>
  <c r="X103" i="4"/>
  <c r="AC103" i="4" s="1"/>
  <c r="Q103" i="4"/>
  <c r="Y103" i="4"/>
  <c r="AA103" i="4" s="1"/>
  <c r="AA33" i="4"/>
  <c r="AC1397" i="4"/>
  <c r="Y1397" i="4"/>
  <c r="AA1397" i="4" s="1"/>
  <c r="AC1100" i="4"/>
  <c r="Y1100" i="4"/>
  <c r="AC848" i="4"/>
  <c r="Y848" i="4"/>
  <c r="Y422" i="4"/>
  <c r="Z422" i="4" s="1"/>
  <c r="AA422" i="4" s="1"/>
  <c r="X422" i="4"/>
  <c r="AC422" i="4" s="1"/>
  <c r="Q422" i="4"/>
  <c r="S230" i="5"/>
  <c r="U230" i="5"/>
  <c r="V230" i="5" s="1"/>
  <c r="U217" i="5"/>
  <c r="V217" i="5" s="1"/>
  <c r="S217" i="5"/>
  <c r="U228" i="5"/>
  <c r="V228" i="5" s="1"/>
  <c r="S228" i="5"/>
  <c r="U120" i="5"/>
  <c r="V120" i="5" s="1"/>
  <c r="S93" i="5"/>
  <c r="AC1408" i="4"/>
  <c r="Y1408" i="4"/>
  <c r="AA1408" i="4" s="1"/>
  <c r="AC1391" i="4"/>
  <c r="Y1391" i="4"/>
  <c r="AA1391" i="4" s="1"/>
  <c r="AC1340" i="4"/>
  <c r="Y1340" i="4"/>
  <c r="AA1340" i="4" s="1"/>
  <c r="AC1396" i="4"/>
  <c r="Y1396" i="4"/>
  <c r="AA1396" i="4" s="1"/>
  <c r="AC1229" i="4"/>
  <c r="Y1229" i="4"/>
  <c r="AA1229" i="4" s="1"/>
  <c r="AC1173" i="4"/>
  <c r="Y1173" i="4"/>
  <c r="AC1115" i="4"/>
  <c r="Y1115" i="4"/>
  <c r="AC1094" i="4"/>
  <c r="Y1094" i="4"/>
  <c r="AC1048" i="4"/>
  <c r="Y1048" i="4"/>
  <c r="AA1048" i="4" s="1"/>
  <c r="AC1032" i="4"/>
  <c r="Y1032" i="4"/>
  <c r="AC1266" i="4"/>
  <c r="Y1266" i="4"/>
  <c r="AA1266" i="4" s="1"/>
  <c r="AC1210" i="4"/>
  <c r="Y1210" i="4"/>
  <c r="AA1210" i="4" s="1"/>
  <c r="AC1162" i="4"/>
  <c r="Y1162" i="4"/>
  <c r="AC1135" i="4"/>
  <c r="Y1135" i="4"/>
  <c r="AC1122" i="4"/>
  <c r="Y1122" i="4"/>
  <c r="AA1122" i="4" s="1"/>
  <c r="AC1082" i="4"/>
  <c r="Y1082" i="4"/>
  <c r="AC1026" i="4"/>
  <c r="Y1026" i="4"/>
  <c r="AC1182" i="4"/>
  <c r="Y1182" i="4"/>
  <c r="AC1081" i="4"/>
  <c r="Y1081" i="4"/>
  <c r="AA1081" i="4" s="1"/>
  <c r="AC1051" i="4"/>
  <c r="Y1051" i="4"/>
  <c r="AC983" i="4"/>
  <c r="Y983" i="4"/>
  <c r="Y1351" i="4"/>
  <c r="AA1351" i="4" s="1"/>
  <c r="AC1351" i="4"/>
  <c r="AC1269" i="4"/>
  <c r="Y1269" i="4"/>
  <c r="AA1269" i="4" s="1"/>
  <c r="AC1085" i="4"/>
  <c r="Y1085" i="4"/>
  <c r="AA1085" i="4" s="1"/>
  <c r="AC1013" i="4"/>
  <c r="Y1013" i="4"/>
  <c r="AA1013" i="4" s="1"/>
  <c r="AC1114" i="4"/>
  <c r="Y1114" i="4"/>
  <c r="AC1023" i="4"/>
  <c r="Y1023" i="4"/>
  <c r="AC954" i="4"/>
  <c r="Y954" i="4"/>
  <c r="AC1197" i="4"/>
  <c r="Y1197" i="4"/>
  <c r="AC1041" i="4"/>
  <c r="Y1041" i="4"/>
  <c r="X800" i="4"/>
  <c r="AC800" i="4" s="1"/>
  <c r="Y800" i="4"/>
  <c r="Z800" i="4" s="1"/>
  <c r="AA800" i="4" s="1"/>
  <c r="Q800" i="4"/>
  <c r="X733" i="4"/>
  <c r="AC733" i="4" s="1"/>
  <c r="Q733" i="4"/>
  <c r="Y733" i="4"/>
  <c r="Z733" i="4" s="1"/>
  <c r="AA733" i="4" s="1"/>
  <c r="AC1118" i="4"/>
  <c r="Y1118" i="4"/>
  <c r="AC1042" i="4"/>
  <c r="Y1042" i="4"/>
  <c r="AA1042" i="4" s="1"/>
  <c r="AC955" i="4"/>
  <c r="Y955" i="4"/>
  <c r="Y1316" i="4"/>
  <c r="AA1316" i="4" s="1"/>
  <c r="AC1316" i="4"/>
  <c r="AC1178" i="4"/>
  <c r="Y1178" i="4"/>
  <c r="AC865" i="4"/>
  <c r="Y865" i="4"/>
  <c r="AA865" i="4" s="1"/>
  <c r="AC1334" i="4"/>
  <c r="Y1334" i="4"/>
  <c r="AA1334" i="4" s="1"/>
  <c r="AC858" i="4"/>
  <c r="Y858" i="4"/>
  <c r="AA858" i="4" s="1"/>
  <c r="AC836" i="4"/>
  <c r="Y836" i="4"/>
  <c r="AA836" i="4" s="1"/>
  <c r="X762" i="4"/>
  <c r="AC762" i="4" s="1"/>
  <c r="Y762" i="4"/>
  <c r="Z762" i="4" s="1"/>
  <c r="AA762" i="4" s="1"/>
  <c r="Q762" i="4"/>
  <c r="Y723" i="4"/>
  <c r="Z723" i="4" s="1"/>
  <c r="AA723" i="4" s="1"/>
  <c r="X723" i="4"/>
  <c r="AC723" i="4" s="1"/>
  <c r="Q723" i="4"/>
  <c r="Q669" i="4"/>
  <c r="X669" i="4"/>
  <c r="AC669" i="4" s="1"/>
  <c r="Y669" i="4"/>
  <c r="Z669" i="4" s="1"/>
  <c r="AA669" i="4" s="1"/>
  <c r="Y641" i="4"/>
  <c r="Z641" i="4" s="1"/>
  <c r="AA641" i="4" s="1"/>
  <c r="Q641" i="4"/>
  <c r="X641" i="4"/>
  <c r="AC641" i="4" s="1"/>
  <c r="Q624" i="4"/>
  <c r="X624" i="4"/>
  <c r="AC624" i="4" s="1"/>
  <c r="Y624" i="4"/>
  <c r="Z624" i="4" s="1"/>
  <c r="AA624" i="4" s="1"/>
  <c r="Y788" i="4"/>
  <c r="Z788" i="4" s="1"/>
  <c r="AA788" i="4" s="1"/>
  <c r="X788" i="4"/>
  <c r="AC788" i="4" s="1"/>
  <c r="Q788" i="4"/>
  <c r="AC877" i="4"/>
  <c r="Y877" i="4"/>
  <c r="AA877" i="4" s="1"/>
  <c r="AC860" i="4"/>
  <c r="Y860" i="4"/>
  <c r="AA860" i="4" s="1"/>
  <c r="X576" i="4"/>
  <c r="AC576" i="4" s="1"/>
  <c r="Q576" i="4"/>
  <c r="Y576" i="4"/>
  <c r="Z576" i="4" s="1"/>
  <c r="AA576" i="4" s="1"/>
  <c r="AC883" i="4"/>
  <c r="Y883" i="4"/>
  <c r="Q610" i="4"/>
  <c r="X610" i="4"/>
  <c r="AC610" i="4" s="1"/>
  <c r="Y610" i="4"/>
  <c r="Z610" i="4" s="1"/>
  <c r="AA610" i="4" s="1"/>
  <c r="Q495" i="4"/>
  <c r="Y495" i="4"/>
  <c r="Z495" i="4" s="1"/>
  <c r="AA495" i="4" s="1"/>
  <c r="X495" i="4"/>
  <c r="AC495" i="4" s="1"/>
  <c r="Y388" i="4"/>
  <c r="Z388" i="4" s="1"/>
  <c r="AA388" i="4" s="1"/>
  <c r="X388" i="4"/>
  <c r="AC388" i="4" s="1"/>
  <c r="Q388" i="4"/>
  <c r="Q396" i="4"/>
  <c r="Y396" i="4"/>
  <c r="Z396" i="4" s="1"/>
  <c r="AA396" i="4" s="1"/>
  <c r="X396" i="4"/>
  <c r="AC396" i="4" s="1"/>
  <c r="Q283" i="4"/>
  <c r="X283" i="4"/>
  <c r="AC283" i="4" s="1"/>
  <c r="Y283" i="4"/>
  <c r="Z283" i="4" s="1"/>
  <c r="AA283" i="4" s="1"/>
  <c r="Q365" i="4"/>
  <c r="X365" i="4"/>
  <c r="AC365" i="4" s="1"/>
  <c r="Y365" i="4"/>
  <c r="Z365" i="4" s="1"/>
  <c r="AA365" i="4" s="1"/>
  <c r="Q337" i="4"/>
  <c r="Y337" i="4"/>
  <c r="Z337" i="4" s="1"/>
  <c r="AA337" i="4" s="1"/>
  <c r="X337" i="4"/>
  <c r="AC337" i="4" s="1"/>
  <c r="X216" i="4"/>
  <c r="AC216" i="4" s="1"/>
  <c r="Q216" i="4"/>
  <c r="Y216" i="4"/>
  <c r="AA216" i="4" s="1"/>
  <c r="X160" i="4"/>
  <c r="AC160" i="4" s="1"/>
  <c r="Q160" i="4"/>
  <c r="Y160" i="4"/>
  <c r="AA160" i="4" s="1"/>
  <c r="Y127" i="4"/>
  <c r="AA127" i="4" s="1"/>
  <c r="X127" i="4"/>
  <c r="AC127" i="4" s="1"/>
  <c r="Q127" i="4"/>
  <c r="X129" i="4"/>
  <c r="AC129" i="4" s="1"/>
  <c r="Y129" i="4"/>
  <c r="AA129" i="4" s="1"/>
  <c r="Q129" i="4"/>
  <c r="Y97" i="4"/>
  <c r="AA97" i="4" s="1"/>
  <c r="X97" i="4"/>
  <c r="AC97" i="4" s="1"/>
  <c r="Q97" i="4"/>
  <c r="L1014" i="2"/>
  <c r="N1012" i="2"/>
  <c r="N1014" i="2" s="1"/>
  <c r="Q77" i="4"/>
  <c r="X77" i="4"/>
  <c r="AC77" i="4" s="1"/>
  <c r="Y77" i="4"/>
  <c r="AA77" i="4" s="1"/>
  <c r="Y55" i="4"/>
  <c r="AA55" i="4" s="1"/>
  <c r="Q55" i="4"/>
  <c r="X55" i="4"/>
  <c r="AC55" i="4" s="1"/>
  <c r="AC1060" i="4"/>
  <c r="Y1060" i="4"/>
  <c r="AC1170" i="4"/>
  <c r="Y1170" i="4"/>
  <c r="AC1386" i="4"/>
  <c r="Y1386" i="4"/>
  <c r="AA1386" i="4" s="1"/>
  <c r="AC994" i="4"/>
  <c r="Y994" i="4"/>
  <c r="AC1021" i="4"/>
  <c r="Y1021" i="4"/>
  <c r="AC1097" i="4"/>
  <c r="Y1097" i="4"/>
  <c r="AC856" i="4"/>
  <c r="Y856" i="4"/>
  <c r="AA856" i="4" s="1"/>
  <c r="Q808" i="4"/>
  <c r="X808" i="4"/>
  <c r="AC808" i="4" s="1"/>
  <c r="Y808" i="4"/>
  <c r="Z808" i="4" s="1"/>
  <c r="AA808" i="4" s="1"/>
  <c r="U198" i="5"/>
  <c r="V198" i="5" s="1"/>
  <c r="S198" i="5"/>
  <c r="S115" i="5"/>
  <c r="W116" i="5"/>
  <c r="O40" i="5"/>
  <c r="N40" i="5"/>
  <c r="P40" i="5"/>
  <c r="AC1406" i="4"/>
  <c r="Y1406" i="4"/>
  <c r="AA1406" i="4" s="1"/>
  <c r="AC1383" i="4"/>
  <c r="Y1383" i="4"/>
  <c r="AA1383" i="4" s="1"/>
  <c r="AC1402" i="4"/>
  <c r="Y1402" i="4"/>
  <c r="Z1402" i="4" s="1"/>
  <c r="AA1402" i="4" s="1"/>
  <c r="AC1224" i="4"/>
  <c r="Y1224" i="4"/>
  <c r="AA1224" i="4" s="1"/>
  <c r="AC1189" i="4"/>
  <c r="Y1189" i="4"/>
  <c r="AC1067" i="4"/>
  <c r="Y1067" i="4"/>
  <c r="AC1046" i="4"/>
  <c r="Y1046" i="4"/>
  <c r="AA1046" i="4" s="1"/>
  <c r="AC1252" i="4"/>
  <c r="Y1252" i="4"/>
  <c r="AA1252" i="4" s="1"/>
  <c r="AC1207" i="4"/>
  <c r="Y1207" i="4"/>
  <c r="AA1206" i="4" s="1"/>
  <c r="AC1080" i="4"/>
  <c r="Y1080" i="4"/>
  <c r="AA1080" i="4" s="1"/>
  <c r="AC1062" i="4"/>
  <c r="Y1062" i="4"/>
  <c r="AA1061" i="4" s="1"/>
  <c r="AC1404" i="4"/>
  <c r="Y1404" i="4"/>
  <c r="AA1404" i="4" s="1"/>
  <c r="Y1331" i="4"/>
  <c r="AA1331" i="4" s="1"/>
  <c r="AC1331" i="4"/>
  <c r="AC1314" i="4"/>
  <c r="Y1314" i="4"/>
  <c r="AA1314" i="4" s="1"/>
  <c r="AC1179" i="4"/>
  <c r="Y1179" i="4"/>
  <c r="AC1107" i="4"/>
  <c r="Y1107" i="4"/>
  <c r="AC1075" i="4"/>
  <c r="Y1075" i="4"/>
  <c r="AA1075" i="4" s="1"/>
  <c r="AC1040" i="4"/>
  <c r="Y1040" i="4"/>
  <c r="AC1004" i="4"/>
  <c r="Y1004" i="4"/>
  <c r="AA1004" i="4" s="1"/>
  <c r="AC1258" i="4"/>
  <c r="Y1258" i="4"/>
  <c r="AA1258" i="4" s="1"/>
  <c r="AC1183" i="4"/>
  <c r="Y1183" i="4"/>
  <c r="AC981" i="4"/>
  <c r="Y981" i="4"/>
  <c r="AC1113" i="4"/>
  <c r="Y1113" i="4"/>
  <c r="AC1019" i="4"/>
  <c r="Y1019" i="4"/>
  <c r="AA1019" i="4" s="1"/>
  <c r="AC891" i="4"/>
  <c r="Y891" i="4"/>
  <c r="AC1236" i="4"/>
  <c r="Y1236" i="4"/>
  <c r="AA1236" i="4" s="1"/>
  <c r="X797" i="4"/>
  <c r="AC797" i="4" s="1"/>
  <c r="Q797" i="4"/>
  <c r="Y797" i="4"/>
  <c r="Z797" i="4" s="1"/>
  <c r="AA797" i="4" s="1"/>
  <c r="AC1401" i="4"/>
  <c r="Y1401" i="4"/>
  <c r="AA1401" i="4" s="1"/>
  <c r="AC1312" i="4"/>
  <c r="Y1312" i="4"/>
  <c r="AA1312" i="4" s="1"/>
  <c r="AC1099" i="4"/>
  <c r="Y1099" i="4"/>
  <c r="AC1322" i="4"/>
  <c r="Y1322" i="4"/>
  <c r="AA1322" i="4" s="1"/>
  <c r="AC922" i="4"/>
  <c r="Y922" i="4"/>
  <c r="AA922" i="4" s="1"/>
  <c r="AC852" i="4"/>
  <c r="Y852" i="4"/>
  <c r="Q640" i="4"/>
  <c r="Y640" i="4"/>
  <c r="Z640" i="4" s="1"/>
  <c r="AA640" i="4" s="1"/>
  <c r="X640" i="4"/>
  <c r="AC640" i="4" s="1"/>
  <c r="AC849" i="4"/>
  <c r="Y849" i="4"/>
  <c r="AA849" i="4" s="1"/>
  <c r="Y870" i="4"/>
  <c r="AA870" i="4" s="1"/>
  <c r="AC870" i="4"/>
  <c r="Y614" i="4"/>
  <c r="Z614" i="4" s="1"/>
  <c r="AA614" i="4" s="1"/>
  <c r="Q614" i="4"/>
  <c r="X614" i="4"/>
  <c r="AC614" i="4" s="1"/>
  <c r="X605" i="4"/>
  <c r="AC605" i="4" s="1"/>
  <c r="Y605" i="4"/>
  <c r="Z605" i="4" s="1"/>
  <c r="AA605" i="4" s="1"/>
  <c r="Q605" i="4"/>
  <c r="Y596" i="4"/>
  <c r="Z596" i="4" s="1"/>
  <c r="AA596" i="4" s="1"/>
  <c r="Q596" i="4"/>
  <c r="X596" i="4"/>
  <c r="AC596" i="4" s="1"/>
  <c r="Y480" i="4"/>
  <c r="Z480" i="4" s="1"/>
  <c r="AA480" i="4" s="1"/>
  <c r="X480" i="4"/>
  <c r="AC480" i="4" s="1"/>
  <c r="Q480" i="4"/>
  <c r="AC881" i="4"/>
  <c r="Y881" i="4"/>
  <c r="AA881" i="4" s="1"/>
  <c r="Y677" i="4"/>
  <c r="Z677" i="4" s="1"/>
  <c r="AA677" i="4" s="1"/>
  <c r="X677" i="4"/>
  <c r="AC677" i="4" s="1"/>
  <c r="Q677" i="4"/>
  <c r="X586" i="4"/>
  <c r="AC586" i="4" s="1"/>
  <c r="Y586" i="4"/>
  <c r="Z586" i="4" s="1"/>
  <c r="AA586" i="4" s="1"/>
  <c r="Q586" i="4"/>
  <c r="Y429" i="4"/>
  <c r="Z429" i="4" s="1"/>
  <c r="AA429" i="4" s="1"/>
  <c r="X429" i="4"/>
  <c r="AC429" i="4" s="1"/>
  <c r="Q429" i="4"/>
  <c r="AC880" i="4"/>
  <c r="Y880" i="4"/>
  <c r="Q622" i="4"/>
  <c r="X622" i="4"/>
  <c r="AC622" i="4" s="1"/>
  <c r="Y622" i="4"/>
  <c r="Z622" i="4" s="1"/>
  <c r="AA622" i="4" s="1"/>
  <c r="Q417" i="4"/>
  <c r="Y417" i="4"/>
  <c r="Z417" i="4" s="1"/>
  <c r="AA417" i="4" s="1"/>
  <c r="X417" i="4"/>
  <c r="AC417" i="4" s="1"/>
  <c r="Y99" i="4"/>
  <c r="AA99" i="4" s="1"/>
  <c r="X99" i="4"/>
  <c r="AC99" i="4" s="1"/>
  <c r="Q99" i="4"/>
  <c r="Q214" i="4"/>
  <c r="Y214" i="4"/>
  <c r="AA214" i="4" s="1"/>
  <c r="X214" i="4"/>
  <c r="AC214" i="4" s="1"/>
  <c r="Y182" i="4"/>
  <c r="AA182" i="4" s="1"/>
  <c r="X182" i="4"/>
  <c r="AC182" i="4" s="1"/>
  <c r="Q182" i="4"/>
  <c r="Y158" i="4"/>
  <c r="AA158" i="4" s="1"/>
  <c r="X158" i="4"/>
  <c r="AC158" i="4" s="1"/>
  <c r="Q158" i="4"/>
  <c r="X120" i="4"/>
  <c r="AC120" i="4" s="1"/>
  <c r="Y120" i="4"/>
  <c r="AA120" i="4" s="1"/>
  <c r="Q120" i="4"/>
  <c r="X100" i="4"/>
  <c r="AC100" i="4" s="1"/>
  <c r="Q100" i="4"/>
  <c r="Y100" i="4"/>
  <c r="AA100" i="4" s="1"/>
  <c r="Q53" i="4"/>
  <c r="Y53" i="4"/>
  <c r="AA53" i="4" s="1"/>
  <c r="X53" i="4"/>
  <c r="AC53" i="4" s="1"/>
  <c r="Q30" i="4"/>
  <c r="X30" i="4"/>
  <c r="AC30" i="4" s="1"/>
  <c r="Y30" i="4"/>
  <c r="AA30" i="4" s="1"/>
  <c r="AC1523" i="4"/>
  <c r="Y1523" i="4"/>
  <c r="AA1523" i="4" s="1"/>
  <c r="AC1525" i="4"/>
  <c r="Y1525" i="4"/>
  <c r="AA1525" i="4" s="1"/>
  <c r="AC1104" i="4"/>
  <c r="Y1104" i="4"/>
  <c r="X822" i="4"/>
  <c r="AC822" i="4" s="1"/>
  <c r="Q822" i="4"/>
  <c r="Y822" i="4"/>
  <c r="Z822" i="4" s="1"/>
  <c r="AA822" i="4" s="1"/>
  <c r="AC1199" i="4"/>
  <c r="Y1199" i="4"/>
  <c r="AC1335" i="4"/>
  <c r="Y1335" i="4"/>
  <c r="AA1335" i="4" s="1"/>
  <c r="AC1163" i="4"/>
  <c r="Y1163" i="4"/>
  <c r="AC921" i="4"/>
  <c r="Y921" i="4"/>
  <c r="AA921" i="4" s="1"/>
  <c r="AC1226" i="4"/>
  <c r="Y1226" i="4"/>
  <c r="AA1226" i="4" s="1"/>
  <c r="AC1029" i="4"/>
  <c r="Y1029" i="4"/>
  <c r="AC869" i="4"/>
  <c r="Y869" i="4"/>
  <c r="AA869" i="4" s="1"/>
  <c r="Q512" i="4"/>
  <c r="X512" i="4"/>
  <c r="AC512" i="4" s="1"/>
  <c r="Y512" i="4"/>
  <c r="Z512" i="4" s="1"/>
  <c r="AA512" i="4" s="1"/>
  <c r="Q639" i="4"/>
  <c r="X639" i="4"/>
  <c r="AC639" i="4" s="1"/>
  <c r="Y639" i="4"/>
  <c r="Z639" i="4" s="1"/>
  <c r="AA639" i="4" s="1"/>
  <c r="E118" i="9"/>
  <c r="E68" i="8"/>
  <c r="E24" i="9"/>
  <c r="N236" i="5"/>
  <c r="P236" i="5"/>
  <c r="O236" i="5"/>
  <c r="AC1689" i="4"/>
  <c r="Y1689" i="4"/>
  <c r="AA1689" i="4" s="1"/>
  <c r="AC1529" i="4"/>
  <c r="Y1529" i="4"/>
  <c r="AA1529" i="4" s="1"/>
  <c r="AC1399" i="4"/>
  <c r="Y1399" i="4"/>
  <c r="AA1399" i="4" s="1"/>
  <c r="AC1381" i="4"/>
  <c r="Y1381" i="4"/>
  <c r="AA1381" i="4" s="1"/>
  <c r="AC1389" i="4"/>
  <c r="Y1389" i="4"/>
  <c r="AA1389" i="4" s="1"/>
  <c r="AC1301" i="4"/>
  <c r="Y1301" i="4"/>
  <c r="AA1301" i="4" s="1"/>
  <c r="AC1133" i="4"/>
  <c r="Y1133" i="4"/>
  <c r="AC1303" i="4"/>
  <c r="Y1303" i="4"/>
  <c r="AA1303" i="4" s="1"/>
  <c r="AC1238" i="4"/>
  <c r="Y1238" i="4"/>
  <c r="AA1238" i="4" s="1"/>
  <c r="AC1155" i="4"/>
  <c r="Y1155" i="4"/>
  <c r="AC1117" i="4"/>
  <c r="Y1117" i="4"/>
  <c r="AC1096" i="4"/>
  <c r="Y1096" i="4"/>
  <c r="AC1039" i="4"/>
  <c r="Y1039" i="4"/>
  <c r="AA1039" i="4" s="1"/>
  <c r="AC1515" i="4"/>
  <c r="Y1515" i="4"/>
  <c r="AA1515" i="4" s="1"/>
  <c r="AC1371" i="4"/>
  <c r="Y1371" i="4"/>
  <c r="AA1371" i="4" s="1"/>
  <c r="AC1237" i="4"/>
  <c r="Y1237" i="4"/>
  <c r="AA1237" i="4" s="1"/>
  <c r="AC1174" i="4"/>
  <c r="Y1174" i="4"/>
  <c r="AC1105" i="4"/>
  <c r="Y1105" i="4"/>
  <c r="AA1105" i="4" s="1"/>
  <c r="AC999" i="4"/>
  <c r="Y999" i="4"/>
  <c r="AC1257" i="4"/>
  <c r="Y1257" i="4"/>
  <c r="AA1257" i="4" s="1"/>
  <c r="AC1111" i="4"/>
  <c r="Y1111" i="4"/>
  <c r="AA1111" i="4" s="1"/>
  <c r="Y979" i="4"/>
  <c r="AC979" i="4"/>
  <c r="AC1259" i="4"/>
  <c r="Y1259" i="4"/>
  <c r="AA1259" i="4" s="1"/>
  <c r="AC1153" i="4"/>
  <c r="Y1153" i="4"/>
  <c r="AC925" i="4"/>
  <c r="Y925" i="4"/>
  <c r="AA925" i="4" s="1"/>
  <c r="AC1087" i="4"/>
  <c r="Y1087" i="4"/>
  <c r="X792" i="4"/>
  <c r="AC792" i="4" s="1"/>
  <c r="Y792" i="4"/>
  <c r="Z792" i="4" s="1"/>
  <c r="AA792" i="4" s="1"/>
  <c r="Q792" i="4"/>
  <c r="AC1367" i="4"/>
  <c r="Y1367" i="4"/>
  <c r="AA1367" i="4" s="1"/>
  <c r="AC1202" i="4"/>
  <c r="Y1202" i="4"/>
  <c r="Y1010" i="4"/>
  <c r="AC1010" i="4"/>
  <c r="AC1070" i="4"/>
  <c r="Y1070" i="4"/>
  <c r="AA1070" i="4" s="1"/>
  <c r="AC859" i="4"/>
  <c r="Y859" i="4"/>
  <c r="AA859" i="4" s="1"/>
  <c r="AC1255" i="4"/>
  <c r="Y1255" i="4"/>
  <c r="AA1255" i="4" s="1"/>
  <c r="AC1044" i="4"/>
  <c r="Y1044" i="4"/>
  <c r="AA1044" i="4" s="1"/>
  <c r="Q703" i="4"/>
  <c r="X703" i="4"/>
  <c r="AC703" i="4" s="1"/>
  <c r="Y703" i="4"/>
  <c r="Z703" i="4" s="1"/>
  <c r="AA703" i="4" s="1"/>
  <c r="Y678" i="4"/>
  <c r="Z678" i="4" s="1"/>
  <c r="AA678" i="4" s="1"/>
  <c r="Q678" i="4"/>
  <c r="X678" i="4"/>
  <c r="AC678" i="4" s="1"/>
  <c r="AC874" i="4"/>
  <c r="Y874" i="4"/>
  <c r="AA874" i="4" s="1"/>
  <c r="AC850" i="4"/>
  <c r="Y850" i="4"/>
  <c r="AC906" i="4"/>
  <c r="Y906" i="4"/>
  <c r="AA906" i="4" s="1"/>
  <c r="Y866" i="4"/>
  <c r="AA866" i="4" s="1"/>
  <c r="AC866" i="4"/>
  <c r="Y542" i="4"/>
  <c r="Z542" i="4" s="1"/>
  <c r="AA542" i="4" s="1"/>
  <c r="Q542" i="4"/>
  <c r="X542" i="4"/>
  <c r="AC542" i="4" s="1"/>
  <c r="Y500" i="4"/>
  <c r="Z500" i="4" s="1"/>
  <c r="AA500" i="4" s="1"/>
  <c r="X500" i="4"/>
  <c r="AC500" i="4" s="1"/>
  <c r="Q500" i="4"/>
  <c r="Y584" i="4"/>
  <c r="Z584" i="4" s="1"/>
  <c r="AA584" i="4" s="1"/>
  <c r="Q584" i="4"/>
  <c r="X584" i="4"/>
  <c r="AC584" i="4" s="1"/>
  <c r="Y537" i="4"/>
  <c r="Z537" i="4" s="1"/>
  <c r="AA537" i="4" s="1"/>
  <c r="Q537" i="4"/>
  <c r="X537" i="4"/>
  <c r="AC537" i="4" s="1"/>
  <c r="Q491" i="4"/>
  <c r="X491" i="4"/>
  <c r="AC491" i="4" s="1"/>
  <c r="Y491" i="4"/>
  <c r="Z491" i="4" s="1"/>
  <c r="AA491" i="4" s="1"/>
  <c r="Y390" i="4"/>
  <c r="Z390" i="4" s="1"/>
  <c r="AA390" i="4" s="1"/>
  <c r="X390" i="4"/>
  <c r="AC390" i="4" s="1"/>
  <c r="Q390" i="4"/>
  <c r="Y427" i="4"/>
  <c r="Z427" i="4" s="1"/>
  <c r="AA427" i="4" s="1"/>
  <c r="X427" i="4"/>
  <c r="AC427" i="4" s="1"/>
  <c r="Q427" i="4"/>
  <c r="Q415" i="4"/>
  <c r="Y415" i="4"/>
  <c r="Z415" i="4" s="1"/>
  <c r="AA415" i="4" s="1"/>
  <c r="X415" i="4"/>
  <c r="AC415" i="4" s="1"/>
  <c r="Y447" i="4"/>
  <c r="Z447" i="4" s="1"/>
  <c r="AA447" i="4" s="1"/>
  <c r="X447" i="4"/>
  <c r="AC447" i="4" s="1"/>
  <c r="Q447" i="4"/>
  <c r="X402" i="4"/>
  <c r="AC402" i="4" s="1"/>
  <c r="Y402" i="4"/>
  <c r="Z402" i="4" s="1"/>
  <c r="AA402" i="4" s="1"/>
  <c r="Q402" i="4"/>
  <c r="Q410" i="4"/>
  <c r="X410" i="4"/>
  <c r="AC410" i="4" s="1"/>
  <c r="Y410" i="4"/>
  <c r="Z410" i="4" s="1"/>
  <c r="AA410" i="4" s="1"/>
  <c r="X96" i="4"/>
  <c r="AC96" i="4" s="1"/>
  <c r="Q96" i="4"/>
  <c r="Y96" i="4"/>
  <c r="AA96" i="4" s="1"/>
  <c r="X340" i="4"/>
  <c r="AC340" i="4" s="1"/>
  <c r="Y340" i="4"/>
  <c r="Z340" i="4" s="1"/>
  <c r="AA340" i="4" s="1"/>
  <c r="Q340" i="4"/>
  <c r="Y168" i="4"/>
  <c r="AA168" i="4" s="1"/>
  <c r="Q168" i="4"/>
  <c r="X168" i="4"/>
  <c r="AC168" i="4" s="1"/>
  <c r="Y177" i="4"/>
  <c r="AA177" i="4" s="1"/>
  <c r="X177" i="4"/>
  <c r="AC177" i="4" s="1"/>
  <c r="Q177" i="4"/>
  <c r="X141" i="4"/>
  <c r="AC141" i="4" s="1"/>
  <c r="Y141" i="4"/>
  <c r="AA141" i="4" s="1"/>
  <c r="Q141" i="4"/>
  <c r="X205" i="4"/>
  <c r="AC205" i="4" s="1"/>
  <c r="Q205" i="4"/>
  <c r="Y205" i="4"/>
  <c r="AA205" i="4" s="1"/>
  <c r="Y198" i="4"/>
  <c r="AA198" i="4" s="1"/>
  <c r="X198" i="4"/>
  <c r="AC198" i="4" s="1"/>
  <c r="Q198" i="4"/>
  <c r="X90" i="4"/>
  <c r="AC90" i="4" s="1"/>
  <c r="Q90" i="4"/>
  <c r="Y90" i="4"/>
  <c r="AA90" i="4" s="1"/>
  <c r="E93" i="9"/>
  <c r="U308" i="5"/>
  <c r="X308" i="5" s="1"/>
  <c r="U302" i="5"/>
  <c r="X302" i="5" s="1"/>
  <c r="R264" i="5"/>
  <c r="Q264" i="5"/>
  <c r="P264" i="5"/>
  <c r="P235" i="5"/>
  <c r="K235" i="5" s="1"/>
  <c r="R235" i="5" s="1"/>
  <c r="O235" i="5"/>
  <c r="N235" i="5"/>
  <c r="U298" i="5"/>
  <c r="X298" i="5" s="1"/>
  <c r="U293" i="5"/>
  <c r="X293" i="5" s="1"/>
  <c r="U284" i="5"/>
  <c r="X284" i="5" s="1"/>
  <c r="U280" i="5"/>
  <c r="X280" i="5" s="1"/>
  <c r="R273" i="5"/>
  <c r="Q273" i="5"/>
  <c r="P273" i="5"/>
  <c r="R255" i="5"/>
  <c r="Q255" i="5"/>
  <c r="P255" i="5"/>
  <c r="R252" i="5"/>
  <c r="Q252" i="5"/>
  <c r="P252" i="5"/>
  <c r="K214" i="5"/>
  <c r="S214" i="5" s="1"/>
  <c r="K209" i="5"/>
  <c r="S209" i="5" s="1"/>
  <c r="I209" i="5"/>
  <c r="H209" i="5" s="1"/>
  <c r="M156" i="5"/>
  <c r="K156" i="5" s="1"/>
  <c r="S156" i="5" s="1"/>
  <c r="M29" i="5"/>
  <c r="K29" i="5" s="1"/>
  <c r="S29" i="5" s="1"/>
  <c r="P183" i="5"/>
  <c r="K183" i="5" s="1"/>
  <c r="S183" i="5" s="1"/>
  <c r="O183" i="5"/>
  <c r="N183" i="5"/>
  <c r="M41" i="5"/>
  <c r="K41" i="5" s="1"/>
  <c r="S41" i="5" s="1"/>
  <c r="K205" i="5"/>
  <c r="S205" i="5" s="1"/>
  <c r="P205" i="5"/>
  <c r="O205" i="5"/>
  <c r="N205" i="5"/>
  <c r="N176" i="5"/>
  <c r="K176" i="5" s="1"/>
  <c r="S176" i="5" s="1"/>
  <c r="P176" i="5"/>
  <c r="O176" i="5"/>
  <c r="M112" i="5"/>
  <c r="K112" i="5" s="1"/>
  <c r="R112" i="5" s="1"/>
  <c r="S112" i="5" s="1"/>
  <c r="M74" i="5"/>
  <c r="K74" i="5" s="1"/>
  <c r="S74" i="5" s="1"/>
  <c r="M47" i="5"/>
  <c r="I170" i="5"/>
  <c r="H170" i="5" s="1"/>
  <c r="M170" i="5"/>
  <c r="K170" i="5" s="1"/>
  <c r="S170" i="5" s="1"/>
  <c r="I154" i="5"/>
  <c r="H154" i="5" s="1"/>
  <c r="M154" i="5"/>
  <c r="K154" i="5" s="1"/>
  <c r="S154" i="5" s="1"/>
  <c r="I137" i="5"/>
  <c r="H137" i="5" s="1"/>
  <c r="M137" i="5"/>
  <c r="K137" i="5" s="1"/>
  <c r="S137" i="5" s="1"/>
  <c r="M127" i="5"/>
  <c r="K127" i="5" s="1"/>
  <c r="R127" i="5" s="1"/>
  <c r="I98" i="5"/>
  <c r="H98" i="5" s="1"/>
  <c r="M98" i="5"/>
  <c r="K98" i="5" s="1"/>
  <c r="S98" i="5" s="1"/>
  <c r="K24" i="5"/>
  <c r="S24" i="5" s="1"/>
  <c r="O24" i="5"/>
  <c r="P24" i="5"/>
  <c r="N24" i="5"/>
  <c r="E117" i="9"/>
  <c r="E136" i="9"/>
  <c r="E46" i="9"/>
  <c r="E31" i="9"/>
  <c r="E15" i="9"/>
  <c r="E12" i="9"/>
  <c r="E33" i="9"/>
  <c r="G373" i="7"/>
  <c r="G370" i="7"/>
  <c r="G367" i="7"/>
  <c r="G364" i="7"/>
  <c r="G362" i="7"/>
  <c r="G360" i="7"/>
  <c r="G358" i="7"/>
  <c r="G372" i="7"/>
  <c r="G369" i="7"/>
  <c r="G374" i="7"/>
  <c r="G368" i="7"/>
  <c r="G365" i="7"/>
  <c r="C374" i="7"/>
  <c r="G366" i="7"/>
  <c r="G359" i="7"/>
  <c r="G361" i="7"/>
  <c r="G371" i="7"/>
  <c r="G363" i="7"/>
  <c r="G357" i="7"/>
  <c r="BG47" i="8"/>
  <c r="BG45" i="8"/>
  <c r="AU45" i="8"/>
  <c r="AU47" i="8"/>
  <c r="V561" i="6"/>
  <c r="U316" i="5"/>
  <c r="X316" i="5" s="1"/>
  <c r="S300" i="5"/>
  <c r="U300" i="5" s="1"/>
  <c r="X300" i="5" s="1"/>
  <c r="S282" i="5"/>
  <c r="U282" i="5" s="1"/>
  <c r="X282" i="5" s="1"/>
  <c r="M239" i="5"/>
  <c r="K239" i="5" s="1"/>
  <c r="R239" i="5" s="1"/>
  <c r="N234" i="5"/>
  <c r="K234" i="5" s="1"/>
  <c r="R234" i="5" s="1"/>
  <c r="P234" i="5"/>
  <c r="O234" i="5"/>
  <c r="M226" i="5"/>
  <c r="M244" i="5"/>
  <c r="S305" i="5"/>
  <c r="G249" i="5"/>
  <c r="J249" i="5" s="1"/>
  <c r="F249" i="5"/>
  <c r="L249" i="5" s="1"/>
  <c r="L246" i="5"/>
  <c r="G246" i="5"/>
  <c r="J246" i="5" s="1"/>
  <c r="I212" i="5"/>
  <c r="H212" i="5" s="1"/>
  <c r="I56" i="5"/>
  <c r="H56" i="5" s="1"/>
  <c r="M23" i="5"/>
  <c r="K23" i="5" s="1"/>
  <c r="S23" i="5" s="1"/>
  <c r="K211" i="5"/>
  <c r="R211" i="5" s="1"/>
  <c r="N197" i="5"/>
  <c r="K197" i="5" s="1"/>
  <c r="S197" i="5" s="1"/>
  <c r="P197" i="5"/>
  <c r="O197" i="5"/>
  <c r="I180" i="5"/>
  <c r="H180" i="5" s="1"/>
  <c r="P167" i="5"/>
  <c r="O167" i="5"/>
  <c r="K167" i="5" s="1"/>
  <c r="S167" i="5" s="1"/>
  <c r="N167" i="5"/>
  <c r="M37" i="5"/>
  <c r="K37" i="5" s="1"/>
  <c r="S37" i="5" s="1"/>
  <c r="I220" i="5"/>
  <c r="H220" i="5" s="1"/>
  <c r="I201" i="5"/>
  <c r="H201" i="5" s="1"/>
  <c r="K111" i="5"/>
  <c r="S111" i="5" s="1"/>
  <c r="M73" i="5"/>
  <c r="K73" i="5" s="1"/>
  <c r="S73" i="5" s="1"/>
  <c r="I73" i="5"/>
  <c r="H73" i="5" s="1"/>
  <c r="M62" i="5"/>
  <c r="K62" i="5" s="1"/>
  <c r="S62" i="5" s="1"/>
  <c r="I62" i="5"/>
  <c r="H62" i="5" s="1"/>
  <c r="I204" i="5"/>
  <c r="H204" i="5" s="1"/>
  <c r="K196" i="5"/>
  <c r="S196" i="5" s="1"/>
  <c r="F233" i="5"/>
  <c r="L233" i="5" s="1"/>
  <c r="M213" i="5"/>
  <c r="I151" i="5"/>
  <c r="H151" i="5" s="1"/>
  <c r="M151" i="5"/>
  <c r="K151" i="5" s="1"/>
  <c r="S151" i="5" s="1"/>
  <c r="I78" i="5"/>
  <c r="H78" i="5" s="1"/>
  <c r="M78" i="5"/>
  <c r="K78" i="5" s="1"/>
  <c r="S78" i="5" s="1"/>
  <c r="I69" i="5"/>
  <c r="H69" i="5" s="1"/>
  <c r="P53" i="5"/>
  <c r="O53" i="5"/>
  <c r="N53" i="5"/>
  <c r="I53" i="5" s="1"/>
  <c r="H53" i="5" s="1"/>
  <c r="O16" i="5"/>
  <c r="K16" i="5" s="1"/>
  <c r="S16" i="5" s="1"/>
  <c r="N16" i="5"/>
  <c r="I16" i="5" s="1"/>
  <c r="H16" i="5" s="1"/>
  <c r="P16" i="5"/>
  <c r="K206" i="5"/>
  <c r="S206" i="5" s="1"/>
  <c r="K177" i="5"/>
  <c r="S177" i="5" s="1"/>
  <c r="I141" i="5"/>
  <c r="H141" i="5" s="1"/>
  <c r="K44" i="5"/>
  <c r="I35" i="5"/>
  <c r="H35" i="5" s="1"/>
  <c r="K86" i="5"/>
  <c r="S86" i="5" s="1"/>
  <c r="M32" i="5"/>
  <c r="K32" i="5" s="1"/>
  <c r="S32" i="5" s="1"/>
  <c r="K100" i="5"/>
  <c r="S100" i="5" s="1"/>
  <c r="I77" i="5"/>
  <c r="H77" i="5" s="1"/>
  <c r="M15" i="5"/>
  <c r="I143" i="5"/>
  <c r="H143" i="5" s="1"/>
  <c r="I139" i="5"/>
  <c r="H139" i="5" s="1"/>
  <c r="I67" i="5"/>
  <c r="H67" i="5" s="1"/>
  <c r="I36" i="5"/>
  <c r="H36" i="5" s="1"/>
  <c r="K144" i="5"/>
  <c r="S144" i="5" s="1"/>
  <c r="K105" i="5"/>
  <c r="K60" i="5"/>
  <c r="S60" i="5" s="1"/>
  <c r="T1790" i="4"/>
  <c r="W1771" i="4"/>
  <c r="V1771" i="4"/>
  <c r="S1771" i="4" s="1"/>
  <c r="W1759" i="4"/>
  <c r="V1759" i="4"/>
  <c r="S1759" i="4" s="1"/>
  <c r="W1747" i="4"/>
  <c r="V1747" i="4"/>
  <c r="S1747" i="4" s="1"/>
  <c r="W1735" i="4"/>
  <c r="V1735" i="4"/>
  <c r="S1735" i="4" s="1"/>
  <c r="W1723" i="4"/>
  <c r="V1723" i="4"/>
  <c r="S1723" i="4" s="1"/>
  <c r="W1711" i="4"/>
  <c r="V1711" i="4"/>
  <c r="S1711" i="4" s="1"/>
  <c r="U1663" i="4"/>
  <c r="P1663" i="4"/>
  <c r="U1659" i="4"/>
  <c r="P1659" i="4"/>
  <c r="U1655" i="4"/>
  <c r="P1655" i="4"/>
  <c r="U1651" i="4"/>
  <c r="P1651" i="4"/>
  <c r="U1647" i="4"/>
  <c r="P1647" i="4"/>
  <c r="U1643" i="4"/>
  <c r="P1643" i="4"/>
  <c r="U1639" i="4"/>
  <c r="P1639" i="4"/>
  <c r="U1635" i="4"/>
  <c r="P1635" i="4"/>
  <c r="U1625" i="4"/>
  <c r="P1625" i="4"/>
  <c r="P1623" i="4"/>
  <c r="U1623" i="4"/>
  <c r="T1615" i="4"/>
  <c r="P1615" i="4"/>
  <c r="W1593" i="4"/>
  <c r="V1593" i="4"/>
  <c r="S1593" i="4" s="1"/>
  <c r="W1569" i="4"/>
  <c r="V1569" i="4"/>
  <c r="S1569" i="4" s="1"/>
  <c r="P1554" i="4"/>
  <c r="U1554" i="4"/>
  <c r="W1680" i="4"/>
  <c r="V1680" i="4"/>
  <c r="S1680" i="4" s="1"/>
  <c r="W1676" i="4"/>
  <c r="V1676" i="4"/>
  <c r="S1676" i="4" s="1"/>
  <c r="V1609" i="4"/>
  <c r="S1609" i="4" s="1"/>
  <c r="W1609" i="4"/>
  <c r="V1549" i="4"/>
  <c r="S1549" i="4" s="1"/>
  <c r="W1549" i="4"/>
  <c r="U1574" i="4"/>
  <c r="P1574" i="4"/>
  <c r="P1552" i="4"/>
  <c r="U1538" i="4"/>
  <c r="P1538" i="4"/>
  <c r="P1611" i="4"/>
  <c r="W1588" i="4"/>
  <c r="V1588" i="4"/>
  <c r="S1588" i="4" s="1"/>
  <c r="U1492" i="4"/>
  <c r="P1492" i="4"/>
  <c r="U1456" i="4"/>
  <c r="P1456" i="4"/>
  <c r="U1524" i="4"/>
  <c r="P1524" i="4"/>
  <c r="V1512" i="4"/>
  <c r="S1512" i="4" s="1"/>
  <c r="X1512" i="4" s="1"/>
  <c r="W1512" i="4"/>
  <c r="U1540" i="4"/>
  <c r="P1540" i="4"/>
  <c r="P1508" i="4"/>
  <c r="U1508" i="4"/>
  <c r="P1496" i="4"/>
  <c r="U1496" i="4"/>
  <c r="P1484" i="4"/>
  <c r="U1484" i="4"/>
  <c r="P1472" i="4"/>
  <c r="U1472" i="4"/>
  <c r="P1460" i="4"/>
  <c r="U1460" i="4"/>
  <c r="P1448" i="4"/>
  <c r="U1448" i="4"/>
  <c r="P1436" i="4"/>
  <c r="U1436" i="4"/>
  <c r="P1424" i="4"/>
  <c r="U1424" i="4"/>
  <c r="U1518" i="4"/>
  <c r="P1518" i="4"/>
  <c r="P1500" i="4"/>
  <c r="U1500" i="4"/>
  <c r="V1491" i="4"/>
  <c r="S1491" i="4" s="1"/>
  <c r="W1491" i="4"/>
  <c r="P1476" i="4"/>
  <c r="U1476" i="4"/>
  <c r="V1467" i="4"/>
  <c r="S1467" i="4" s="1"/>
  <c r="W1467" i="4"/>
  <c r="P1452" i="4"/>
  <c r="U1452" i="4"/>
  <c r="V1443" i="4"/>
  <c r="S1443" i="4" s="1"/>
  <c r="X1443" i="4" s="1"/>
  <c r="W1443" i="4"/>
  <c r="P1428" i="4"/>
  <c r="U1428" i="4"/>
  <c r="P1509" i="4"/>
  <c r="P1458" i="4"/>
  <c r="P1470" i="4"/>
  <c r="S1378" i="4"/>
  <c r="X1378" i="4" s="1"/>
  <c r="AC1280" i="4"/>
  <c r="Y1280" i="4"/>
  <c r="AA1280" i="4" s="1"/>
  <c r="AC1222" i="4"/>
  <c r="Y1222" i="4"/>
  <c r="AA1222" i="4" s="1"/>
  <c r="AC1149" i="4"/>
  <c r="Y1149" i="4"/>
  <c r="AA1149" i="4" s="1"/>
  <c r="AC949" i="4"/>
  <c r="Y949" i="4"/>
  <c r="AA949" i="4" s="1"/>
  <c r="P1505" i="4"/>
  <c r="Y1390" i="4"/>
  <c r="AA1390" i="4" s="1"/>
  <c r="AC1390" i="4"/>
  <c r="P1506" i="4"/>
  <c r="X1471" i="4"/>
  <c r="AC1471" i="4" s="1"/>
  <c r="AC1365" i="4"/>
  <c r="Y1365" i="4"/>
  <c r="AA1365" i="4" s="1"/>
  <c r="P1497" i="4"/>
  <c r="P1446" i="4"/>
  <c r="Y1412" i="4"/>
  <c r="Z1412" i="4" s="1"/>
  <c r="AA1412" i="4" s="1"/>
  <c r="AC1330" i="4"/>
  <c r="Y1330" i="4"/>
  <c r="AA1330" i="4" s="1"/>
  <c r="Y1256" i="4"/>
  <c r="AA1256" i="4" s="1"/>
  <c r="Y1130" i="4"/>
  <c r="AA1130" i="4" s="1"/>
  <c r="AC1092" i="4"/>
  <c r="Y1092" i="4"/>
  <c r="AA1091" i="4" s="1"/>
  <c r="Y1339" i="4"/>
  <c r="AA1339" i="4" s="1"/>
  <c r="Y1298" i="4"/>
  <c r="AA1298" i="4" s="1"/>
  <c r="AC1298" i="4"/>
  <c r="AC1270" i="4"/>
  <c r="Y1270" i="4"/>
  <c r="AA1270" i="4" s="1"/>
  <c r="Y1250" i="4"/>
  <c r="AA1250" i="4" s="1"/>
  <c r="AC1250" i="4"/>
  <c r="Y1191" i="4"/>
  <c r="Y1112" i="4"/>
  <c r="AA1112" i="4" s="1"/>
  <c r="Y1093" i="4"/>
  <c r="Y1072" i="4"/>
  <c r="AA1072" i="4" s="1"/>
  <c r="AC1072" i="4"/>
  <c r="Y1260" i="4"/>
  <c r="AA1260" i="4" s="1"/>
  <c r="Y1193" i="4"/>
  <c r="AA1193" i="4" s="1"/>
  <c r="AC1144" i="4"/>
  <c r="Y1144" i="4"/>
  <c r="AC1063" i="4"/>
  <c r="Y1063" i="4"/>
  <c r="AA1063" i="4" s="1"/>
  <c r="Y1018" i="4"/>
  <c r="AA1017" i="4" s="1"/>
  <c r="Y1214" i="4"/>
  <c r="AA1214" i="4" s="1"/>
  <c r="Y1159" i="4"/>
  <c r="AA1159" i="4" s="1"/>
  <c r="Y1145" i="4"/>
  <c r="AA1144" i="4" s="1"/>
  <c r="AC1065" i="4"/>
  <c r="Y1065" i="4"/>
  <c r="Y957" i="4"/>
  <c r="AC912" i="4"/>
  <c r="Y912" i="4"/>
  <c r="Y1272" i="4"/>
  <c r="AA1272" i="4" s="1"/>
  <c r="Y1069" i="4"/>
  <c r="AA1069" i="4" s="1"/>
  <c r="Y1052" i="4"/>
  <c r="AA1052" i="4" s="1"/>
  <c r="Y1009" i="4"/>
  <c r="X886" i="4"/>
  <c r="S886" i="4"/>
  <c r="Q806" i="4"/>
  <c r="S806" i="4"/>
  <c r="X806" i="4" s="1"/>
  <c r="AC806" i="4" s="1"/>
  <c r="X796" i="4"/>
  <c r="AC796" i="4" s="1"/>
  <c r="Q796" i="4"/>
  <c r="S796" i="4"/>
  <c r="Y1327" i="4"/>
  <c r="AA1327" i="4" s="1"/>
  <c r="AC1184" i="4"/>
  <c r="Y1184" i="4"/>
  <c r="Y1167" i="4"/>
  <c r="AA1167" i="4" s="1"/>
  <c r="AC1109" i="4"/>
  <c r="Y1109" i="4"/>
  <c r="AA1109" i="4" s="1"/>
  <c r="AC1008" i="4"/>
  <c r="Y1008" i="4"/>
  <c r="S977" i="4"/>
  <c r="X977" i="4" s="1"/>
  <c r="Y820" i="4"/>
  <c r="Z820" i="4" s="1"/>
  <c r="AA820" i="4" s="1"/>
  <c r="Y802" i="4"/>
  <c r="Z802" i="4" s="1"/>
  <c r="AA802" i="4" s="1"/>
  <c r="S802" i="4"/>
  <c r="X802" i="4"/>
  <c r="AC802" i="4" s="1"/>
  <c r="Q802" i="4"/>
  <c r="Y770" i="4"/>
  <c r="Z770" i="4" s="1"/>
  <c r="AA770" i="4" s="1"/>
  <c r="S751" i="4"/>
  <c r="Y751" i="4" s="1"/>
  <c r="Z751" i="4" s="1"/>
  <c r="AA751" i="4" s="1"/>
  <c r="Q751" i="4"/>
  <c r="Q653" i="4"/>
  <c r="X653" i="4"/>
  <c r="AC653" i="4" s="1"/>
  <c r="S653" i="4"/>
  <c r="Y838" i="4"/>
  <c r="X754" i="4"/>
  <c r="AC754" i="4" s="1"/>
  <c r="Y727" i="4"/>
  <c r="Z727" i="4" s="1"/>
  <c r="AA727" i="4" s="1"/>
  <c r="S727" i="4"/>
  <c r="Q727" i="4" s="1"/>
  <c r="X727" i="4"/>
  <c r="AC727" i="4" s="1"/>
  <c r="Y840" i="4"/>
  <c r="AA840" i="4" s="1"/>
  <c r="AC840" i="4"/>
  <c r="Y803" i="4"/>
  <c r="Z803" i="4" s="1"/>
  <c r="AA803" i="4" s="1"/>
  <c r="S785" i="4"/>
  <c r="Q785" i="4" s="1"/>
  <c r="Y785" i="4"/>
  <c r="Z785" i="4" s="1"/>
  <c r="AA785" i="4" s="1"/>
  <c r="S756" i="4"/>
  <c r="Y756" i="4"/>
  <c r="Z756" i="4" s="1"/>
  <c r="AA756" i="4" s="1"/>
  <c r="Q756" i="4"/>
  <c r="X756" i="4"/>
  <c r="AC756" i="4" s="1"/>
  <c r="X720" i="4"/>
  <c r="AC720" i="4" s="1"/>
  <c r="Y690" i="4"/>
  <c r="Z690" i="4" s="1"/>
  <c r="AA690" i="4" s="1"/>
  <c r="X684" i="4"/>
  <c r="AC684" i="4" s="1"/>
  <c r="Y645" i="4"/>
  <c r="Z645" i="4" s="1"/>
  <c r="AA645" i="4" s="1"/>
  <c r="Y868" i="4"/>
  <c r="AA868" i="4" s="1"/>
  <c r="S823" i="4"/>
  <c r="Y823" i="4" s="1"/>
  <c r="Z823" i="4" s="1"/>
  <c r="AA823" i="4" s="1"/>
  <c r="X805" i="4"/>
  <c r="AC805" i="4" s="1"/>
  <c r="S784" i="4"/>
  <c r="Q784" i="4" s="1"/>
  <c r="Y784" i="4"/>
  <c r="Z784" i="4" s="1"/>
  <c r="AA784" i="4" s="1"/>
  <c r="Y776" i="4"/>
  <c r="Z776" i="4" s="1"/>
  <c r="AA776" i="4" s="1"/>
  <c r="Q692" i="4"/>
  <c r="Q623" i="4"/>
  <c r="S601" i="4"/>
  <c r="Y601" i="4" s="1"/>
  <c r="Z601" i="4" s="1"/>
  <c r="AA601" i="4" s="1"/>
  <c r="S564" i="4"/>
  <c r="Y564" i="4" s="1"/>
  <c r="Z564" i="4" s="1"/>
  <c r="AA564" i="4" s="1"/>
  <c r="Y548" i="4"/>
  <c r="Z548" i="4" s="1"/>
  <c r="AA548" i="4" s="1"/>
  <c r="S548" i="4"/>
  <c r="X548" i="4"/>
  <c r="AC548" i="4" s="1"/>
  <c r="Q548" i="4"/>
  <c r="Y540" i="4"/>
  <c r="Z540" i="4" s="1"/>
  <c r="AA540" i="4" s="1"/>
  <c r="S540" i="4"/>
  <c r="X540" i="4" s="1"/>
  <c r="AC540" i="4" s="1"/>
  <c r="Y527" i="4"/>
  <c r="Z527" i="4" s="1"/>
  <c r="AA527" i="4" s="1"/>
  <c r="S527" i="4"/>
  <c r="Q527" i="4" s="1"/>
  <c r="X527" i="4"/>
  <c r="AC527" i="4" s="1"/>
  <c r="S508" i="4"/>
  <c r="Y508" i="4" s="1"/>
  <c r="Z508" i="4" s="1"/>
  <c r="AA508" i="4" s="1"/>
  <c r="X508" i="4"/>
  <c r="AC508" i="4" s="1"/>
  <c r="Q508" i="4"/>
  <c r="Y821" i="4"/>
  <c r="Z821" i="4" s="1"/>
  <c r="AA821" i="4" s="1"/>
  <c r="X807" i="4"/>
  <c r="AC807" i="4" s="1"/>
  <c r="X738" i="4"/>
  <c r="AC738" i="4" s="1"/>
  <c r="Q694" i="4"/>
  <c r="Y685" i="4"/>
  <c r="Z685" i="4" s="1"/>
  <c r="AA685" i="4" s="1"/>
  <c r="X673" i="4"/>
  <c r="AC673" i="4" s="1"/>
  <c r="Q673" i="4"/>
  <c r="S673" i="4"/>
  <c r="Y673" i="4" s="1"/>
  <c r="Z673" i="4" s="1"/>
  <c r="AA673" i="4" s="1"/>
  <c r="Y666" i="4"/>
  <c r="Z666" i="4" s="1"/>
  <c r="AA666" i="4" s="1"/>
  <c r="X634" i="4"/>
  <c r="AC634" i="4" s="1"/>
  <c r="S634" i="4"/>
  <c r="Q634" i="4" s="1"/>
  <c r="Y566" i="4"/>
  <c r="Z566" i="4" s="1"/>
  <c r="AA566" i="4" s="1"/>
  <c r="Q566" i="4"/>
  <c r="Y515" i="4"/>
  <c r="Z515" i="4" s="1"/>
  <c r="AA515" i="4" s="1"/>
  <c r="Q515" i="4"/>
  <c r="Y505" i="4"/>
  <c r="Z505" i="4" s="1"/>
  <c r="AA505" i="4" s="1"/>
  <c r="Q505" i="4"/>
  <c r="X778" i="4"/>
  <c r="AC778" i="4" s="1"/>
  <c r="Q728" i="4"/>
  <c r="Q696" i="4"/>
  <c r="Q674" i="4"/>
  <c r="X667" i="4"/>
  <c r="AC667" i="4" s="1"/>
  <c r="Q644" i="4"/>
  <c r="Q627" i="4"/>
  <c r="Q575" i="4"/>
  <c r="S575" i="4"/>
  <c r="X575" i="4"/>
  <c r="AC575" i="4" s="1"/>
  <c r="X522" i="4"/>
  <c r="AC522" i="4" s="1"/>
  <c r="Q522" i="4"/>
  <c r="X518" i="4"/>
  <c r="AC518" i="4" s="1"/>
  <c r="Q518" i="4"/>
  <c r="X503" i="4"/>
  <c r="AC503" i="4" s="1"/>
  <c r="Q503" i="4"/>
  <c r="Y488" i="4"/>
  <c r="Z488" i="4" s="1"/>
  <c r="AA488" i="4" s="1"/>
  <c r="X475" i="4"/>
  <c r="AC475" i="4" s="1"/>
  <c r="Q475" i="4"/>
  <c r="Y709" i="4"/>
  <c r="Z709" i="4" s="1"/>
  <c r="AA709" i="4" s="1"/>
  <c r="Y602" i="4"/>
  <c r="Z602" i="4" s="1"/>
  <c r="AA602" i="4" s="1"/>
  <c r="Q588" i="4"/>
  <c r="X552" i="4"/>
  <c r="AC552" i="4" s="1"/>
  <c r="Q492" i="4"/>
  <c r="X452" i="4"/>
  <c r="AC452" i="4" s="1"/>
  <c r="Q444" i="4"/>
  <c r="X437" i="4"/>
  <c r="AC437" i="4" s="1"/>
  <c r="Y420" i="4"/>
  <c r="Z420" i="4" s="1"/>
  <c r="AA420" i="4" s="1"/>
  <c r="S400" i="4"/>
  <c r="Q400" i="4" s="1"/>
  <c r="Y768" i="4"/>
  <c r="Z768" i="4" s="1"/>
  <c r="AA768" i="4" s="1"/>
  <c r="Q699" i="4"/>
  <c r="Q667" i="4"/>
  <c r="Q555" i="4"/>
  <c r="Q546" i="4"/>
  <c r="Y507" i="4"/>
  <c r="Z507" i="4" s="1"/>
  <c r="AA507" i="4" s="1"/>
  <c r="Y475" i="4"/>
  <c r="Z475" i="4" s="1"/>
  <c r="AA475" i="4" s="1"/>
  <c r="Q449" i="4"/>
  <c r="Q434" i="4"/>
  <c r="Q409" i="4"/>
  <c r="Y368" i="4"/>
  <c r="Z368" i="4" s="1"/>
  <c r="AA368" i="4" s="1"/>
  <c r="Y271" i="4"/>
  <c r="Z271" i="4" s="1"/>
  <c r="AA271" i="4" s="1"/>
  <c r="Y806" i="4"/>
  <c r="Z806" i="4" s="1"/>
  <c r="AA806" i="4" s="1"/>
  <c r="Y676" i="4"/>
  <c r="Z676" i="4" s="1"/>
  <c r="AA676" i="4" s="1"/>
  <c r="X607" i="4"/>
  <c r="AC607" i="4" s="1"/>
  <c r="X566" i="4"/>
  <c r="AC566" i="4" s="1"/>
  <c r="X515" i="4"/>
  <c r="AC515" i="4" s="1"/>
  <c r="Q433" i="4"/>
  <c r="X421" i="4"/>
  <c r="AC421" i="4" s="1"/>
  <c r="X330" i="4"/>
  <c r="AC330" i="4" s="1"/>
  <c r="Q330" i="4"/>
  <c r="Y318" i="4"/>
  <c r="Z318" i="4" s="1"/>
  <c r="AA318" i="4" s="1"/>
  <c r="Y746" i="4"/>
  <c r="Z746" i="4" s="1"/>
  <c r="AA746" i="4" s="1"/>
  <c r="Y680" i="4"/>
  <c r="Z680" i="4" s="1"/>
  <c r="AA680" i="4" s="1"/>
  <c r="Q581" i="4"/>
  <c r="X424" i="4"/>
  <c r="AC424" i="4" s="1"/>
  <c r="Q413" i="4"/>
  <c r="Q393" i="4"/>
  <c r="Y338" i="4"/>
  <c r="Z338" i="4" s="1"/>
  <c r="AA338" i="4" s="1"/>
  <c r="X200" i="4"/>
  <c r="AC200" i="4" s="1"/>
  <c r="X146" i="4"/>
  <c r="AC146" i="4" s="1"/>
  <c r="Q598" i="4"/>
  <c r="X565" i="4"/>
  <c r="AC565" i="4" s="1"/>
  <c r="X539" i="4"/>
  <c r="AC539" i="4" s="1"/>
  <c r="Y513" i="4"/>
  <c r="Z513" i="4" s="1"/>
  <c r="AA513" i="4" s="1"/>
  <c r="Q425" i="4"/>
  <c r="Q227" i="4"/>
  <c r="X186" i="4"/>
  <c r="AC186" i="4" s="1"/>
  <c r="Y169" i="4"/>
  <c r="AA169" i="4" s="1"/>
  <c r="X117" i="4"/>
  <c r="AC117" i="4" s="1"/>
  <c r="X102" i="4"/>
  <c r="AC102" i="4" s="1"/>
  <c r="Y777" i="4"/>
  <c r="Z777" i="4" s="1"/>
  <c r="AA777" i="4" s="1"/>
  <c r="X687" i="4"/>
  <c r="AC687" i="4" s="1"/>
  <c r="X648" i="4"/>
  <c r="AC648" i="4" s="1"/>
  <c r="Q568" i="4"/>
  <c r="Q517" i="4"/>
  <c r="X485" i="4"/>
  <c r="AC485" i="4" s="1"/>
  <c r="Y426" i="4"/>
  <c r="Z426" i="4" s="1"/>
  <c r="AA426" i="4" s="1"/>
  <c r="Y394" i="4"/>
  <c r="Z394" i="4" s="1"/>
  <c r="AA394" i="4" s="1"/>
  <c r="X369" i="4"/>
  <c r="AC369" i="4" s="1"/>
  <c r="Q362" i="4"/>
  <c r="Y321" i="4"/>
  <c r="Z321" i="4" s="1"/>
  <c r="AA321" i="4" s="1"/>
  <c r="Q316" i="4"/>
  <c r="X305" i="4"/>
  <c r="AC305" i="4" s="1"/>
  <c r="Q305" i="4"/>
  <c r="X298" i="4"/>
  <c r="AC298" i="4" s="1"/>
  <c r="Q298" i="4"/>
  <c r="S219" i="4"/>
  <c r="Y219" i="4" s="1"/>
  <c r="AA219" i="4" s="1"/>
  <c r="Q195" i="4"/>
  <c r="Y195" i="4"/>
  <c r="AA195" i="4" s="1"/>
  <c r="S195" i="4"/>
  <c r="X195" i="4" s="1"/>
  <c r="AC195" i="4" s="1"/>
  <c r="Q190" i="4"/>
  <c r="S190" i="4"/>
  <c r="Y190" i="4" s="1"/>
  <c r="AA190" i="4" s="1"/>
  <c r="Q181" i="4"/>
  <c r="Y181" i="4"/>
  <c r="AA181" i="4" s="1"/>
  <c r="S181" i="4"/>
  <c r="X181" i="4" s="1"/>
  <c r="AC181" i="4" s="1"/>
  <c r="Q176" i="4"/>
  <c r="S176" i="4"/>
  <c r="Y176" i="4" s="1"/>
  <c r="AA176" i="4" s="1"/>
  <c r="S171" i="4"/>
  <c r="X171" i="4" s="1"/>
  <c r="AC171" i="4" s="1"/>
  <c r="Q128" i="4"/>
  <c r="Y128" i="4"/>
  <c r="AA128" i="4" s="1"/>
  <c r="S128" i="4"/>
  <c r="X128" i="4" s="1"/>
  <c r="AC128" i="4" s="1"/>
  <c r="Q361" i="4"/>
  <c r="Q210" i="4"/>
  <c r="Q114" i="4"/>
  <c r="Y95" i="4"/>
  <c r="AA95" i="4" s="1"/>
  <c r="X71" i="4"/>
  <c r="AC71" i="4" s="1"/>
  <c r="Y59" i="4"/>
  <c r="AA59" i="4" s="1"/>
  <c r="X84" i="4"/>
  <c r="AC84" i="4" s="1"/>
  <c r="S84" i="4"/>
  <c r="Y84" i="4" s="1"/>
  <c r="AA84" i="4" s="1"/>
  <c r="X399" i="4"/>
  <c r="AC399" i="4" s="1"/>
  <c r="X307" i="4"/>
  <c r="AC307" i="4" s="1"/>
  <c r="Q299" i="4"/>
  <c r="Y266" i="4"/>
  <c r="Z266" i="4" s="1"/>
  <c r="AA266" i="4" s="1"/>
  <c r="Y231" i="4"/>
  <c r="Z231" i="4" s="1"/>
  <c r="AA231" i="4" s="1"/>
  <c r="Y122" i="4"/>
  <c r="AA122" i="4" s="1"/>
  <c r="Y79" i="4"/>
  <c r="AA79" i="4" s="1"/>
  <c r="X255" i="4"/>
  <c r="AC255" i="4" s="1"/>
  <c r="X201" i="4"/>
  <c r="AC201" i="4" s="1"/>
  <c r="Y185" i="4"/>
  <c r="AA185" i="4" s="1"/>
  <c r="X123" i="4"/>
  <c r="AC123" i="4" s="1"/>
  <c r="X79" i="4"/>
  <c r="AC79" i="4" s="1"/>
  <c r="X25" i="4"/>
  <c r="AC25" i="4" s="1"/>
  <c r="X19" i="4"/>
  <c r="AC19" i="4" s="1"/>
  <c r="X13" i="4"/>
  <c r="AC13" i="4" s="1"/>
  <c r="X7" i="4"/>
  <c r="AC7" i="4" s="1"/>
  <c r="X258" i="4"/>
  <c r="AC258" i="4" s="1"/>
  <c r="Q78" i="4"/>
  <c r="X78" i="4"/>
  <c r="AC78" i="4" s="1"/>
  <c r="Y78" i="4"/>
  <c r="AA78" i="4" s="1"/>
  <c r="S78" i="4"/>
  <c r="Y19" i="4"/>
  <c r="AA19" i="4" s="1"/>
  <c r="Q412" i="4"/>
  <c r="Y272" i="4"/>
  <c r="Z272" i="4" s="1"/>
  <c r="AA272" i="4" s="1"/>
  <c r="Y239" i="4"/>
  <c r="Z239" i="4" s="1"/>
  <c r="AA239" i="4" s="1"/>
  <c r="Y131" i="4"/>
  <c r="AA131" i="4" s="1"/>
  <c r="X39" i="4"/>
  <c r="AC39" i="4" s="1"/>
  <c r="X32" i="4"/>
  <c r="AC32" i="4" s="1"/>
  <c r="X60" i="4"/>
  <c r="AC60" i="4" s="1"/>
  <c r="Q15" i="4"/>
  <c r="X44" i="4"/>
  <c r="AC44" i="4" s="1"/>
  <c r="Q41" i="4"/>
  <c r="H158" i="9"/>
  <c r="J158" i="9"/>
  <c r="AB156" i="9"/>
  <c r="D156" i="9" s="1"/>
  <c r="AE156" i="9"/>
  <c r="A156" i="9" s="1"/>
  <c r="AH154" i="9"/>
  <c r="B154" i="9" s="1"/>
  <c r="F154" i="9"/>
  <c r="AE154" i="9"/>
  <c r="A154" i="9" s="1"/>
  <c r="AB154" i="9"/>
  <c r="D154" i="9" s="1"/>
  <c r="AA154" i="9"/>
  <c r="C154" i="9" s="1"/>
  <c r="E103" i="9"/>
  <c r="E124" i="9"/>
  <c r="BA18" i="8"/>
  <c r="Z15" i="8"/>
  <c r="W14" i="8"/>
  <c r="AR16" i="8"/>
  <c r="C16" i="8" s="1"/>
  <c r="E14" i="8"/>
  <c r="B15" i="8"/>
  <c r="BG15" i="8"/>
  <c r="AK16" i="8" s="1"/>
  <c r="E76" i="8"/>
  <c r="M240" i="5"/>
  <c r="K240" i="5" s="1"/>
  <c r="R240" i="5" s="1"/>
  <c r="E147" i="9"/>
  <c r="E67" i="9"/>
  <c r="E112" i="9"/>
  <c r="E53" i="9"/>
  <c r="E34" i="9"/>
  <c r="E10" i="9"/>
  <c r="E69" i="8"/>
  <c r="E380" i="7"/>
  <c r="E385" i="7" s="1"/>
  <c r="D392" i="7" s="1"/>
  <c r="E14" i="9"/>
  <c r="F374" i="7"/>
  <c r="E377" i="7"/>
  <c r="E77" i="8"/>
  <c r="E15" i="8"/>
  <c r="T561" i="6"/>
  <c r="U314" i="5"/>
  <c r="X314" i="5" s="1"/>
  <c r="O306" i="5"/>
  <c r="S306" i="5" s="1"/>
  <c r="U306" i="5"/>
  <c r="X306" i="5" s="1"/>
  <c r="S297" i="5"/>
  <c r="U297" i="5" s="1"/>
  <c r="X297" i="5" s="1"/>
  <c r="S279" i="5"/>
  <c r="U279" i="5" s="1"/>
  <c r="X279" i="5" s="1"/>
  <c r="M238" i="5"/>
  <c r="K238" i="5" s="1"/>
  <c r="R238" i="5" s="1"/>
  <c r="I238" i="5"/>
  <c r="H238" i="5" s="1"/>
  <c r="E985" i="2"/>
  <c r="F985" i="2" s="1" a="1"/>
  <c r="F985" i="2" s="1"/>
  <c r="B998" i="2"/>
  <c r="D986" i="2" s="1"/>
  <c r="U285" i="5"/>
  <c r="X285" i="5" s="1"/>
  <c r="R270" i="5"/>
  <c r="Q270" i="5"/>
  <c r="P270" i="5"/>
  <c r="S270" i="5" s="1"/>
  <c r="U270" i="5" s="1"/>
  <c r="X270" i="5" s="1"/>
  <c r="G232" i="5"/>
  <c r="J232" i="5" s="1"/>
  <c r="F232" i="5"/>
  <c r="L232" i="5" s="1"/>
  <c r="I160" i="5"/>
  <c r="H160" i="5" s="1"/>
  <c r="U301" i="5"/>
  <c r="X301" i="5" s="1"/>
  <c r="U296" i="5"/>
  <c r="X296" i="5" s="1"/>
  <c r="U292" i="5"/>
  <c r="X292" i="5" s="1"/>
  <c r="U287" i="5"/>
  <c r="X287" i="5" s="1"/>
  <c r="U283" i="5"/>
  <c r="X283" i="5" s="1"/>
  <c r="U278" i="5"/>
  <c r="X278" i="5" s="1"/>
  <c r="U272" i="5"/>
  <c r="X272" i="5" s="1"/>
  <c r="U266" i="5"/>
  <c r="X266" i="5" s="1"/>
  <c r="U260" i="5"/>
  <c r="X260" i="5" s="1"/>
  <c r="R261" i="5"/>
  <c r="Q261" i="5"/>
  <c r="P261" i="5"/>
  <c r="S261" i="5" s="1"/>
  <c r="U261" i="5" s="1"/>
  <c r="X261" i="5" s="1"/>
  <c r="G244" i="5"/>
  <c r="J244" i="5" s="1"/>
  <c r="U257" i="5"/>
  <c r="X257" i="5" s="1"/>
  <c r="N182" i="5"/>
  <c r="K182" i="5" s="1"/>
  <c r="S182" i="5" s="1"/>
  <c r="P182" i="5"/>
  <c r="O182" i="5"/>
  <c r="I174" i="5"/>
  <c r="H174" i="5" s="1"/>
  <c r="K162" i="5"/>
  <c r="S162" i="5" s="1"/>
  <c r="M49" i="5"/>
  <c r="K49" i="5" s="1"/>
  <c r="S49" i="5" s="1"/>
  <c r="M21" i="5"/>
  <c r="K21" i="5" s="1"/>
  <c r="I21" i="5"/>
  <c r="H21" i="5" s="1"/>
  <c r="N179" i="5"/>
  <c r="K179" i="5" s="1"/>
  <c r="S179" i="5" s="1"/>
  <c r="P179" i="5"/>
  <c r="O179" i="5"/>
  <c r="K165" i="5"/>
  <c r="R165" i="5" s="1"/>
  <c r="K135" i="5"/>
  <c r="S135" i="5" s="1"/>
  <c r="M34" i="5"/>
  <c r="K34" i="5" s="1"/>
  <c r="S34" i="5" s="1"/>
  <c r="F132" i="5"/>
  <c r="M132" i="5"/>
  <c r="K132" i="5" s="1"/>
  <c r="S132" i="5" s="1"/>
  <c r="M110" i="5"/>
  <c r="K110" i="5" s="1"/>
  <c r="S110" i="5" s="1"/>
  <c r="M96" i="5"/>
  <c r="K96" i="5" s="1"/>
  <c r="S96" i="5" s="1"/>
  <c r="M83" i="5"/>
  <c r="K83" i="5" s="1"/>
  <c r="S83" i="5" s="1"/>
  <c r="M224" i="5"/>
  <c r="I224" i="5" s="1"/>
  <c r="H224" i="5" s="1"/>
  <c r="K186" i="5"/>
  <c r="S186" i="5" s="1"/>
  <c r="I52" i="5"/>
  <c r="H52" i="5" s="1"/>
  <c r="M52" i="5"/>
  <c r="K52" i="5" s="1"/>
  <c r="S52" i="5" s="1"/>
  <c r="N213" i="5"/>
  <c r="P213" i="5"/>
  <c r="K213" i="5"/>
  <c r="S213" i="5" s="1"/>
  <c r="O213" i="5"/>
  <c r="I213" i="5" s="1"/>
  <c r="H213" i="5" s="1"/>
  <c r="I148" i="5"/>
  <c r="H148" i="5" s="1"/>
  <c r="M148" i="5"/>
  <c r="K148" i="5" s="1"/>
  <c r="S148" i="5" s="1"/>
  <c r="K134" i="5"/>
  <c r="S134" i="5" s="1"/>
  <c r="I94" i="5"/>
  <c r="H94" i="5" s="1"/>
  <c r="K50" i="5"/>
  <c r="P50" i="5"/>
  <c r="O50" i="5"/>
  <c r="N50" i="5"/>
  <c r="U140" i="5"/>
  <c r="V140" i="5" s="1"/>
  <c r="U138" i="5"/>
  <c r="V138" i="5" s="1"/>
  <c r="I89" i="5"/>
  <c r="H89" i="5" s="1"/>
  <c r="I44" i="5"/>
  <c r="H44" i="5" s="1"/>
  <c r="I31" i="5"/>
  <c r="H31" i="5" s="1"/>
  <c r="K11" i="5"/>
  <c r="M26" i="5"/>
  <c r="K26" i="5" s="1"/>
  <c r="S26" i="5" s="1"/>
  <c r="M13" i="5"/>
  <c r="K13" i="5" s="1"/>
  <c r="S13" i="5" s="1"/>
  <c r="M3" i="5"/>
  <c r="K3" i="5" s="1"/>
  <c r="S3" i="5" s="1"/>
  <c r="F3" i="5"/>
  <c r="G15" i="5"/>
  <c r="J15" i="5" s="1"/>
  <c r="I63" i="5"/>
  <c r="H63" i="5" s="1"/>
  <c r="K133" i="5"/>
  <c r="S133" i="5" s="1"/>
  <c r="I91" i="5"/>
  <c r="H91" i="5" s="1"/>
  <c r="U1695" i="4"/>
  <c r="P1695" i="4"/>
  <c r="U1776" i="4"/>
  <c r="Y1790" i="4" s="1"/>
  <c r="Y1792" i="4" s="1"/>
  <c r="P1776" i="4"/>
  <c r="U1772" i="4"/>
  <c r="P1772" i="4"/>
  <c r="U1768" i="4"/>
  <c r="P1768" i="4"/>
  <c r="U1764" i="4"/>
  <c r="P1764" i="4"/>
  <c r="U1760" i="4"/>
  <c r="P1760" i="4"/>
  <c r="U1756" i="4"/>
  <c r="P1756" i="4"/>
  <c r="U1752" i="4"/>
  <c r="P1752" i="4"/>
  <c r="U1748" i="4"/>
  <c r="P1748" i="4"/>
  <c r="U1744" i="4"/>
  <c r="P1744" i="4"/>
  <c r="U1740" i="4"/>
  <c r="P1740" i="4"/>
  <c r="U1736" i="4"/>
  <c r="P1736" i="4"/>
  <c r="U1732" i="4"/>
  <c r="P1732" i="4"/>
  <c r="U1728" i="4"/>
  <c r="P1728" i="4"/>
  <c r="U1724" i="4"/>
  <c r="P1724" i="4"/>
  <c r="U1720" i="4"/>
  <c r="P1720" i="4"/>
  <c r="U1716" i="4"/>
  <c r="P1716" i="4"/>
  <c r="U1712" i="4"/>
  <c r="P1712" i="4"/>
  <c r="U1708" i="4"/>
  <c r="P1708" i="4"/>
  <c r="U1704" i="4"/>
  <c r="P1704" i="4"/>
  <c r="K6" i="5"/>
  <c r="S6" i="5" s="1"/>
  <c r="W1769" i="4"/>
  <c r="V1769" i="4"/>
  <c r="S1769" i="4" s="1"/>
  <c r="W1757" i="4"/>
  <c r="V1757" i="4"/>
  <c r="S1757" i="4" s="1"/>
  <c r="W1745" i="4"/>
  <c r="V1745" i="4"/>
  <c r="S1745" i="4" s="1"/>
  <c r="W1733" i="4"/>
  <c r="V1733" i="4"/>
  <c r="S1733" i="4" s="1"/>
  <c r="W1721" i="4"/>
  <c r="V1721" i="4"/>
  <c r="S1721" i="4" s="1"/>
  <c r="X1721" i="4" s="1"/>
  <c r="W1709" i="4"/>
  <c r="V1709" i="4"/>
  <c r="S1709" i="4" s="1"/>
  <c r="U1596" i="4"/>
  <c r="P1596" i="4"/>
  <c r="U1610" i="4"/>
  <c r="P1610" i="4"/>
  <c r="U1630" i="4"/>
  <c r="P1630" i="4"/>
  <c r="W1668" i="4"/>
  <c r="V1668" i="4"/>
  <c r="S1668" i="4" s="1"/>
  <c r="P1631" i="4"/>
  <c r="U1631" i="4"/>
  <c r="P1614" i="4"/>
  <c r="U1614" i="4"/>
  <c r="T1603" i="4"/>
  <c r="P1603" i="4"/>
  <c r="W1581" i="4"/>
  <c r="V1581" i="4"/>
  <c r="S1581" i="4" s="1"/>
  <c r="X1581" i="4" s="1"/>
  <c r="T1567" i="4"/>
  <c r="P1567" i="4"/>
  <c r="T1619" i="4"/>
  <c r="P1619" i="4"/>
  <c r="P1597" i="4"/>
  <c r="P1563" i="4"/>
  <c r="U1563" i="4"/>
  <c r="U1526" i="4"/>
  <c r="P1526" i="4"/>
  <c r="U1418" i="4"/>
  <c r="P1418" i="4"/>
  <c r="U1522" i="4"/>
  <c r="P1522" i="4"/>
  <c r="T1490" i="4"/>
  <c r="P1490" i="4"/>
  <c r="T1466" i="4"/>
  <c r="P1466" i="4"/>
  <c r="T1442" i="4"/>
  <c r="P1442" i="4"/>
  <c r="V1417" i="4"/>
  <c r="S1417" i="4" s="1"/>
  <c r="W1417" i="4"/>
  <c r="X1495" i="4"/>
  <c r="AC1495" i="4" s="1"/>
  <c r="X1507" i="4"/>
  <c r="AC1507" i="4" s="1"/>
  <c r="P1421" i="4"/>
  <c r="AC1304" i="4"/>
  <c r="Y1304" i="4"/>
  <c r="AA1304" i="4" s="1"/>
  <c r="AC1277" i="4"/>
  <c r="Y1277" i="4"/>
  <c r="AA1277" i="4" s="1"/>
  <c r="AC1219" i="4"/>
  <c r="Y1219" i="4"/>
  <c r="AA1219" i="4" s="1"/>
  <c r="AC1142" i="4"/>
  <c r="Y1142" i="4"/>
  <c r="AA1142" i="4" s="1"/>
  <c r="Y939" i="4"/>
  <c r="AC939" i="4"/>
  <c r="Y1407" i="4"/>
  <c r="AA1407" i="4" s="1"/>
  <c r="Y1380" i="4"/>
  <c r="AA1380" i="4" s="1"/>
  <c r="AC1380" i="4"/>
  <c r="Y1325" i="4"/>
  <c r="AA1325" i="4" s="1"/>
  <c r="P1457" i="4"/>
  <c r="Y1361" i="4"/>
  <c r="AA1361" i="4" s="1"/>
  <c r="X1483" i="4"/>
  <c r="AC1483" i="4" s="1"/>
  <c r="Y1185" i="4"/>
  <c r="Y1169" i="4"/>
  <c r="Y1150" i="4"/>
  <c r="Y986" i="4"/>
  <c r="Y1329" i="4"/>
  <c r="AA1329" i="4" s="1"/>
  <c r="Y1290" i="4"/>
  <c r="AA1290" i="4" s="1"/>
  <c r="Y1036" i="4"/>
  <c r="X993" i="4"/>
  <c r="S993" i="4"/>
  <c r="S974" i="4"/>
  <c r="X974" i="4" s="1"/>
  <c r="X958" i="4"/>
  <c r="S958" i="4"/>
  <c r="Y1352" i="4"/>
  <c r="AA1352" i="4" s="1"/>
  <c r="Y1187" i="4"/>
  <c r="AA1187" i="4" s="1"/>
  <c r="Y1168" i="4"/>
  <c r="Y1132" i="4"/>
  <c r="AA1132" i="4" s="1"/>
  <c r="Y1007" i="4"/>
  <c r="AC1007" i="4"/>
  <c r="Y952" i="4"/>
  <c r="AA952" i="4" s="1"/>
  <c r="Y1245" i="4"/>
  <c r="AA1245" i="4" s="1"/>
  <c r="AA1006" i="4"/>
  <c r="AC975" i="4"/>
  <c r="Y975" i="4"/>
  <c r="Y1295" i="4"/>
  <c r="AA1295" i="4" s="1"/>
  <c r="Y1268" i="4"/>
  <c r="AA1268" i="4" s="1"/>
  <c r="Y1177" i="4"/>
  <c r="S989" i="4"/>
  <c r="X989" i="4" s="1"/>
  <c r="X814" i="4"/>
  <c r="AC814" i="4" s="1"/>
  <c r="Q814" i="4"/>
  <c r="Y814" i="4"/>
  <c r="Z814" i="4" s="1"/>
  <c r="AA814" i="4" s="1"/>
  <c r="S814" i="4"/>
  <c r="X804" i="4"/>
  <c r="AC804" i="4" s="1"/>
  <c r="Q804" i="4"/>
  <c r="S804" i="4"/>
  <c r="X794" i="4"/>
  <c r="AC794" i="4" s="1"/>
  <c r="Q794" i="4"/>
  <c r="S794" i="4"/>
  <c r="X760" i="4"/>
  <c r="AC760" i="4" s="1"/>
  <c r="Q760" i="4"/>
  <c r="S760" i="4"/>
  <c r="Y760" i="4" s="1"/>
  <c r="Z760" i="4" s="1"/>
  <c r="AA760" i="4" s="1"/>
  <c r="X732" i="4"/>
  <c r="AC732" i="4" s="1"/>
  <c r="Q732" i="4"/>
  <c r="S732" i="4"/>
  <c r="Y1209" i="4"/>
  <c r="AA1208" i="4" s="1"/>
  <c r="Y1071" i="4"/>
  <c r="AA1071" i="4" s="1"/>
  <c r="Y1054" i="4"/>
  <c r="Y1043" i="4"/>
  <c r="AA1043" i="4" s="1"/>
  <c r="Y1028" i="4"/>
  <c r="S1003" i="4"/>
  <c r="X1003" i="4" s="1"/>
  <c r="S962" i="4"/>
  <c r="X962" i="4" s="1"/>
  <c r="Q820" i="4"/>
  <c r="Q721" i="4"/>
  <c r="X707" i="4"/>
  <c r="AC707" i="4" s="1"/>
  <c r="X680" i="4"/>
  <c r="AC680" i="4" s="1"/>
  <c r="Q638" i="4"/>
  <c r="Y638" i="4"/>
  <c r="Z638" i="4" s="1"/>
  <c r="AA638" i="4" s="1"/>
  <c r="X780" i="4"/>
  <c r="AC780" i="4" s="1"/>
  <c r="Y704" i="4"/>
  <c r="Z704" i="4" s="1"/>
  <c r="AA704" i="4" s="1"/>
  <c r="Y683" i="4"/>
  <c r="Z683" i="4" s="1"/>
  <c r="AA683" i="4" s="1"/>
  <c r="Y653" i="4"/>
  <c r="Z653" i="4" s="1"/>
  <c r="AA653" i="4" s="1"/>
  <c r="Q645" i="4"/>
  <c r="Y612" i="4"/>
  <c r="Z612" i="4" s="1"/>
  <c r="AA612" i="4" s="1"/>
  <c r="S813" i="4"/>
  <c r="Y813" i="4" s="1"/>
  <c r="Z813" i="4" s="1"/>
  <c r="AA813" i="4" s="1"/>
  <c r="Y804" i="4"/>
  <c r="Z804" i="4" s="1"/>
  <c r="AA804" i="4" s="1"/>
  <c r="Y794" i="4"/>
  <c r="Z794" i="4" s="1"/>
  <c r="AA794" i="4" s="1"/>
  <c r="X612" i="4"/>
  <c r="AC612" i="4" s="1"/>
  <c r="Y817" i="4"/>
  <c r="Z817" i="4" s="1"/>
  <c r="AA817" i="4" s="1"/>
  <c r="S817" i="4"/>
  <c r="X817" i="4" s="1"/>
  <c r="AC817" i="4" s="1"/>
  <c r="Q817" i="4"/>
  <c r="Y779" i="4"/>
  <c r="Z779" i="4" s="1"/>
  <c r="AA779" i="4" s="1"/>
  <c r="Q768" i="4"/>
  <c r="S749" i="4"/>
  <c r="Y749" i="4" s="1"/>
  <c r="Z749" i="4" s="1"/>
  <c r="AA749" i="4" s="1"/>
  <c r="X749" i="4"/>
  <c r="AC749" i="4" s="1"/>
  <c r="Q745" i="4"/>
  <c r="Q701" i="4"/>
  <c r="X691" i="4"/>
  <c r="AC691" i="4" s="1"/>
  <c r="Y647" i="4"/>
  <c r="Z647" i="4" s="1"/>
  <c r="AA647" i="4" s="1"/>
  <c r="S599" i="4"/>
  <c r="Y599" i="4"/>
  <c r="Z599" i="4" s="1"/>
  <c r="AA599" i="4" s="1"/>
  <c r="X599" i="4"/>
  <c r="AC599" i="4" s="1"/>
  <c r="Q599" i="4"/>
  <c r="S577" i="4"/>
  <c r="Y577" i="4" s="1"/>
  <c r="Z577" i="4" s="1"/>
  <c r="AA577" i="4" s="1"/>
  <c r="Q577" i="4"/>
  <c r="Q803" i="4"/>
  <c r="S793" i="4"/>
  <c r="Y793" i="4" s="1"/>
  <c r="Z793" i="4" s="1"/>
  <c r="AA793" i="4" s="1"/>
  <c r="S752" i="4"/>
  <c r="Y752" i="4"/>
  <c r="Z752" i="4" s="1"/>
  <c r="AA752" i="4" s="1"/>
  <c r="X752" i="4"/>
  <c r="AC752" i="4" s="1"/>
  <c r="Q752" i="4"/>
  <c r="Y692" i="4"/>
  <c r="Z692" i="4" s="1"/>
  <c r="AA692" i="4" s="1"/>
  <c r="Y684" i="4"/>
  <c r="Z684" i="4" s="1"/>
  <c r="AA684" i="4" s="1"/>
  <c r="Q672" i="4"/>
  <c r="X664" i="4"/>
  <c r="AC664" i="4" s="1"/>
  <c r="Y575" i="4"/>
  <c r="Z575" i="4" s="1"/>
  <c r="AA575" i="4" s="1"/>
  <c r="Y524" i="4"/>
  <c r="Z524" i="4" s="1"/>
  <c r="AA524" i="4" s="1"/>
  <c r="Q524" i="4"/>
  <c r="Y486" i="4"/>
  <c r="Z486" i="4" s="1"/>
  <c r="AA486" i="4" s="1"/>
  <c r="Q486" i="4"/>
  <c r="X465" i="4"/>
  <c r="AC465" i="4" s="1"/>
  <c r="Q455" i="4"/>
  <c r="Y455" i="4"/>
  <c r="Z455" i="4" s="1"/>
  <c r="AA455" i="4" s="1"/>
  <c r="Q442" i="4"/>
  <c r="Y442" i="4"/>
  <c r="Z442" i="4" s="1"/>
  <c r="AA442" i="4" s="1"/>
  <c r="Y853" i="4"/>
  <c r="S783" i="4"/>
  <c r="Y783" i="4" s="1"/>
  <c r="Z783" i="4" s="1"/>
  <c r="AA783" i="4" s="1"/>
  <c r="Y778" i="4"/>
  <c r="Z778" i="4" s="1"/>
  <c r="AA778" i="4" s="1"/>
  <c r="Q744" i="4"/>
  <c r="Q736" i="4"/>
  <c r="X728" i="4"/>
  <c r="AC728" i="4" s="1"/>
  <c r="X696" i="4"/>
  <c r="AC696" i="4" s="1"/>
  <c r="S688" i="4"/>
  <c r="Y688" i="4" s="1"/>
  <c r="Z688" i="4" s="1"/>
  <c r="AA688" i="4" s="1"/>
  <c r="Y672" i="4"/>
  <c r="Z672" i="4" s="1"/>
  <c r="AA672" i="4" s="1"/>
  <c r="X658" i="4"/>
  <c r="AC658" i="4" s="1"/>
  <c r="Q604" i="4"/>
  <c r="S604" i="4"/>
  <c r="Y604" i="4" s="1"/>
  <c r="Z604" i="4" s="1"/>
  <c r="AA604" i="4" s="1"/>
  <c r="Y581" i="4"/>
  <c r="Z581" i="4" s="1"/>
  <c r="AA581" i="4" s="1"/>
  <c r="Q536" i="4"/>
  <c r="S536" i="4"/>
  <c r="Y536" i="4" s="1"/>
  <c r="Z536" i="4" s="1"/>
  <c r="AA536" i="4" s="1"/>
  <c r="X532" i="4"/>
  <c r="AC532" i="4" s="1"/>
  <c r="Q532" i="4"/>
  <c r="S532" i="4"/>
  <c r="Y532" i="4" s="1"/>
  <c r="Z532" i="4" s="1"/>
  <c r="AA532" i="4" s="1"/>
  <c r="X528" i="4"/>
  <c r="AC528" i="4" s="1"/>
  <c r="Q528" i="4"/>
  <c r="S528" i="4"/>
  <c r="Y528" i="4" s="1"/>
  <c r="Z528" i="4" s="1"/>
  <c r="AA528" i="4" s="1"/>
  <c r="Y517" i="4"/>
  <c r="Z517" i="4" s="1"/>
  <c r="AA517" i="4" s="1"/>
  <c r="Q511" i="4"/>
  <c r="S511" i="4"/>
  <c r="Y511" i="4" s="1"/>
  <c r="Z511" i="4" s="1"/>
  <c r="AA511" i="4" s="1"/>
  <c r="X511" i="4"/>
  <c r="AC511" i="4" s="1"/>
  <c r="Y502" i="4"/>
  <c r="Z502" i="4" s="1"/>
  <c r="AA502" i="4" s="1"/>
  <c r="X482" i="4"/>
  <c r="AC482" i="4" s="1"/>
  <c r="Q482" i="4"/>
  <c r="S482" i="4"/>
  <c r="Y482" i="4" s="1"/>
  <c r="Z482" i="4" s="1"/>
  <c r="AA482" i="4" s="1"/>
  <c r="S467" i="4"/>
  <c r="Y467" i="4" s="1"/>
  <c r="Z467" i="4" s="1"/>
  <c r="AA467" i="4" s="1"/>
  <c r="Q459" i="4"/>
  <c r="S459" i="4"/>
  <c r="Y459" i="4" s="1"/>
  <c r="Z459" i="4" s="1"/>
  <c r="AA459" i="4" s="1"/>
  <c r="Y635" i="4"/>
  <c r="Z635" i="4" s="1"/>
  <c r="AA635" i="4" s="1"/>
  <c r="X588" i="4"/>
  <c r="AC588" i="4" s="1"/>
  <c r="Y573" i="4"/>
  <c r="Z573" i="4" s="1"/>
  <c r="AA573" i="4" s="1"/>
  <c r="Q551" i="4"/>
  <c r="X524" i="4"/>
  <c r="AC524" i="4" s="1"/>
  <c r="X492" i="4"/>
  <c r="AC492" i="4" s="1"/>
  <c r="Q487" i="4"/>
  <c r="Q470" i="4"/>
  <c r="Y461" i="4"/>
  <c r="Z461" i="4" s="1"/>
  <c r="AA461" i="4" s="1"/>
  <c r="Y443" i="4"/>
  <c r="Z443" i="4" s="1"/>
  <c r="AA443" i="4" s="1"/>
  <c r="Q420" i="4"/>
  <c r="Q416" i="4"/>
  <c r="Q405" i="4"/>
  <c r="X405" i="4"/>
  <c r="AC405" i="4" s="1"/>
  <c r="Q324" i="4"/>
  <c r="X324" i="4"/>
  <c r="AC324" i="4" s="1"/>
  <c r="Y300" i="4"/>
  <c r="Z300" i="4" s="1"/>
  <c r="AA300" i="4" s="1"/>
  <c r="Y761" i="4"/>
  <c r="Z761" i="4" s="1"/>
  <c r="AA761" i="4" s="1"/>
  <c r="X555" i="4"/>
  <c r="AC555" i="4" s="1"/>
  <c r="X546" i="4"/>
  <c r="AC546" i="4" s="1"/>
  <c r="Y503" i="4"/>
  <c r="Z503" i="4" s="1"/>
  <c r="AA503" i="4" s="1"/>
  <c r="Y456" i="4"/>
  <c r="Z456" i="4" s="1"/>
  <c r="AA456" i="4" s="1"/>
  <c r="Y448" i="4"/>
  <c r="Z448" i="4" s="1"/>
  <c r="AA448" i="4" s="1"/>
  <c r="Y431" i="4"/>
  <c r="Z431" i="4" s="1"/>
  <c r="AA431" i="4" s="1"/>
  <c r="Q428" i="4"/>
  <c r="Y424" i="4"/>
  <c r="Z424" i="4" s="1"/>
  <c r="AA424" i="4" s="1"/>
  <c r="X378" i="4"/>
  <c r="AC378" i="4" s="1"/>
  <c r="Q368" i="4"/>
  <c r="Y292" i="4"/>
  <c r="Z292" i="4" s="1"/>
  <c r="AA292" i="4" s="1"/>
  <c r="Q676" i="4"/>
  <c r="X623" i="4"/>
  <c r="AC623" i="4" s="1"/>
  <c r="Q578" i="4"/>
  <c r="Y560" i="4"/>
  <c r="Z560" i="4" s="1"/>
  <c r="AA560" i="4" s="1"/>
  <c r="Y496" i="4"/>
  <c r="Z496" i="4" s="1"/>
  <c r="AA496" i="4" s="1"/>
  <c r="X433" i="4"/>
  <c r="AC433" i="4" s="1"/>
  <c r="Q404" i="4"/>
  <c r="Y329" i="4"/>
  <c r="Z329" i="4" s="1"/>
  <c r="AA329" i="4" s="1"/>
  <c r="X317" i="4"/>
  <c r="AC317" i="4" s="1"/>
  <c r="Q310" i="4"/>
  <c r="Q163" i="4"/>
  <c r="X118" i="4"/>
  <c r="AC118" i="4" s="1"/>
  <c r="Y525" i="4"/>
  <c r="Z525" i="4" s="1"/>
  <c r="AA525" i="4" s="1"/>
  <c r="X393" i="4"/>
  <c r="AC393" i="4" s="1"/>
  <c r="X239" i="4"/>
  <c r="AC239" i="4" s="1"/>
  <c r="X232" i="4"/>
  <c r="AC232" i="4" s="1"/>
  <c r="X207" i="4"/>
  <c r="AC207" i="4" s="1"/>
  <c r="X598" i="4"/>
  <c r="AC598" i="4" s="1"/>
  <c r="Y559" i="4"/>
  <c r="Z559" i="4" s="1"/>
  <c r="AA559" i="4" s="1"/>
  <c r="Q538" i="4"/>
  <c r="Q514" i="4"/>
  <c r="X439" i="4"/>
  <c r="AC439" i="4" s="1"/>
  <c r="Q439" i="4"/>
  <c r="S439" i="4"/>
  <c r="Y439" i="4" s="1"/>
  <c r="Z439" i="4" s="1"/>
  <c r="AA439" i="4" s="1"/>
  <c r="Y418" i="4"/>
  <c r="Z418" i="4" s="1"/>
  <c r="AA418" i="4" s="1"/>
  <c r="Q386" i="4"/>
  <c r="Y369" i="4"/>
  <c r="Z369" i="4" s="1"/>
  <c r="AA369" i="4" s="1"/>
  <c r="Q263" i="4"/>
  <c r="Q249" i="4"/>
  <c r="Q225" i="4"/>
  <c r="X115" i="4"/>
  <c r="AC115" i="4" s="1"/>
  <c r="Q585" i="4"/>
  <c r="Q509" i="4"/>
  <c r="Q484" i="4"/>
  <c r="Q462" i="4"/>
  <c r="X442" i="4"/>
  <c r="AC442" i="4" s="1"/>
  <c r="Y409" i="4"/>
  <c r="Z409" i="4" s="1"/>
  <c r="AA409" i="4" s="1"/>
  <c r="Q392" i="4"/>
  <c r="X392" i="4"/>
  <c r="AC392" i="4" s="1"/>
  <c r="Y376" i="4"/>
  <c r="Z376" i="4" s="1"/>
  <c r="AA376" i="4" s="1"/>
  <c r="Q355" i="4"/>
  <c r="X355" i="4"/>
  <c r="AC355" i="4" s="1"/>
  <c r="S355" i="4"/>
  <c r="Y355" i="4" s="1"/>
  <c r="Z355" i="4" s="1"/>
  <c r="AA355" i="4" s="1"/>
  <c r="Q321" i="4"/>
  <c r="S315" i="4"/>
  <c r="Y315" i="4" s="1"/>
  <c r="Z315" i="4" s="1"/>
  <c r="AA315" i="4" s="1"/>
  <c r="Y305" i="4"/>
  <c r="Z305" i="4" s="1"/>
  <c r="AA305" i="4" s="1"/>
  <c r="S281" i="4"/>
  <c r="Y281" i="4" s="1"/>
  <c r="Z281" i="4" s="1"/>
  <c r="AA281" i="4" s="1"/>
  <c r="X277" i="4"/>
  <c r="AC277" i="4" s="1"/>
  <c r="Q277" i="4"/>
  <c r="S277" i="4"/>
  <c r="Y277" i="4" s="1"/>
  <c r="Z277" i="4" s="1"/>
  <c r="AA277" i="4" s="1"/>
  <c r="S267" i="4"/>
  <c r="X267" i="4" s="1"/>
  <c r="AC267" i="4" s="1"/>
  <c r="X262" i="4"/>
  <c r="AC262" i="4" s="1"/>
  <c r="Q262" i="4"/>
  <c r="S262" i="4"/>
  <c r="Y262" i="4" s="1"/>
  <c r="Z262" i="4" s="1"/>
  <c r="AA262" i="4" s="1"/>
  <c r="Y240" i="4"/>
  <c r="Z240" i="4" s="1"/>
  <c r="AA240" i="4" s="1"/>
  <c r="S240" i="4"/>
  <c r="X240" i="4" s="1"/>
  <c r="AC240" i="4" s="1"/>
  <c r="Q228" i="4"/>
  <c r="Y228" i="4"/>
  <c r="Z228" i="4" s="1"/>
  <c r="S228" i="4"/>
  <c r="X228" i="4"/>
  <c r="AC228" i="4" s="1"/>
  <c r="X166" i="4"/>
  <c r="AC166" i="4" s="1"/>
  <c r="Q166" i="4"/>
  <c r="S166" i="4"/>
  <c r="Y166" i="4" s="1"/>
  <c r="AA166" i="4" s="1"/>
  <c r="S161" i="4"/>
  <c r="Y161" i="4" s="1"/>
  <c r="AA161" i="4" s="1"/>
  <c r="Q157" i="4"/>
  <c r="Y157" i="4"/>
  <c r="AA157" i="4" s="1"/>
  <c r="S157" i="4"/>
  <c r="X157" i="4" s="1"/>
  <c r="AC157" i="4" s="1"/>
  <c r="Q142" i="4"/>
  <c r="S142" i="4"/>
  <c r="Y142" i="4" s="1"/>
  <c r="AA142" i="4" s="1"/>
  <c r="X137" i="4"/>
  <c r="AC137" i="4" s="1"/>
  <c r="Q137" i="4"/>
  <c r="S137" i="4"/>
  <c r="Y137" i="4" s="1"/>
  <c r="AA137" i="4" s="1"/>
  <c r="X133" i="4"/>
  <c r="AC133" i="4" s="1"/>
  <c r="X121" i="4"/>
  <c r="AC121" i="4" s="1"/>
  <c r="Q121" i="4"/>
  <c r="S121" i="4"/>
  <c r="Y121" i="4" s="1"/>
  <c r="AA121" i="4" s="1"/>
  <c r="Q117" i="4"/>
  <c r="Q102" i="4"/>
  <c r="X425" i="4"/>
  <c r="AC425" i="4" s="1"/>
  <c r="X288" i="4"/>
  <c r="AC288" i="4" s="1"/>
  <c r="Q238" i="4"/>
  <c r="X210" i="4"/>
  <c r="AC210" i="4" s="1"/>
  <c r="Q132" i="4"/>
  <c r="X114" i="4"/>
  <c r="AC114" i="4" s="1"/>
  <c r="Y83" i="4"/>
  <c r="AA83" i="4" s="1"/>
  <c r="Y48" i="4"/>
  <c r="AA48" i="4" s="1"/>
  <c r="X381" i="4"/>
  <c r="AC381" i="4" s="1"/>
  <c r="Q273" i="4"/>
  <c r="Q208" i="4"/>
  <c r="Q35" i="4"/>
  <c r="X35" i="4"/>
  <c r="AC35" i="4" s="1"/>
  <c r="X376" i="4"/>
  <c r="AC376" i="4" s="1"/>
  <c r="Q82" i="4"/>
  <c r="X82" i="4"/>
  <c r="AC82" i="4" s="1"/>
  <c r="S82" i="4"/>
  <c r="Y82" i="4" s="1"/>
  <c r="AA82" i="4" s="1"/>
  <c r="X67" i="4"/>
  <c r="AC67" i="4" s="1"/>
  <c r="Q36" i="4"/>
  <c r="Q296" i="4"/>
  <c r="Y193" i="4"/>
  <c r="AA193" i="4" s="1"/>
  <c r="Q71" i="4"/>
  <c r="Y24" i="4"/>
  <c r="AA24" i="4" s="1"/>
  <c r="Y12" i="4"/>
  <c r="AA12" i="4" s="1"/>
  <c r="Y212" i="4"/>
  <c r="AA212" i="4" s="1"/>
  <c r="Q139" i="4"/>
  <c r="Y115" i="4"/>
  <c r="AA115" i="4" s="1"/>
  <c r="Y16" i="4"/>
  <c r="AA16" i="4" s="1"/>
  <c r="X312" i="4"/>
  <c r="AC312" i="4" s="1"/>
  <c r="Y238" i="4"/>
  <c r="Z238" i="4" s="1"/>
  <c r="AA238" i="4" s="1"/>
  <c r="X58" i="4"/>
  <c r="AC58" i="4" s="1"/>
  <c r="Q83" i="4"/>
  <c r="G158" i="9"/>
  <c r="I158" i="9"/>
  <c r="H157" i="9"/>
  <c r="J157" i="9"/>
  <c r="B155" i="9"/>
  <c r="AH155" i="9"/>
  <c r="F155" i="9"/>
  <c r="AB157" i="9"/>
  <c r="D157" i="9" s="1"/>
  <c r="AE157" i="9"/>
  <c r="A157" i="9" s="1"/>
  <c r="AH158" i="9"/>
  <c r="B158" i="9" s="1"/>
  <c r="F158" i="9"/>
  <c r="E104" i="9"/>
  <c r="E122" i="9"/>
  <c r="E82" i="9"/>
  <c r="E68" i="9"/>
  <c r="E5" i="9"/>
  <c r="BD46" i="8"/>
  <c r="AG43" i="8"/>
  <c r="AD42" i="8"/>
  <c r="W15" i="8"/>
  <c r="BG43" i="8"/>
  <c r="AK44" i="8" s="1"/>
  <c r="F51" i="8"/>
  <c r="B83" i="8"/>
  <c r="C84" i="8" s="1"/>
  <c r="I66" i="8"/>
  <c r="AX19" i="8"/>
  <c r="AX17" i="8"/>
  <c r="W198" i="6"/>
  <c r="U305" i="5"/>
  <c r="X305" i="5" s="1"/>
  <c r="U288" i="5"/>
  <c r="X288" i="5" s="1"/>
  <c r="M237" i="5"/>
  <c r="U263" i="5"/>
  <c r="X263" i="5" s="1"/>
  <c r="M247" i="5"/>
  <c r="K219" i="5"/>
  <c r="S219" i="5" s="1"/>
  <c r="I219" i="5"/>
  <c r="H219" i="5" s="1"/>
  <c r="I181" i="5"/>
  <c r="H181" i="5" s="1"/>
  <c r="P158" i="5"/>
  <c r="O158" i="5"/>
  <c r="N158" i="5"/>
  <c r="I158" i="5" s="1"/>
  <c r="H158" i="5" s="1"/>
  <c r="M200" i="5"/>
  <c r="K200" i="5" s="1"/>
  <c r="S200" i="5" s="1"/>
  <c r="M46" i="5"/>
  <c r="K46" i="5" s="1"/>
  <c r="M14" i="5"/>
  <c r="K14" i="5" s="1"/>
  <c r="S14" i="5" s="1"/>
  <c r="I164" i="5"/>
  <c r="H164" i="5" s="1"/>
  <c r="M48" i="5"/>
  <c r="K48" i="5" s="1"/>
  <c r="S48" i="5" s="1"/>
  <c r="M28" i="5"/>
  <c r="K28" i="5" s="1"/>
  <c r="S28" i="5" s="1"/>
  <c r="I28" i="5"/>
  <c r="H28" i="5" s="1"/>
  <c r="K223" i="5"/>
  <c r="S223" i="5" s="1"/>
  <c r="I217" i="5"/>
  <c r="H217" i="5" s="1"/>
  <c r="K187" i="5"/>
  <c r="S187" i="5" s="1"/>
  <c r="M109" i="5"/>
  <c r="K109" i="5" s="1"/>
  <c r="S109" i="5" s="1"/>
  <c r="M95" i="5"/>
  <c r="K95" i="5" s="1"/>
  <c r="S95" i="5" s="1"/>
  <c r="M82" i="5"/>
  <c r="K82" i="5" s="1"/>
  <c r="S82" i="5" s="1"/>
  <c r="I55" i="5"/>
  <c r="H55" i="5" s="1"/>
  <c r="M55" i="5"/>
  <c r="K55" i="5" s="1"/>
  <c r="S55" i="5" s="1"/>
  <c r="O245" i="5"/>
  <c r="P245" i="5"/>
  <c r="N245" i="5"/>
  <c r="K245" i="5" s="1"/>
  <c r="R245" i="5" s="1"/>
  <c r="N224" i="5"/>
  <c r="P224" i="5"/>
  <c r="K224" i="5"/>
  <c r="R224" i="5" s="1"/>
  <c r="O224" i="5"/>
  <c r="I84" i="5"/>
  <c r="H84" i="5" s="1"/>
  <c r="I208" i="5"/>
  <c r="H208" i="5" s="1"/>
  <c r="I195" i="5"/>
  <c r="H195" i="5" s="1"/>
  <c r="I142" i="5"/>
  <c r="H142" i="5" s="1"/>
  <c r="I76" i="5"/>
  <c r="H76" i="5" s="1"/>
  <c r="M76" i="5"/>
  <c r="K76" i="5" s="1"/>
  <c r="S76" i="5" s="1"/>
  <c r="G43" i="5"/>
  <c r="J43" i="5" s="1"/>
  <c r="F43" i="5"/>
  <c r="L43" i="5" s="1"/>
  <c r="S118" i="5"/>
  <c r="W119" i="5"/>
  <c r="K27" i="5"/>
  <c r="I101" i="5"/>
  <c r="H101" i="5" s="1"/>
  <c r="K57" i="5"/>
  <c r="S57" i="5" s="1"/>
  <c r="I185" i="5"/>
  <c r="H185" i="5" s="1"/>
  <c r="R124" i="5"/>
  <c r="S124" i="5" s="1"/>
  <c r="U127" i="5"/>
  <c r="V127" i="5" s="1"/>
  <c r="W247" i="5" s="1"/>
  <c r="I199" i="5"/>
  <c r="H199" i="5" s="1"/>
  <c r="K171" i="5"/>
  <c r="R171" i="5" s="1"/>
  <c r="I80" i="5"/>
  <c r="H80" i="5" s="1"/>
  <c r="T1694" i="4"/>
  <c r="P1694" i="4"/>
  <c r="U1779" i="4"/>
  <c r="P1779" i="4"/>
  <c r="P1767" i="4"/>
  <c r="P1755" i="4"/>
  <c r="P1743" i="4"/>
  <c r="P1731" i="4"/>
  <c r="P1719" i="4"/>
  <c r="P1707" i="4"/>
  <c r="Y1686" i="4"/>
  <c r="AA1686" i="4" s="1"/>
  <c r="W1692" i="4"/>
  <c r="V1692" i="4"/>
  <c r="S1692" i="4" s="1"/>
  <c r="P1691" i="4"/>
  <c r="U1572" i="4"/>
  <c r="P1572" i="4"/>
  <c r="U1548" i="4"/>
  <c r="P1548" i="4"/>
  <c r="U1624" i="4"/>
  <c r="P1624" i="4"/>
  <c r="W1674" i="4"/>
  <c r="V1674" i="4"/>
  <c r="S1674" i="4" s="1"/>
  <c r="U1662" i="4"/>
  <c r="P1662" i="4"/>
  <c r="U1658" i="4"/>
  <c r="P1658" i="4"/>
  <c r="U1654" i="4"/>
  <c r="P1654" i="4"/>
  <c r="U1650" i="4"/>
  <c r="P1650" i="4"/>
  <c r="U1646" i="4"/>
  <c r="P1646" i="4"/>
  <c r="U1642" i="4"/>
  <c r="P1642" i="4"/>
  <c r="U1638" i="4"/>
  <c r="P1638" i="4"/>
  <c r="U1634" i="4"/>
  <c r="P1634" i="4"/>
  <c r="P1602" i="4"/>
  <c r="U1602" i="4"/>
  <c r="T1591" i="4"/>
  <c r="P1591" i="4"/>
  <c r="P1566" i="4"/>
  <c r="U1566" i="4"/>
  <c r="Y1700" i="4"/>
  <c r="AA1700" i="4" s="1"/>
  <c r="W1688" i="4"/>
  <c r="V1688" i="4"/>
  <c r="S1688" i="4" s="1"/>
  <c r="P1618" i="4"/>
  <c r="U1618" i="4"/>
  <c r="T1607" i="4"/>
  <c r="P1607" i="4"/>
  <c r="P1585" i="4"/>
  <c r="P1573" i="4"/>
  <c r="P1561" i="4"/>
  <c r="T1547" i="4"/>
  <c r="P1547" i="4"/>
  <c r="X1613" i="4"/>
  <c r="AC1613" i="4" s="1"/>
  <c r="X1544" i="4"/>
  <c r="Y1535" i="4"/>
  <c r="AA1535" i="4" s="1"/>
  <c r="Y1495" i="4"/>
  <c r="AA1495" i="4" s="1"/>
  <c r="Y1423" i="4"/>
  <c r="AA1423" i="4" s="1"/>
  <c r="U1504" i="4"/>
  <c r="P1504" i="4"/>
  <c r="U1468" i="4"/>
  <c r="P1468" i="4"/>
  <c r="U1432" i="4"/>
  <c r="P1432" i="4"/>
  <c r="AC1388" i="4"/>
  <c r="Y1388" i="4"/>
  <c r="AA1388" i="4" s="1"/>
  <c r="P1600" i="4"/>
  <c r="P1576" i="4"/>
  <c r="Y1537" i="4"/>
  <c r="AA1537" i="4" s="1"/>
  <c r="U1536" i="4"/>
  <c r="P1536" i="4"/>
  <c r="W1531" i="4"/>
  <c r="V1531" i="4"/>
  <c r="S1531" i="4" s="1"/>
  <c r="P1514" i="4"/>
  <c r="U1514" i="4"/>
  <c r="W1545" i="4"/>
  <c r="V1545" i="4"/>
  <c r="S1545" i="4" s="1"/>
  <c r="W1527" i="4"/>
  <c r="V1527" i="4"/>
  <c r="S1527" i="4" s="1"/>
  <c r="T1489" i="4"/>
  <c r="P1489" i="4"/>
  <c r="T1465" i="4"/>
  <c r="P1465" i="4"/>
  <c r="T1441" i="4"/>
  <c r="P1441" i="4"/>
  <c r="T1416" i="4"/>
  <c r="P1416" i="4"/>
  <c r="P1481" i="4"/>
  <c r="P1493" i="4"/>
  <c r="AC1299" i="4"/>
  <c r="Y1299" i="4"/>
  <c r="AA1299" i="4" s="1"/>
  <c r="AC1267" i="4"/>
  <c r="Y1267" i="4"/>
  <c r="AA1267" i="4" s="1"/>
  <c r="AC1216" i="4"/>
  <c r="Y1216" i="4"/>
  <c r="AA1216" i="4" s="1"/>
  <c r="AC1139" i="4"/>
  <c r="Y1139" i="4"/>
  <c r="AA1139" i="4" s="1"/>
  <c r="X1438" i="4"/>
  <c r="Y1382" i="4"/>
  <c r="AA1382" i="4" s="1"/>
  <c r="X1450" i="4"/>
  <c r="AC1323" i="4"/>
  <c r="Y1323" i="4"/>
  <c r="AA1323" i="4" s="1"/>
  <c r="Y1400" i="4"/>
  <c r="AA1400" i="4" s="1"/>
  <c r="P1469" i="4"/>
  <c r="Y1305" i="4"/>
  <c r="AA1305" i="4" s="1"/>
  <c r="Y1263" i="4"/>
  <c r="AA1263" i="4" s="1"/>
  <c r="Y1240" i="4"/>
  <c r="AA1240" i="4" s="1"/>
  <c r="Y1140" i="4"/>
  <c r="AA1140" i="4" s="1"/>
  <c r="Y1091" i="4"/>
  <c r="Y1284" i="4"/>
  <c r="AA1284" i="4" s="1"/>
  <c r="Y1231" i="4"/>
  <c r="AA1231" i="4" s="1"/>
  <c r="Y971" i="4"/>
  <c r="AC892" i="4"/>
  <c r="Y892" i="4"/>
  <c r="Y1348" i="4"/>
  <c r="AA1348" i="4" s="1"/>
  <c r="Y1212" i="4"/>
  <c r="AA1212" i="4" s="1"/>
  <c r="Y1143" i="4"/>
  <c r="AA1143" i="4" s="1"/>
  <c r="Y1128" i="4"/>
  <c r="AA1128" i="4" s="1"/>
  <c r="Y1278" i="4"/>
  <c r="AA1278" i="4" s="1"/>
  <c r="Y1254" i="4"/>
  <c r="AA1254" i="4" s="1"/>
  <c r="Y1079" i="4"/>
  <c r="AA1078" i="4" s="1"/>
  <c r="Y1064" i="4"/>
  <c r="Y1047" i="4"/>
  <c r="AA1047" i="4" s="1"/>
  <c r="Y1038" i="4"/>
  <c r="AA1037" i="4" s="1"/>
  <c r="Y1000" i="4"/>
  <c r="AC970" i="4"/>
  <c r="Y970" i="4"/>
  <c r="Y1405" i="4"/>
  <c r="AA1405" i="4" s="1"/>
  <c r="Y1341" i="4"/>
  <c r="Z1341" i="4" s="1"/>
  <c r="Y1137" i="4"/>
  <c r="AA1137" i="4" s="1"/>
  <c r="Y1119" i="4"/>
  <c r="Q826" i="4"/>
  <c r="Y826" i="4"/>
  <c r="Z826" i="4" s="1"/>
  <c r="AA826" i="4" s="1"/>
  <c r="S826" i="4"/>
  <c r="X826" i="4" s="1"/>
  <c r="AC826" i="4" s="1"/>
  <c r="X739" i="4"/>
  <c r="AC739" i="4" s="1"/>
  <c r="Q739" i="4"/>
  <c r="S739" i="4"/>
  <c r="Y1297" i="4"/>
  <c r="AA1297" i="4" s="1"/>
  <c r="X972" i="4"/>
  <c r="S972" i="4"/>
  <c r="Y681" i="4"/>
  <c r="Z681" i="4" s="1"/>
  <c r="AA681" i="4" s="1"/>
  <c r="Q681" i="4"/>
  <c r="X681" i="4"/>
  <c r="AC681" i="4" s="1"/>
  <c r="X820" i="4"/>
  <c r="AC820" i="4" s="1"/>
  <c r="S734" i="4"/>
  <c r="Y734" i="4" s="1"/>
  <c r="Z734" i="4" s="1"/>
  <c r="AA734" i="4" s="1"/>
  <c r="X721" i="4"/>
  <c r="AC721" i="4" s="1"/>
  <c r="Q679" i="4"/>
  <c r="Y679" i="4"/>
  <c r="Z679" i="4" s="1"/>
  <c r="AA679" i="4" s="1"/>
  <c r="Y636" i="4"/>
  <c r="Z636" i="4" s="1"/>
  <c r="AA636" i="4" s="1"/>
  <c r="S750" i="4"/>
  <c r="Y750" i="4" s="1"/>
  <c r="Z750" i="4" s="1"/>
  <c r="AA750" i="4" s="1"/>
  <c r="Q726" i="4"/>
  <c r="Q709" i="4"/>
  <c r="Y809" i="4"/>
  <c r="Z809" i="4" s="1"/>
  <c r="AA809" i="4" s="1"/>
  <c r="S809" i="4"/>
  <c r="X809" i="4" s="1"/>
  <c r="AC809" i="4" s="1"/>
  <c r="Q775" i="4"/>
  <c r="Q755" i="4"/>
  <c r="Q718" i="4"/>
  <c r="X708" i="4"/>
  <c r="AC708" i="4" s="1"/>
  <c r="Y689" i="4"/>
  <c r="Z689" i="4" s="1"/>
  <c r="AA689" i="4" s="1"/>
  <c r="Y656" i="4"/>
  <c r="Z656" i="4" s="1"/>
  <c r="AA656" i="4" s="1"/>
  <c r="Y630" i="4"/>
  <c r="Z630" i="4" s="1"/>
  <c r="AA630" i="4" s="1"/>
  <c r="S606" i="4"/>
  <c r="Y606" i="4" s="1"/>
  <c r="Z606" i="4" s="1"/>
  <c r="AA606" i="4" s="1"/>
  <c r="S597" i="4"/>
  <c r="Y597" i="4"/>
  <c r="Z597" i="4" s="1"/>
  <c r="AA597" i="4" s="1"/>
  <c r="X597" i="4"/>
  <c r="AC597" i="4" s="1"/>
  <c r="Q597" i="4"/>
  <c r="Y481" i="4"/>
  <c r="Z481" i="4" s="1"/>
  <c r="AA481" i="4" s="1"/>
  <c r="S481" i="4"/>
  <c r="X481" i="4" s="1"/>
  <c r="AC481" i="4" s="1"/>
  <c r="Q481" i="4"/>
  <c r="Y904" i="4"/>
  <c r="Y842" i="4"/>
  <c r="Y774" i="4"/>
  <c r="Z774" i="4" s="1"/>
  <c r="AA774" i="4" s="1"/>
  <c r="S774" i="4"/>
  <c r="X774" i="4" s="1"/>
  <c r="AC774" i="4" s="1"/>
  <c r="Q774" i="4"/>
  <c r="Y769" i="4"/>
  <c r="Z769" i="4" s="1"/>
  <c r="AA769" i="4" s="1"/>
  <c r="X713" i="4"/>
  <c r="AC713" i="4" s="1"/>
  <c r="Y582" i="4"/>
  <c r="Z582" i="4" s="1"/>
  <c r="AA582" i="4" s="1"/>
  <c r="Q582" i="4"/>
  <c r="Y553" i="4"/>
  <c r="Z553" i="4" s="1"/>
  <c r="AA553" i="4" s="1"/>
  <c r="Q553" i="4"/>
  <c r="Q463" i="4"/>
  <c r="Y463" i="4"/>
  <c r="Z463" i="4" s="1"/>
  <c r="AA463" i="4" s="1"/>
  <c r="Y915" i="4"/>
  <c r="AA915" i="4" s="1"/>
  <c r="AC915" i="4"/>
  <c r="Q719" i="4"/>
  <c r="X710" i="4"/>
  <c r="AC710" i="4" s="1"/>
  <c r="X702" i="4"/>
  <c r="AC702" i="4" s="1"/>
  <c r="Y694" i="4"/>
  <c r="Z694" i="4" s="1"/>
  <c r="AA694" i="4" s="1"/>
  <c r="Q686" i="4"/>
  <c r="X686" i="4"/>
  <c r="AC686" i="4" s="1"/>
  <c r="S686" i="4"/>
  <c r="Y686" i="4" s="1"/>
  <c r="Z686" i="4" s="1"/>
  <c r="AA686" i="4" s="1"/>
  <c r="Q562" i="4"/>
  <c r="S562" i="4"/>
  <c r="Y562" i="4" s="1"/>
  <c r="Z562" i="4" s="1"/>
  <c r="AA562" i="4" s="1"/>
  <c r="Q544" i="4"/>
  <c r="S544" i="4"/>
  <c r="Y544" i="4" s="1"/>
  <c r="Z544" i="4" s="1"/>
  <c r="AA544" i="4" s="1"/>
  <c r="X535" i="4"/>
  <c r="AC535" i="4" s="1"/>
  <c r="Q535" i="4"/>
  <c r="X531" i="4"/>
  <c r="AC531" i="4" s="1"/>
  <c r="Q531" i="4"/>
  <c r="S521" i="4"/>
  <c r="Y521" i="4" s="1"/>
  <c r="Z521" i="4" s="1"/>
  <c r="AA521" i="4" s="1"/>
  <c r="X474" i="4"/>
  <c r="AC474" i="4" s="1"/>
  <c r="Q474" i="4"/>
  <c r="S474" i="4"/>
  <c r="Y474" i="4" s="1"/>
  <c r="Z474" i="4" s="1"/>
  <c r="AA474" i="4" s="1"/>
  <c r="X458" i="4"/>
  <c r="AC458" i="4" s="1"/>
  <c r="Q458" i="4"/>
  <c r="Y449" i="4"/>
  <c r="Z449" i="4" s="1"/>
  <c r="AA449" i="4" s="1"/>
  <c r="Q440" i="4"/>
  <c r="X440" i="4"/>
  <c r="AC440" i="4" s="1"/>
  <c r="Q600" i="4"/>
  <c r="X551" i="4"/>
  <c r="AC551" i="4" s="1"/>
  <c r="X487" i="4"/>
  <c r="AC487" i="4" s="1"/>
  <c r="X470" i="4"/>
  <c r="AC470" i="4" s="1"/>
  <c r="Q457" i="4"/>
  <c r="X416" i="4"/>
  <c r="AC416" i="4" s="1"/>
  <c r="Y411" i="4"/>
  <c r="Z411" i="4" s="1"/>
  <c r="AA411" i="4" s="1"/>
  <c r="Y397" i="4"/>
  <c r="Z397" i="4" s="1"/>
  <c r="AA397" i="4" s="1"/>
  <c r="X726" i="4"/>
  <c r="AC726" i="4" s="1"/>
  <c r="Q494" i="4"/>
  <c r="Y466" i="4"/>
  <c r="Z466" i="4" s="1"/>
  <c r="AA466" i="4" s="1"/>
  <c r="S466" i="4"/>
  <c r="X466" i="4" s="1"/>
  <c r="AC466" i="4" s="1"/>
  <c r="Q448" i="4"/>
  <c r="X428" i="4"/>
  <c r="AC428" i="4" s="1"/>
  <c r="Y423" i="4"/>
  <c r="Z423" i="4" s="1"/>
  <c r="AA423" i="4" s="1"/>
  <c r="Q497" i="4"/>
  <c r="X441" i="4"/>
  <c r="AC441" i="4" s="1"/>
  <c r="Q441" i="4"/>
  <c r="S441" i="4"/>
  <c r="Y441" i="4" s="1"/>
  <c r="Z441" i="4" s="1"/>
  <c r="AA441" i="4" s="1"/>
  <c r="X363" i="4"/>
  <c r="AC363" i="4" s="1"/>
  <c r="Q363" i="4"/>
  <c r="X327" i="4"/>
  <c r="AC327" i="4" s="1"/>
  <c r="Q327" i="4"/>
  <c r="Q253" i="4"/>
  <c r="X203" i="4"/>
  <c r="AC203" i="4" s="1"/>
  <c r="Y184" i="4"/>
  <c r="AA184" i="4" s="1"/>
  <c r="X153" i="4"/>
  <c r="AC153" i="4" s="1"/>
  <c r="X144" i="4"/>
  <c r="AC144" i="4" s="1"/>
  <c r="Q118" i="4"/>
  <c r="Y708" i="4"/>
  <c r="Z708" i="4" s="1"/>
  <c r="AA708" i="4" s="1"/>
  <c r="Y518" i="4"/>
  <c r="Z518" i="4" s="1"/>
  <c r="AA518" i="4" s="1"/>
  <c r="Y378" i="4"/>
  <c r="Z378" i="4" s="1"/>
  <c r="AA378" i="4" s="1"/>
  <c r="Y335" i="4"/>
  <c r="Z335" i="4" s="1"/>
  <c r="AA335" i="4" s="1"/>
  <c r="X150" i="4"/>
  <c r="AC150" i="4" s="1"/>
  <c r="X627" i="4"/>
  <c r="AC627" i="4" s="1"/>
  <c r="X553" i="4"/>
  <c r="AC553" i="4" s="1"/>
  <c r="X538" i="4"/>
  <c r="AC538" i="4" s="1"/>
  <c r="Y399" i="4"/>
  <c r="Z399" i="4" s="1"/>
  <c r="AA399" i="4" s="1"/>
  <c r="X247" i="4"/>
  <c r="AC247" i="4" s="1"/>
  <c r="Y133" i="4"/>
  <c r="AA133" i="4" s="1"/>
  <c r="X827" i="4"/>
  <c r="AC827" i="4" s="1"/>
  <c r="Y739" i="4"/>
  <c r="Z739" i="4" s="1"/>
  <c r="AA739" i="4" s="1"/>
  <c r="X484" i="4"/>
  <c r="AC484" i="4" s="1"/>
  <c r="X462" i="4"/>
  <c r="AC462" i="4" s="1"/>
  <c r="Y438" i="4"/>
  <c r="Z438" i="4" s="1"/>
  <c r="AA438" i="4" s="1"/>
  <c r="S438" i="4"/>
  <c r="Q438" i="4" s="1"/>
  <c r="X325" i="4"/>
  <c r="AC325" i="4" s="1"/>
  <c r="Q325" i="4"/>
  <c r="X308" i="4"/>
  <c r="AC308" i="4" s="1"/>
  <c r="X295" i="4"/>
  <c r="AC295" i="4" s="1"/>
  <c r="Q295" i="4"/>
  <c r="X280" i="4"/>
  <c r="AC280" i="4" s="1"/>
  <c r="Q280" i="4"/>
  <c r="X276" i="4"/>
  <c r="AC276" i="4" s="1"/>
  <c r="Q276" i="4"/>
  <c r="X261" i="4"/>
  <c r="AC261" i="4" s="1"/>
  <c r="Q261" i="4"/>
  <c r="S245" i="4"/>
  <c r="Y245" i="4" s="1"/>
  <c r="Z245" i="4" s="1"/>
  <c r="AA245" i="4" s="1"/>
  <c r="Q217" i="4"/>
  <c r="Y217" i="4"/>
  <c r="AA217" i="4" s="1"/>
  <c r="S217" i="4"/>
  <c r="X217" i="4" s="1"/>
  <c r="AC217" i="4" s="1"/>
  <c r="Y213" i="4"/>
  <c r="AA213" i="4" s="1"/>
  <c r="S213" i="4"/>
  <c r="X213" i="4" s="1"/>
  <c r="AC213" i="4" s="1"/>
  <c r="Y64" i="4"/>
  <c r="AA64" i="4" s="1"/>
  <c r="X350" i="4"/>
  <c r="AC350" i="4" s="1"/>
  <c r="Q288" i="4"/>
  <c r="Y207" i="4"/>
  <c r="AA207" i="4" s="1"/>
  <c r="Y65" i="4"/>
  <c r="AA65" i="4" s="1"/>
  <c r="Q57" i="4"/>
  <c r="Y88" i="4"/>
  <c r="AA88" i="4" s="1"/>
  <c r="Y69" i="4"/>
  <c r="AA69" i="4" s="1"/>
  <c r="Q47" i="4"/>
  <c r="Y150" i="4"/>
  <c r="AA150" i="4" s="1"/>
  <c r="X65" i="4"/>
  <c r="AC65" i="4" s="1"/>
  <c r="X36" i="4"/>
  <c r="AC36" i="4" s="1"/>
  <c r="Q231" i="4"/>
  <c r="Y148" i="4"/>
  <c r="AA148" i="4" s="1"/>
  <c r="Q28" i="4"/>
  <c r="Q22" i="4"/>
  <c r="Q10" i="4"/>
  <c r="Q4" i="4"/>
  <c r="F86" i="3"/>
  <c r="D1003" i="2" s="1"/>
  <c r="B1009" i="2" s="1"/>
  <c r="X139" i="4"/>
  <c r="AC139" i="4" s="1"/>
  <c r="Q73" i="4"/>
  <c r="Y31" i="4"/>
  <c r="AA31" i="4" s="1"/>
  <c r="Y13" i="4"/>
  <c r="AA13" i="4" s="1"/>
  <c r="Q335" i="4"/>
  <c r="Q309" i="4"/>
  <c r="X116" i="4"/>
  <c r="AC116" i="4" s="1"/>
  <c r="X94" i="4"/>
  <c r="AC94" i="4" s="1"/>
  <c r="L95" i="3"/>
  <c r="N93" i="3"/>
  <c r="N95" i="3" s="1"/>
  <c r="Y52" i="4"/>
  <c r="AA52" i="4" s="1"/>
  <c r="X69" i="4"/>
  <c r="AC69" i="4" s="1"/>
  <c r="Q42" i="4"/>
  <c r="Q31" i="4"/>
  <c r="AH156" i="9"/>
  <c r="B156" i="9" s="1"/>
  <c r="F156" i="9"/>
  <c r="J154" i="9"/>
  <c r="H154" i="9"/>
  <c r="AA157" i="9"/>
  <c r="C157" i="9" s="1"/>
  <c r="I157" i="9"/>
  <c r="G157" i="9"/>
  <c r="E99" i="9"/>
  <c r="E138" i="9"/>
  <c r="E145" i="9"/>
  <c r="E41" i="9"/>
  <c r="E87" i="9"/>
  <c r="E64" i="9"/>
  <c r="E84" i="9"/>
  <c r="E97" i="9"/>
  <c r="E79" i="9"/>
  <c r="E57" i="9"/>
  <c r="E32" i="9"/>
  <c r="E39" i="9"/>
  <c r="AD43" i="8"/>
  <c r="E18" i="9"/>
  <c r="E66" i="8"/>
  <c r="E79" i="8"/>
  <c r="I79" i="8" s="1"/>
  <c r="D1191" i="6"/>
  <c r="D1190" i="6" s="1"/>
  <c r="E1190" i="6" s="1"/>
  <c r="I76" i="8"/>
  <c r="AX47" i="8"/>
  <c r="AX45" i="8"/>
  <c r="U320" i="5"/>
  <c r="X320" i="5" s="1"/>
  <c r="U311" i="5"/>
  <c r="X311" i="5" s="1"/>
  <c r="U304" i="5"/>
  <c r="X304" i="5" s="1"/>
  <c r="S291" i="5"/>
  <c r="M242" i="5"/>
  <c r="K242" i="5" s="1"/>
  <c r="R242" i="5" s="1"/>
  <c r="I242" i="5"/>
  <c r="H242" i="5" s="1"/>
  <c r="U291" i="5"/>
  <c r="X291" i="5" s="1"/>
  <c r="R276" i="5"/>
  <c r="Q276" i="5"/>
  <c r="P276" i="5"/>
  <c r="S276" i="5" s="1"/>
  <c r="U276" i="5" s="1"/>
  <c r="X276" i="5" s="1"/>
  <c r="R258" i="5"/>
  <c r="Q258" i="5"/>
  <c r="P258" i="5"/>
  <c r="S258" i="5" s="1"/>
  <c r="U258" i="5" s="1"/>
  <c r="X258" i="5" s="1"/>
  <c r="I231" i="5"/>
  <c r="H231" i="5" s="1"/>
  <c r="K231" i="5"/>
  <c r="S231" i="5" s="1"/>
  <c r="U299" i="5"/>
  <c r="X299" i="5" s="1"/>
  <c r="U295" i="5"/>
  <c r="X295" i="5" s="1"/>
  <c r="U290" i="5"/>
  <c r="X290" i="5" s="1"/>
  <c r="U286" i="5"/>
  <c r="X286" i="5" s="1"/>
  <c r="U281" i="5"/>
  <c r="X281" i="5" s="1"/>
  <c r="G237" i="5"/>
  <c r="J237" i="5" s="1"/>
  <c r="R267" i="5"/>
  <c r="Q267" i="5"/>
  <c r="P267" i="5"/>
  <c r="S267" i="5" s="1"/>
  <c r="U267" i="5" s="1"/>
  <c r="X267" i="5" s="1"/>
  <c r="U269" i="5"/>
  <c r="X269" i="5" s="1"/>
  <c r="G247" i="5"/>
  <c r="J247" i="5" s="1"/>
  <c r="S310" i="5"/>
  <c r="G243" i="5"/>
  <c r="J243" i="5" s="1"/>
  <c r="F243" i="5"/>
  <c r="L243" i="5" s="1"/>
  <c r="M42" i="5"/>
  <c r="K42" i="5" s="1"/>
  <c r="S42" i="5" s="1"/>
  <c r="M7" i="5"/>
  <c r="K7" i="5" s="1"/>
  <c r="S7" i="5" s="1"/>
  <c r="K161" i="5"/>
  <c r="S161" i="5" s="1"/>
  <c r="P161" i="5"/>
  <c r="O161" i="5"/>
  <c r="N161" i="5"/>
  <c r="I161" i="5" s="1"/>
  <c r="H161" i="5" s="1"/>
  <c r="G47" i="5"/>
  <c r="J47" i="5" s="1"/>
  <c r="N194" i="5"/>
  <c r="I194" i="5" s="1"/>
  <c r="H194" i="5" s="1"/>
  <c r="P194" i="5"/>
  <c r="O194" i="5"/>
  <c r="O163" i="5"/>
  <c r="P163" i="5"/>
  <c r="K163" i="5" s="1"/>
  <c r="S163" i="5" s="1"/>
  <c r="N163" i="5"/>
  <c r="K202" i="5"/>
  <c r="S202" i="5" s="1"/>
  <c r="I65" i="5"/>
  <c r="H65" i="5" s="1"/>
  <c r="M65" i="5"/>
  <c r="K65" i="5" s="1"/>
  <c r="S65" i="5" s="1"/>
  <c r="P39" i="5"/>
  <c r="K39" i="5" s="1"/>
  <c r="S39" i="5" s="1"/>
  <c r="O39" i="5"/>
  <c r="N39" i="5"/>
  <c r="K146" i="5"/>
  <c r="S146" i="5" s="1"/>
  <c r="I12" i="5"/>
  <c r="H12" i="5" s="1"/>
  <c r="I9" i="5"/>
  <c r="H9" i="5" s="1"/>
  <c r="I155" i="5"/>
  <c r="H155" i="5" s="1"/>
  <c r="I40" i="5"/>
  <c r="H40" i="5" s="1"/>
  <c r="M40" i="5"/>
  <c r="K40" i="5" s="1"/>
  <c r="S40" i="5" s="1"/>
  <c r="I88" i="5"/>
  <c r="H88" i="5" s="1"/>
  <c r="U1693" i="4"/>
  <c r="P1693" i="4"/>
  <c r="W1765" i="4"/>
  <c r="V1765" i="4"/>
  <c r="S1765" i="4" s="1"/>
  <c r="W1753" i="4"/>
  <c r="V1753" i="4"/>
  <c r="S1753" i="4" s="1"/>
  <c r="W1741" i="4"/>
  <c r="V1741" i="4"/>
  <c r="S1741" i="4" s="1"/>
  <c r="X1741" i="4" s="1"/>
  <c r="W1729" i="4"/>
  <c r="V1729" i="4"/>
  <c r="S1729" i="4" s="1"/>
  <c r="W1717" i="4"/>
  <c r="V1717" i="4"/>
  <c r="S1717" i="4" s="1"/>
  <c r="W1705" i="4"/>
  <c r="V1705" i="4"/>
  <c r="S1705" i="4" s="1"/>
  <c r="X1705" i="4" s="1"/>
  <c r="Y1678" i="4"/>
  <c r="AA1678" i="4" s="1"/>
  <c r="U1665" i="4"/>
  <c r="P1665" i="4"/>
  <c r="U1661" i="4"/>
  <c r="P1661" i="4"/>
  <c r="U1657" i="4"/>
  <c r="P1657" i="4"/>
  <c r="U1653" i="4"/>
  <c r="P1653" i="4"/>
  <c r="U1649" i="4"/>
  <c r="P1649" i="4"/>
  <c r="U1645" i="4"/>
  <c r="P1645" i="4"/>
  <c r="U1641" i="4"/>
  <c r="P1641" i="4"/>
  <c r="U1637" i="4"/>
  <c r="P1637" i="4"/>
  <c r="U1633" i="4"/>
  <c r="P1633" i="4"/>
  <c r="U1608" i="4"/>
  <c r="P1608" i="4"/>
  <c r="Y1671" i="4"/>
  <c r="AA1671" i="4" s="1"/>
  <c r="U1628" i="4"/>
  <c r="P1628" i="4"/>
  <c r="U1622" i="4"/>
  <c r="P1622" i="4"/>
  <c r="U1586" i="4"/>
  <c r="P1586" i="4"/>
  <c r="P1629" i="4"/>
  <c r="U1629" i="4"/>
  <c r="W1666" i="4"/>
  <c r="V1666" i="4"/>
  <c r="S1666" i="4" s="1"/>
  <c r="P1590" i="4"/>
  <c r="U1590" i="4"/>
  <c r="T1579" i="4"/>
  <c r="P1579" i="4"/>
  <c r="X1699" i="4"/>
  <c r="P1606" i="4"/>
  <c r="U1606" i="4"/>
  <c r="T1595" i="4"/>
  <c r="P1595" i="4"/>
  <c r="P1546" i="4"/>
  <c r="U1546" i="4"/>
  <c r="P1551" i="4"/>
  <c r="U1551" i="4"/>
  <c r="U1542" i="4"/>
  <c r="P1542" i="4"/>
  <c r="V1516" i="4"/>
  <c r="S1516" i="4" s="1"/>
  <c r="X1516" i="4" s="1"/>
  <c r="AC1516" i="4" s="1"/>
  <c r="W1516" i="4"/>
  <c r="W1420" i="4"/>
  <c r="V1420" i="4"/>
  <c r="S1420" i="4" s="1"/>
  <c r="X1420" i="4" s="1"/>
  <c r="W1553" i="4"/>
  <c r="V1553" i="4"/>
  <c r="S1553" i="4" s="1"/>
  <c r="P1612" i="4"/>
  <c r="Y1556" i="4"/>
  <c r="AA1556" i="4" s="1"/>
  <c r="AC1556" i="4"/>
  <c r="Y1513" i="4"/>
  <c r="AA1513" i="4" s="1"/>
  <c r="U1520" i="4"/>
  <c r="P1520" i="4"/>
  <c r="W1587" i="4"/>
  <c r="V1587" i="4"/>
  <c r="S1587" i="4" s="1"/>
  <c r="V1503" i="4"/>
  <c r="S1503" i="4" s="1"/>
  <c r="W1503" i="4"/>
  <c r="P1488" i="4"/>
  <c r="U1488" i="4"/>
  <c r="V1479" i="4"/>
  <c r="S1479" i="4" s="1"/>
  <c r="X1479" i="4" s="1"/>
  <c r="W1479" i="4"/>
  <c r="P1464" i="4"/>
  <c r="U1464" i="4"/>
  <c r="V1455" i="4"/>
  <c r="S1455" i="4" s="1"/>
  <c r="X1455" i="4" s="1"/>
  <c r="W1455" i="4"/>
  <c r="P1440" i="4"/>
  <c r="U1440" i="4"/>
  <c r="V1431" i="4"/>
  <c r="S1431" i="4" s="1"/>
  <c r="W1431" i="4"/>
  <c r="T1415" i="4"/>
  <c r="P1415" i="4"/>
  <c r="AC1409" i="4"/>
  <c r="Y1409" i="4"/>
  <c r="AA1409" i="4" s="1"/>
  <c r="AC1294" i="4"/>
  <c r="Y1294" i="4"/>
  <c r="AA1294" i="4" s="1"/>
  <c r="AC1242" i="4"/>
  <c r="Y1242" i="4"/>
  <c r="AA1242" i="4" s="1"/>
  <c r="AC1211" i="4"/>
  <c r="Y1211" i="4"/>
  <c r="AA1211" i="4" s="1"/>
  <c r="AC1127" i="4"/>
  <c r="Y1127" i="4"/>
  <c r="AA1127" i="4" s="1"/>
  <c r="P1461" i="4"/>
  <c r="P1473" i="4"/>
  <c r="W1422" i="4"/>
  <c r="V1422" i="4"/>
  <c r="S1422" i="4" s="1"/>
  <c r="AC1319" i="4"/>
  <c r="Y1319" i="4"/>
  <c r="AA1319" i="4" s="1"/>
  <c r="X1376" i="4"/>
  <c r="S1376" i="4"/>
  <c r="AC1235" i="4"/>
  <c r="Y1235" i="4"/>
  <c r="AA1235" i="4" s="1"/>
  <c r="Y1138" i="4"/>
  <c r="AA1138" i="4" s="1"/>
  <c r="AC1138" i="4"/>
  <c r="Y1282" i="4"/>
  <c r="AA1282" i="4" s="1"/>
  <c r="AC1282" i="4"/>
  <c r="S969" i="4"/>
  <c r="X969" i="4" s="1"/>
  <c r="Y1273" i="4"/>
  <c r="AA1273" i="4" s="1"/>
  <c r="AC1232" i="4"/>
  <c r="Y1232" i="4"/>
  <c r="AA1232" i="4" s="1"/>
  <c r="Y1154" i="4"/>
  <c r="AA1153" i="4" s="1"/>
  <c r="AC1025" i="4"/>
  <c r="Y1025" i="4"/>
  <c r="AC996" i="4"/>
  <c r="Y996" i="4"/>
  <c r="AC965" i="4"/>
  <c r="Y965" i="4"/>
  <c r="Y1337" i="4"/>
  <c r="AA1337" i="4" s="1"/>
  <c r="AC1248" i="4"/>
  <c r="Y1248" i="4"/>
  <c r="AA1248" i="4" s="1"/>
  <c r="Y1101" i="4"/>
  <c r="AA1066" i="4"/>
  <c r="AC1027" i="4"/>
  <c r="Y1027" i="4"/>
  <c r="AA1027" i="4" s="1"/>
  <c r="S1005" i="4"/>
  <c r="X1005" i="4" s="1"/>
  <c r="AC973" i="4"/>
  <c r="Y973" i="4"/>
  <c r="S936" i="4"/>
  <c r="X936" i="4" s="1"/>
  <c r="AC913" i="4"/>
  <c r="Y913" i="4"/>
  <c r="AA912" i="4" s="1"/>
  <c r="X799" i="4"/>
  <c r="AC799" i="4" s="1"/>
  <c r="Q799" i="4"/>
  <c r="S799" i="4"/>
  <c r="X737" i="4"/>
  <c r="AC737" i="4" s="1"/>
  <c r="Q737" i="4"/>
  <c r="S737" i="4"/>
  <c r="AC1171" i="4"/>
  <c r="Y1171" i="4"/>
  <c r="AA1171" i="4" s="1"/>
  <c r="AC1136" i="4"/>
  <c r="Y1136" i="4"/>
  <c r="AA1135" i="4" s="1"/>
  <c r="AC1058" i="4"/>
  <c r="Y1058" i="4"/>
  <c r="Y1050" i="4"/>
  <c r="AC1050" i="4"/>
  <c r="S987" i="4"/>
  <c r="X987" i="4" s="1"/>
  <c r="S786" i="4"/>
  <c r="Y786" i="4" s="1"/>
  <c r="Z786" i="4" s="1"/>
  <c r="AA786" i="4" s="1"/>
  <c r="Q771" i="4"/>
  <c r="S765" i="4"/>
  <c r="X765" i="4" s="1"/>
  <c r="AC765" i="4" s="1"/>
  <c r="Y765" i="4"/>
  <c r="Z765" i="4" s="1"/>
  <c r="AA765" i="4" s="1"/>
  <c r="Q621" i="4"/>
  <c r="Y621" i="4"/>
  <c r="Z621" i="4" s="1"/>
  <c r="AA621" i="4" s="1"/>
  <c r="AA895" i="4"/>
  <c r="Y805" i="4"/>
  <c r="Z805" i="4" s="1"/>
  <c r="AA805" i="4" s="1"/>
  <c r="Q746" i="4"/>
  <c r="AA882" i="4"/>
  <c r="Q819" i="4"/>
  <c r="AC903" i="4"/>
  <c r="Y903" i="4"/>
  <c r="Q759" i="4"/>
  <c r="Y737" i="4"/>
  <c r="Z737" i="4" s="1"/>
  <c r="AA737" i="4" s="1"/>
  <c r="Y561" i="4"/>
  <c r="Z561" i="4" s="1"/>
  <c r="AA561" i="4" s="1"/>
  <c r="S561" i="4"/>
  <c r="X561" i="4" s="1"/>
  <c r="AC561" i="4" s="1"/>
  <c r="Q561" i="4"/>
  <c r="Y543" i="4"/>
  <c r="Z543" i="4" s="1"/>
  <c r="AA543" i="4" s="1"/>
  <c r="S543" i="4"/>
  <c r="X543" i="4" s="1"/>
  <c r="AC543" i="4" s="1"/>
  <c r="S501" i="4"/>
  <c r="Y501" i="4"/>
  <c r="Z501" i="4" s="1"/>
  <c r="AA501" i="4" s="1"/>
  <c r="X501" i="4"/>
  <c r="AC501" i="4" s="1"/>
  <c r="Q501" i="4"/>
  <c r="S816" i="4"/>
  <c r="Y816" i="4" s="1"/>
  <c r="Z816" i="4" s="1"/>
  <c r="AA816" i="4" s="1"/>
  <c r="Q816" i="4"/>
  <c r="Q698" i="4"/>
  <c r="S652" i="4"/>
  <c r="Y652" i="4" s="1"/>
  <c r="Z652" i="4" s="1"/>
  <c r="AA652" i="4" s="1"/>
  <c r="Y483" i="4"/>
  <c r="Z483" i="4" s="1"/>
  <c r="AA483" i="4" s="1"/>
  <c r="Q483" i="4"/>
  <c r="Q450" i="4"/>
  <c r="Y450" i="4"/>
  <c r="Z450" i="4" s="1"/>
  <c r="AA450" i="4" s="1"/>
  <c r="Q435" i="4"/>
  <c r="Y435" i="4"/>
  <c r="Z435" i="4" s="1"/>
  <c r="AA435" i="4" s="1"/>
  <c r="Y878" i="4"/>
  <c r="AA878" i="4" s="1"/>
  <c r="AA844" i="4"/>
  <c r="S798" i="4"/>
  <c r="Y798" i="4" s="1"/>
  <c r="Z798" i="4" s="1"/>
  <c r="AA798" i="4" s="1"/>
  <c r="S773" i="4"/>
  <c r="Y773" i="4"/>
  <c r="Z773" i="4" s="1"/>
  <c r="AA773" i="4" s="1"/>
  <c r="X773" i="4"/>
  <c r="AC773" i="4" s="1"/>
  <c r="Q773" i="4"/>
  <c r="Y744" i="4"/>
  <c r="Z744" i="4" s="1"/>
  <c r="AA744" i="4" s="1"/>
  <c r="X719" i="4"/>
  <c r="AC719" i="4" s="1"/>
  <c r="Y693" i="4"/>
  <c r="Z693" i="4" s="1"/>
  <c r="AA693" i="4" s="1"/>
  <c r="Q629" i="4"/>
  <c r="Q609" i="4"/>
  <c r="S609" i="4"/>
  <c r="Y609" i="4" s="1"/>
  <c r="Z609" i="4" s="1"/>
  <c r="AA609" i="4" s="1"/>
  <c r="Q595" i="4"/>
  <c r="S595" i="4"/>
  <c r="Y595" i="4" s="1"/>
  <c r="Z595" i="4" s="1"/>
  <c r="AA595" i="4" s="1"/>
  <c r="X595" i="4"/>
  <c r="AC595" i="4" s="1"/>
  <c r="X520" i="4"/>
  <c r="AC520" i="4" s="1"/>
  <c r="Q520" i="4"/>
  <c r="Q499" i="4"/>
  <c r="S499" i="4"/>
  <c r="X499" i="4" s="1"/>
  <c r="AC499" i="4" s="1"/>
  <c r="S479" i="4"/>
  <c r="Y479" i="4" s="1"/>
  <c r="Z479" i="4" s="1"/>
  <c r="AA479" i="4" s="1"/>
  <c r="X473" i="4"/>
  <c r="AC473" i="4" s="1"/>
  <c r="Q473" i="4"/>
  <c r="Q685" i="4"/>
  <c r="X654" i="4"/>
  <c r="AC654" i="4" s="1"/>
  <c r="Q571" i="4"/>
  <c r="Q383" i="4"/>
  <c r="Y383" i="4"/>
  <c r="Z383" i="4" s="1"/>
  <c r="AA383" i="4" s="1"/>
  <c r="X383" i="4"/>
  <c r="AC383" i="4" s="1"/>
  <c r="X494" i="4"/>
  <c r="AC494" i="4" s="1"/>
  <c r="S364" i="4"/>
  <c r="Y364" i="4" s="1"/>
  <c r="Z364" i="4" s="1"/>
  <c r="AA364" i="4" s="1"/>
  <c r="X364" i="4"/>
  <c r="AC364" i="4" s="1"/>
  <c r="S289" i="4"/>
  <c r="Q289" i="4" s="1"/>
  <c r="X636" i="4"/>
  <c r="AC636" i="4" s="1"/>
  <c r="Y539" i="4"/>
  <c r="Z539" i="4" s="1"/>
  <c r="AA539" i="4" s="1"/>
  <c r="X483" i="4"/>
  <c r="AC483" i="4" s="1"/>
  <c r="Y289" i="4"/>
  <c r="Z289" i="4" s="1"/>
  <c r="AA289" i="4" s="1"/>
  <c r="Q658" i="4"/>
  <c r="Q593" i="4"/>
  <c r="Q557" i="4"/>
  <c r="X526" i="4"/>
  <c r="AC526" i="4" s="1"/>
  <c r="Q502" i="4"/>
  <c r="Q617" i="4"/>
  <c r="Y571" i="4"/>
  <c r="Z571" i="4" s="1"/>
  <c r="AA571" i="4" s="1"/>
  <c r="Q513" i="4"/>
  <c r="Y414" i="4"/>
  <c r="Z414" i="4" s="1"/>
  <c r="AA414" i="4" s="1"/>
  <c r="Q246" i="4"/>
  <c r="X567" i="4"/>
  <c r="AC567" i="4" s="1"/>
  <c r="X516" i="4"/>
  <c r="AC516" i="4" s="1"/>
  <c r="Q454" i="4"/>
  <c r="X435" i="4"/>
  <c r="AC435" i="4" s="1"/>
  <c r="Y351" i="4"/>
  <c r="Z351" i="4" s="1"/>
  <c r="AA351" i="4" s="1"/>
  <c r="Q351" i="4"/>
  <c r="X351" i="4"/>
  <c r="AC351" i="4" s="1"/>
  <c r="S351" i="4"/>
  <c r="S343" i="4"/>
  <c r="Q343" i="4" s="1"/>
  <c r="X343" i="4"/>
  <c r="AC343" i="4" s="1"/>
  <c r="Y330" i="4"/>
  <c r="Z330" i="4" s="1"/>
  <c r="AA330" i="4" s="1"/>
  <c r="Q319" i="4"/>
  <c r="X319" i="4"/>
  <c r="AC319" i="4" s="1"/>
  <c r="S319" i="4"/>
  <c r="Y319" i="4" s="1"/>
  <c r="Z319" i="4" s="1"/>
  <c r="AA319" i="4" s="1"/>
  <c r="X284" i="4"/>
  <c r="AC284" i="4" s="1"/>
  <c r="Q284" i="4"/>
  <c r="Q233" i="4"/>
  <c r="Y233" i="4"/>
  <c r="Z233" i="4" s="1"/>
  <c r="AA233" i="4" s="1"/>
  <c r="S233" i="4"/>
  <c r="X233" i="4" s="1"/>
  <c r="AC233" i="4" s="1"/>
  <c r="S226" i="4"/>
  <c r="X226" i="4" s="1"/>
  <c r="AC226" i="4" s="1"/>
  <c r="Q204" i="4"/>
  <c r="Y204" i="4"/>
  <c r="AA204" i="4" s="1"/>
  <c r="S204" i="4"/>
  <c r="X204" i="4"/>
  <c r="AC204" i="4" s="1"/>
  <c r="Q197" i="4"/>
  <c r="Y197" i="4"/>
  <c r="AA197" i="4" s="1"/>
  <c r="S197" i="4"/>
  <c r="X197" i="4" s="1"/>
  <c r="AC197" i="4" s="1"/>
  <c r="Q188" i="4"/>
  <c r="Q183" i="4"/>
  <c r="Y183" i="4"/>
  <c r="AA183" i="4" s="1"/>
  <c r="S183" i="4"/>
  <c r="X183" i="4" s="1"/>
  <c r="AC183" i="4" s="1"/>
  <c r="S178" i="4"/>
  <c r="X178" i="4" s="1"/>
  <c r="AC178" i="4" s="1"/>
  <c r="X173" i="4"/>
  <c r="AC173" i="4" s="1"/>
  <c r="Q173" i="4"/>
  <c r="S173" i="4"/>
  <c r="Y173" i="4" s="1"/>
  <c r="AA173" i="4" s="1"/>
  <c r="S126" i="4"/>
  <c r="Q126" i="4" s="1"/>
  <c r="X126" i="4"/>
  <c r="AC126" i="4" s="1"/>
  <c r="Q350" i="4"/>
  <c r="Q184" i="4"/>
  <c r="Q136" i="4"/>
  <c r="Y110" i="4"/>
  <c r="AA110" i="4" s="1"/>
  <c r="X91" i="4"/>
  <c r="AC91" i="4" s="1"/>
  <c r="Q91" i="4"/>
  <c r="S91" i="4"/>
  <c r="Y91" i="4" s="1"/>
  <c r="AA91" i="4" s="1"/>
  <c r="X57" i="4"/>
  <c r="AC57" i="4" s="1"/>
  <c r="Q165" i="4"/>
  <c r="X62" i="4"/>
  <c r="AC62" i="4" s="1"/>
  <c r="Y62" i="4"/>
  <c r="AA62" i="4" s="1"/>
  <c r="S62" i="4"/>
  <c r="Q62" i="4" s="1"/>
  <c r="X50" i="4"/>
  <c r="AC50" i="4" s="1"/>
  <c r="Y251" i="4"/>
  <c r="Z251" i="4" s="1"/>
  <c r="AA251" i="4" s="1"/>
  <c r="Q338" i="4"/>
  <c r="Q326" i="4"/>
  <c r="Y258" i="4"/>
  <c r="Z258" i="4" s="1"/>
  <c r="AA258" i="4" s="1"/>
  <c r="Y138" i="4"/>
  <c r="AA138" i="4" s="1"/>
  <c r="Q149" i="4"/>
  <c r="S40" i="4"/>
  <c r="Y40" i="4" s="1"/>
  <c r="AA40" i="4" s="1"/>
  <c r="X40" i="4"/>
  <c r="AC40" i="4" s="1"/>
  <c r="G31" i="1"/>
  <c r="Q236" i="4"/>
  <c r="Y94" i="4"/>
  <c r="AA94" i="4" s="1"/>
  <c r="Y58" i="4"/>
  <c r="AA58" i="4" s="1"/>
  <c r="Q52" i="4"/>
  <c r="S37" i="4"/>
  <c r="Y37" i="4" s="1"/>
  <c r="AA37" i="4" s="1"/>
  <c r="Q37" i="4"/>
  <c r="X18" i="4"/>
  <c r="AC18" i="4" s="1"/>
  <c r="X34" i="4"/>
  <c r="AC34" i="4" s="1"/>
  <c r="Q34" i="4"/>
  <c r="X9" i="4"/>
  <c r="AC9" i="4" s="1"/>
  <c r="X6" i="4"/>
  <c r="AC6" i="4" s="1"/>
  <c r="X63" i="4"/>
  <c r="AC63" i="4" s="1"/>
  <c r="X3" i="4"/>
  <c r="AC3" i="4" s="1"/>
  <c r="AB158" i="9"/>
  <c r="D158" i="9" s="1"/>
  <c r="AE158" i="9"/>
  <c r="A158" i="9" s="1"/>
  <c r="J155" i="9"/>
  <c r="H155" i="9"/>
  <c r="I156" i="9"/>
  <c r="G156" i="9"/>
  <c r="H156" i="9"/>
  <c r="J156" i="9"/>
  <c r="E25" i="9"/>
  <c r="E75" i="8"/>
  <c r="I75" i="8" s="1"/>
  <c r="E19" i="9"/>
  <c r="E26" i="9"/>
  <c r="E22" i="9"/>
  <c r="AG15" i="8"/>
  <c r="BD18" i="8"/>
  <c r="AD14" i="8"/>
  <c r="L14" i="8"/>
  <c r="I15" i="8"/>
  <c r="AU16" i="8"/>
  <c r="J16" i="8" s="1"/>
  <c r="L15" i="8"/>
  <c r="F50" i="8" s="1"/>
  <c r="BA47" i="8"/>
  <c r="I77" i="8"/>
  <c r="BA45" i="8"/>
  <c r="AR47" i="8"/>
  <c r="AR45" i="8"/>
  <c r="I74" i="8"/>
  <c r="I69" i="8"/>
  <c r="BG17" i="8"/>
  <c r="BG19" i="8"/>
  <c r="V563" i="6"/>
  <c r="V564" i="6" s="1"/>
  <c r="D991" i="2"/>
  <c r="D992" i="2" s="1"/>
  <c r="U319" i="5"/>
  <c r="X319" i="5" s="1"/>
  <c r="U310" i="5"/>
  <c r="X310" i="5" s="1"/>
  <c r="S303" i="5"/>
  <c r="U303" i="5" s="1"/>
  <c r="X303" i="5" s="1"/>
  <c r="M241" i="5"/>
  <c r="K241" i="5" s="1"/>
  <c r="R241" i="5" s="1"/>
  <c r="S264" i="5"/>
  <c r="U264" i="5" s="1"/>
  <c r="X264" i="5" s="1"/>
  <c r="M236" i="5"/>
  <c r="K236" i="5" s="1"/>
  <c r="R236" i="5" s="1"/>
  <c r="I236" i="5"/>
  <c r="H236" i="5" s="1"/>
  <c r="O226" i="5"/>
  <c r="P226" i="5"/>
  <c r="N226" i="5"/>
  <c r="K226" i="5" s="1"/>
  <c r="R226" i="5" s="1"/>
  <c r="S273" i="5"/>
  <c r="U273" i="5" s="1"/>
  <c r="X273" i="5" s="1"/>
  <c r="S255" i="5"/>
  <c r="U255" i="5" s="1"/>
  <c r="X255" i="5" s="1"/>
  <c r="U275" i="5"/>
  <c r="X275" i="5" s="1"/>
  <c r="S252" i="5"/>
  <c r="U252" i="5" s="1"/>
  <c r="X252" i="5" s="1"/>
  <c r="I225" i="5"/>
  <c r="H225" i="5" s="1"/>
  <c r="M225" i="5"/>
  <c r="K225" i="5" s="1"/>
  <c r="R225" i="5" s="1"/>
  <c r="P216" i="5"/>
  <c r="N216" i="5"/>
  <c r="I216" i="5" s="1"/>
  <c r="H216" i="5" s="1"/>
  <c r="K216" i="5"/>
  <c r="R216" i="5" s="1"/>
  <c r="O216" i="5"/>
  <c r="I66" i="5"/>
  <c r="H66" i="5" s="1"/>
  <c r="U218" i="5"/>
  <c r="V218" i="5" s="1"/>
  <c r="S218" i="5"/>
  <c r="I157" i="5"/>
  <c r="H157" i="5" s="1"/>
  <c r="M38" i="5"/>
  <c r="K38" i="5" s="1"/>
  <c r="S38" i="5" s="1"/>
  <c r="M45" i="5"/>
  <c r="K45" i="5" s="1"/>
  <c r="S45" i="5" s="1"/>
  <c r="K113" i="5"/>
  <c r="R113" i="5" s="1"/>
  <c r="S113" i="5" s="1"/>
  <c r="M92" i="5"/>
  <c r="K92" i="5" s="1"/>
  <c r="S92" i="5" s="1"/>
  <c r="I92" i="5"/>
  <c r="H92" i="5" s="1"/>
  <c r="P54" i="5"/>
  <c r="O54" i="5"/>
  <c r="N54" i="5"/>
  <c r="K54" i="5" s="1"/>
  <c r="S54" i="5" s="1"/>
  <c r="N207" i="5"/>
  <c r="I207" i="5" s="1"/>
  <c r="H207" i="5" s="1"/>
  <c r="K207" i="5"/>
  <c r="R207" i="5" s="1"/>
  <c r="P207" i="5"/>
  <c r="O207" i="5"/>
  <c r="I99" i="5"/>
  <c r="H99" i="5" s="1"/>
  <c r="M64" i="5"/>
  <c r="K64" i="5" s="1"/>
  <c r="S64" i="5" s="1"/>
  <c r="K30" i="5"/>
  <c r="S30" i="5" s="1"/>
  <c r="P30" i="5"/>
  <c r="O30" i="5"/>
  <c r="N30" i="5"/>
  <c r="I30" i="5" s="1"/>
  <c r="H30" i="5" s="1"/>
  <c r="K169" i="5"/>
  <c r="S169" i="5" s="1"/>
  <c r="I147" i="5"/>
  <c r="H147" i="5" s="1"/>
  <c r="I18" i="5"/>
  <c r="H18" i="5" s="1"/>
  <c r="M18" i="5"/>
  <c r="K18" i="5" s="1"/>
  <c r="S18" i="5" s="1"/>
  <c r="M20" i="5"/>
  <c r="K20" i="5" s="1"/>
  <c r="S20" i="5" s="1"/>
  <c r="U1774" i="4"/>
  <c r="P1774" i="4"/>
  <c r="U1770" i="4"/>
  <c r="P1770" i="4"/>
  <c r="U1766" i="4"/>
  <c r="P1766" i="4"/>
  <c r="U1762" i="4"/>
  <c r="P1762" i="4"/>
  <c r="U1758" i="4"/>
  <c r="P1758" i="4"/>
  <c r="U1754" i="4"/>
  <c r="P1754" i="4"/>
  <c r="U1750" i="4"/>
  <c r="P1750" i="4"/>
  <c r="U1746" i="4"/>
  <c r="P1746" i="4"/>
  <c r="U1742" i="4"/>
  <c r="P1742" i="4"/>
  <c r="U1738" i="4"/>
  <c r="P1738" i="4"/>
  <c r="U1734" i="4"/>
  <c r="P1734" i="4"/>
  <c r="U1730" i="4"/>
  <c r="P1730" i="4"/>
  <c r="U1726" i="4"/>
  <c r="P1726" i="4"/>
  <c r="U1722" i="4"/>
  <c r="P1722" i="4"/>
  <c r="U1718" i="4"/>
  <c r="P1718" i="4"/>
  <c r="U1714" i="4"/>
  <c r="P1714" i="4"/>
  <c r="U1710" i="4"/>
  <c r="P1710" i="4"/>
  <c r="U1706" i="4"/>
  <c r="P1706" i="4"/>
  <c r="W1775" i="4"/>
  <c r="V1775" i="4"/>
  <c r="S1775" i="4" s="1"/>
  <c r="X1775" i="4" s="1"/>
  <c r="W1763" i="4"/>
  <c r="V1763" i="4"/>
  <c r="S1763" i="4" s="1"/>
  <c r="W1751" i="4"/>
  <c r="V1751" i="4"/>
  <c r="S1751" i="4" s="1"/>
  <c r="W1739" i="4"/>
  <c r="V1739" i="4"/>
  <c r="S1739" i="4" s="1"/>
  <c r="W1727" i="4"/>
  <c r="V1727" i="4"/>
  <c r="S1727" i="4" s="1"/>
  <c r="W1715" i="4"/>
  <c r="V1715" i="4"/>
  <c r="S1715" i="4" s="1"/>
  <c r="W1703" i="4"/>
  <c r="V1703" i="4"/>
  <c r="S1703" i="4" s="1"/>
  <c r="P1701" i="4"/>
  <c r="U1701" i="4"/>
  <c r="X1685" i="4"/>
  <c r="U1626" i="4"/>
  <c r="P1626" i="4"/>
  <c r="Y1681" i="4"/>
  <c r="AA1681" i="4" s="1"/>
  <c r="W1617" i="4"/>
  <c r="V1617" i="4"/>
  <c r="S1617" i="4" s="1"/>
  <c r="X1617" i="4" s="1"/>
  <c r="P1578" i="4"/>
  <c r="U1578" i="4"/>
  <c r="W1557" i="4"/>
  <c r="V1557" i="4"/>
  <c r="S1557" i="4" s="1"/>
  <c r="W1684" i="4"/>
  <c r="V1684" i="4"/>
  <c r="S1684" i="4" s="1"/>
  <c r="X1684" i="4" s="1"/>
  <c r="AC1684" i="4" s="1"/>
  <c r="P1594" i="4"/>
  <c r="U1594" i="4"/>
  <c r="T1583" i="4"/>
  <c r="P1583" i="4"/>
  <c r="T1571" i="4"/>
  <c r="P1571" i="4"/>
  <c r="T1559" i="4"/>
  <c r="P1559" i="4"/>
  <c r="U1550" i="4"/>
  <c r="P1550" i="4"/>
  <c r="U1528" i="4"/>
  <c r="P1528" i="4"/>
  <c r="Y1483" i="4"/>
  <c r="AA1483" i="4" s="1"/>
  <c r="Y1447" i="4"/>
  <c r="AA1447" i="4" s="1"/>
  <c r="Y1592" i="4"/>
  <c r="AA1592" i="4" s="1"/>
  <c r="AC1592" i="4"/>
  <c r="P1564" i="4"/>
  <c r="P1510" i="4"/>
  <c r="U1510" i="4"/>
  <c r="U1480" i="4"/>
  <c r="P1480" i="4"/>
  <c r="U1444" i="4"/>
  <c r="P1444" i="4"/>
  <c r="W1519" i="4"/>
  <c r="V1519" i="4"/>
  <c r="S1519" i="4" s="1"/>
  <c r="W1511" i="4"/>
  <c r="V1511" i="4"/>
  <c r="S1511" i="4" s="1"/>
  <c r="W1499" i="4"/>
  <c r="V1499" i="4"/>
  <c r="S1499" i="4" s="1"/>
  <c r="X1499" i="4" s="1"/>
  <c r="W1487" i="4"/>
  <c r="V1487" i="4"/>
  <c r="S1487" i="4" s="1"/>
  <c r="W1475" i="4"/>
  <c r="V1475" i="4"/>
  <c r="S1475" i="4" s="1"/>
  <c r="W1463" i="4"/>
  <c r="V1463" i="4"/>
  <c r="S1463" i="4" s="1"/>
  <c r="X1463" i="4" s="1"/>
  <c r="W1451" i="4"/>
  <c r="V1451" i="4"/>
  <c r="S1451" i="4" s="1"/>
  <c r="W1439" i="4"/>
  <c r="V1439" i="4"/>
  <c r="S1439" i="4" s="1"/>
  <c r="W1427" i="4"/>
  <c r="V1427" i="4"/>
  <c r="S1427" i="4" s="1"/>
  <c r="X1427" i="4" s="1"/>
  <c r="X1568" i="4"/>
  <c r="U1532" i="4"/>
  <c r="P1532" i="4"/>
  <c r="X1565" i="4"/>
  <c r="AC1565" i="4" s="1"/>
  <c r="T1502" i="4"/>
  <c r="P1502" i="4"/>
  <c r="T1478" i="4"/>
  <c r="P1478" i="4"/>
  <c r="T1454" i="4"/>
  <c r="P1454" i="4"/>
  <c r="T1430" i="4"/>
  <c r="P1430" i="4"/>
  <c r="X1426" i="4"/>
  <c r="Y1358" i="4"/>
  <c r="AA1358" i="4" s="1"/>
  <c r="AC1286" i="4"/>
  <c r="Y1286" i="4"/>
  <c r="AA1286" i="4" s="1"/>
  <c r="AC1239" i="4"/>
  <c r="Y1239" i="4"/>
  <c r="AA1239" i="4" s="1"/>
  <c r="AC1195" i="4"/>
  <c r="Y1195" i="4"/>
  <c r="AA1195" i="4" s="1"/>
  <c r="AC1090" i="4"/>
  <c r="Y1090" i="4"/>
  <c r="AA1090" i="4" s="1"/>
  <c r="P1482" i="4"/>
  <c r="X1447" i="4"/>
  <c r="AC1447" i="4" s="1"/>
  <c r="P1494" i="4"/>
  <c r="X1459" i="4"/>
  <c r="AC1459" i="4" s="1"/>
  <c r="Y1360" i="4"/>
  <c r="AA1360" i="4" s="1"/>
  <c r="X1462" i="4"/>
  <c r="Y1346" i="4"/>
  <c r="AA1346" i="4" s="1"/>
  <c r="Y1234" i="4"/>
  <c r="AA1234" i="4" s="1"/>
  <c r="AC1234" i="4"/>
  <c r="Y1188" i="4"/>
  <c r="Y1110" i="4"/>
  <c r="AA1110" i="4" s="1"/>
  <c r="Y1103" i="4"/>
  <c r="Y1059" i="4"/>
  <c r="AA1059" i="4" s="1"/>
  <c r="AC1030" i="4"/>
  <c r="Y1030" i="4"/>
  <c r="Y1221" i="4"/>
  <c r="AA1221" i="4" s="1"/>
  <c r="AC1221" i="4"/>
  <c r="Y1077" i="4"/>
  <c r="AA1077" i="4" s="1"/>
  <c r="Y1045" i="4"/>
  <c r="AA1045" i="4" s="1"/>
  <c r="Y1033" i="4"/>
  <c r="AA1032" i="4" s="1"/>
  <c r="AC1001" i="4"/>
  <c r="Y1001" i="4"/>
  <c r="AC884" i="4"/>
  <c r="Y884" i="4"/>
  <c r="Y1315" i="4"/>
  <c r="AA1315" i="4" s="1"/>
  <c r="AC1265" i="4"/>
  <c r="Y1265" i="4"/>
  <c r="AA1265" i="4" s="1"/>
  <c r="Y1243" i="4"/>
  <c r="AA1243" i="4" s="1"/>
  <c r="Y1175" i="4"/>
  <c r="Y1157" i="4"/>
  <c r="AA1157" i="4" s="1"/>
  <c r="Y992" i="4"/>
  <c r="Y1204" i="4"/>
  <c r="Y995" i="4"/>
  <c r="Y1292" i="4"/>
  <c r="AA1292" i="4" s="1"/>
  <c r="Y1180" i="4"/>
  <c r="S935" i="4"/>
  <c r="X935" i="4" s="1"/>
  <c r="S811" i="4"/>
  <c r="X811" i="4" s="1"/>
  <c r="AC811" i="4" s="1"/>
  <c r="X791" i="4"/>
  <c r="AC791" i="4" s="1"/>
  <c r="Q791" i="4"/>
  <c r="Y791" i="4"/>
  <c r="Z791" i="4" s="1"/>
  <c r="AA791" i="4" s="1"/>
  <c r="S791" i="4"/>
  <c r="X735" i="4"/>
  <c r="AC735" i="4" s="1"/>
  <c r="Q735" i="4"/>
  <c r="S735" i="4"/>
  <c r="Y735" i="4" s="1"/>
  <c r="Z735" i="4" s="1"/>
  <c r="AA735" i="4" s="1"/>
  <c r="Y1320" i="4"/>
  <c r="AA1320" i="4" s="1"/>
  <c r="Y1279" i="4"/>
  <c r="AA1279" i="4" s="1"/>
  <c r="AC1279" i="4"/>
  <c r="Y1249" i="4"/>
  <c r="AA1249" i="4" s="1"/>
  <c r="Y1220" i="4"/>
  <c r="AA1220" i="4" s="1"/>
  <c r="Y1049" i="4"/>
  <c r="AA1049" i="4" s="1"/>
  <c r="Y1031" i="4"/>
  <c r="X967" i="4"/>
  <c r="S967" i="4"/>
  <c r="S825" i="4"/>
  <c r="Y825" i="4" s="1"/>
  <c r="Z825" i="4" s="1"/>
  <c r="AA825" i="4" s="1"/>
  <c r="X825" i="4"/>
  <c r="AC825" i="4" s="1"/>
  <c r="Y799" i="4"/>
  <c r="Z799" i="4" s="1"/>
  <c r="AA799" i="4" s="1"/>
  <c r="X771" i="4"/>
  <c r="AC771" i="4" s="1"/>
  <c r="S741" i="4"/>
  <c r="X741" i="4"/>
  <c r="AC741" i="4" s="1"/>
  <c r="Q741" i="4"/>
  <c r="Y720" i="4"/>
  <c r="Z720" i="4" s="1"/>
  <c r="AA720" i="4" s="1"/>
  <c r="Q700" i="4"/>
  <c r="Y700" i="4"/>
  <c r="Z700" i="4" s="1"/>
  <c r="AA700" i="4" s="1"/>
  <c r="X617" i="4"/>
  <c r="AC617" i="4" s="1"/>
  <c r="S764" i="4"/>
  <c r="X764" i="4" s="1"/>
  <c r="AC764" i="4" s="1"/>
  <c r="Y764" i="4"/>
  <c r="Z764" i="4" s="1"/>
  <c r="AA764" i="4" s="1"/>
  <c r="Y759" i="4"/>
  <c r="Z759" i="4" s="1"/>
  <c r="AA759" i="4" s="1"/>
  <c r="Q697" i="4"/>
  <c r="S830" i="4"/>
  <c r="Q830" i="4" s="1"/>
  <c r="X830" i="4"/>
  <c r="AC830" i="4" s="1"/>
  <c r="Y755" i="4"/>
  <c r="Z755" i="4" s="1"/>
  <c r="AA755" i="4" s="1"/>
  <c r="Y738" i="4"/>
  <c r="Z738" i="4" s="1"/>
  <c r="AA738" i="4" s="1"/>
  <c r="Y731" i="4"/>
  <c r="Z731" i="4" s="1"/>
  <c r="AA731" i="4" s="1"/>
  <c r="X717" i="4"/>
  <c r="AC717" i="4" s="1"/>
  <c r="Q717" i="4"/>
  <c r="S717" i="4"/>
  <c r="Q656" i="4"/>
  <c r="Q630" i="4"/>
  <c r="Y837" i="4"/>
  <c r="Q795" i="4"/>
  <c r="Q776" i="4"/>
  <c r="S763" i="4"/>
  <c r="Q763" i="4" s="1"/>
  <c r="Y763" i="4"/>
  <c r="Z763" i="4" s="1"/>
  <c r="AA763" i="4" s="1"/>
  <c r="S574" i="4"/>
  <c r="X574" i="4" s="1"/>
  <c r="AC574" i="4" s="1"/>
  <c r="S556" i="4"/>
  <c r="Y556" i="4" s="1"/>
  <c r="Z556" i="4" s="1"/>
  <c r="AA556" i="4" s="1"/>
  <c r="X556" i="4"/>
  <c r="AC556" i="4" s="1"/>
  <c r="Q556" i="4"/>
  <c r="S471" i="4"/>
  <c r="Y471" i="4" s="1"/>
  <c r="Z471" i="4" s="1"/>
  <c r="AA471" i="4" s="1"/>
  <c r="AA919" i="4"/>
  <c r="Q821" i="4"/>
  <c r="Y807" i="4"/>
  <c r="Z807" i="4" s="1"/>
  <c r="AA807" i="4" s="1"/>
  <c r="S766" i="4"/>
  <c r="Y766" i="4" s="1"/>
  <c r="Z766" i="4" s="1"/>
  <c r="AA766" i="4" s="1"/>
  <c r="Q731" i="4"/>
  <c r="Q722" i="4"/>
  <c r="X679" i="4"/>
  <c r="AC679" i="4" s="1"/>
  <c r="Q651" i="4"/>
  <c r="S651" i="4"/>
  <c r="Y651" i="4" s="1"/>
  <c r="Z651" i="4" s="1"/>
  <c r="AA651" i="4" s="1"/>
  <c r="X638" i="4"/>
  <c r="AC638" i="4" s="1"/>
  <c r="Y589" i="4"/>
  <c r="Z589" i="4" s="1"/>
  <c r="AA589" i="4" s="1"/>
  <c r="Q589" i="4"/>
  <c r="Y579" i="4"/>
  <c r="Z579" i="4" s="1"/>
  <c r="AA579" i="4" s="1"/>
  <c r="Q579" i="4"/>
  <c r="Y569" i="4"/>
  <c r="Z569" i="4" s="1"/>
  <c r="AA569" i="4" s="1"/>
  <c r="Q569" i="4"/>
  <c r="Y499" i="4"/>
  <c r="Z499" i="4" s="1"/>
  <c r="AA499" i="4" s="1"/>
  <c r="Y902" i="4"/>
  <c r="AA902" i="4" s="1"/>
  <c r="AC902" i="4"/>
  <c r="Y885" i="4"/>
  <c r="Y875" i="4"/>
  <c r="AA875" i="4" s="1"/>
  <c r="Y747" i="4"/>
  <c r="Z747" i="4" s="1"/>
  <c r="AA747" i="4" s="1"/>
  <c r="Y741" i="4"/>
  <c r="Z741" i="4" s="1"/>
  <c r="AA741" i="4" s="1"/>
  <c r="Y710" i="4"/>
  <c r="Z710" i="4" s="1"/>
  <c r="AA710" i="4" s="1"/>
  <c r="S662" i="4"/>
  <c r="Y662" i="4" s="1"/>
  <c r="Z662" i="4" s="1"/>
  <c r="AA662" i="4" s="1"/>
  <c r="S637" i="4"/>
  <c r="Y637" i="4" s="1"/>
  <c r="Z637" i="4" s="1"/>
  <c r="AA637" i="4" s="1"/>
  <c r="Q637" i="4"/>
  <c r="X629" i="4"/>
  <c r="AC629" i="4" s="1"/>
  <c r="S620" i="4"/>
  <c r="Y620" i="4" s="1"/>
  <c r="Z620" i="4" s="1"/>
  <c r="AA620" i="4" s="1"/>
  <c r="X620" i="4"/>
  <c r="AC620" i="4" s="1"/>
  <c r="X594" i="4"/>
  <c r="AC594" i="4" s="1"/>
  <c r="Q594" i="4"/>
  <c r="Q541" i="4"/>
  <c r="S541" i="4"/>
  <c r="Y541" i="4" s="1"/>
  <c r="Z541" i="4" s="1"/>
  <c r="AA541" i="4" s="1"/>
  <c r="X534" i="4"/>
  <c r="AC534" i="4" s="1"/>
  <c r="Q534" i="4"/>
  <c r="S534" i="4"/>
  <c r="Y534" i="4" s="1"/>
  <c r="Z534" i="4" s="1"/>
  <c r="AA534" i="4" s="1"/>
  <c r="X530" i="4"/>
  <c r="AC530" i="4" s="1"/>
  <c r="Q530" i="4"/>
  <c r="S530" i="4"/>
  <c r="Y530" i="4" s="1"/>
  <c r="Z530" i="4" s="1"/>
  <c r="AA530" i="4" s="1"/>
  <c r="X498" i="4"/>
  <c r="AC498" i="4" s="1"/>
  <c r="Q498" i="4"/>
  <c r="S490" i="4"/>
  <c r="Y490" i="4" s="1"/>
  <c r="Z490" i="4" s="1"/>
  <c r="AA490" i="4" s="1"/>
  <c r="X505" i="4"/>
  <c r="AC505" i="4" s="1"/>
  <c r="Q431" i="4"/>
  <c r="Y421" i="4"/>
  <c r="Z421" i="4" s="1"/>
  <c r="AA421" i="4" s="1"/>
  <c r="Y372" i="4"/>
  <c r="Z372" i="4" s="1"/>
  <c r="AA372" i="4" s="1"/>
  <c r="Q372" i="4"/>
  <c r="X372" i="4"/>
  <c r="AC372" i="4" s="1"/>
  <c r="S372" i="4"/>
  <c r="Y717" i="4"/>
  <c r="Z717" i="4" s="1"/>
  <c r="AA717" i="4" s="1"/>
  <c r="Y535" i="4"/>
  <c r="Z535" i="4" s="1"/>
  <c r="AA535" i="4" s="1"/>
  <c r="Y473" i="4"/>
  <c r="Z473" i="4" s="1"/>
  <c r="AA473" i="4" s="1"/>
  <c r="Q313" i="4"/>
  <c r="X313" i="4"/>
  <c r="AC313" i="4" s="1"/>
  <c r="X286" i="4"/>
  <c r="AC286" i="4" s="1"/>
  <c r="Q286" i="4"/>
  <c r="Y458" i="4"/>
  <c r="Z458" i="4" s="1"/>
  <c r="AA458" i="4" s="1"/>
  <c r="X269" i="4"/>
  <c r="AC269" i="4" s="1"/>
  <c r="X244" i="4"/>
  <c r="AC244" i="4" s="1"/>
  <c r="X148" i="4"/>
  <c r="AC148" i="4" s="1"/>
  <c r="Q381" i="4"/>
  <c r="Y363" i="4"/>
  <c r="Z363" i="4" s="1"/>
  <c r="AA363" i="4" s="1"/>
  <c r="Y324" i="4"/>
  <c r="Z324" i="4" s="1"/>
  <c r="AA324" i="4" s="1"/>
  <c r="Q218" i="4"/>
  <c r="Y796" i="4"/>
  <c r="Z796" i="4" s="1"/>
  <c r="AA796" i="4" s="1"/>
  <c r="Y698" i="4"/>
  <c r="Z698" i="4" s="1"/>
  <c r="AA698" i="4" s="1"/>
  <c r="Y674" i="4"/>
  <c r="Z674" i="4" s="1"/>
  <c r="AA674" i="4" s="1"/>
  <c r="X454" i="4"/>
  <c r="AC454" i="4" s="1"/>
  <c r="Q374" i="4"/>
  <c r="S374" i="4"/>
  <c r="Y374" i="4" s="1"/>
  <c r="Z374" i="4" s="1"/>
  <c r="AA374" i="4" s="1"/>
  <c r="Y357" i="4"/>
  <c r="Z357" i="4" s="1"/>
  <c r="AA357" i="4" s="1"/>
  <c r="X300" i="4"/>
  <c r="AC300" i="4" s="1"/>
  <c r="Q293" i="4"/>
  <c r="X293" i="4"/>
  <c r="AC293" i="4" s="1"/>
  <c r="S293" i="4"/>
  <c r="Y293" i="4" s="1"/>
  <c r="Z293" i="4" s="1"/>
  <c r="AA293" i="4" s="1"/>
  <c r="X279" i="4"/>
  <c r="AC279" i="4" s="1"/>
  <c r="Q279" i="4"/>
  <c r="S279" i="4"/>
  <c r="Y279" i="4" s="1"/>
  <c r="Z279" i="4" s="1"/>
  <c r="AA279" i="4" s="1"/>
  <c r="X275" i="4"/>
  <c r="AC275" i="4" s="1"/>
  <c r="Q275" i="4"/>
  <c r="S275" i="4"/>
  <c r="Y275" i="4" s="1"/>
  <c r="Z275" i="4" s="1"/>
  <c r="AA275" i="4" s="1"/>
  <c r="Q164" i="4"/>
  <c r="Y164" i="4"/>
  <c r="AA164" i="4" s="1"/>
  <c r="S164" i="4"/>
  <c r="X164" i="4"/>
  <c r="AC164" i="4" s="1"/>
  <c r="Q159" i="4"/>
  <c r="S159" i="4"/>
  <c r="Y159" i="4" s="1"/>
  <c r="AA159" i="4" s="1"/>
  <c r="S154" i="4"/>
  <c r="Y154" i="4" s="1"/>
  <c r="AA154" i="4" s="1"/>
  <c r="X145" i="4"/>
  <c r="AC145" i="4" s="1"/>
  <c r="Q145" i="4"/>
  <c r="S145" i="4"/>
  <c r="Y145" i="4" s="1"/>
  <c r="AA145" i="4" s="1"/>
  <c r="X140" i="4"/>
  <c r="AC140" i="4" s="1"/>
  <c r="Q135" i="4"/>
  <c r="Y135" i="4"/>
  <c r="AA135" i="4" s="1"/>
  <c r="S135" i="4"/>
  <c r="X135" i="4"/>
  <c r="AC135" i="4" s="1"/>
  <c r="S119" i="4"/>
  <c r="Q119" i="4" s="1"/>
  <c r="X119" i="4"/>
  <c r="AC119" i="4" s="1"/>
  <c r="X109" i="4"/>
  <c r="AC109" i="4" s="1"/>
  <c r="Q109" i="4"/>
  <c r="S109" i="4"/>
  <c r="Y109" i="4" s="1"/>
  <c r="AA109" i="4" s="1"/>
  <c r="X89" i="4"/>
  <c r="AC89" i="4" s="1"/>
  <c r="Y89" i="4"/>
  <c r="AA89" i="4" s="1"/>
  <c r="S89" i="4"/>
  <c r="Q89" i="4" s="1"/>
  <c r="X246" i="4"/>
  <c r="AC246" i="4" s="1"/>
  <c r="Y343" i="4"/>
  <c r="Z343" i="4" s="1"/>
  <c r="AA343" i="4" s="1"/>
  <c r="X263" i="4"/>
  <c r="AC263" i="4" s="1"/>
  <c r="Q81" i="4"/>
  <c r="X282" i="4"/>
  <c r="AC282" i="4" s="1"/>
  <c r="Q185" i="4"/>
  <c r="Q80" i="4"/>
  <c r="X80" i="4"/>
  <c r="AC80" i="4" s="1"/>
  <c r="S80" i="4"/>
  <c r="Y80" i="4"/>
  <c r="AA80" i="4" s="1"/>
  <c r="X75" i="4"/>
  <c r="AC75" i="4" s="1"/>
  <c r="S75" i="4"/>
  <c r="Y75" i="4" s="1"/>
  <c r="AA75" i="4" s="1"/>
  <c r="Y27" i="4"/>
  <c r="AA27" i="4" s="1"/>
  <c r="Y21" i="4"/>
  <c r="AA21" i="4" s="1"/>
  <c r="Y236" i="4"/>
  <c r="Z236" i="4" s="1"/>
  <c r="AA236" i="4" s="1"/>
  <c r="Q301" i="4"/>
  <c r="Y244" i="4"/>
  <c r="Z244" i="4" s="1"/>
  <c r="AA244" i="4" s="1"/>
  <c r="Y63" i="4"/>
  <c r="AA63" i="4" s="1"/>
  <c r="AH157" i="9"/>
  <c r="B157" i="9" s="1"/>
  <c r="F157" i="9"/>
  <c r="I154" i="9"/>
  <c r="G154" i="9"/>
  <c r="AA156" i="9"/>
  <c r="C156" i="9" s="1"/>
  <c r="I155" i="9"/>
  <c r="G155" i="9"/>
  <c r="E105" i="9"/>
  <c r="E78" i="9"/>
  <c r="E17" i="9"/>
  <c r="E35" i="9"/>
  <c r="E7" i="9"/>
  <c r="W1698" i="4"/>
  <c r="V1698" i="4"/>
  <c r="S1698" i="4" s="1"/>
  <c r="X1698" i="4" s="1"/>
  <c r="W1773" i="4"/>
  <c r="V1773" i="4"/>
  <c r="S1773" i="4" s="1"/>
  <c r="W1761" i="4"/>
  <c r="V1761" i="4"/>
  <c r="S1761" i="4" s="1"/>
  <c r="W1749" i="4"/>
  <c r="V1749" i="4"/>
  <c r="S1749" i="4" s="1"/>
  <c r="W1737" i="4"/>
  <c r="V1737" i="4"/>
  <c r="S1737" i="4" s="1"/>
  <c r="W1725" i="4"/>
  <c r="V1725" i="4"/>
  <c r="S1725" i="4" s="1"/>
  <c r="W1713" i="4"/>
  <c r="V1713" i="4"/>
  <c r="S1713" i="4" s="1"/>
  <c r="W1702" i="4"/>
  <c r="V1702" i="4"/>
  <c r="S1702" i="4" s="1"/>
  <c r="P1696" i="4"/>
  <c r="U1620" i="4"/>
  <c r="P1620" i="4"/>
  <c r="U1584" i="4"/>
  <c r="P1584" i="4"/>
  <c r="U1560" i="4"/>
  <c r="P1560" i="4"/>
  <c r="U1627" i="4"/>
  <c r="P1627" i="4"/>
  <c r="U1598" i="4"/>
  <c r="P1598" i="4"/>
  <c r="U1664" i="4"/>
  <c r="P1664" i="4"/>
  <c r="U1660" i="4"/>
  <c r="P1660" i="4"/>
  <c r="U1656" i="4"/>
  <c r="P1656" i="4"/>
  <c r="U1652" i="4"/>
  <c r="P1652" i="4"/>
  <c r="U1648" i="4"/>
  <c r="P1648" i="4"/>
  <c r="U1644" i="4"/>
  <c r="P1644" i="4"/>
  <c r="U1640" i="4"/>
  <c r="P1640" i="4"/>
  <c r="U1636" i="4"/>
  <c r="P1636" i="4"/>
  <c r="U1632" i="4"/>
  <c r="P1632" i="4"/>
  <c r="W1605" i="4"/>
  <c r="V1605" i="4"/>
  <c r="S1605" i="4" s="1"/>
  <c r="X1605" i="4" s="1"/>
  <c r="T1555" i="4"/>
  <c r="P1555" i="4"/>
  <c r="W1670" i="4"/>
  <c r="V1670" i="4"/>
  <c r="S1670" i="4" s="1"/>
  <c r="V1621" i="4"/>
  <c r="S1621" i="4" s="1"/>
  <c r="W1621" i="4"/>
  <c r="P1582" i="4"/>
  <c r="U1582" i="4"/>
  <c r="P1570" i="4"/>
  <c r="U1570" i="4"/>
  <c r="P1558" i="4"/>
  <c r="U1558" i="4"/>
  <c r="W1599" i="4"/>
  <c r="V1599" i="4"/>
  <c r="S1599" i="4" s="1"/>
  <c r="X1599" i="4" s="1"/>
  <c r="AC1599" i="4" s="1"/>
  <c r="W1539" i="4"/>
  <c r="V1539" i="4"/>
  <c r="S1539" i="4" s="1"/>
  <c r="P1575" i="4"/>
  <c r="U1575" i="4"/>
  <c r="X1577" i="4"/>
  <c r="AC1577" i="4" s="1"/>
  <c r="U1534" i="4"/>
  <c r="P1534" i="4"/>
  <c r="U1562" i="4"/>
  <c r="P1562" i="4"/>
  <c r="U1530" i="4"/>
  <c r="P1530" i="4"/>
  <c r="T1501" i="4"/>
  <c r="P1501" i="4"/>
  <c r="T1477" i="4"/>
  <c r="P1477" i="4"/>
  <c r="T1453" i="4"/>
  <c r="P1453" i="4"/>
  <c r="T1429" i="4"/>
  <c r="P1429" i="4"/>
  <c r="Y1486" i="4"/>
  <c r="AA1486" i="4" s="1"/>
  <c r="AC1486" i="4"/>
  <c r="P1437" i="4"/>
  <c r="Y1498" i="4"/>
  <c r="AA1498" i="4" s="1"/>
  <c r="AC1498" i="4"/>
  <c r="P1449" i="4"/>
  <c r="AC1283" i="4"/>
  <c r="Y1283" i="4"/>
  <c r="AA1283" i="4" s="1"/>
  <c r="AC1227" i="4"/>
  <c r="Y1227" i="4"/>
  <c r="AA1227" i="4" s="1"/>
  <c r="AC1190" i="4"/>
  <c r="Y1190" i="4"/>
  <c r="AA1190" i="4" s="1"/>
  <c r="AC1011" i="4"/>
  <c r="Y1011" i="4"/>
  <c r="W1433" i="4"/>
  <c r="V1433" i="4"/>
  <c r="S1433" i="4" s="1"/>
  <c r="X1433" i="4" s="1"/>
  <c r="AC1433" i="4" s="1"/>
  <c r="P1445" i="4"/>
  <c r="W1419" i="4"/>
  <c r="V1419" i="4"/>
  <c r="S1419" i="4" s="1"/>
  <c r="AC1313" i="4"/>
  <c r="Y1313" i="4"/>
  <c r="AA1313" i="4" s="1"/>
  <c r="P1485" i="4"/>
  <c r="W1434" i="4"/>
  <c r="V1434" i="4"/>
  <c r="S1434" i="4" s="1"/>
  <c r="X1434" i="4" s="1"/>
  <c r="Y1394" i="4"/>
  <c r="AA1394" i="4" s="1"/>
  <c r="AC1350" i="4"/>
  <c r="Y1350" i="4"/>
  <c r="AA1350" i="4" s="1"/>
  <c r="Y1474" i="4"/>
  <c r="AA1474" i="4" s="1"/>
  <c r="AC1474" i="4"/>
  <c r="P1425" i="4"/>
  <c r="AC1151" i="4"/>
  <c r="Y1151" i="4"/>
  <c r="AA1150" i="4" s="1"/>
  <c r="AA1083" i="4"/>
  <c r="Y1056" i="4"/>
  <c r="AC1020" i="4"/>
  <c r="Y1020" i="4"/>
  <c r="AA1020" i="4" s="1"/>
  <c r="AC1251" i="4"/>
  <c r="Y1251" i="4"/>
  <c r="AA1251" i="4" s="1"/>
  <c r="AC1073" i="4"/>
  <c r="Y1073" i="4"/>
  <c r="AA1073" i="4" s="1"/>
  <c r="Y1014" i="4"/>
  <c r="AA1014" i="4" s="1"/>
  <c r="X998" i="4"/>
  <c r="S998" i="4"/>
  <c r="Y984" i="4"/>
  <c r="S964" i="4"/>
  <c r="X964" i="4"/>
  <c r="AC942" i="4"/>
  <c r="Y942" i="4"/>
  <c r="AA941" i="4" s="1"/>
  <c r="AC910" i="4"/>
  <c r="Y910" i="4"/>
  <c r="AA910" i="4" s="1"/>
  <c r="AC1262" i="4"/>
  <c r="Y1262" i="4"/>
  <c r="AA1262" i="4" s="1"/>
  <c r="Y1086" i="4"/>
  <c r="AC1035" i="4"/>
  <c r="Y1035" i="4"/>
  <c r="AC1246" i="4"/>
  <c r="Y1246" i="4"/>
  <c r="AA1246" i="4" s="1"/>
  <c r="Y1057" i="4"/>
  <c r="Y960" i="4"/>
  <c r="AA960" i="4" s="1"/>
  <c r="AC960" i="4"/>
  <c r="AC923" i="4"/>
  <c r="Y923" i="4"/>
  <c r="AA923" i="4" s="1"/>
  <c r="AC1296" i="4"/>
  <c r="Y1296" i="4"/>
  <c r="AA1296" i="4" s="1"/>
  <c r="AC1274" i="4"/>
  <c r="Y1274" i="4"/>
  <c r="AA1274" i="4" s="1"/>
  <c r="AA1133" i="4"/>
  <c r="Y1116" i="4"/>
  <c r="Y990" i="4"/>
  <c r="AC968" i="4"/>
  <c r="Y968" i="4"/>
  <c r="X932" i="4"/>
  <c r="S932" i="4"/>
  <c r="S831" i="4"/>
  <c r="Y831" i="4" s="1"/>
  <c r="Z831" i="4" s="1"/>
  <c r="AA831" i="4" s="1"/>
  <c r="X789" i="4"/>
  <c r="AC789" i="4" s="1"/>
  <c r="Q789" i="4"/>
  <c r="S789" i="4"/>
  <c r="Y789" i="4" s="1"/>
  <c r="Z789" i="4" s="1"/>
  <c r="AA789" i="4" s="1"/>
  <c r="S767" i="4"/>
  <c r="Y767" i="4" s="1"/>
  <c r="Z767" i="4" s="1"/>
  <c r="AA767" i="4" s="1"/>
  <c r="X742" i="4"/>
  <c r="AC742" i="4" s="1"/>
  <c r="Q742" i="4"/>
  <c r="Y742" i="4"/>
  <c r="Z742" i="4" s="1"/>
  <c r="AA742" i="4" s="1"/>
  <c r="S742" i="4"/>
  <c r="Y1218" i="4"/>
  <c r="AA1218" i="4" s="1"/>
  <c r="AC1218" i="4"/>
  <c r="AC1121" i="4"/>
  <c r="Y1121" i="4"/>
  <c r="AA1121" i="4" s="1"/>
  <c r="AC1083" i="4"/>
  <c r="Y1083" i="4"/>
  <c r="AC1055" i="4"/>
  <c r="Y1055" i="4"/>
  <c r="S982" i="4"/>
  <c r="X982" i="4" s="1"/>
  <c r="AC963" i="4"/>
  <c r="Y963" i="4"/>
  <c r="S782" i="4"/>
  <c r="X782" i="4" s="1"/>
  <c r="AC782" i="4" s="1"/>
  <c r="Y782" i="4"/>
  <c r="Z782" i="4" s="1"/>
  <c r="AA782" i="4" s="1"/>
  <c r="S757" i="4"/>
  <c r="Y757" i="4" s="1"/>
  <c r="Z757" i="4" s="1"/>
  <c r="AA757" i="4" s="1"/>
  <c r="X757" i="4"/>
  <c r="AC757" i="4" s="1"/>
  <c r="Q757" i="4"/>
  <c r="S730" i="4"/>
  <c r="Y730" i="4" s="1"/>
  <c r="Z730" i="4" s="1"/>
  <c r="AA730" i="4" s="1"/>
  <c r="S655" i="4"/>
  <c r="X655" i="4" s="1"/>
  <c r="AC655" i="4" s="1"/>
  <c r="Q655" i="4"/>
  <c r="X616" i="4"/>
  <c r="AC616" i="4" s="1"/>
  <c r="Q616" i="4"/>
  <c r="S616" i="4"/>
  <c r="Y616" i="4" s="1"/>
  <c r="Z616" i="4" s="1"/>
  <c r="AA616" i="4" s="1"/>
  <c r="AC917" i="4"/>
  <c r="Y917" i="4"/>
  <c r="AA916" i="4" s="1"/>
  <c r="AC839" i="4"/>
  <c r="Y839" i="4"/>
  <c r="S801" i="4"/>
  <c r="Y801" i="4" s="1"/>
  <c r="Z801" i="4" s="1"/>
  <c r="AA801" i="4" s="1"/>
  <c r="X801" i="4"/>
  <c r="AC801" i="4" s="1"/>
  <c r="Q801" i="4"/>
  <c r="Y795" i="4"/>
  <c r="Z795" i="4" s="1"/>
  <c r="AA795" i="4" s="1"/>
  <c r="S824" i="4"/>
  <c r="Y824" i="4" s="1"/>
  <c r="Z824" i="4" s="1"/>
  <c r="AA824" i="4" s="1"/>
  <c r="Q824" i="4"/>
  <c r="X824" i="4"/>
  <c r="AC824" i="4" s="1"/>
  <c r="S724" i="4"/>
  <c r="Y724" i="4" s="1"/>
  <c r="Z724" i="4" s="1"/>
  <c r="AA724" i="4" s="1"/>
  <c r="Y851" i="4"/>
  <c r="Y753" i="4"/>
  <c r="Z753" i="4" s="1"/>
  <c r="AA753" i="4" s="1"/>
  <c r="S753" i="4"/>
  <c r="Q753" i="4" s="1"/>
  <c r="X753" i="4"/>
  <c r="AC753" i="4" s="1"/>
  <c r="S603" i="4"/>
  <c r="Q603" i="4" s="1"/>
  <c r="X603" i="4"/>
  <c r="AC603" i="4" s="1"/>
  <c r="S592" i="4"/>
  <c r="Y592" i="4" s="1"/>
  <c r="Z592" i="4" s="1"/>
  <c r="AA592" i="4" s="1"/>
  <c r="Q592" i="4"/>
  <c r="S572" i="4"/>
  <c r="Y572" i="4" s="1"/>
  <c r="Z572" i="4" s="1"/>
  <c r="AA572" i="4" s="1"/>
  <c r="S510" i="4"/>
  <c r="Q510" i="4" s="1"/>
  <c r="X510" i="4"/>
  <c r="AC510" i="4" s="1"/>
  <c r="Y478" i="4"/>
  <c r="Z478" i="4" s="1"/>
  <c r="AA478" i="4" s="1"/>
  <c r="S478" i="4"/>
  <c r="X478" i="4" s="1"/>
  <c r="AC478" i="4" s="1"/>
  <c r="Q478" i="4"/>
  <c r="S469" i="4"/>
  <c r="Y469" i="4" s="1"/>
  <c r="Z469" i="4" s="1"/>
  <c r="AA469" i="4" s="1"/>
  <c r="S695" i="4"/>
  <c r="Y695" i="4" s="1"/>
  <c r="Z695" i="4" s="1"/>
  <c r="AA695" i="4" s="1"/>
  <c r="S615" i="4"/>
  <c r="Y615" i="4" s="1"/>
  <c r="Z615" i="4" s="1"/>
  <c r="AA615" i="4" s="1"/>
  <c r="Y558" i="4"/>
  <c r="Z558" i="4" s="1"/>
  <c r="AA558" i="4" s="1"/>
  <c r="Q558" i="4"/>
  <c r="Y445" i="4"/>
  <c r="Z445" i="4" s="1"/>
  <c r="AA445" i="4" s="1"/>
  <c r="Q445" i="4"/>
  <c r="Q432" i="4"/>
  <c r="Y432" i="4"/>
  <c r="Z432" i="4" s="1"/>
  <c r="AA432" i="4" s="1"/>
  <c r="Y901" i="4"/>
  <c r="AA901" i="4" s="1"/>
  <c r="Y872" i="4"/>
  <c r="AA872" i="4" s="1"/>
  <c r="AC857" i="4"/>
  <c r="Y857" i="4"/>
  <c r="AA857" i="4" s="1"/>
  <c r="Y787" i="4"/>
  <c r="Z787" i="4" s="1"/>
  <c r="AA787" i="4" s="1"/>
  <c r="S787" i="4"/>
  <c r="X787" i="4"/>
  <c r="AC787" i="4" s="1"/>
  <c r="Q787" i="4"/>
  <c r="S758" i="4"/>
  <c r="Y758" i="4" s="1"/>
  <c r="Z758" i="4" s="1"/>
  <c r="AA758" i="4" s="1"/>
  <c r="Y607" i="4"/>
  <c r="Z607" i="4" s="1"/>
  <c r="AA607" i="4" s="1"/>
  <c r="Q549" i="4"/>
  <c r="S549" i="4"/>
  <c r="Y549" i="4" s="1"/>
  <c r="Z549" i="4" s="1"/>
  <c r="AA549" i="4" s="1"/>
  <c r="X549" i="4"/>
  <c r="AC549" i="4" s="1"/>
  <c r="X533" i="4"/>
  <c r="AC533" i="4" s="1"/>
  <c r="Q533" i="4"/>
  <c r="X529" i="4"/>
  <c r="AC529" i="4" s="1"/>
  <c r="Q529" i="4"/>
  <c r="X523" i="4"/>
  <c r="AC523" i="4" s="1"/>
  <c r="Q523" i="4"/>
  <c r="S523" i="4"/>
  <c r="Y523" i="4" s="1"/>
  <c r="Z523" i="4" s="1"/>
  <c r="AA523" i="4" s="1"/>
  <c r="S519" i="4"/>
  <c r="Y519" i="4" s="1"/>
  <c r="Z519" i="4" s="1"/>
  <c r="AA519" i="4" s="1"/>
  <c r="X504" i="4"/>
  <c r="AC504" i="4" s="1"/>
  <c r="Q504" i="4"/>
  <c r="S504" i="4"/>
  <c r="Y504" i="4" s="1"/>
  <c r="Z504" i="4" s="1"/>
  <c r="AA504" i="4" s="1"/>
  <c r="X489" i="4"/>
  <c r="AC489" i="4" s="1"/>
  <c r="Q489" i="4"/>
  <c r="Q476" i="4"/>
  <c r="S476" i="4"/>
  <c r="Y476" i="4" s="1"/>
  <c r="Z476" i="4" s="1"/>
  <c r="AA476" i="4" s="1"/>
  <c r="X476" i="4"/>
  <c r="AC476" i="4" s="1"/>
  <c r="S472" i="4"/>
  <c r="Y472" i="4" s="1"/>
  <c r="Z472" i="4" s="1"/>
  <c r="AA472" i="4" s="1"/>
  <c r="Y291" i="4"/>
  <c r="Z291" i="4" s="1"/>
  <c r="AA291" i="4" s="1"/>
  <c r="Q291" i="4"/>
  <c r="X291" i="4"/>
  <c r="AC291" i="4" s="1"/>
  <c r="S291" i="4"/>
  <c r="X706" i="4"/>
  <c r="AC706" i="4" s="1"/>
  <c r="Y401" i="4"/>
  <c r="Z401" i="4" s="1"/>
  <c r="AA401" i="4" s="1"/>
  <c r="Y520" i="4"/>
  <c r="Z520" i="4" s="1"/>
  <c r="AA520" i="4" s="1"/>
  <c r="S395" i="4"/>
  <c r="Q395" i="4" s="1"/>
  <c r="X110" i="4"/>
  <c r="AC110" i="4" s="1"/>
  <c r="Y732" i="4"/>
  <c r="Z732" i="4" s="1"/>
  <c r="AA732" i="4" s="1"/>
  <c r="Y316" i="4"/>
  <c r="Z316" i="4" s="1"/>
  <c r="AA316" i="4" s="1"/>
  <c r="Q271" i="4"/>
  <c r="X230" i="4"/>
  <c r="AC230" i="4" s="1"/>
  <c r="Y140" i="4"/>
  <c r="AA140" i="4" s="1"/>
  <c r="S453" i="4"/>
  <c r="Q453" i="4" s="1"/>
  <c r="X453" i="4"/>
  <c r="AC453" i="4" s="1"/>
  <c r="S403" i="4"/>
  <c r="Q403" i="4" s="1"/>
  <c r="Y403" i="4"/>
  <c r="Z403" i="4" s="1"/>
  <c r="AA403" i="4" s="1"/>
  <c r="Q380" i="4"/>
  <c r="Q345" i="4"/>
  <c r="S311" i="4"/>
  <c r="Q311" i="4" s="1"/>
  <c r="X311" i="4"/>
  <c r="AC311" i="4" s="1"/>
  <c r="X306" i="4"/>
  <c r="AC306" i="4" s="1"/>
  <c r="Q306" i="4"/>
  <c r="X278" i="4"/>
  <c r="AC278" i="4" s="1"/>
  <c r="Q278" i="4"/>
  <c r="X274" i="4"/>
  <c r="AC274" i="4" s="1"/>
  <c r="Q274" i="4"/>
  <c r="X270" i="4"/>
  <c r="AC270" i="4" s="1"/>
  <c r="S270" i="4"/>
  <c r="Q270" i="4" s="1"/>
  <c r="Q230" i="4"/>
  <c r="S215" i="4"/>
  <c r="X215" i="4" s="1"/>
  <c r="AC215" i="4" s="1"/>
  <c r="Q378" i="4"/>
  <c r="Y60" i="4"/>
  <c r="AA60" i="4" s="1"/>
  <c r="Y232" i="4"/>
  <c r="Z232" i="4" s="1"/>
  <c r="AA232" i="4" s="1"/>
  <c r="Y200" i="4"/>
  <c r="AA200" i="4" s="1"/>
  <c r="Q87" i="4"/>
  <c r="S87" i="4"/>
  <c r="X87" i="4" s="1"/>
  <c r="AC87" i="4" s="1"/>
  <c r="Y47" i="4"/>
  <c r="AA47" i="4" s="1"/>
  <c r="M1015" i="2"/>
  <c r="M1018" i="2" s="1"/>
  <c r="B989" i="2"/>
  <c r="D998" i="2" s="1"/>
  <c r="Y269" i="4"/>
  <c r="Z269" i="4" s="1"/>
  <c r="AA269" i="4" s="1"/>
  <c r="S98" i="4"/>
  <c r="Y98" i="4" s="1"/>
  <c r="AA98" i="4" s="1"/>
  <c r="X227" i="4"/>
  <c r="AC227" i="4" s="1"/>
  <c r="Y146" i="4"/>
  <c r="AA146" i="4" s="1"/>
  <c r="Y209" i="4"/>
  <c r="AA209" i="4" s="1"/>
  <c r="S54" i="4"/>
  <c r="Q54" i="4" s="1"/>
  <c r="S46" i="4"/>
  <c r="Y46" i="4" s="1"/>
  <c r="AA46" i="4" s="1"/>
  <c r="Q46" i="4"/>
  <c r="AE155" i="9"/>
  <c r="A155" i="9" s="1"/>
  <c r="AB155" i="9"/>
  <c r="D155" i="9" s="1"/>
  <c r="AA155" i="9"/>
  <c r="C155" i="9" s="1"/>
  <c r="A1793" i="4" a="1"/>
  <c r="A1793" i="4" s="1"/>
  <c r="A1792" i="4" a="1"/>
  <c r="A1792" i="4" s="1"/>
  <c r="V1543" i="4" l="1"/>
  <c r="S1543" i="4" s="1"/>
  <c r="W1543" i="4"/>
  <c r="X1549" i="4"/>
  <c r="X1569" i="4"/>
  <c r="W1580" i="4"/>
  <c r="V1580" i="4"/>
  <c r="S1580" i="4" s="1"/>
  <c r="V1589" i="4"/>
  <c r="S1589" i="4" s="1"/>
  <c r="W1589" i="4"/>
  <c r="Y1599" i="4"/>
  <c r="AA1599" i="4" s="1"/>
  <c r="W1601" i="4"/>
  <c r="V1601" i="4"/>
  <c r="S1601" i="4" s="1"/>
  <c r="X1601" i="4" s="1"/>
  <c r="W1604" i="4"/>
  <c r="V1604" i="4"/>
  <c r="S1604" i="4" s="1"/>
  <c r="X1604" i="4" s="1"/>
  <c r="W1616" i="4"/>
  <c r="V1616" i="4"/>
  <c r="S1616" i="4" s="1"/>
  <c r="X1616" i="4" s="1"/>
  <c r="W1667" i="4"/>
  <c r="V1667" i="4"/>
  <c r="S1667" i="4" s="1"/>
  <c r="X1667" i="4" s="1"/>
  <c r="W1669" i="4"/>
  <c r="V1669" i="4"/>
  <c r="S1669" i="4" s="1"/>
  <c r="X1669" i="4" s="1"/>
  <c r="W1672" i="4"/>
  <c r="V1672" i="4"/>
  <c r="S1672" i="4" s="1"/>
  <c r="W1673" i="4"/>
  <c r="V1673" i="4"/>
  <c r="S1673" i="4" s="1"/>
  <c r="X1673" i="4" s="1"/>
  <c r="X1676" i="4"/>
  <c r="W1677" i="4"/>
  <c r="V1677" i="4"/>
  <c r="S1677" i="4" s="1"/>
  <c r="X1677" i="4" s="1"/>
  <c r="V1679" i="4"/>
  <c r="S1679" i="4" s="1"/>
  <c r="W1679" i="4"/>
  <c r="V1682" i="4"/>
  <c r="S1682" i="4" s="1"/>
  <c r="W1682" i="4"/>
  <c r="Y1687" i="4"/>
  <c r="AA1687" i="4" s="1"/>
  <c r="W1690" i="4"/>
  <c r="V1690" i="4"/>
  <c r="S1690" i="4" s="1"/>
  <c r="X1703" i="4"/>
  <c r="X1713" i="4"/>
  <c r="X1727" i="4"/>
  <c r="X1739" i="4"/>
  <c r="X1749" i="4"/>
  <c r="Y1749" i="4" s="1"/>
  <c r="AA1749" i="4" s="1"/>
  <c r="X1757" i="4"/>
  <c r="Y1757" i="4" s="1"/>
  <c r="AA1757" i="4" s="1"/>
  <c r="X1763" i="4"/>
  <c r="D162" i="9"/>
  <c r="C162" i="9"/>
  <c r="F377" i="7"/>
  <c r="B162" i="9"/>
  <c r="E158" i="9"/>
  <c r="S226" i="5"/>
  <c r="U226" i="5"/>
  <c r="V226" i="5" s="1"/>
  <c r="Y982" i="4"/>
  <c r="AA978" i="4" s="1"/>
  <c r="AC982" i="4"/>
  <c r="K75" i="8"/>
  <c r="J75" i="8"/>
  <c r="L75" i="8" s="1"/>
  <c r="AC936" i="4"/>
  <c r="Y936" i="4"/>
  <c r="AA936" i="4" s="1"/>
  <c r="J79" i="8"/>
  <c r="L79" i="8" s="1"/>
  <c r="K79" i="8"/>
  <c r="AC989" i="4"/>
  <c r="Y989" i="4"/>
  <c r="AA988" i="4" s="1"/>
  <c r="U235" i="5"/>
  <c r="V235" i="5" s="1"/>
  <c r="S235" i="5"/>
  <c r="AC935" i="4"/>
  <c r="Y935" i="4"/>
  <c r="AA933" i="4" s="1"/>
  <c r="Y987" i="4"/>
  <c r="AC987" i="4"/>
  <c r="S245" i="5"/>
  <c r="U245" i="5"/>
  <c r="V245" i="5" s="1"/>
  <c r="AC962" i="4"/>
  <c r="Y962" i="4"/>
  <c r="AA962" i="4" s="1"/>
  <c r="U234" i="5"/>
  <c r="V234" i="5" s="1"/>
  <c r="S234" i="5"/>
  <c r="Y1003" i="4"/>
  <c r="AA1002" i="4" s="1"/>
  <c r="AC1003" i="4"/>
  <c r="U236" i="5"/>
  <c r="V236" i="5" s="1"/>
  <c r="S236" i="5"/>
  <c r="AC1005" i="4"/>
  <c r="Y1005" i="4"/>
  <c r="AA1005" i="4" s="1"/>
  <c r="AC969" i="4"/>
  <c r="Y969" i="4"/>
  <c r="D988" i="2"/>
  <c r="B999" i="2"/>
  <c r="E154" i="9"/>
  <c r="A162" i="9"/>
  <c r="AC1378" i="4"/>
  <c r="Y1378" i="4"/>
  <c r="AA1378" i="4" s="1"/>
  <c r="AC974" i="4"/>
  <c r="Y974" i="4"/>
  <c r="AC977" i="4"/>
  <c r="Y977" i="4"/>
  <c r="Q767" i="4"/>
  <c r="W1558" i="4"/>
  <c r="V1558" i="4"/>
  <c r="S1558" i="4" s="1"/>
  <c r="W1640" i="4"/>
  <c r="V1640" i="4"/>
  <c r="S1640" i="4" s="1"/>
  <c r="X1640" i="4" s="1"/>
  <c r="W1560" i="4"/>
  <c r="V1560" i="4"/>
  <c r="S1560" i="4" s="1"/>
  <c r="AC1749" i="4"/>
  <c r="Q154" i="4"/>
  <c r="Y574" i="4"/>
  <c r="Z574" i="4" s="1"/>
  <c r="AA574" i="4" s="1"/>
  <c r="AC1427" i="4"/>
  <c r="Y1427" i="4"/>
  <c r="AA1427" i="4" s="1"/>
  <c r="AC1499" i="4"/>
  <c r="Y1499" i="4"/>
  <c r="AA1499" i="4" s="1"/>
  <c r="W1444" i="4"/>
  <c r="V1444" i="4"/>
  <c r="S1444" i="4" s="1"/>
  <c r="X1444" i="4" s="1"/>
  <c r="W1564" i="4"/>
  <c r="V1564" i="4"/>
  <c r="S1564" i="4" s="1"/>
  <c r="X1564" i="4" s="1"/>
  <c r="AC1617" i="4"/>
  <c r="Y1617" i="4"/>
  <c r="AA1617" i="4" s="1"/>
  <c r="AC1685" i="4"/>
  <c r="Y1685" i="4"/>
  <c r="AA1685" i="4" s="1"/>
  <c r="W1714" i="4"/>
  <c r="V1714" i="4"/>
  <c r="S1714" i="4" s="1"/>
  <c r="W1738" i="4"/>
  <c r="V1738" i="4"/>
  <c r="S1738" i="4" s="1"/>
  <c r="W1750" i="4"/>
  <c r="V1750" i="4"/>
  <c r="S1750" i="4" s="1"/>
  <c r="W1774" i="4"/>
  <c r="V1774" i="4"/>
  <c r="S1774" i="4" s="1"/>
  <c r="X1774" i="4" s="1"/>
  <c r="K69" i="8"/>
  <c r="J69" i="8"/>
  <c r="L69" i="8" s="1"/>
  <c r="Q479" i="4"/>
  <c r="X1503" i="4"/>
  <c r="W1586" i="4"/>
  <c r="V1586" i="4"/>
  <c r="S1586" i="4" s="1"/>
  <c r="AC1705" i="4"/>
  <c r="Y1705" i="4"/>
  <c r="AA1705" i="4" s="1"/>
  <c r="W1693" i="4"/>
  <c r="V1693" i="4"/>
  <c r="S1693" i="4" s="1"/>
  <c r="W1469" i="4"/>
  <c r="V1469" i="4"/>
  <c r="S1469" i="4" s="1"/>
  <c r="X1469" i="4" s="1"/>
  <c r="Y1438" i="4"/>
  <c r="AA1438" i="4" s="1"/>
  <c r="AC1438" i="4"/>
  <c r="V1514" i="4"/>
  <c r="S1514" i="4" s="1"/>
  <c r="W1514" i="4"/>
  <c r="W1576" i="4"/>
  <c r="V1576" i="4"/>
  <c r="S1576" i="4" s="1"/>
  <c r="W1468" i="4"/>
  <c r="V1468" i="4"/>
  <c r="S1468" i="4" s="1"/>
  <c r="X1468" i="4" s="1"/>
  <c r="W1566" i="4"/>
  <c r="V1566" i="4"/>
  <c r="S1566" i="4" s="1"/>
  <c r="W1634" i="4"/>
  <c r="V1634" i="4"/>
  <c r="S1634" i="4" s="1"/>
  <c r="X1634" i="4" s="1"/>
  <c r="W1646" i="4"/>
  <c r="V1646" i="4"/>
  <c r="S1646" i="4" s="1"/>
  <c r="X1646" i="4" s="1"/>
  <c r="W1658" i="4"/>
  <c r="V1658" i="4"/>
  <c r="S1658" i="4" s="1"/>
  <c r="W1691" i="4"/>
  <c r="V1691" i="4"/>
  <c r="S1691" i="4" s="1"/>
  <c r="X1691" i="4" s="1"/>
  <c r="W1719" i="4"/>
  <c r="V1719" i="4"/>
  <c r="S1719" i="4" s="1"/>
  <c r="X1719" i="4" s="1"/>
  <c r="U224" i="5"/>
  <c r="V224" i="5" s="1"/>
  <c r="S224" i="5"/>
  <c r="AX20" i="8"/>
  <c r="S16" i="8"/>
  <c r="T16" i="8" s="1"/>
  <c r="T17" i="8" s="1"/>
  <c r="W1457" i="4"/>
  <c r="V1457" i="4"/>
  <c r="S1457" i="4" s="1"/>
  <c r="W1466" i="4"/>
  <c r="V1466" i="4"/>
  <c r="S1466" i="4" s="1"/>
  <c r="X1466" i="4" s="1"/>
  <c r="AC1581" i="4"/>
  <c r="Y1581" i="4"/>
  <c r="AA1581" i="4" s="1"/>
  <c r="W1596" i="4"/>
  <c r="V1596" i="4"/>
  <c r="S1596" i="4" s="1"/>
  <c r="AC1721" i="4"/>
  <c r="Y1721" i="4"/>
  <c r="AA1721" i="4" s="1"/>
  <c r="AC1757" i="4"/>
  <c r="P15" i="5"/>
  <c r="N15" i="5"/>
  <c r="I15" i="5" s="1"/>
  <c r="H15" i="5" s="1"/>
  <c r="O15" i="5"/>
  <c r="K15" i="5" s="1"/>
  <c r="S15" i="5" s="1"/>
  <c r="I110" i="5"/>
  <c r="H110" i="5" s="1"/>
  <c r="S240" i="5"/>
  <c r="U240" i="5"/>
  <c r="V240" i="5" s="1"/>
  <c r="E64" i="8"/>
  <c r="W1506" i="4"/>
  <c r="V1506" i="4"/>
  <c r="S1506" i="4" s="1"/>
  <c r="X1506" i="4" s="1"/>
  <c r="W1424" i="4"/>
  <c r="V1424" i="4"/>
  <c r="S1424" i="4" s="1"/>
  <c r="X1424" i="4" s="1"/>
  <c r="W1460" i="4"/>
  <c r="V1460" i="4"/>
  <c r="S1460" i="4" s="1"/>
  <c r="X1460" i="4" s="1"/>
  <c r="W1496" i="4"/>
  <c r="V1496" i="4"/>
  <c r="S1496" i="4" s="1"/>
  <c r="X1496" i="4" s="1"/>
  <c r="AC1512" i="4"/>
  <c r="Y1512" i="4"/>
  <c r="AA1512" i="4" s="1"/>
  <c r="Y1507" i="4"/>
  <c r="AA1507" i="4" s="1"/>
  <c r="AC1676" i="4"/>
  <c r="Y1676" i="4"/>
  <c r="AA1676" i="4" s="1"/>
  <c r="AC1569" i="4"/>
  <c r="Y1569" i="4"/>
  <c r="AA1569" i="4" s="1"/>
  <c r="T1792" i="4"/>
  <c r="T1787" i="4"/>
  <c r="O249" i="5"/>
  <c r="N249" i="5"/>
  <c r="P249" i="5"/>
  <c r="I226" i="5"/>
  <c r="H226" i="5" s="1"/>
  <c r="AA1201" i="4"/>
  <c r="AA1188" i="4"/>
  <c r="Y311" i="4"/>
  <c r="Z311" i="4" s="1"/>
  <c r="AA311" i="4" s="1"/>
  <c r="AA1177" i="4"/>
  <c r="AA1196" i="4"/>
  <c r="AA1113" i="4"/>
  <c r="AA1050" i="4"/>
  <c r="AA1025" i="4"/>
  <c r="AA1093" i="4"/>
  <c r="A1785" i="4"/>
  <c r="J567" i="6" s="1"/>
  <c r="Y178" i="4"/>
  <c r="AA178" i="4" s="1"/>
  <c r="AA1034" i="4"/>
  <c r="AA965" i="4"/>
  <c r="AA1119" i="4"/>
  <c r="I54" i="5"/>
  <c r="H54" i="5" s="1"/>
  <c r="E155" i="9"/>
  <c r="Q695" i="4"/>
  <c r="Q831" i="4"/>
  <c r="W1437" i="4"/>
  <c r="V1437" i="4"/>
  <c r="S1437" i="4" s="1"/>
  <c r="X1437" i="4" s="1"/>
  <c r="AC1605" i="4"/>
  <c r="Y1605" i="4"/>
  <c r="AA1605" i="4" s="1"/>
  <c r="AC1713" i="4"/>
  <c r="Y1713" i="4"/>
  <c r="AA1713" i="4" s="1"/>
  <c r="W1454" i="4"/>
  <c r="V1454" i="4"/>
  <c r="S1454" i="4" s="1"/>
  <c r="X1454" i="4" s="1"/>
  <c r="W1502" i="4"/>
  <c r="V1502" i="4"/>
  <c r="S1502" i="4" s="1"/>
  <c r="X1502" i="4" s="1"/>
  <c r="AC1463" i="4"/>
  <c r="Y1463" i="4"/>
  <c r="AA1463" i="4" s="1"/>
  <c r="W1726" i="4"/>
  <c r="V1726" i="4"/>
  <c r="S1726" i="4" s="1"/>
  <c r="X1726" i="4" s="1"/>
  <c r="W1762" i="4"/>
  <c r="V1762" i="4"/>
  <c r="S1762" i="4" s="1"/>
  <c r="X1762" i="4" s="1"/>
  <c r="K77" i="8"/>
  <c r="J77" i="8"/>
  <c r="L77" i="8" s="1"/>
  <c r="Y226" i="4"/>
  <c r="AA226" i="4" s="1"/>
  <c r="X1431" i="4"/>
  <c r="W1464" i="4"/>
  <c r="V1464" i="4"/>
  <c r="S1464" i="4" s="1"/>
  <c r="X1464" i="4" s="1"/>
  <c r="W1551" i="4"/>
  <c r="V1551" i="4"/>
  <c r="S1551" i="4" s="1"/>
  <c r="X1551" i="4" s="1"/>
  <c r="AC1741" i="4"/>
  <c r="Y1741" i="4"/>
  <c r="AA1741" i="4" s="1"/>
  <c r="O47" i="5"/>
  <c r="N47" i="5"/>
  <c r="I47" i="5" s="1"/>
  <c r="H47" i="5" s="1"/>
  <c r="P47" i="5"/>
  <c r="AX48" i="8"/>
  <c r="S44" i="8"/>
  <c r="T44" i="8" s="1"/>
  <c r="T45" i="8" s="1"/>
  <c r="X46" i="4"/>
  <c r="AC46" i="4" s="1"/>
  <c r="X54" i="4"/>
  <c r="AC54" i="4" s="1"/>
  <c r="Q98" i="4"/>
  <c r="Q215" i="4"/>
  <c r="X403" i="4"/>
  <c r="AC403" i="4" s="1"/>
  <c r="X395" i="4"/>
  <c r="AC395" i="4" s="1"/>
  <c r="Q472" i="4"/>
  <c r="X519" i="4"/>
  <c r="AC519" i="4" s="1"/>
  <c r="Q758" i="4"/>
  <c r="Q615" i="4"/>
  <c r="X695" i="4"/>
  <c r="AC695" i="4" s="1"/>
  <c r="Y510" i="4"/>
  <c r="Z510" i="4" s="1"/>
  <c r="AA510" i="4" s="1"/>
  <c r="X592" i="4"/>
  <c r="AC592" i="4" s="1"/>
  <c r="Y603" i="4"/>
  <c r="Z603" i="4" s="1"/>
  <c r="AA603" i="4" s="1"/>
  <c r="Q724" i="4"/>
  <c r="Q730" i="4"/>
  <c r="X767" i="4"/>
  <c r="AC767" i="4" s="1"/>
  <c r="X831" i="4"/>
  <c r="AC831" i="4" s="1"/>
  <c r="W1477" i="4"/>
  <c r="V1477" i="4"/>
  <c r="S1477" i="4" s="1"/>
  <c r="X1477" i="4" s="1"/>
  <c r="W1562" i="4"/>
  <c r="V1562" i="4"/>
  <c r="S1562" i="4" s="1"/>
  <c r="X1562" i="4" s="1"/>
  <c r="X1539" i="4"/>
  <c r="X1621" i="4"/>
  <c r="Y119" i="4"/>
  <c r="AA119" i="4" s="1"/>
  <c r="X154" i="4"/>
  <c r="AC154" i="4" s="1"/>
  <c r="X541" i="4"/>
  <c r="AC541" i="4" s="1"/>
  <c r="Q620" i="4"/>
  <c r="X662" i="4"/>
  <c r="AC662" i="4" s="1"/>
  <c r="X651" i="4"/>
  <c r="AC651" i="4" s="1"/>
  <c r="Q766" i="4"/>
  <c r="Q471" i="4"/>
  <c r="X763" i="4"/>
  <c r="AC763" i="4" s="1"/>
  <c r="AA837" i="4"/>
  <c r="Q811" i="4"/>
  <c r="W1494" i="4"/>
  <c r="V1494" i="4"/>
  <c r="S1494" i="4" s="1"/>
  <c r="X1494" i="4" s="1"/>
  <c r="Y1426" i="4"/>
  <c r="AA1426" i="4" s="1"/>
  <c r="AC1426" i="4"/>
  <c r="W1550" i="4"/>
  <c r="V1550" i="4"/>
  <c r="S1550" i="4" s="1"/>
  <c r="W1583" i="4"/>
  <c r="V1583" i="4"/>
  <c r="S1583" i="4" s="1"/>
  <c r="X1583" i="4" s="1"/>
  <c r="X1715" i="4"/>
  <c r="X1751" i="4"/>
  <c r="I64" i="5"/>
  <c r="H64" i="5" s="1"/>
  <c r="E65" i="8"/>
  <c r="Q40" i="4"/>
  <c r="Y126" i="4"/>
  <c r="AA126" i="4" s="1"/>
  <c r="AC1782" i="4" s="1"/>
  <c r="Q178" i="4"/>
  <c r="Q226" i="4"/>
  <c r="X289" i="4"/>
  <c r="AC289" i="4" s="1"/>
  <c r="X816" i="4"/>
  <c r="AC816" i="4" s="1"/>
  <c r="X1422" i="4"/>
  <c r="X1587" i="4"/>
  <c r="W1590" i="4"/>
  <c r="V1590" i="4"/>
  <c r="S1590" i="4" s="1"/>
  <c r="X1590" i="4" s="1"/>
  <c r="Y1565" i="4"/>
  <c r="AA1565" i="4" s="1"/>
  <c r="W1637" i="4"/>
  <c r="V1637" i="4"/>
  <c r="S1637" i="4" s="1"/>
  <c r="W1649" i="4"/>
  <c r="V1649" i="4"/>
  <c r="S1649" i="4" s="1"/>
  <c r="W1661" i="4"/>
  <c r="V1661" i="4"/>
  <c r="S1661" i="4" s="1"/>
  <c r="I42" i="5"/>
  <c r="H42" i="5" s="1"/>
  <c r="O247" i="5"/>
  <c r="N247" i="5"/>
  <c r="K247" i="5" s="1"/>
  <c r="R247" i="5" s="1"/>
  <c r="P247" i="5"/>
  <c r="S242" i="5"/>
  <c r="U242" i="5"/>
  <c r="Q213" i="4"/>
  <c r="Q245" i="4"/>
  <c r="Q521" i="4"/>
  <c r="X544" i="4"/>
  <c r="AC544" i="4" s="1"/>
  <c r="Q809" i="4"/>
  <c r="Q750" i="4"/>
  <c r="W1441" i="4"/>
  <c r="V1441" i="4"/>
  <c r="S1441" i="4" s="1"/>
  <c r="X1441" i="4" s="1"/>
  <c r="X1527" i="4"/>
  <c r="X1531" i="4"/>
  <c r="W1600" i="4"/>
  <c r="V1600" i="4"/>
  <c r="S1600" i="4" s="1"/>
  <c r="V1561" i="4"/>
  <c r="S1561" i="4" s="1"/>
  <c r="W1561" i="4"/>
  <c r="W1618" i="4"/>
  <c r="V1618" i="4"/>
  <c r="S1618" i="4" s="1"/>
  <c r="X1618" i="4" s="1"/>
  <c r="W1591" i="4"/>
  <c r="V1591" i="4"/>
  <c r="S1591" i="4" s="1"/>
  <c r="X1591" i="4" s="1"/>
  <c r="W1572" i="4"/>
  <c r="V1572" i="4"/>
  <c r="S1572" i="4" s="1"/>
  <c r="X1692" i="4"/>
  <c r="W1731" i="4"/>
  <c r="V1731" i="4"/>
  <c r="S1731" i="4" s="1"/>
  <c r="V1694" i="4"/>
  <c r="S1694" i="4" s="1"/>
  <c r="W1694" i="4"/>
  <c r="I109" i="5"/>
  <c r="H109" i="5" s="1"/>
  <c r="I46" i="5"/>
  <c r="H46" i="5" s="1"/>
  <c r="E67" i="8"/>
  <c r="X142" i="4"/>
  <c r="AC142" i="4" s="1"/>
  <c r="Q161" i="4"/>
  <c r="Q240" i="4"/>
  <c r="Y267" i="4"/>
  <c r="Z267" i="4" s="1"/>
  <c r="AA267" i="4" s="1"/>
  <c r="Q281" i="4"/>
  <c r="Q467" i="4"/>
  <c r="X688" i="4"/>
  <c r="AC688" i="4" s="1"/>
  <c r="X577" i="4"/>
  <c r="AC577" i="4" s="1"/>
  <c r="Q749" i="4"/>
  <c r="Q813" i="4"/>
  <c r="X1417" i="4"/>
  <c r="V1522" i="4"/>
  <c r="S1522" i="4" s="1"/>
  <c r="W1522" i="4"/>
  <c r="V1597" i="4"/>
  <c r="S1597" i="4" s="1"/>
  <c r="W1597" i="4"/>
  <c r="W1630" i="4"/>
  <c r="V1630" i="4"/>
  <c r="S1630" i="4" s="1"/>
  <c r="X1630" i="4" s="1"/>
  <c r="W1708" i="4"/>
  <c r="V1708" i="4"/>
  <c r="S1708" i="4" s="1"/>
  <c r="X1708" i="4" s="1"/>
  <c r="W1720" i="4"/>
  <c r="V1720" i="4"/>
  <c r="S1720" i="4" s="1"/>
  <c r="W1732" i="4"/>
  <c r="V1732" i="4"/>
  <c r="S1732" i="4" s="1"/>
  <c r="X1732" i="4" s="1"/>
  <c r="W1744" i="4"/>
  <c r="V1744" i="4"/>
  <c r="S1744" i="4" s="1"/>
  <c r="X1744" i="4" s="1"/>
  <c r="W1756" i="4"/>
  <c r="V1756" i="4"/>
  <c r="S1756" i="4" s="1"/>
  <c r="W1768" i="4"/>
  <c r="V1768" i="4"/>
  <c r="S1768" i="4" s="1"/>
  <c r="X1768" i="4" s="1"/>
  <c r="W1695" i="4"/>
  <c r="V1695" i="4"/>
  <c r="S1695" i="4" s="1"/>
  <c r="X1695" i="4" s="1"/>
  <c r="I3" i="5"/>
  <c r="H3" i="5" s="1"/>
  <c r="I26" i="5"/>
  <c r="H26" i="5" s="1"/>
  <c r="I83" i="5"/>
  <c r="H83" i="5" s="1"/>
  <c r="I132" i="5"/>
  <c r="H132" i="5" s="1"/>
  <c r="S165" i="5"/>
  <c r="U165" i="5"/>
  <c r="V165" i="5" s="1"/>
  <c r="S21" i="5"/>
  <c r="U76" i="5"/>
  <c r="V76" i="5" s="1"/>
  <c r="W150" i="5" s="1"/>
  <c r="V150" i="5" s="1"/>
  <c r="S238" i="5"/>
  <c r="U238" i="5"/>
  <c r="V238" i="5" s="1"/>
  <c r="Y171" i="4"/>
  <c r="AA171" i="4" s="1"/>
  <c r="X190" i="4"/>
  <c r="AC190" i="4" s="1"/>
  <c r="Q219" i="4"/>
  <c r="X400" i="4"/>
  <c r="AC400" i="4" s="1"/>
  <c r="Q540" i="4"/>
  <c r="Q601" i="4"/>
  <c r="X823" i="4"/>
  <c r="AC823" i="4" s="1"/>
  <c r="X751" i="4"/>
  <c r="AC751" i="4" s="1"/>
  <c r="W1446" i="4"/>
  <c r="V1446" i="4"/>
  <c r="S1446" i="4" s="1"/>
  <c r="X1446" i="4" s="1"/>
  <c r="W1428" i="4"/>
  <c r="V1428" i="4"/>
  <c r="S1428" i="4" s="1"/>
  <c r="X1428" i="4" s="1"/>
  <c r="X1467" i="4"/>
  <c r="W1500" i="4"/>
  <c r="V1500" i="4"/>
  <c r="S1500" i="4" s="1"/>
  <c r="X1500" i="4" s="1"/>
  <c r="V1524" i="4"/>
  <c r="S1524" i="4" s="1"/>
  <c r="X1524" i="4" s="1"/>
  <c r="W1524" i="4"/>
  <c r="Y1516" i="4"/>
  <c r="Z1516" i="4" s="1"/>
  <c r="V1538" i="4"/>
  <c r="S1538" i="4" s="1"/>
  <c r="W1538" i="4"/>
  <c r="W1623" i="4"/>
  <c r="V1623" i="4"/>
  <c r="S1623" i="4" s="1"/>
  <c r="Y1577" i="4"/>
  <c r="AA1577" i="4" s="1"/>
  <c r="W1639" i="4"/>
  <c r="V1639" i="4"/>
  <c r="S1639" i="4" s="1"/>
  <c r="W1651" i="4"/>
  <c r="V1651" i="4"/>
  <c r="S1651" i="4" s="1"/>
  <c r="X1651" i="4" s="1"/>
  <c r="W1663" i="4"/>
  <c r="V1663" i="4"/>
  <c r="S1663" i="4" s="1"/>
  <c r="X1723" i="4"/>
  <c r="X1759" i="4"/>
  <c r="I32" i="5"/>
  <c r="H32" i="5" s="1"/>
  <c r="G233" i="5"/>
  <c r="J233" i="5" s="1"/>
  <c r="I167" i="5"/>
  <c r="H167" i="5" s="1"/>
  <c r="BG48" i="8"/>
  <c r="AN44" i="8"/>
  <c r="AO44" i="8" s="1"/>
  <c r="AO45" i="8" s="1"/>
  <c r="I24" i="5"/>
  <c r="H24" i="5" s="1"/>
  <c r="I127" i="5"/>
  <c r="H127" i="5" s="1"/>
  <c r="I112" i="5"/>
  <c r="H112" i="5" s="1"/>
  <c r="I205" i="5"/>
  <c r="H205" i="5" s="1"/>
  <c r="I183" i="5"/>
  <c r="H183" i="5" s="1"/>
  <c r="I156" i="5"/>
  <c r="H156" i="5" s="1"/>
  <c r="I235" i="5"/>
  <c r="H235" i="5" s="1"/>
  <c r="AA1086" i="4"/>
  <c r="AA1099" i="4"/>
  <c r="Y270" i="4"/>
  <c r="Z270" i="4" s="1"/>
  <c r="AA270" i="4" s="1"/>
  <c r="AA938" i="4"/>
  <c r="U34" i="5"/>
  <c r="V34" i="5" s="1"/>
  <c r="W161" i="5" s="1"/>
  <c r="V161" i="5" s="1"/>
  <c r="AA847" i="4"/>
  <c r="AC964" i="4"/>
  <c r="Y964" i="4"/>
  <c r="AA963" i="4" s="1"/>
  <c r="W1485" i="4"/>
  <c r="V1485" i="4"/>
  <c r="S1485" i="4" s="1"/>
  <c r="X1485" i="4" s="1"/>
  <c r="W1453" i="4"/>
  <c r="V1453" i="4"/>
  <c r="S1453" i="4" s="1"/>
  <c r="X1453" i="4" s="1"/>
  <c r="V1530" i="4"/>
  <c r="S1530" i="4" s="1"/>
  <c r="W1530" i="4"/>
  <c r="Y54" i="4"/>
  <c r="AA54" i="4" s="1"/>
  <c r="Y215" i="4"/>
  <c r="AA215" i="4" s="1"/>
  <c r="Q519" i="4"/>
  <c r="W1652" i="4"/>
  <c r="V1652" i="4"/>
  <c r="S1652" i="4" s="1"/>
  <c r="X1652" i="4" s="1"/>
  <c r="W1664" i="4"/>
  <c r="V1664" i="4"/>
  <c r="S1664" i="4" s="1"/>
  <c r="Y1698" i="4"/>
  <c r="AA1698" i="4" s="1"/>
  <c r="AC1698" i="4"/>
  <c r="Y811" i="4"/>
  <c r="Z811" i="4" s="1"/>
  <c r="AA811" i="4" s="1"/>
  <c r="X98" i="4"/>
  <c r="AC98" i="4" s="1"/>
  <c r="Y87" i="4"/>
  <c r="AA87" i="4" s="1"/>
  <c r="Y395" i="4"/>
  <c r="Z395" i="4" s="1"/>
  <c r="AA395" i="4" s="1"/>
  <c r="X472" i="4"/>
  <c r="AC472" i="4" s="1"/>
  <c r="X758" i="4"/>
  <c r="AC758" i="4" s="1"/>
  <c r="X615" i="4"/>
  <c r="AC615" i="4" s="1"/>
  <c r="Q469" i="4"/>
  <c r="Q572" i="4"/>
  <c r="X724" i="4"/>
  <c r="AC724" i="4" s="1"/>
  <c r="X730" i="4"/>
  <c r="AC730" i="4" s="1"/>
  <c r="X1419" i="4"/>
  <c r="W1575" i="4"/>
  <c r="V1575" i="4"/>
  <c r="S1575" i="4" s="1"/>
  <c r="X1575" i="4" s="1"/>
  <c r="W1570" i="4"/>
  <c r="V1570" i="4"/>
  <c r="S1570" i="4" s="1"/>
  <c r="X1570" i="4" s="1"/>
  <c r="X1670" i="4"/>
  <c r="W1632" i="4"/>
  <c r="V1632" i="4"/>
  <c r="S1632" i="4" s="1"/>
  <c r="W1644" i="4"/>
  <c r="V1644" i="4"/>
  <c r="S1644" i="4" s="1"/>
  <c r="W1656" i="4"/>
  <c r="V1656" i="4"/>
  <c r="S1656" i="4" s="1"/>
  <c r="W1598" i="4"/>
  <c r="V1598" i="4"/>
  <c r="S1598" i="4" s="1"/>
  <c r="W1584" i="4"/>
  <c r="V1584" i="4"/>
  <c r="S1584" i="4" s="1"/>
  <c r="X1725" i="4"/>
  <c r="X1761" i="4"/>
  <c r="X159" i="4"/>
  <c r="AC159" i="4" s="1"/>
  <c r="X490" i="4"/>
  <c r="AC490" i="4" s="1"/>
  <c r="Q662" i="4"/>
  <c r="X766" i="4"/>
  <c r="AC766" i="4" s="1"/>
  <c r="X471" i="4"/>
  <c r="AC471" i="4" s="1"/>
  <c r="Y967" i="4"/>
  <c r="AC967" i="4"/>
  <c r="X1439" i="4"/>
  <c r="X1475" i="4"/>
  <c r="X1511" i="4"/>
  <c r="W1480" i="4"/>
  <c r="V1480" i="4"/>
  <c r="S1480" i="4" s="1"/>
  <c r="X1557" i="4"/>
  <c r="W1701" i="4"/>
  <c r="V1701" i="4"/>
  <c r="S1701" i="4" s="1"/>
  <c r="X1701" i="4" s="1"/>
  <c r="W1706" i="4"/>
  <c r="V1706" i="4"/>
  <c r="S1706" i="4" s="1"/>
  <c r="X1706" i="4" s="1"/>
  <c r="W1718" i="4"/>
  <c r="V1718" i="4"/>
  <c r="S1718" i="4" s="1"/>
  <c r="X1718" i="4" s="1"/>
  <c r="W1730" i="4"/>
  <c r="V1730" i="4"/>
  <c r="S1730" i="4" s="1"/>
  <c r="X1730" i="4" s="1"/>
  <c r="W1742" i="4"/>
  <c r="V1742" i="4"/>
  <c r="S1742" i="4" s="1"/>
  <c r="X1742" i="4" s="1"/>
  <c r="W1754" i="4"/>
  <c r="V1754" i="4"/>
  <c r="S1754" i="4" s="1"/>
  <c r="X1754" i="4" s="1"/>
  <c r="W1766" i="4"/>
  <c r="V1766" i="4"/>
  <c r="S1766" i="4" s="1"/>
  <c r="X1766" i="4" s="1"/>
  <c r="I20" i="5"/>
  <c r="H20" i="5" s="1"/>
  <c r="I45" i="5"/>
  <c r="H45" i="5" s="1"/>
  <c r="U225" i="5"/>
  <c r="S225" i="5"/>
  <c r="K74" i="8"/>
  <c r="J74" i="8"/>
  <c r="L74" i="8" s="1"/>
  <c r="Q798" i="4"/>
  <c r="Q652" i="4"/>
  <c r="Q543" i="4"/>
  <c r="Q786" i="4"/>
  <c r="W1440" i="4"/>
  <c r="V1440" i="4"/>
  <c r="S1440" i="4" s="1"/>
  <c r="X1440" i="4" s="1"/>
  <c r="AC1479" i="4"/>
  <c r="Y1479" i="4"/>
  <c r="AA1479" i="4" s="1"/>
  <c r="W1606" i="4"/>
  <c r="V1606" i="4"/>
  <c r="S1606" i="4" s="1"/>
  <c r="X1606" i="4" s="1"/>
  <c r="X1666" i="4"/>
  <c r="W1622" i="4"/>
  <c r="V1622" i="4"/>
  <c r="S1622" i="4" s="1"/>
  <c r="W1608" i="4"/>
  <c r="V1608" i="4"/>
  <c r="S1608" i="4" s="1"/>
  <c r="X1717" i="4"/>
  <c r="X1753" i="4"/>
  <c r="O237" i="5"/>
  <c r="K237" i="5" s="1"/>
  <c r="R237" i="5" s="1"/>
  <c r="P237" i="5"/>
  <c r="N237" i="5"/>
  <c r="I237" i="5" s="1"/>
  <c r="H237" i="5" s="1"/>
  <c r="K76" i="8"/>
  <c r="J76" i="8"/>
  <c r="X245" i="4"/>
  <c r="AC245" i="4" s="1"/>
  <c r="X438" i="4"/>
  <c r="AC438" i="4" s="1"/>
  <c r="Q466" i="4"/>
  <c r="X521" i="4"/>
  <c r="AC521" i="4" s="1"/>
  <c r="Q606" i="4"/>
  <c r="X750" i="4"/>
  <c r="AC750" i="4" s="1"/>
  <c r="AA1000" i="4"/>
  <c r="W1504" i="4"/>
  <c r="V1504" i="4"/>
  <c r="S1504" i="4" s="1"/>
  <c r="X1504" i="4" s="1"/>
  <c r="Y1544" i="4"/>
  <c r="AA1544" i="4" s="1"/>
  <c r="AC1544" i="4"/>
  <c r="V1573" i="4"/>
  <c r="S1573" i="4" s="1"/>
  <c r="W1573" i="4"/>
  <c r="X1688" i="4"/>
  <c r="W1638" i="4"/>
  <c r="V1638" i="4"/>
  <c r="S1638" i="4" s="1"/>
  <c r="W1650" i="4"/>
  <c r="V1650" i="4"/>
  <c r="S1650" i="4" s="1"/>
  <c r="W1662" i="4"/>
  <c r="V1662" i="4"/>
  <c r="S1662" i="4" s="1"/>
  <c r="W1624" i="4"/>
  <c r="V1624" i="4"/>
  <c r="S1624" i="4" s="1"/>
  <c r="W1743" i="4"/>
  <c r="V1743" i="4"/>
  <c r="S1743" i="4" s="1"/>
  <c r="I43" i="5"/>
  <c r="H43" i="5" s="1"/>
  <c r="M43" i="5"/>
  <c r="I48" i="5"/>
  <c r="H48" i="5" s="1"/>
  <c r="U116" i="5"/>
  <c r="V116" i="5" s="1"/>
  <c r="S46" i="5"/>
  <c r="K66" i="8"/>
  <c r="J66" i="8"/>
  <c r="L66" i="8" s="1"/>
  <c r="E157" i="9"/>
  <c r="X161" i="4"/>
  <c r="AC161" i="4" s="1"/>
  <c r="AA228" i="4"/>
  <c r="Q267" i="4"/>
  <c r="X281" i="4"/>
  <c r="AC281" i="4" s="1"/>
  <c r="X459" i="4"/>
  <c r="AC459" i="4" s="1"/>
  <c r="X604" i="4"/>
  <c r="AC604" i="4" s="1"/>
  <c r="Q688" i="4"/>
  <c r="Q793" i="4"/>
  <c r="X813" i="4"/>
  <c r="AC813" i="4" s="1"/>
  <c r="Y993" i="4"/>
  <c r="AC993" i="4"/>
  <c r="AA1168" i="4"/>
  <c r="Y1433" i="4"/>
  <c r="AA1433" i="4" s="1"/>
  <c r="V1526" i="4"/>
  <c r="S1526" i="4" s="1"/>
  <c r="X1526" i="4" s="1"/>
  <c r="W1526" i="4"/>
  <c r="W1619" i="4"/>
  <c r="V1619" i="4"/>
  <c r="S1619" i="4" s="1"/>
  <c r="W1603" i="4"/>
  <c r="V1603" i="4"/>
  <c r="S1603" i="4" s="1"/>
  <c r="W1631" i="4"/>
  <c r="V1631" i="4"/>
  <c r="S1631" i="4" s="1"/>
  <c r="X1733" i="4"/>
  <c r="X1769" i="4"/>
  <c r="U14" i="5"/>
  <c r="V14" i="5" s="1"/>
  <c r="W141" i="5" s="1"/>
  <c r="V141" i="5" s="1"/>
  <c r="S11" i="5"/>
  <c r="I50" i="5"/>
  <c r="H50" i="5" s="1"/>
  <c r="I49" i="5"/>
  <c r="H49" i="5" s="1"/>
  <c r="AR19" i="8"/>
  <c r="AR17" i="8"/>
  <c r="I64" i="8"/>
  <c r="E378" i="7"/>
  <c r="Q171" i="4"/>
  <c r="X219" i="4"/>
  <c r="AC219" i="4" s="1"/>
  <c r="Y400" i="4"/>
  <c r="Z400" i="4" s="1"/>
  <c r="AA400" i="4" s="1"/>
  <c r="X601" i="4"/>
  <c r="AC601" i="4" s="1"/>
  <c r="X784" i="4"/>
  <c r="AC784" i="4" s="1"/>
  <c r="Q823" i="4"/>
  <c r="X785" i="4"/>
  <c r="AC785" i="4" s="1"/>
  <c r="W1497" i="4"/>
  <c r="V1497" i="4"/>
  <c r="S1497" i="4" s="1"/>
  <c r="X1497" i="4" s="1"/>
  <c r="W1470" i="4"/>
  <c r="V1470" i="4"/>
  <c r="S1470" i="4" s="1"/>
  <c r="X1470" i="4" s="1"/>
  <c r="V1518" i="4"/>
  <c r="S1518" i="4" s="1"/>
  <c r="W1518" i="4"/>
  <c r="W1436" i="4"/>
  <c r="V1436" i="4"/>
  <c r="S1436" i="4" s="1"/>
  <c r="X1436" i="4" s="1"/>
  <c r="W1472" i="4"/>
  <c r="V1472" i="4"/>
  <c r="S1472" i="4" s="1"/>
  <c r="X1472" i="4" s="1"/>
  <c r="W1508" i="4"/>
  <c r="V1508" i="4"/>
  <c r="S1508" i="4" s="1"/>
  <c r="X1508" i="4" s="1"/>
  <c r="X1588" i="4"/>
  <c r="AC1549" i="4"/>
  <c r="Y1549" i="4"/>
  <c r="AA1549" i="4" s="1"/>
  <c r="X1680" i="4"/>
  <c r="X1593" i="4"/>
  <c r="Y1613" i="4"/>
  <c r="AA1613" i="4" s="1"/>
  <c r="S127" i="5"/>
  <c r="W127" i="5"/>
  <c r="Y655" i="4"/>
  <c r="Z655" i="4" s="1"/>
  <c r="AA655" i="4" s="1"/>
  <c r="AA891" i="4"/>
  <c r="I179" i="5"/>
  <c r="H179" i="5" s="1"/>
  <c r="AA1021" i="4"/>
  <c r="AA1161" i="4"/>
  <c r="AA1115" i="4"/>
  <c r="AA1191" i="4"/>
  <c r="AA908" i="4"/>
  <c r="AA1125" i="4"/>
  <c r="A1786" i="4" a="1"/>
  <c r="A1786" i="4" s="1"/>
  <c r="AA1107" i="4"/>
  <c r="AA985" i="4"/>
  <c r="Y453" i="4"/>
  <c r="Z453" i="4" s="1"/>
  <c r="AA453" i="4" s="1"/>
  <c r="X469" i="4"/>
  <c r="AC469" i="4" s="1"/>
  <c r="X572" i="4"/>
  <c r="AC572" i="4" s="1"/>
  <c r="Q782" i="4"/>
  <c r="AC932" i="4"/>
  <c r="Y932" i="4"/>
  <c r="AA931" i="4" s="1"/>
  <c r="Y998" i="4"/>
  <c r="AA997" i="4" s="1"/>
  <c r="AC998" i="4"/>
  <c r="W1425" i="4"/>
  <c r="V1425" i="4"/>
  <c r="S1425" i="4" s="1"/>
  <c r="X1425" i="4" s="1"/>
  <c r="AC1434" i="4"/>
  <c r="Y1434" i="4"/>
  <c r="AA1434" i="4" s="1"/>
  <c r="W1449" i="4"/>
  <c r="V1449" i="4"/>
  <c r="S1449" i="4" s="1"/>
  <c r="W1429" i="4"/>
  <c r="V1429" i="4"/>
  <c r="S1429" i="4" s="1"/>
  <c r="X1429" i="4" s="1"/>
  <c r="W1501" i="4"/>
  <c r="V1501" i="4"/>
  <c r="S1501" i="4" s="1"/>
  <c r="W1696" i="4"/>
  <c r="V1696" i="4"/>
  <c r="S1696" i="4" s="1"/>
  <c r="Q574" i="4"/>
  <c r="Q764" i="4"/>
  <c r="W1482" i="4"/>
  <c r="V1482" i="4"/>
  <c r="S1482" i="4" s="1"/>
  <c r="W1430" i="4"/>
  <c r="V1430" i="4"/>
  <c r="S1430" i="4" s="1"/>
  <c r="X1430" i="4" s="1"/>
  <c r="W1478" i="4"/>
  <c r="V1478" i="4"/>
  <c r="S1478" i="4" s="1"/>
  <c r="V1532" i="4"/>
  <c r="S1532" i="4" s="1"/>
  <c r="X1532" i="4" s="1"/>
  <c r="W1532" i="4"/>
  <c r="W1559" i="4"/>
  <c r="V1559" i="4"/>
  <c r="S1559" i="4" s="1"/>
  <c r="Y1684" i="4"/>
  <c r="AA1684" i="4" s="1"/>
  <c r="AC1727" i="4"/>
  <c r="Y1727" i="4"/>
  <c r="AA1727" i="4" s="1"/>
  <c r="AC1763" i="4"/>
  <c r="Y1763" i="4"/>
  <c r="AA1763" i="4" s="1"/>
  <c r="I241" i="5"/>
  <c r="H241" i="5" s="1"/>
  <c r="AR48" i="8"/>
  <c r="E44" i="8" s="1"/>
  <c r="F44" i="8" s="1"/>
  <c r="F45" i="8" s="1"/>
  <c r="X609" i="4"/>
  <c r="AC609" i="4" s="1"/>
  <c r="X798" i="4"/>
  <c r="AC798" i="4" s="1"/>
  <c r="X652" i="4"/>
  <c r="AC652" i="4" s="1"/>
  <c r="Q765" i="4"/>
  <c r="X786" i="4"/>
  <c r="AC786" i="4" s="1"/>
  <c r="W1473" i="4"/>
  <c r="V1473" i="4"/>
  <c r="S1473" i="4" s="1"/>
  <c r="V1415" i="4"/>
  <c r="S1415" i="4" s="1"/>
  <c r="W1415" i="4"/>
  <c r="V1520" i="4"/>
  <c r="S1520" i="4" s="1"/>
  <c r="X1520" i="4" s="1"/>
  <c r="W1520" i="4"/>
  <c r="W1612" i="4"/>
  <c r="V1612" i="4"/>
  <c r="S1612" i="4" s="1"/>
  <c r="X1553" i="4"/>
  <c r="V1542" i="4"/>
  <c r="S1542" i="4" s="1"/>
  <c r="W1542" i="4"/>
  <c r="Y1699" i="4"/>
  <c r="AA1699" i="4" s="1"/>
  <c r="AC1699" i="4"/>
  <c r="W1641" i="4"/>
  <c r="V1641" i="4"/>
  <c r="S1641" i="4" s="1"/>
  <c r="W1653" i="4"/>
  <c r="V1653" i="4"/>
  <c r="S1653" i="4" s="1"/>
  <c r="X1653" i="4" s="1"/>
  <c r="W1665" i="4"/>
  <c r="V1665" i="4"/>
  <c r="S1665" i="4" s="1"/>
  <c r="I39" i="5"/>
  <c r="H39" i="5" s="1"/>
  <c r="K194" i="5"/>
  <c r="S194" i="5" s="1"/>
  <c r="M243" i="5"/>
  <c r="K243" i="5" s="1"/>
  <c r="R243" i="5" s="1"/>
  <c r="X606" i="4"/>
  <c r="AC606" i="4" s="1"/>
  <c r="Q734" i="4"/>
  <c r="W1493" i="4"/>
  <c r="V1493" i="4"/>
  <c r="S1493" i="4" s="1"/>
  <c r="X1493" i="4" s="1"/>
  <c r="W1465" i="4"/>
  <c r="V1465" i="4"/>
  <c r="S1465" i="4" s="1"/>
  <c r="X1465" i="4" s="1"/>
  <c r="X1545" i="4"/>
  <c r="V1536" i="4"/>
  <c r="S1536" i="4" s="1"/>
  <c r="X1536" i="4" s="1"/>
  <c r="W1536" i="4"/>
  <c r="V1585" i="4"/>
  <c r="S1585" i="4" s="1"/>
  <c r="W1585" i="4"/>
  <c r="W1755" i="4"/>
  <c r="V1755" i="4"/>
  <c r="S1755" i="4" s="1"/>
  <c r="P43" i="5"/>
  <c r="O43" i="5"/>
  <c r="N43" i="5"/>
  <c r="K43" i="5"/>
  <c r="S43" i="5" s="1"/>
  <c r="I82" i="5"/>
  <c r="H82" i="5" s="1"/>
  <c r="I200" i="5"/>
  <c r="H200" i="5" s="1"/>
  <c r="K158" i="5"/>
  <c r="S158" i="5" s="1"/>
  <c r="BD45" i="8"/>
  <c r="BD47" i="8"/>
  <c r="Q783" i="4"/>
  <c r="X793" i="4"/>
  <c r="AC793" i="4" s="1"/>
  <c r="W1421" i="4"/>
  <c r="V1421" i="4"/>
  <c r="S1421" i="4" s="1"/>
  <c r="W1442" i="4"/>
  <c r="V1442" i="4"/>
  <c r="S1442" i="4" s="1"/>
  <c r="X1442" i="4" s="1"/>
  <c r="W1490" i="4"/>
  <c r="V1490" i="4"/>
  <c r="S1490" i="4" s="1"/>
  <c r="W1610" i="4"/>
  <c r="V1610" i="4"/>
  <c r="S1610" i="4" s="1"/>
  <c r="W1712" i="4"/>
  <c r="V1712" i="4"/>
  <c r="S1712" i="4" s="1"/>
  <c r="X1712" i="4" s="1"/>
  <c r="W1724" i="4"/>
  <c r="V1724" i="4"/>
  <c r="S1724" i="4" s="1"/>
  <c r="W1736" i="4"/>
  <c r="V1736" i="4"/>
  <c r="S1736" i="4" s="1"/>
  <c r="W1748" i="4"/>
  <c r="V1748" i="4"/>
  <c r="S1748" i="4" s="1"/>
  <c r="X1748" i="4" s="1"/>
  <c r="W1760" i="4"/>
  <c r="V1760" i="4"/>
  <c r="S1760" i="4" s="1"/>
  <c r="W1772" i="4"/>
  <c r="V1772" i="4"/>
  <c r="S1772" i="4" s="1"/>
  <c r="I96" i="5"/>
  <c r="H96" i="5" s="1"/>
  <c r="I182" i="5"/>
  <c r="H182" i="5" s="1"/>
  <c r="M232" i="5"/>
  <c r="I232" i="5" s="1"/>
  <c r="H232" i="5" s="1"/>
  <c r="X176" i="4"/>
  <c r="AC176" i="4" s="1"/>
  <c r="Y634" i="4"/>
  <c r="Z634" i="4" s="1"/>
  <c r="AA634" i="4" s="1"/>
  <c r="Q564" i="4"/>
  <c r="AC886" i="4"/>
  <c r="Y886" i="4"/>
  <c r="AA884" i="4" s="1"/>
  <c r="W1505" i="4"/>
  <c r="V1505" i="4"/>
  <c r="S1505" i="4" s="1"/>
  <c r="X1505" i="4" s="1"/>
  <c r="W1458" i="4"/>
  <c r="V1458" i="4"/>
  <c r="S1458" i="4" s="1"/>
  <c r="X1458" i="4" s="1"/>
  <c r="AC1443" i="4"/>
  <c r="Y1443" i="4"/>
  <c r="AA1443" i="4" s="1"/>
  <c r="W1476" i="4"/>
  <c r="V1476" i="4"/>
  <c r="S1476" i="4" s="1"/>
  <c r="X1476" i="4" s="1"/>
  <c r="V1540" i="4"/>
  <c r="S1540" i="4" s="1"/>
  <c r="W1540" i="4"/>
  <c r="W1456" i="4"/>
  <c r="V1456" i="4"/>
  <c r="S1456" i="4" s="1"/>
  <c r="X1456" i="4" s="1"/>
  <c r="W1625" i="4"/>
  <c r="V1625" i="4"/>
  <c r="S1625" i="4" s="1"/>
  <c r="X1625" i="4" s="1"/>
  <c r="W1643" i="4"/>
  <c r="V1643" i="4"/>
  <c r="S1643" i="4" s="1"/>
  <c r="W1655" i="4"/>
  <c r="V1655" i="4"/>
  <c r="S1655" i="4" s="1"/>
  <c r="X1655" i="4" s="1"/>
  <c r="X1735" i="4"/>
  <c r="X1771" i="4"/>
  <c r="K53" i="5"/>
  <c r="I197" i="5"/>
  <c r="H197" i="5" s="1"/>
  <c r="P246" i="5"/>
  <c r="O246" i="5"/>
  <c r="N246" i="5"/>
  <c r="I239" i="5"/>
  <c r="H239" i="5" s="1"/>
  <c r="H367" i="7"/>
  <c r="H364" i="7"/>
  <c r="H362" i="7"/>
  <c r="H360" i="7"/>
  <c r="H358" i="7"/>
  <c r="H372" i="7"/>
  <c r="H369" i="7"/>
  <c r="H366" i="7"/>
  <c r="H373" i="7"/>
  <c r="H370" i="7"/>
  <c r="H365" i="7"/>
  <c r="H361" i="7"/>
  <c r="H371" i="7"/>
  <c r="H363" i="7"/>
  <c r="H357" i="7"/>
  <c r="H374" i="7"/>
  <c r="H368" i="7"/>
  <c r="H359" i="7"/>
  <c r="I176" i="5"/>
  <c r="H176" i="5" s="1"/>
  <c r="Y830" i="4"/>
  <c r="Z830" i="4" s="1"/>
  <c r="AA830" i="4" s="1"/>
  <c r="AA852" i="4"/>
  <c r="N1018" i="2"/>
  <c r="W1445" i="4"/>
  <c r="V1445" i="4"/>
  <c r="S1445" i="4" s="1"/>
  <c r="V1534" i="4"/>
  <c r="S1534" i="4" s="1"/>
  <c r="W1534" i="4"/>
  <c r="W1582" i="4"/>
  <c r="V1582" i="4"/>
  <c r="S1582" i="4" s="1"/>
  <c r="V1555" i="4"/>
  <c r="S1555" i="4" s="1"/>
  <c r="W1555" i="4"/>
  <c r="W1636" i="4"/>
  <c r="V1636" i="4"/>
  <c r="S1636" i="4" s="1"/>
  <c r="W1648" i="4"/>
  <c r="V1648" i="4"/>
  <c r="S1648" i="4" s="1"/>
  <c r="W1660" i="4"/>
  <c r="V1660" i="4"/>
  <c r="S1660" i="4" s="1"/>
  <c r="W1627" i="4"/>
  <c r="V1627" i="4"/>
  <c r="S1627" i="4" s="1"/>
  <c r="W1620" i="4"/>
  <c r="V1620" i="4"/>
  <c r="S1620" i="4" s="1"/>
  <c r="X1702" i="4"/>
  <c r="X1737" i="4"/>
  <c r="X1773" i="4"/>
  <c r="Q75" i="4"/>
  <c r="X374" i="4"/>
  <c r="AC374" i="4" s="1"/>
  <c r="Q490" i="4"/>
  <c r="X637" i="4"/>
  <c r="AC637" i="4" s="1"/>
  <c r="Q825" i="4"/>
  <c r="Y1462" i="4"/>
  <c r="AA1462" i="4" s="1"/>
  <c r="AC1462" i="4"/>
  <c r="X1451" i="4"/>
  <c r="X1487" i="4"/>
  <c r="X1519" i="4"/>
  <c r="W1594" i="4"/>
  <c r="V1594" i="4"/>
  <c r="S1594" i="4" s="1"/>
  <c r="W1626" i="4"/>
  <c r="V1626" i="4"/>
  <c r="S1626" i="4" s="1"/>
  <c r="W1710" i="4"/>
  <c r="V1710" i="4"/>
  <c r="S1710" i="4" s="1"/>
  <c r="W1722" i="4"/>
  <c r="V1722" i="4"/>
  <c r="S1722" i="4" s="1"/>
  <c r="X1722" i="4" s="1"/>
  <c r="W1734" i="4"/>
  <c r="V1734" i="4"/>
  <c r="S1734" i="4" s="1"/>
  <c r="W1746" i="4"/>
  <c r="V1746" i="4"/>
  <c r="S1746" i="4" s="1"/>
  <c r="W1758" i="4"/>
  <c r="V1758" i="4"/>
  <c r="S1758" i="4" s="1"/>
  <c r="W1770" i="4"/>
  <c r="V1770" i="4"/>
  <c r="S1770" i="4" s="1"/>
  <c r="I38" i="5"/>
  <c r="H38" i="5" s="1"/>
  <c r="S241" i="5"/>
  <c r="U241" i="5"/>
  <c r="V241" i="5" s="1"/>
  <c r="I65" i="8"/>
  <c r="AU19" i="8"/>
  <c r="AU17" i="8"/>
  <c r="X37" i="4"/>
  <c r="AC37" i="4" s="1"/>
  <c r="Q364" i="4"/>
  <c r="X479" i="4"/>
  <c r="AC479" i="4" s="1"/>
  <c r="AA1057" i="4"/>
  <c r="AC1376" i="4"/>
  <c r="Y1376" i="4"/>
  <c r="AA1376" i="4" s="1"/>
  <c r="W1461" i="4"/>
  <c r="V1461" i="4"/>
  <c r="S1461" i="4" s="1"/>
  <c r="AC1455" i="4"/>
  <c r="Y1455" i="4"/>
  <c r="AA1455" i="4" s="1"/>
  <c r="W1488" i="4"/>
  <c r="V1488" i="4"/>
  <c r="S1488" i="4" s="1"/>
  <c r="W1546" i="4"/>
  <c r="V1546" i="4"/>
  <c r="S1546" i="4" s="1"/>
  <c r="W1579" i="4"/>
  <c r="V1579" i="4"/>
  <c r="S1579" i="4" s="1"/>
  <c r="W1628" i="4"/>
  <c r="V1628" i="4"/>
  <c r="S1628" i="4" s="1"/>
  <c r="X1729" i="4"/>
  <c r="X1765" i="4"/>
  <c r="I163" i="5"/>
  <c r="H163" i="5" s="1"/>
  <c r="O243" i="5"/>
  <c r="N243" i="5"/>
  <c r="I243" i="5" s="1"/>
  <c r="H243" i="5" s="1"/>
  <c r="P243" i="5"/>
  <c r="E78" i="8"/>
  <c r="I78" i="8" s="1"/>
  <c r="X562" i="4"/>
  <c r="AC562" i="4" s="1"/>
  <c r="X734" i="4"/>
  <c r="AC734" i="4" s="1"/>
  <c r="AA1341" i="4"/>
  <c r="X1783" i="4"/>
  <c r="D993" i="2" s="1"/>
  <c r="D994" i="2" s="1"/>
  <c r="AA970" i="4"/>
  <c r="Y1450" i="4"/>
  <c r="AA1450" i="4" s="1"/>
  <c r="AC1450" i="4"/>
  <c r="W1481" i="4"/>
  <c r="V1481" i="4"/>
  <c r="S1481" i="4" s="1"/>
  <c r="W1432" i="4"/>
  <c r="V1432" i="4"/>
  <c r="S1432" i="4" s="1"/>
  <c r="W1607" i="4"/>
  <c r="V1607" i="4"/>
  <c r="S1607" i="4" s="1"/>
  <c r="W1602" i="4"/>
  <c r="V1602" i="4"/>
  <c r="S1602" i="4" s="1"/>
  <c r="W1642" i="4"/>
  <c r="V1642" i="4"/>
  <c r="S1642" i="4" s="1"/>
  <c r="W1654" i="4"/>
  <c r="V1654" i="4"/>
  <c r="S1654" i="4" s="1"/>
  <c r="X1654" i="4" s="1"/>
  <c r="X1674" i="4"/>
  <c r="W1767" i="4"/>
  <c r="V1767" i="4"/>
  <c r="S1767" i="4" s="1"/>
  <c r="X1767" i="4" s="1"/>
  <c r="U171" i="5"/>
  <c r="S171" i="5"/>
  <c r="I245" i="5"/>
  <c r="H245" i="5" s="1"/>
  <c r="Q315" i="4"/>
  <c r="X536" i="4"/>
  <c r="AC536" i="4" s="1"/>
  <c r="X783" i="4"/>
  <c r="AC783" i="4" s="1"/>
  <c r="AA1054" i="4"/>
  <c r="AA975" i="4"/>
  <c r="Y958" i="4"/>
  <c r="AA958" i="4" s="1"/>
  <c r="AC958" i="4"/>
  <c r="W1418" i="4"/>
  <c r="V1418" i="4"/>
  <c r="S1418" i="4" s="1"/>
  <c r="X1418" i="4" s="1"/>
  <c r="V1567" i="4"/>
  <c r="S1567" i="4" s="1"/>
  <c r="W1567" i="4"/>
  <c r="X1709" i="4"/>
  <c r="X1745" i="4"/>
  <c r="I13" i="5"/>
  <c r="H13" i="5" s="1"/>
  <c r="I34" i="5"/>
  <c r="H34" i="5" s="1"/>
  <c r="O232" i="5"/>
  <c r="P232" i="5"/>
  <c r="N232" i="5"/>
  <c r="B1004" i="2"/>
  <c r="I67" i="8"/>
  <c r="BA19" i="8"/>
  <c r="BA17" i="8"/>
  <c r="E156" i="9"/>
  <c r="X564" i="4"/>
  <c r="AC564" i="4" s="1"/>
  <c r="AA1009" i="4"/>
  <c r="W1509" i="4"/>
  <c r="V1509" i="4"/>
  <c r="S1509" i="4" s="1"/>
  <c r="W1448" i="4"/>
  <c r="V1448" i="4"/>
  <c r="S1448" i="4" s="1"/>
  <c r="X1448" i="4" s="1"/>
  <c r="W1484" i="4"/>
  <c r="V1484" i="4"/>
  <c r="S1484" i="4" s="1"/>
  <c r="W1611" i="4"/>
  <c r="V1611" i="4"/>
  <c r="S1611" i="4" s="1"/>
  <c r="W1552" i="4"/>
  <c r="V1552" i="4"/>
  <c r="S1552" i="4" s="1"/>
  <c r="X1552" i="4" s="1"/>
  <c r="W1615" i="4"/>
  <c r="V1615" i="4"/>
  <c r="S1615" i="4" s="1"/>
  <c r="U52" i="5"/>
  <c r="V52" i="5" s="1"/>
  <c r="W170" i="5" s="1"/>
  <c r="V170" i="5" s="1"/>
  <c r="S44" i="5"/>
  <c r="U211" i="5"/>
  <c r="V211" i="5" s="1"/>
  <c r="S211" i="5"/>
  <c r="M246" i="5"/>
  <c r="I246" i="5" s="1"/>
  <c r="H246" i="5" s="1"/>
  <c r="S239" i="5"/>
  <c r="AA850" i="4"/>
  <c r="AA1103" i="4"/>
  <c r="AA1182" i="4"/>
  <c r="AA994" i="4"/>
  <c r="AA955" i="4"/>
  <c r="AA1172" i="4"/>
  <c r="Y1568" i="4"/>
  <c r="AA1568" i="4" s="1"/>
  <c r="AC1568" i="4"/>
  <c r="V1510" i="4"/>
  <c r="S1510" i="4" s="1"/>
  <c r="X1510" i="4" s="1"/>
  <c r="W1510" i="4"/>
  <c r="V1528" i="4"/>
  <c r="S1528" i="4" s="1"/>
  <c r="X1528" i="4" s="1"/>
  <c r="W1528" i="4"/>
  <c r="W1571" i="4"/>
  <c r="V1571" i="4"/>
  <c r="S1571" i="4" s="1"/>
  <c r="X1571" i="4" s="1"/>
  <c r="W1578" i="4"/>
  <c r="V1578" i="4"/>
  <c r="S1578" i="4" s="1"/>
  <c r="AC1703" i="4"/>
  <c r="Y1703" i="4"/>
  <c r="AA1703" i="4" s="1"/>
  <c r="AC1739" i="4"/>
  <c r="Y1739" i="4"/>
  <c r="AA1739" i="4" s="1"/>
  <c r="AC1775" i="4"/>
  <c r="Y1775" i="4"/>
  <c r="AA1775" i="4" s="1"/>
  <c r="U207" i="5"/>
  <c r="V207" i="5" s="1"/>
  <c r="S207" i="5"/>
  <c r="U216" i="5"/>
  <c r="V216" i="5" s="1"/>
  <c r="S216" i="5"/>
  <c r="BG20" i="8"/>
  <c r="AN16" i="8" s="1"/>
  <c r="AO16" i="8" s="1"/>
  <c r="AO17" i="8" s="1"/>
  <c r="BA48" i="8"/>
  <c r="Z44" i="8" s="1"/>
  <c r="AA44" i="8" s="1"/>
  <c r="AA45" i="8" s="1"/>
  <c r="I68" i="8"/>
  <c r="BD17" i="8"/>
  <c r="BD19" i="8"/>
  <c r="AC1420" i="4"/>
  <c r="Y1420" i="4"/>
  <c r="AA1420" i="4" s="1"/>
  <c r="W1595" i="4"/>
  <c r="V1595" i="4"/>
  <c r="S1595" i="4" s="1"/>
  <c r="W1629" i="4"/>
  <c r="V1629" i="4"/>
  <c r="S1629" i="4" s="1"/>
  <c r="W1633" i="4"/>
  <c r="V1633" i="4"/>
  <c r="S1633" i="4" s="1"/>
  <c r="W1645" i="4"/>
  <c r="V1645" i="4"/>
  <c r="S1645" i="4" s="1"/>
  <c r="X1645" i="4" s="1"/>
  <c r="W1657" i="4"/>
  <c r="V1657" i="4"/>
  <c r="S1657" i="4" s="1"/>
  <c r="I7" i="5"/>
  <c r="H7" i="5" s="1"/>
  <c r="AA903" i="4"/>
  <c r="Y972" i="4"/>
  <c r="AA972" i="4" s="1"/>
  <c r="AC972" i="4"/>
  <c r="W1416" i="4"/>
  <c r="V1416" i="4"/>
  <c r="S1416" i="4" s="1"/>
  <c r="X1416" i="4" s="1"/>
  <c r="W1489" i="4"/>
  <c r="V1489" i="4"/>
  <c r="S1489" i="4" s="1"/>
  <c r="X1489" i="4" s="1"/>
  <c r="Y1459" i="4"/>
  <c r="AA1459" i="4" s="1"/>
  <c r="V1547" i="4"/>
  <c r="S1547" i="4" s="1"/>
  <c r="W1547" i="4"/>
  <c r="W1548" i="4"/>
  <c r="V1548" i="4"/>
  <c r="S1548" i="4" s="1"/>
  <c r="W1707" i="4"/>
  <c r="V1707" i="4"/>
  <c r="S1707" i="4" s="1"/>
  <c r="W1779" i="4"/>
  <c r="V1779" i="4"/>
  <c r="S1779" i="4" s="1"/>
  <c r="X1779" i="4" s="1"/>
  <c r="S27" i="5"/>
  <c r="U71" i="5"/>
  <c r="V71" i="5" s="1"/>
  <c r="W155" i="5" s="1"/>
  <c r="V155" i="5" s="1"/>
  <c r="I95" i="5"/>
  <c r="H95" i="5" s="1"/>
  <c r="I14" i="5"/>
  <c r="H14" i="5" s="1"/>
  <c r="X315" i="4"/>
  <c r="AC315" i="4" s="1"/>
  <c r="X467" i="4"/>
  <c r="AC467" i="4" s="1"/>
  <c r="W1563" i="4"/>
  <c r="V1563" i="4"/>
  <c r="S1563" i="4" s="1"/>
  <c r="W1614" i="4"/>
  <c r="V1614" i="4"/>
  <c r="S1614" i="4" s="1"/>
  <c r="X1668" i="4"/>
  <c r="W1704" i="4"/>
  <c r="V1704" i="4"/>
  <c r="S1704" i="4" s="1"/>
  <c r="W1716" i="4"/>
  <c r="V1716" i="4"/>
  <c r="S1716" i="4" s="1"/>
  <c r="W1728" i="4"/>
  <c r="V1728" i="4"/>
  <c r="S1728" i="4" s="1"/>
  <c r="W1740" i="4"/>
  <c r="V1740" i="4"/>
  <c r="S1740" i="4" s="1"/>
  <c r="W1752" i="4"/>
  <c r="V1752" i="4"/>
  <c r="S1752" i="4" s="1"/>
  <c r="W1764" i="4"/>
  <c r="V1764" i="4"/>
  <c r="S1764" i="4" s="1"/>
  <c r="W1776" i="4"/>
  <c r="Z1790" i="4" s="1"/>
  <c r="Z1792" i="4" s="1"/>
  <c r="V1776" i="4"/>
  <c r="S50" i="5"/>
  <c r="U54" i="5"/>
  <c r="V54" i="5" s="1"/>
  <c r="W169" i="5" s="1"/>
  <c r="V169" i="5" s="1"/>
  <c r="P244" i="5"/>
  <c r="O244" i="5"/>
  <c r="N244" i="5"/>
  <c r="I244" i="5" s="1"/>
  <c r="H244" i="5" s="1"/>
  <c r="I240" i="5"/>
  <c r="H240" i="5" s="1"/>
  <c r="Q84" i="4"/>
  <c r="AA1064" i="4"/>
  <c r="W1452" i="4"/>
  <c r="V1452" i="4"/>
  <c r="S1452" i="4" s="1"/>
  <c r="X1452" i="4" s="1"/>
  <c r="X1491" i="4"/>
  <c r="W1492" i="4"/>
  <c r="V1492" i="4"/>
  <c r="S1492" i="4" s="1"/>
  <c r="Y1471" i="4"/>
  <c r="AA1471" i="4" s="1"/>
  <c r="W1574" i="4"/>
  <c r="V1574" i="4"/>
  <c r="S1574" i="4" s="1"/>
  <c r="X1609" i="4"/>
  <c r="W1554" i="4"/>
  <c r="V1554" i="4"/>
  <c r="S1554" i="4" s="1"/>
  <c r="W1635" i="4"/>
  <c r="V1635" i="4"/>
  <c r="S1635" i="4" s="1"/>
  <c r="X1635" i="4" s="1"/>
  <c r="W1647" i="4"/>
  <c r="V1647" i="4"/>
  <c r="S1647" i="4" s="1"/>
  <c r="W1659" i="4"/>
  <c r="V1659" i="4"/>
  <c r="S1659" i="4" s="1"/>
  <c r="X1711" i="4"/>
  <c r="X1747" i="4"/>
  <c r="M233" i="5"/>
  <c r="I37" i="5"/>
  <c r="H37" i="5" s="1"/>
  <c r="I23" i="5"/>
  <c r="H23" i="5" s="1"/>
  <c r="M249" i="5"/>
  <c r="K249" i="5" s="1"/>
  <c r="R249" i="5" s="1"/>
  <c r="I249" i="5"/>
  <c r="H249" i="5" s="1"/>
  <c r="I234" i="5"/>
  <c r="H234" i="5" s="1"/>
  <c r="AU48" i="8"/>
  <c r="L44" i="8"/>
  <c r="M44" i="8" s="1"/>
  <c r="M45" i="8" s="1"/>
  <c r="I74" i="5"/>
  <c r="H74" i="5" s="1"/>
  <c r="I41" i="5"/>
  <c r="H41" i="5" s="1"/>
  <c r="I29" i="5"/>
  <c r="H29" i="5" s="1"/>
  <c r="AA1095" i="4"/>
  <c r="W121" i="5"/>
  <c r="U239" i="5" s="1"/>
  <c r="V239" i="5" s="1"/>
  <c r="S114" i="5"/>
  <c r="AA879" i="4"/>
  <c r="AA841" i="4"/>
  <c r="X1543" i="4" l="1"/>
  <c r="X1555" i="4"/>
  <c r="Y1555" i="4" s="1"/>
  <c r="AA1555" i="4" s="1"/>
  <c r="X1558" i="4"/>
  <c r="AC1558" i="4" s="1"/>
  <c r="X1559" i="4"/>
  <c r="X1560" i="4"/>
  <c r="X1566" i="4"/>
  <c r="Y1566" i="4" s="1"/>
  <c r="AA1566" i="4" s="1"/>
  <c r="X1572" i="4"/>
  <c r="X1574" i="4"/>
  <c r="Y1574" i="4" s="1"/>
  <c r="AA1574" i="4" s="1"/>
  <c r="X1576" i="4"/>
  <c r="AC1576" i="4" s="1"/>
  <c r="X1579" i="4"/>
  <c r="X1580" i="4"/>
  <c r="X1586" i="4"/>
  <c r="X1589" i="4"/>
  <c r="X1594" i="4"/>
  <c r="AC1594" i="4" s="1"/>
  <c r="X1595" i="4"/>
  <c r="X1600" i="4"/>
  <c r="AC1601" i="4"/>
  <c r="Y1601" i="4"/>
  <c r="AA1601" i="4" s="1"/>
  <c r="Y1604" i="4"/>
  <c r="AA1604" i="4" s="1"/>
  <c r="AC1604" i="4"/>
  <c r="X1607" i="4"/>
  <c r="Y1607" i="4" s="1"/>
  <c r="AA1607" i="4" s="1"/>
  <c r="Y1616" i="4"/>
  <c r="AA1616" i="4" s="1"/>
  <c r="AC1616" i="4"/>
  <c r="X1623" i="4"/>
  <c r="Y1623" i="4" s="1"/>
  <c r="AA1623" i="4" s="1"/>
  <c r="X1627" i="4"/>
  <c r="X1629" i="4"/>
  <c r="X1633" i="4"/>
  <c r="AC1633" i="4" s="1"/>
  <c r="X1636" i="4"/>
  <c r="Y1636" i="4" s="1"/>
  <c r="AA1636" i="4" s="1"/>
  <c r="X1637" i="4"/>
  <c r="X1641" i="4"/>
  <c r="X1643" i="4"/>
  <c r="X1657" i="4"/>
  <c r="AC1657" i="4" s="1"/>
  <c r="X1658" i="4"/>
  <c r="AC1658" i="4" s="1"/>
  <c r="X1665" i="4"/>
  <c r="Y1665" i="4" s="1"/>
  <c r="Z1665" i="4" s="1"/>
  <c r="Y1667" i="4"/>
  <c r="AA1667" i="4" s="1"/>
  <c r="AC1667" i="4"/>
  <c r="AC1669" i="4"/>
  <c r="Y1669" i="4"/>
  <c r="AA1669" i="4" s="1"/>
  <c r="X1672" i="4"/>
  <c r="AC1673" i="4"/>
  <c r="Y1673" i="4"/>
  <c r="AA1673" i="4" s="1"/>
  <c r="AC1677" i="4"/>
  <c r="Y1677" i="4"/>
  <c r="AA1677" i="4" s="1"/>
  <c r="X1679" i="4"/>
  <c r="X1682" i="4"/>
  <c r="X1690" i="4"/>
  <c r="X1693" i="4"/>
  <c r="X1696" i="4"/>
  <c r="X1704" i="4"/>
  <c r="X1714" i="4"/>
  <c r="X1716" i="4"/>
  <c r="X1720" i="4"/>
  <c r="X1728" i="4"/>
  <c r="X1738" i="4"/>
  <c r="X1740" i="4"/>
  <c r="X1750" i="4"/>
  <c r="X1752" i="4"/>
  <c r="X1756" i="4"/>
  <c r="AC1756" i="4" s="1"/>
  <c r="X1764" i="4"/>
  <c r="X1758" i="4"/>
  <c r="AC1758" i="4" s="1"/>
  <c r="K78" i="8"/>
  <c r="J78" i="8"/>
  <c r="L78" i="8" s="1"/>
  <c r="U249" i="5"/>
  <c r="V249" i="5" s="1"/>
  <c r="S249" i="5"/>
  <c r="U243" i="5"/>
  <c r="V243" i="5" s="1"/>
  <c r="S243" i="5"/>
  <c r="S237" i="5"/>
  <c r="U237" i="5"/>
  <c r="V237" i="5" s="1"/>
  <c r="S247" i="5"/>
  <c r="U247" i="5"/>
  <c r="V247" i="5" s="1"/>
  <c r="AC1496" i="4"/>
  <c r="Y1496" i="4"/>
  <c r="AA1496" i="4" s="1"/>
  <c r="AC1506" i="4"/>
  <c r="Y1506" i="4"/>
  <c r="AA1506" i="4" s="1"/>
  <c r="Y1691" i="4"/>
  <c r="AA1691" i="4" s="1"/>
  <c r="AC1691" i="4"/>
  <c r="AC1634" i="4"/>
  <c r="Y1634" i="4"/>
  <c r="AA1634" i="4" s="1"/>
  <c r="AC1469" i="4"/>
  <c r="Y1469" i="4"/>
  <c r="AA1469" i="4" s="1"/>
  <c r="AC1586" i="4"/>
  <c r="Y1586" i="4"/>
  <c r="AA1586" i="4" s="1"/>
  <c r="AC1774" i="4"/>
  <c r="Y1774" i="4"/>
  <c r="AA1774" i="4" s="1"/>
  <c r="AC1714" i="4"/>
  <c r="Y1714" i="4"/>
  <c r="AA1714" i="4" s="1"/>
  <c r="AC1564" i="4"/>
  <c r="Y1564" i="4"/>
  <c r="AA1564" i="4" s="1"/>
  <c r="AC1560" i="4"/>
  <c r="Y1560" i="4"/>
  <c r="AA1560" i="4" s="1"/>
  <c r="Y1452" i="4"/>
  <c r="AA1452" i="4" s="1"/>
  <c r="AC1452" i="4"/>
  <c r="V1790" i="4"/>
  <c r="S1776" i="4"/>
  <c r="AC1653" i="4"/>
  <c r="Y1653" i="4"/>
  <c r="AA1653" i="4" s="1"/>
  <c r="AC1497" i="4"/>
  <c r="Y1497" i="4"/>
  <c r="AA1497" i="4" s="1"/>
  <c r="AC1733" i="4"/>
  <c r="Y1733" i="4"/>
  <c r="AA1733" i="4" s="1"/>
  <c r="AC1701" i="4"/>
  <c r="Y1701" i="4"/>
  <c r="AA1701" i="4" s="1"/>
  <c r="AC1575" i="4"/>
  <c r="Y1575" i="4"/>
  <c r="AA1575" i="4" s="1"/>
  <c r="AC1446" i="4"/>
  <c r="Y1446" i="4"/>
  <c r="AA1446" i="4" s="1"/>
  <c r="Y1756" i="4"/>
  <c r="AA1756" i="4" s="1"/>
  <c r="AC1441" i="4"/>
  <c r="Y1441" i="4"/>
  <c r="AA1441" i="4" s="1"/>
  <c r="AC1587" i="4"/>
  <c r="Y1587" i="4"/>
  <c r="AA1587" i="4" s="1"/>
  <c r="AC1715" i="4"/>
  <c r="Y1715" i="4"/>
  <c r="AA1715" i="4" s="1"/>
  <c r="AC1477" i="4"/>
  <c r="Y1477" i="4"/>
  <c r="AA1477" i="4" s="1"/>
  <c r="Y1464" i="4"/>
  <c r="AA1464" i="4" s="1"/>
  <c r="AC1464" i="4"/>
  <c r="AC1502" i="4"/>
  <c r="Y1502" i="4"/>
  <c r="AA1502" i="4" s="1"/>
  <c r="AC1779" i="4"/>
  <c r="Y1779" i="4"/>
  <c r="Z1779" i="4" s="1"/>
  <c r="AA1779" i="4" s="1"/>
  <c r="AC1571" i="4"/>
  <c r="Y1571" i="4"/>
  <c r="AA1571" i="4" s="1"/>
  <c r="AC1709" i="4"/>
  <c r="Y1709" i="4"/>
  <c r="AA1709" i="4" s="1"/>
  <c r="AC1588" i="4"/>
  <c r="Y1588" i="4"/>
  <c r="AA1588" i="4" s="1"/>
  <c r="X1631" i="4"/>
  <c r="X1743" i="4"/>
  <c r="X1650" i="4"/>
  <c r="X1573" i="4"/>
  <c r="L76" i="8"/>
  <c r="AC1753" i="4"/>
  <c r="Y1753" i="4"/>
  <c r="AA1753" i="4" s="1"/>
  <c r="AC1666" i="4"/>
  <c r="Y1666" i="4"/>
  <c r="AA1666" i="4" s="1"/>
  <c r="AC1439" i="4"/>
  <c r="Y1439" i="4"/>
  <c r="AA1439" i="4" s="1"/>
  <c r="X1598" i="4"/>
  <c r="X1632" i="4"/>
  <c r="AC1652" i="4"/>
  <c r="Y1652" i="4"/>
  <c r="AA1652" i="4" s="1"/>
  <c r="X1530" i="4"/>
  <c r="O233" i="5"/>
  <c r="P233" i="5"/>
  <c r="I233" i="5" s="1"/>
  <c r="H233" i="5" s="1"/>
  <c r="N233" i="5"/>
  <c r="K233" i="5" s="1"/>
  <c r="R233" i="5" s="1"/>
  <c r="AC1651" i="4"/>
  <c r="Y1651" i="4"/>
  <c r="AA1651" i="4" s="1"/>
  <c r="Y1500" i="4"/>
  <c r="AA1500" i="4" s="1"/>
  <c r="AC1500" i="4"/>
  <c r="X1597" i="4"/>
  <c r="X1561" i="4"/>
  <c r="AC1637" i="4"/>
  <c r="Y1637" i="4"/>
  <c r="AA1637" i="4" s="1"/>
  <c r="AC1422" i="4"/>
  <c r="Y1422" i="4"/>
  <c r="AA1422" i="4" s="1"/>
  <c r="AC1583" i="4"/>
  <c r="Y1583" i="4"/>
  <c r="AA1583" i="4" s="1"/>
  <c r="AC1494" i="4"/>
  <c r="Y1494" i="4"/>
  <c r="AA1494" i="4" s="1"/>
  <c r="AC1466" i="4"/>
  <c r="Y1466" i="4"/>
  <c r="AA1466" i="4" s="1"/>
  <c r="AC1740" i="4"/>
  <c r="Y1740" i="4"/>
  <c r="AA1740" i="4" s="1"/>
  <c r="AC1416" i="4"/>
  <c r="Y1416" i="4"/>
  <c r="AA1416" i="4" s="1"/>
  <c r="AC1745" i="4"/>
  <c r="Y1745" i="4"/>
  <c r="AA1745" i="4" s="1"/>
  <c r="AC1465" i="4"/>
  <c r="Y1465" i="4"/>
  <c r="AA1465" i="4" s="1"/>
  <c r="AC1730" i="4"/>
  <c r="Y1730" i="4"/>
  <c r="AA1730" i="4" s="1"/>
  <c r="AC1524" i="4"/>
  <c r="Y1524" i="4"/>
  <c r="AA1524" i="4" s="1"/>
  <c r="AC1762" i="4"/>
  <c r="Y1762" i="4"/>
  <c r="AA1762" i="4" s="1"/>
  <c r="AC1635" i="4"/>
  <c r="Y1635" i="4"/>
  <c r="AA1635" i="4" s="1"/>
  <c r="BD20" i="8"/>
  <c r="AG16" i="8" s="1"/>
  <c r="AH16" i="8" s="1"/>
  <c r="AH17" i="8" s="1"/>
  <c r="AC1552" i="4"/>
  <c r="Y1552" i="4"/>
  <c r="AA1552" i="4" s="1"/>
  <c r="X1782" i="4"/>
  <c r="AC1717" i="4"/>
  <c r="Y1717" i="4"/>
  <c r="AA1717" i="4" s="1"/>
  <c r="Y1606" i="4"/>
  <c r="AA1606" i="4" s="1"/>
  <c r="AC1606" i="4"/>
  <c r="AC1754" i="4"/>
  <c r="Y1754" i="4"/>
  <c r="AA1754" i="4" s="1"/>
  <c r="AC1718" i="4"/>
  <c r="Y1718" i="4"/>
  <c r="AA1718" i="4" s="1"/>
  <c r="AC1557" i="4"/>
  <c r="Y1557" i="4"/>
  <c r="AA1557" i="4" s="1"/>
  <c r="AC1419" i="4"/>
  <c r="Y1419" i="4"/>
  <c r="AA1419" i="4" s="1"/>
  <c r="AC1453" i="4"/>
  <c r="Y1453" i="4"/>
  <c r="AA1453" i="4" s="1"/>
  <c r="AC1695" i="4"/>
  <c r="Y1695" i="4"/>
  <c r="AA1695" i="4" s="1"/>
  <c r="AC1744" i="4"/>
  <c r="Y1744" i="4"/>
  <c r="AA1744" i="4" s="1"/>
  <c r="AC1708" i="4"/>
  <c r="Y1708" i="4"/>
  <c r="AA1708" i="4" s="1"/>
  <c r="X1694" i="4"/>
  <c r="AC1591" i="4"/>
  <c r="Y1591" i="4"/>
  <c r="AA1591" i="4" s="1"/>
  <c r="AC1600" i="4"/>
  <c r="Y1600" i="4"/>
  <c r="AA1600" i="4" s="1"/>
  <c r="V242" i="5"/>
  <c r="AC1621" i="4"/>
  <c r="Y1621" i="4"/>
  <c r="AA1621" i="4" s="1"/>
  <c r="AC1431" i="4"/>
  <c r="Y1431" i="4"/>
  <c r="AA1431" i="4" s="1"/>
  <c r="AC1726" i="4"/>
  <c r="Y1726" i="4"/>
  <c r="AA1726" i="4" s="1"/>
  <c r="AC1454" i="4"/>
  <c r="Y1454" i="4"/>
  <c r="AA1454" i="4" s="1"/>
  <c r="AC1437" i="4"/>
  <c r="Y1437" i="4"/>
  <c r="AA1437" i="4" s="1"/>
  <c r="AC1460" i="4"/>
  <c r="Y1460" i="4"/>
  <c r="AA1460" i="4" s="1"/>
  <c r="Y1658" i="4"/>
  <c r="AA1658" i="4" s="1"/>
  <c r="AC1566" i="4"/>
  <c r="AC1693" i="4"/>
  <c r="Y1693" i="4"/>
  <c r="AA1693" i="4" s="1"/>
  <c r="AC1503" i="4"/>
  <c r="Y1503" i="4"/>
  <c r="AA1503" i="4" s="1"/>
  <c r="AC1750" i="4"/>
  <c r="Y1750" i="4"/>
  <c r="AA1750" i="4" s="1"/>
  <c r="AC1444" i="4"/>
  <c r="Y1444" i="4"/>
  <c r="AA1444" i="4" s="1"/>
  <c r="AC1640" i="4"/>
  <c r="Y1640" i="4"/>
  <c r="AA1640" i="4" s="1"/>
  <c r="AC1704" i="4"/>
  <c r="Y1704" i="4"/>
  <c r="AA1704" i="4" s="1"/>
  <c r="Y1657" i="4"/>
  <c r="AA1657" i="4" s="1"/>
  <c r="AC1510" i="4"/>
  <c r="Y1510" i="4"/>
  <c r="AA1510" i="4" s="1"/>
  <c r="AC1456" i="4"/>
  <c r="Y1456" i="4"/>
  <c r="AA1456" i="4" s="1"/>
  <c r="AC1607" i="4"/>
  <c r="AC1579" i="4"/>
  <c r="Y1579" i="4"/>
  <c r="AA1579" i="4" s="1"/>
  <c r="K65" i="8"/>
  <c r="J65" i="8"/>
  <c r="L65" i="8" s="1"/>
  <c r="AC1722" i="4"/>
  <c r="Y1722" i="4"/>
  <c r="AA1722" i="4" s="1"/>
  <c r="AC1636" i="4"/>
  <c r="AC1559" i="4"/>
  <c r="Y1559" i="4"/>
  <c r="AA1559" i="4" s="1"/>
  <c r="AC1430" i="4"/>
  <c r="Y1430" i="4"/>
  <c r="AA1430" i="4" s="1"/>
  <c r="AC1696" i="4"/>
  <c r="Y1696" i="4"/>
  <c r="AA1696" i="4" s="1"/>
  <c r="AC1429" i="4"/>
  <c r="Y1429" i="4"/>
  <c r="AA1429" i="4" s="1"/>
  <c r="AC1764" i="4"/>
  <c r="Y1764" i="4"/>
  <c r="AA1764" i="4" s="1"/>
  <c r="AC1595" i="4"/>
  <c r="Y1595" i="4"/>
  <c r="AA1595" i="4" s="1"/>
  <c r="BA20" i="8"/>
  <c r="Z16" i="8"/>
  <c r="AA16" i="8" s="1"/>
  <c r="AA17" i="8" s="1"/>
  <c r="K232" i="5"/>
  <c r="R232" i="5" s="1"/>
  <c r="AC1773" i="4"/>
  <c r="Y1773" i="4"/>
  <c r="AA1773" i="4" s="1"/>
  <c r="X1534" i="4"/>
  <c r="AC1643" i="4"/>
  <c r="Y1643" i="4"/>
  <c r="AA1643" i="4" s="1"/>
  <c r="AC1458" i="4"/>
  <c r="Y1458" i="4"/>
  <c r="AA1458" i="4" s="1"/>
  <c r="BD48" i="8"/>
  <c r="AG44" i="8" s="1"/>
  <c r="AH44" i="8" s="1"/>
  <c r="AH45" i="8" s="1"/>
  <c r="X1585" i="4"/>
  <c r="AC1493" i="4"/>
  <c r="Y1493" i="4"/>
  <c r="AA1493" i="4" s="1"/>
  <c r="AC1641" i="4"/>
  <c r="Y1641" i="4"/>
  <c r="AA1641" i="4" s="1"/>
  <c r="AC1553" i="4"/>
  <c r="Y1553" i="4"/>
  <c r="AA1553" i="4" s="1"/>
  <c r="X1415" i="4"/>
  <c r="AC1508" i="4"/>
  <c r="Y1508" i="4"/>
  <c r="AA1508" i="4" s="1"/>
  <c r="AC1526" i="4"/>
  <c r="Y1526" i="4"/>
  <c r="AA1526" i="4" s="1"/>
  <c r="X1659" i="4"/>
  <c r="X1554" i="4"/>
  <c r="X1492" i="4"/>
  <c r="K244" i="5"/>
  <c r="R244" i="5" s="1"/>
  <c r="X1614" i="4"/>
  <c r="X1707" i="4"/>
  <c r="X1611" i="4"/>
  <c r="X1509" i="4"/>
  <c r="X1567" i="4"/>
  <c r="X1642" i="4"/>
  <c r="X1432" i="4"/>
  <c r="AC1765" i="4"/>
  <c r="Y1765" i="4"/>
  <c r="AA1765" i="4" s="1"/>
  <c r="X1546" i="4"/>
  <c r="X1461" i="4"/>
  <c r="X1746" i="4"/>
  <c r="X1710" i="4"/>
  <c r="AC1519" i="4"/>
  <c r="Y1519" i="4"/>
  <c r="AA1519" i="4" s="1"/>
  <c r="AC1737" i="4"/>
  <c r="Y1737" i="4"/>
  <c r="AA1737" i="4" s="1"/>
  <c r="X1660" i="4"/>
  <c r="X1445" i="4"/>
  <c r="U108" i="5"/>
  <c r="V108" i="5" s="1"/>
  <c r="W225" i="5" s="1"/>
  <c r="S53" i="5"/>
  <c r="X1540" i="4"/>
  <c r="X1772" i="4"/>
  <c r="X1736" i="4"/>
  <c r="X1610" i="4"/>
  <c r="X1421" i="4"/>
  <c r="X1612" i="4"/>
  <c r="X1473" i="4"/>
  <c r="X1482" i="4"/>
  <c r="X1449" i="4"/>
  <c r="AC1593" i="4"/>
  <c r="Y1593" i="4"/>
  <c r="AA1593" i="4" s="1"/>
  <c r="X1518" i="4"/>
  <c r="X1603" i="4"/>
  <c r="W242" i="5"/>
  <c r="W171" i="5"/>
  <c r="V171" i="5" s="1"/>
  <c r="X1624" i="4"/>
  <c r="X1638" i="4"/>
  <c r="X1608" i="4"/>
  <c r="V225" i="5"/>
  <c r="X1480" i="4"/>
  <c r="AA967" i="4"/>
  <c r="AC1783" i="4" s="1"/>
  <c r="AC1761" i="4"/>
  <c r="Y1761" i="4"/>
  <c r="AA1761" i="4" s="1"/>
  <c r="X1656" i="4"/>
  <c r="AC1670" i="4"/>
  <c r="Y1670" i="4"/>
  <c r="AA1670" i="4" s="1"/>
  <c r="AC1759" i="4"/>
  <c r="Y1759" i="4"/>
  <c r="AA1759" i="4" s="1"/>
  <c r="X1639" i="4"/>
  <c r="X1538" i="4"/>
  <c r="AC1467" i="4"/>
  <c r="Y1467" i="4"/>
  <c r="AA1467" i="4" s="1"/>
  <c r="X1522" i="4"/>
  <c r="X1731" i="4"/>
  <c r="X1661" i="4"/>
  <c r="X1550" i="4"/>
  <c r="AC1539" i="4"/>
  <c r="Y1539" i="4"/>
  <c r="AA1539" i="4" s="1"/>
  <c r="X1596" i="4"/>
  <c r="X1457" i="4"/>
  <c r="X1514" i="4"/>
  <c r="I247" i="5"/>
  <c r="H247" i="5" s="1"/>
  <c r="AC1629" i="4"/>
  <c r="Y1629" i="4"/>
  <c r="AA1629" i="4" s="1"/>
  <c r="AC1674" i="4"/>
  <c r="Y1674" i="4"/>
  <c r="AA1674" i="4" s="1"/>
  <c r="AC1655" i="4"/>
  <c r="Y1655" i="4"/>
  <c r="AA1655" i="4" s="1"/>
  <c r="AC1520" i="4"/>
  <c r="Y1520" i="4"/>
  <c r="AA1520" i="4" s="1"/>
  <c r="AC1436" i="4"/>
  <c r="Y1436" i="4"/>
  <c r="AA1436" i="4" s="1"/>
  <c r="Y1440" i="4"/>
  <c r="AA1440" i="4" s="1"/>
  <c r="AC1440" i="4"/>
  <c r="AC1766" i="4"/>
  <c r="Y1766" i="4"/>
  <c r="AA1766" i="4" s="1"/>
  <c r="AC1475" i="4"/>
  <c r="Y1475" i="4"/>
  <c r="AA1475" i="4" s="1"/>
  <c r="AC1623" i="4"/>
  <c r="AC1720" i="4"/>
  <c r="Y1720" i="4"/>
  <c r="AA1720" i="4" s="1"/>
  <c r="AC1572" i="4"/>
  <c r="Y1572" i="4"/>
  <c r="AA1572" i="4" s="1"/>
  <c r="AC1747" i="4"/>
  <c r="Y1747" i="4"/>
  <c r="AA1747" i="4" s="1"/>
  <c r="AC1448" i="4"/>
  <c r="Y1448" i="4"/>
  <c r="AA1448" i="4" s="1"/>
  <c r="AC1654" i="4"/>
  <c r="Y1654" i="4"/>
  <c r="AA1654" i="4" s="1"/>
  <c r="Y1758" i="4"/>
  <c r="AA1758" i="4" s="1"/>
  <c r="Y1594" i="4"/>
  <c r="AA1594" i="4" s="1"/>
  <c r="AC1627" i="4"/>
  <c r="Y1627" i="4"/>
  <c r="AA1627" i="4" s="1"/>
  <c r="AC1748" i="4"/>
  <c r="Y1748" i="4"/>
  <c r="AA1748" i="4" s="1"/>
  <c r="AC1712" i="4"/>
  <c r="Y1712" i="4"/>
  <c r="AA1712" i="4" s="1"/>
  <c r="AC1442" i="4"/>
  <c r="Y1442" i="4"/>
  <c r="AA1442" i="4" s="1"/>
  <c r="X1542" i="4"/>
  <c r="AC1425" i="4"/>
  <c r="Y1425" i="4"/>
  <c r="AA1425" i="4" s="1"/>
  <c r="AC1711" i="4"/>
  <c r="Y1711" i="4"/>
  <c r="AA1711" i="4" s="1"/>
  <c r="AC1728" i="4"/>
  <c r="Y1728" i="4"/>
  <c r="AA1728" i="4" s="1"/>
  <c r="AC1668" i="4"/>
  <c r="Y1668" i="4"/>
  <c r="AA1668" i="4" s="1"/>
  <c r="X1547" i="4"/>
  <c r="AC1645" i="4"/>
  <c r="Y1645" i="4"/>
  <c r="AA1645" i="4" s="1"/>
  <c r="K68" i="8"/>
  <c r="J68" i="8"/>
  <c r="L68" i="8" s="1"/>
  <c r="AC1752" i="4"/>
  <c r="Y1752" i="4"/>
  <c r="AA1752" i="4" s="1"/>
  <c r="AC1716" i="4"/>
  <c r="Y1716" i="4"/>
  <c r="AA1716" i="4" s="1"/>
  <c r="AC1489" i="4"/>
  <c r="Y1489" i="4"/>
  <c r="AA1489" i="4" s="1"/>
  <c r="AC1528" i="4"/>
  <c r="Y1528" i="4"/>
  <c r="AA1528" i="4" s="1"/>
  <c r="K67" i="8"/>
  <c r="J67" i="8"/>
  <c r="L67" i="8" s="1"/>
  <c r="AC1418" i="4"/>
  <c r="Y1418" i="4"/>
  <c r="AA1418" i="4" s="1"/>
  <c r="AC1767" i="4"/>
  <c r="Y1767" i="4"/>
  <c r="AA1767" i="4" s="1"/>
  <c r="AC1729" i="4"/>
  <c r="Y1729" i="4"/>
  <c r="AA1729" i="4" s="1"/>
  <c r="AC1702" i="4"/>
  <c r="Y1702" i="4"/>
  <c r="AA1702" i="4" s="1"/>
  <c r="AC1555" i="4"/>
  <c r="K246" i="5"/>
  <c r="R246" i="5" s="1"/>
  <c r="AC1771" i="4"/>
  <c r="Y1771" i="4"/>
  <c r="AA1771" i="4" s="1"/>
  <c r="AC1625" i="4"/>
  <c r="Y1625" i="4"/>
  <c r="AA1625" i="4" s="1"/>
  <c r="Y1476" i="4"/>
  <c r="AA1476" i="4" s="1"/>
  <c r="AC1476" i="4"/>
  <c r="AC1505" i="4"/>
  <c r="Y1505" i="4"/>
  <c r="AA1505" i="4" s="1"/>
  <c r="AC1536" i="4"/>
  <c r="Y1536" i="4"/>
  <c r="AA1536" i="4" s="1"/>
  <c r="AC1665" i="4"/>
  <c r="AC1532" i="4"/>
  <c r="Y1532" i="4"/>
  <c r="AA1532" i="4" s="1"/>
  <c r="AC1680" i="4"/>
  <c r="Y1680" i="4"/>
  <c r="AA1680" i="4" s="1"/>
  <c r="AC1472" i="4"/>
  <c r="Y1472" i="4"/>
  <c r="AA1472" i="4" s="1"/>
  <c r="AC1470" i="4"/>
  <c r="Y1470" i="4"/>
  <c r="AA1470" i="4" s="1"/>
  <c r="K64" i="8"/>
  <c r="J64" i="8"/>
  <c r="L64" i="8" s="1"/>
  <c r="AC1504" i="4"/>
  <c r="Y1504" i="4"/>
  <c r="AA1504" i="4" s="1"/>
  <c r="AC1742" i="4"/>
  <c r="Y1742" i="4"/>
  <c r="AA1742" i="4" s="1"/>
  <c r="AC1706" i="4"/>
  <c r="Y1706" i="4"/>
  <c r="AA1706" i="4" s="1"/>
  <c r="AC1725" i="4"/>
  <c r="Y1725" i="4"/>
  <c r="AA1725" i="4" s="1"/>
  <c r="AC1570" i="4"/>
  <c r="Y1570" i="4"/>
  <c r="AA1570" i="4" s="1"/>
  <c r="AC1485" i="4"/>
  <c r="Y1485" i="4"/>
  <c r="AA1485" i="4" s="1"/>
  <c r="AC1723" i="4"/>
  <c r="Y1723" i="4"/>
  <c r="AA1723" i="4" s="1"/>
  <c r="AA1516" i="4"/>
  <c r="Y1428" i="4"/>
  <c r="AA1428" i="4" s="1"/>
  <c r="AC1428" i="4"/>
  <c r="AC1768" i="4"/>
  <c r="Y1768" i="4"/>
  <c r="AA1768" i="4" s="1"/>
  <c r="AC1732" i="4"/>
  <c r="Y1732" i="4"/>
  <c r="AA1732" i="4" s="1"/>
  <c r="AC1630" i="4"/>
  <c r="Y1630" i="4"/>
  <c r="AA1630" i="4" s="1"/>
  <c r="AC1417" i="4"/>
  <c r="Y1417" i="4"/>
  <c r="AA1417" i="4" s="1"/>
  <c r="Y1618" i="4"/>
  <c r="AA1618" i="4" s="1"/>
  <c r="AC1618" i="4"/>
  <c r="AC1531" i="4"/>
  <c r="Y1531" i="4"/>
  <c r="AA1531" i="4" s="1"/>
  <c r="AC1590" i="4"/>
  <c r="Y1590" i="4"/>
  <c r="AA1590" i="4" s="1"/>
  <c r="AC1562" i="4"/>
  <c r="Y1562" i="4"/>
  <c r="AA1562" i="4" s="1"/>
  <c r="AC1551" i="4"/>
  <c r="Y1551" i="4"/>
  <c r="AA1551" i="4" s="1"/>
  <c r="AC1424" i="4"/>
  <c r="Y1424" i="4"/>
  <c r="AA1424" i="4" s="1"/>
  <c r="AC1719" i="4"/>
  <c r="Y1719" i="4"/>
  <c r="AA1719" i="4" s="1"/>
  <c r="AC1646" i="4"/>
  <c r="Y1646" i="4"/>
  <c r="AA1646" i="4" s="1"/>
  <c r="AC1468" i="4"/>
  <c r="Y1468" i="4"/>
  <c r="AA1468" i="4" s="1"/>
  <c r="AC1738" i="4"/>
  <c r="Y1738" i="4"/>
  <c r="AA1738" i="4" s="1"/>
  <c r="Y1558" i="4"/>
  <c r="AA1558" i="4" s="1"/>
  <c r="AC1487" i="4"/>
  <c r="Y1487" i="4"/>
  <c r="AA1487" i="4" s="1"/>
  <c r="X1647" i="4"/>
  <c r="AC1609" i="4"/>
  <c r="Y1609" i="4"/>
  <c r="AA1609" i="4" s="1"/>
  <c r="AC1491" i="4"/>
  <c r="Y1491" i="4"/>
  <c r="AA1491" i="4" s="1"/>
  <c r="X1563" i="4"/>
  <c r="X1548" i="4"/>
  <c r="X1578" i="4"/>
  <c r="X1615" i="4"/>
  <c r="X1484" i="4"/>
  <c r="X1602" i="4"/>
  <c r="X1481" i="4"/>
  <c r="X1628" i="4"/>
  <c r="X1488" i="4"/>
  <c r="AU20" i="8"/>
  <c r="L16" i="8"/>
  <c r="M16" i="8" s="1"/>
  <c r="M17" i="8" s="1"/>
  <c r="X1770" i="4"/>
  <c r="X1734" i="4"/>
  <c r="X1626" i="4"/>
  <c r="AC1451" i="4"/>
  <c r="Y1451" i="4"/>
  <c r="AA1451" i="4" s="1"/>
  <c r="X1620" i="4"/>
  <c r="X1648" i="4"/>
  <c r="X1582" i="4"/>
  <c r="AC1735" i="4"/>
  <c r="Y1735" i="4"/>
  <c r="AA1735" i="4" s="1"/>
  <c r="X1760" i="4"/>
  <c r="X1724" i="4"/>
  <c r="X1490" i="4"/>
  <c r="X1755" i="4"/>
  <c r="AC1545" i="4"/>
  <c r="Y1545" i="4"/>
  <c r="AA1545" i="4" s="1"/>
  <c r="X1478" i="4"/>
  <c r="X1501" i="4"/>
  <c r="AR20" i="8"/>
  <c r="E16" i="8"/>
  <c r="F16" i="8" s="1"/>
  <c r="F17" i="8" s="1"/>
  <c r="AC1769" i="4"/>
  <c r="Y1769" i="4"/>
  <c r="AA1769" i="4" s="1"/>
  <c r="X1619" i="4"/>
  <c r="X1662" i="4"/>
  <c r="AC1688" i="4"/>
  <c r="Y1688" i="4"/>
  <c r="AA1688" i="4" s="1"/>
  <c r="X1622" i="4"/>
  <c r="AC1511" i="4"/>
  <c r="Y1511" i="4"/>
  <c r="AA1511" i="4" s="1"/>
  <c r="X1584" i="4"/>
  <c r="X1644" i="4"/>
  <c r="X1664" i="4"/>
  <c r="X1663" i="4"/>
  <c r="AC1692" i="4"/>
  <c r="Y1692" i="4"/>
  <c r="AA1692" i="4" s="1"/>
  <c r="AC1527" i="4"/>
  <c r="Y1527" i="4"/>
  <c r="AA1527" i="4" s="1"/>
  <c r="X1649" i="4"/>
  <c r="AC1751" i="4"/>
  <c r="Y1751" i="4"/>
  <c r="AA1751" i="4" s="1"/>
  <c r="K47" i="5"/>
  <c r="S47" i="5" s="1"/>
  <c r="AC1543" i="4" l="1"/>
  <c r="Y1543" i="4"/>
  <c r="AA1543" i="4" s="1"/>
  <c r="AC1574" i="4"/>
  <c r="Y1576" i="4"/>
  <c r="AA1576" i="4" s="1"/>
  <c r="Y1580" i="4"/>
  <c r="AA1580" i="4" s="1"/>
  <c r="AC1580" i="4"/>
  <c r="AC1589" i="4"/>
  <c r="Y1589" i="4"/>
  <c r="AA1589" i="4" s="1"/>
  <c r="Y1633" i="4"/>
  <c r="AA1633" i="4" s="1"/>
  <c r="K1792" i="4" a="1"/>
  <c r="K1792" i="4" s="1"/>
  <c r="K1795" i="4" a="1"/>
  <c r="K1795" i="4" s="1"/>
  <c r="K1793" i="4" a="1"/>
  <c r="K1793" i="4" s="1"/>
  <c r="K1794" i="4" a="1"/>
  <c r="K1794" i="4" s="1"/>
  <c r="K1791" i="4" a="1"/>
  <c r="K1791" i="4" s="1"/>
  <c r="I1792" i="4" a="1"/>
  <c r="I1792" i="4" s="1"/>
  <c r="I1793" i="4" a="1"/>
  <c r="I1793" i="4" s="1"/>
  <c r="X1784" i="4"/>
  <c r="D995" i="2" s="1"/>
  <c r="D996" i="2" s="1"/>
  <c r="I1791" i="4" a="1"/>
  <c r="I1791" i="4" s="1"/>
  <c r="Y1672" i="4"/>
  <c r="AA1672" i="4" s="1"/>
  <c r="AC1672" i="4"/>
  <c r="AC1679" i="4"/>
  <c r="Y1679" i="4"/>
  <c r="AA1679" i="4" s="1"/>
  <c r="AC1682" i="4"/>
  <c r="Y1682" i="4"/>
  <c r="AA1682" i="4" s="1"/>
  <c r="AC1690" i="4"/>
  <c r="Y1690" i="4"/>
  <c r="AA1690" i="4" s="1"/>
  <c r="S233" i="5"/>
  <c r="U233" i="5"/>
  <c r="V233" i="5" s="1"/>
  <c r="Y1488" i="4"/>
  <c r="AA1488" i="4" s="1"/>
  <c r="AC1488" i="4"/>
  <c r="AC1578" i="4"/>
  <c r="Y1578" i="4"/>
  <c r="AA1578" i="4" s="1"/>
  <c r="AC1663" i="4"/>
  <c r="Y1663" i="4"/>
  <c r="AA1663" i="4" s="1"/>
  <c r="AC1622" i="4"/>
  <c r="Y1622" i="4"/>
  <c r="AA1622" i="4" s="1"/>
  <c r="AC1626" i="4"/>
  <c r="Y1626" i="4"/>
  <c r="AA1626" i="4" s="1"/>
  <c r="AC1628" i="4"/>
  <c r="Y1628" i="4"/>
  <c r="AA1628" i="4" s="1"/>
  <c r="AC1548" i="4"/>
  <c r="Y1548" i="4"/>
  <c r="AA1548" i="4" s="1"/>
  <c r="AC1647" i="4"/>
  <c r="Y1647" i="4"/>
  <c r="AA1647" i="4" s="1"/>
  <c r="AC1522" i="4"/>
  <c r="Y1522" i="4"/>
  <c r="AA1522" i="4" s="1"/>
  <c r="AC1449" i="4"/>
  <c r="Y1449" i="4"/>
  <c r="AA1449" i="4" s="1"/>
  <c r="AC1660" i="4"/>
  <c r="Y1660" i="4"/>
  <c r="AA1660" i="4" s="1"/>
  <c r="AC1642" i="4"/>
  <c r="Y1642" i="4"/>
  <c r="AA1642" i="4" s="1"/>
  <c r="AC1664" i="4"/>
  <c r="Y1664" i="4"/>
  <c r="AA1664" i="4" s="1"/>
  <c r="AC1755" i="4"/>
  <c r="Y1755" i="4"/>
  <c r="AA1755" i="4" s="1"/>
  <c r="AC1734" i="4"/>
  <c r="Y1734" i="4"/>
  <c r="AA1734" i="4" s="1"/>
  <c r="AC1563" i="4"/>
  <c r="Y1563" i="4"/>
  <c r="AA1563" i="4" s="1"/>
  <c r="AC1648" i="4"/>
  <c r="Y1648" i="4"/>
  <c r="AA1648" i="4" s="1"/>
  <c r="AC1602" i="4"/>
  <c r="Y1602" i="4"/>
  <c r="AA1602" i="4" s="1"/>
  <c r="AC1501" i="4"/>
  <c r="Y1501" i="4"/>
  <c r="AA1501" i="4" s="1"/>
  <c r="AC1484" i="4"/>
  <c r="Y1484" i="4"/>
  <c r="AA1484" i="4" s="1"/>
  <c r="AC1596" i="4"/>
  <c r="Y1596" i="4"/>
  <c r="AA1596" i="4" s="1"/>
  <c r="AC1736" i="4"/>
  <c r="Y1736" i="4"/>
  <c r="AA1736" i="4" s="1"/>
  <c r="AC1746" i="4"/>
  <c r="Y1746" i="4"/>
  <c r="AA1746" i="4" s="1"/>
  <c r="AC1614" i="4"/>
  <c r="Y1614" i="4"/>
  <c r="AA1614" i="4" s="1"/>
  <c r="AC1649" i="4"/>
  <c r="Y1649" i="4"/>
  <c r="AA1649" i="4" s="1"/>
  <c r="F52" i="8"/>
  <c r="Y1582" i="4"/>
  <c r="AA1582" i="4" s="1"/>
  <c r="AC1582" i="4"/>
  <c r="AC1481" i="4"/>
  <c r="Y1481" i="4"/>
  <c r="AA1481" i="4" s="1"/>
  <c r="AC1644" i="4"/>
  <c r="Y1644" i="4"/>
  <c r="AA1644" i="4" s="1"/>
  <c r="AC1490" i="4"/>
  <c r="Y1490" i="4"/>
  <c r="AA1490" i="4" s="1"/>
  <c r="AC1770" i="4"/>
  <c r="Y1770" i="4"/>
  <c r="AA1770" i="4" s="1"/>
  <c r="AC1584" i="4"/>
  <c r="Y1584" i="4"/>
  <c r="AA1584" i="4" s="1"/>
  <c r="AC1662" i="4"/>
  <c r="Y1662" i="4"/>
  <c r="AA1662" i="4" s="1"/>
  <c r="AC1724" i="4"/>
  <c r="Y1724" i="4"/>
  <c r="AA1724" i="4" s="1"/>
  <c r="AC1620" i="4"/>
  <c r="Y1620" i="4"/>
  <c r="AA1620" i="4" s="1"/>
  <c r="AC1550" i="4"/>
  <c r="Y1550" i="4"/>
  <c r="AA1550" i="4" s="1"/>
  <c r="AC1538" i="4"/>
  <c r="Y1538" i="4"/>
  <c r="AA1538" i="4" s="1"/>
  <c r="AC1656" i="4"/>
  <c r="Y1656" i="4"/>
  <c r="AA1656" i="4" s="1"/>
  <c r="AC1608" i="4"/>
  <c r="Y1608" i="4"/>
  <c r="AA1608" i="4" s="1"/>
  <c r="AC1518" i="4"/>
  <c r="Y1518" i="4"/>
  <c r="AA1518" i="4" s="1"/>
  <c r="AC1612" i="4"/>
  <c r="Y1612" i="4"/>
  <c r="AA1612" i="4" s="1"/>
  <c r="AC1509" i="4"/>
  <c r="Y1509" i="4"/>
  <c r="AA1509" i="4" s="1"/>
  <c r="AC1554" i="4"/>
  <c r="Y1554" i="4"/>
  <c r="AA1554" i="4" s="1"/>
  <c r="AC1415" i="4"/>
  <c r="Y1415" i="4"/>
  <c r="AA1415" i="4" s="1"/>
  <c r="Y1784" i="4"/>
  <c r="D1000" i="2" s="1"/>
  <c r="D1004" i="2" s="1"/>
  <c r="D1007" i="2" s="1"/>
  <c r="D1008" i="2" s="1"/>
  <c r="AC1598" i="4"/>
  <c r="Y1598" i="4"/>
  <c r="AA1598" i="4" s="1"/>
  <c r="AC1619" i="4"/>
  <c r="Y1619" i="4"/>
  <c r="AA1619" i="4" s="1"/>
  <c r="AC1478" i="4"/>
  <c r="Y1478" i="4"/>
  <c r="AA1478" i="4" s="1"/>
  <c r="AC1760" i="4"/>
  <c r="Y1760" i="4"/>
  <c r="AA1760" i="4" s="1"/>
  <c r="AC1615" i="4"/>
  <c r="Y1615" i="4"/>
  <c r="AA1615" i="4" s="1"/>
  <c r="AA1665" i="4"/>
  <c r="A1791" i="4"/>
  <c r="A1797" i="4"/>
  <c r="U246" i="5"/>
  <c r="V246" i="5" s="1"/>
  <c r="S246" i="5"/>
  <c r="AC1542" i="4"/>
  <c r="Y1542" i="4"/>
  <c r="AA1542" i="4" s="1"/>
  <c r="AC1514" i="4"/>
  <c r="Y1514" i="4"/>
  <c r="AA1514" i="4" s="1"/>
  <c r="AC1661" i="4"/>
  <c r="Y1661" i="4"/>
  <c r="AA1661" i="4" s="1"/>
  <c r="AC1639" i="4"/>
  <c r="Y1785" i="4"/>
  <c r="Y1639" i="4"/>
  <c r="AA1639" i="4" s="1"/>
  <c r="AC1638" i="4"/>
  <c r="Y1638" i="4"/>
  <c r="AA1638" i="4" s="1"/>
  <c r="AC1421" i="4"/>
  <c r="Y1421" i="4"/>
  <c r="AA1421" i="4" s="1"/>
  <c r="AC1611" i="4"/>
  <c r="Y1611" i="4"/>
  <c r="AA1611" i="4" s="1"/>
  <c r="AC1659" i="4"/>
  <c r="Y1659" i="4"/>
  <c r="AA1659" i="4" s="1"/>
  <c r="AC1585" i="4"/>
  <c r="Y1585" i="4"/>
  <c r="AA1585" i="4" s="1"/>
  <c r="AC1457" i="4"/>
  <c r="Y1457" i="4"/>
  <c r="AA1457" i="4" s="1"/>
  <c r="AC1731" i="4"/>
  <c r="Y1731" i="4"/>
  <c r="AA1731" i="4" s="1"/>
  <c r="AC1624" i="4"/>
  <c r="Y1624" i="4"/>
  <c r="AA1624" i="4" s="1"/>
  <c r="AC1610" i="4"/>
  <c r="Y1610" i="4"/>
  <c r="AA1610" i="4" s="1"/>
  <c r="AC1445" i="4"/>
  <c r="Y1445" i="4"/>
  <c r="AA1445" i="4" s="1"/>
  <c r="AC1710" i="4"/>
  <c r="Y1710" i="4"/>
  <c r="AA1710" i="4" s="1"/>
  <c r="AC1432" i="4"/>
  <c r="Y1432" i="4"/>
  <c r="AA1432" i="4" s="1"/>
  <c r="AC1707" i="4"/>
  <c r="Y1707" i="4"/>
  <c r="AA1707" i="4" s="1"/>
  <c r="AC1534" i="4"/>
  <c r="Y1534" i="4"/>
  <c r="AA1534" i="4" s="1"/>
  <c r="Y1786" i="4"/>
  <c r="AC1530" i="4"/>
  <c r="Y1530" i="4"/>
  <c r="AA1530" i="4" s="1"/>
  <c r="AC1573" i="4"/>
  <c r="Y1573" i="4"/>
  <c r="AA1573" i="4" s="1"/>
  <c r="AC1650" i="4"/>
  <c r="Y1650" i="4"/>
  <c r="AA1650" i="4" s="1"/>
  <c r="AC1547" i="4"/>
  <c r="Y1547" i="4"/>
  <c r="AA1547" i="4" s="1"/>
  <c r="AC1480" i="4"/>
  <c r="Y1480" i="4"/>
  <c r="AA1480" i="4" s="1"/>
  <c r="AC1482" i="4"/>
  <c r="Y1482" i="4"/>
  <c r="AA1482" i="4" s="1"/>
  <c r="AC1772" i="4"/>
  <c r="Y1772" i="4"/>
  <c r="AA1772" i="4" s="1"/>
  <c r="AC1461" i="4"/>
  <c r="Y1461" i="4"/>
  <c r="AA1461" i="4" s="1"/>
  <c r="S244" i="5"/>
  <c r="U244" i="5"/>
  <c r="V244" i="5" s="1"/>
  <c r="AC1561" i="4"/>
  <c r="Y1561" i="4"/>
  <c r="AA1561" i="4" s="1"/>
  <c r="AC1743" i="4"/>
  <c r="Y1743" i="4"/>
  <c r="AA1743" i="4" s="1"/>
  <c r="W1790" i="4"/>
  <c r="W1792" i="4" s="1"/>
  <c r="X1776" i="4"/>
  <c r="AC1603" i="4"/>
  <c r="Y1603" i="4"/>
  <c r="AA1603" i="4" s="1"/>
  <c r="AC1473" i="4"/>
  <c r="Y1473" i="4"/>
  <c r="AA1473" i="4" s="1"/>
  <c r="AC1540" i="4"/>
  <c r="Y1540" i="4"/>
  <c r="AA1540" i="4" s="1"/>
  <c r="AC1546" i="4"/>
  <c r="Y1546" i="4"/>
  <c r="AA1546" i="4" s="1"/>
  <c r="AC1567" i="4"/>
  <c r="Y1567" i="4"/>
  <c r="AA1567" i="4" s="1"/>
  <c r="AC1492" i="4"/>
  <c r="Y1492" i="4"/>
  <c r="AA1492" i="4" s="1"/>
  <c r="U232" i="5"/>
  <c r="V232" i="5" s="1"/>
  <c r="S232" i="5"/>
  <c r="AC1694" i="4"/>
  <c r="Y1694" i="4"/>
  <c r="AA1694" i="4" s="1"/>
  <c r="AC1597" i="4"/>
  <c r="Y1597" i="4"/>
  <c r="AA1597" i="4" s="1"/>
  <c r="AC1632" i="4"/>
  <c r="Y1632" i="4"/>
  <c r="AA1632" i="4" s="1"/>
  <c r="AC1631" i="4"/>
  <c r="Y1631" i="4"/>
  <c r="AA1631" i="4" s="1"/>
  <c r="V1792" i="4"/>
  <c r="H1792" i="4" l="1"/>
  <c r="AA1790" i="4"/>
  <c r="AA1792" i="4" s="1"/>
  <c r="AC1776" i="4"/>
  <c r="Y1776" i="4"/>
  <c r="AA1776" i="4" s="1"/>
  <c r="AC1784" i="4"/>
</calcChain>
</file>

<file path=xl/comments1.xml><?xml version="1.0" encoding="utf-8"?>
<comments xmlns="http://schemas.openxmlformats.org/spreadsheetml/2006/main">
  <authors>
    <author/>
  </authors>
  <commentList>
    <comment ref="F11" authorId="0" shapeId="0">
      <text>
        <r>
          <rPr>
            <sz val="11"/>
            <color theme="1"/>
            <rFont val="Calibri"/>
            <scheme val="minor"/>
          </rPr>
          <t>SBI FD Intt rate for 46 days
======</t>
        </r>
      </text>
    </comment>
    <comment ref="D22" authorId="0" shapeId="0">
      <text>
        <r>
          <rPr>
            <sz val="11"/>
            <color theme="1"/>
            <rFont val="Calibri"/>
            <scheme val="minor"/>
          </rPr>
          <t>Kotak Ledger Balance + Amount hold for FNO Trade
======</t>
        </r>
      </text>
    </comment>
    <comment ref="H23" authorId="0" shapeId="0">
      <text>
        <r>
          <rPr>
            <sz val="11"/>
            <color theme="1"/>
            <rFont val="Calibri"/>
            <scheme val="minor"/>
          </rPr>
          <t>Count of days on which Profit earned
======</t>
        </r>
      </text>
    </comment>
    <comment ref="H24" authorId="0" shapeId="0">
      <text>
        <r>
          <rPr>
            <sz val="11"/>
            <color theme="1"/>
            <rFont val="Calibri"/>
            <scheme val="minor"/>
          </rPr>
          <t>Count of days on which Loss incurred
======</t>
        </r>
      </text>
    </comment>
    <comment ref="E31" authorId="0" shapeId="0">
      <text>
        <r>
          <rPr>
            <sz val="11"/>
            <color theme="1"/>
            <rFont val="Calibri"/>
            <scheme val="minor"/>
          </rPr>
          <t>Count of days on which Profit earned during the month
======</t>
        </r>
      </text>
    </comment>
    <comment ref="E32" authorId="0" shapeId="0">
      <text>
        <r>
          <rPr>
            <sz val="11"/>
            <color theme="1"/>
            <rFont val="Calibri"/>
            <scheme val="minor"/>
          </rPr>
          <t>Count of days on which Loss incurred during the month
======</t>
        </r>
      </text>
    </comment>
  </commentList>
</comments>
</file>

<file path=xl/comments2.xml><?xml version="1.0" encoding="utf-8"?>
<comments xmlns="http://schemas.openxmlformats.org/spreadsheetml/2006/main">
  <authors>
    <author/>
  </authors>
  <commentList>
    <comment ref="B7" authorId="0" shapeId="0">
      <text>
        <r>
          <rPr>
            <sz val="11"/>
            <color theme="1"/>
            <rFont val="Calibri"/>
            <scheme val="minor"/>
          </rPr>
          <t>575@26 Satya allotted
500@26 Sunita transferred from her demat
Minus bought 500@25 (plus charges extra) and transferred to her demat
======</t>
        </r>
      </text>
    </comment>
    <comment ref="B83" authorId="0" shapeId="0">
      <text>
        <r>
          <rPr>
            <sz val="11"/>
            <color theme="1"/>
            <rFont val="Calibri"/>
            <scheme val="minor"/>
          </rPr>
          <t>₹ -6292.52
======</t>
        </r>
      </text>
    </comment>
    <comment ref="B84" authorId="0" shapeId="0">
      <text>
        <r>
          <rPr>
            <sz val="11"/>
            <color theme="1"/>
            <rFont val="Calibri"/>
            <scheme val="minor"/>
          </rPr>
          <t>₹-2475.13
======</t>
        </r>
      </text>
    </comment>
    <comment ref="B86" authorId="0" shapeId="0">
      <text>
        <r>
          <rPr>
            <sz val="11"/>
            <color theme="1"/>
            <rFont val="Calibri"/>
            <scheme val="minor"/>
          </rPr>
          <t>₹-8779.35
======</t>
        </r>
      </text>
    </comment>
    <comment ref="B100" authorId="0" shapeId="0">
      <text>
        <r>
          <rPr>
            <sz val="11"/>
            <color theme="1"/>
            <rFont val="Calibri"/>
            <scheme val="minor"/>
          </rPr>
          <t>Debit for ofs application for 100@159.80 of ONGC ₹ 15,996.68 on 31-Mar-22
100 shown in T1 on 01-Apr-22 hence added in holding and amount deleted from here
======</t>
        </r>
      </text>
    </comment>
    <comment ref="B109" authorId="0" shapeId="0">
      <text>
        <r>
          <rPr>
            <sz val="11"/>
            <color theme="1"/>
            <rFont val="Calibri"/>
            <scheme val="minor"/>
          </rPr>
          <t>Debit for ofs application for 280@800 of INEOSSTYRO ₹224,231.50
280 shown in T1 on 20-Apr-22 hence added in holding and amount deleted from here
======</t>
        </r>
      </text>
    </comment>
    <comment ref="C109" authorId="0" shapeId="0">
      <text>
        <r>
          <rPr>
            <sz val="11"/>
            <color theme="1"/>
            <rFont val="Calibri"/>
            <scheme val="minor"/>
          </rPr>
          <t>INEOS Styrolution India Ltd
======</t>
        </r>
      </text>
    </comment>
    <comment ref="A122" authorId="0" shapeId="0">
      <text>
        <r>
          <rPr>
            <sz val="11"/>
            <color theme="1"/>
            <rFont val="Calibri"/>
            <scheme val="minor"/>
          </rPr>
          <t>Due to an error by SBI the amount was debited on 13-May-22
======</t>
        </r>
      </text>
    </comment>
    <comment ref="F230" authorId="0" shapeId="0">
      <text>
        <r>
          <rPr>
            <sz val="11"/>
            <color theme="1"/>
            <rFont val="Calibri"/>
            <scheme val="minor"/>
          </rPr>
          <t>SBI FD Intt rate for 46 days
======</t>
        </r>
      </text>
    </comment>
    <comment ref="C250" authorId="0" shapeId="0">
      <text>
        <r>
          <rPr>
            <sz val="11"/>
            <color theme="1"/>
            <rFont val="Calibri"/>
            <scheme val="minor"/>
          </rPr>
          <t>Short Delivery BoM &amp; IOB
======</t>
        </r>
      </text>
    </comment>
    <comment ref="K318" authorId="0" shapeId="0">
      <text>
        <r>
          <rPr>
            <sz val="11"/>
            <color theme="1"/>
            <rFont val="Calibri"/>
            <scheme val="minor"/>
          </rPr>
          <t>Off Market shares Transfer Charges. Transferred through CDSL Easiest on 12-07-2021
======</t>
        </r>
      </text>
    </comment>
    <comment ref="K330" authorId="0" shapeId="0">
      <text>
        <r>
          <rPr>
            <sz val="11"/>
            <color theme="1"/>
            <rFont val="Calibri"/>
            <scheme val="minor"/>
          </rPr>
          <t>Noted in Satya's AMC etc charges
======</t>
        </r>
      </text>
    </comment>
    <comment ref="K356" authorId="0" shapeId="0">
      <text>
        <r>
          <rPr>
            <sz val="11"/>
            <color theme="1"/>
            <rFont val="Calibri"/>
            <scheme val="minor"/>
          </rPr>
          <t>Noted in Satya's AMC etc charges
======</t>
        </r>
      </text>
    </comment>
    <comment ref="K376" authorId="0" shapeId="0">
      <text>
        <r>
          <rPr>
            <sz val="11"/>
            <color theme="1"/>
            <rFont val="Calibri"/>
            <scheme val="minor"/>
          </rPr>
          <t>Debited on 02/12/2021
======</t>
        </r>
      </text>
    </comment>
    <comment ref="K422" authorId="0" shapeId="0">
      <text>
        <r>
          <rPr>
            <sz val="11"/>
            <color theme="1"/>
            <rFont val="Calibri"/>
            <scheme val="minor"/>
          </rPr>
          <t>AMC for Demat Account for 02-06-2021 to 31-08-2021
Noted in Satya's AMC etc charges
======</t>
        </r>
      </text>
    </comment>
    <comment ref="K431" authorId="0" shapeId="0">
      <text>
        <r>
          <rPr>
            <sz val="11"/>
            <color theme="1"/>
            <rFont val="Calibri"/>
            <scheme val="minor"/>
          </rPr>
          <t>AMC for Demat Account for 01-09-2021 to 30-11-2021
Noted in Satya's AMC etc charges
======</t>
        </r>
      </text>
    </comment>
    <comment ref="D985" authorId="0" shapeId="0">
      <text>
        <r>
          <rPr>
            <sz val="11"/>
            <color theme="1"/>
            <rFont val="Calibri"/>
            <scheme val="minor"/>
          </rPr>
          <t>Kotak Ledger Balance + Amount hold for FNO Trade
======</t>
        </r>
      </text>
    </comment>
    <comment ref="F985" authorId="0" shapeId="0">
      <text>
        <r>
          <rPr>
            <sz val="11"/>
            <color theme="1"/>
            <rFont val="Calibri"/>
            <scheme val="minor"/>
          </rPr>
          <t>Increase/Decrease in Investment over Previous Day
======</t>
        </r>
      </text>
    </comment>
    <comment ref="H987" authorId="0" shapeId="0">
      <text>
        <r>
          <rPr>
            <sz val="11"/>
            <color theme="1"/>
            <rFont val="Calibri"/>
            <scheme val="minor"/>
          </rPr>
          <t>Count of days on which Profit earned
======</t>
        </r>
      </text>
    </comment>
    <comment ref="H988" authorId="0" shapeId="0">
      <text>
        <r>
          <rPr>
            <sz val="11"/>
            <color theme="1"/>
            <rFont val="Calibri"/>
            <scheme val="minor"/>
          </rPr>
          <t>Count of days on which Loss incurred
======</t>
        </r>
      </text>
    </comment>
    <comment ref="E994" authorId="0" shapeId="0">
      <text>
        <r>
          <rPr>
            <sz val="11"/>
            <color theme="1"/>
            <rFont val="Calibri"/>
            <scheme val="minor"/>
          </rPr>
          <t>Count of days on which Profit earned during the month
======</t>
        </r>
      </text>
    </comment>
    <comment ref="E995" authorId="0" shapeId="0">
      <text>
        <r>
          <rPr>
            <sz val="11"/>
            <color theme="1"/>
            <rFont val="Calibri"/>
            <scheme val="minor"/>
          </rPr>
          <t>Count of days on which Loss incurred during the month
======</t>
        </r>
      </text>
    </comment>
  </commentList>
</comments>
</file>

<file path=xl/comments3.xml><?xml version="1.0" encoding="utf-8"?>
<comments xmlns="http://schemas.openxmlformats.org/spreadsheetml/2006/main">
  <authors>
    <author/>
  </authors>
  <commentList>
    <comment ref="F17" authorId="0" shapeId="0">
      <text>
        <r>
          <rPr>
            <sz val="11"/>
            <color theme="1"/>
            <rFont val="Calibri"/>
            <scheme val="minor"/>
          </rPr>
          <t>SBI FD Intt rate for 46 days
======</t>
        </r>
      </text>
    </comment>
    <comment ref="D88" authorId="0" shapeId="0">
      <text>
        <r>
          <rPr>
            <sz val="11"/>
            <color theme="1"/>
            <rFont val="Calibri"/>
            <scheme val="minor"/>
          </rPr>
          <t>Kotak Ledger Balance + Amount hold for FNO Trade
======</t>
        </r>
      </text>
    </comment>
    <comment ref="H89" authorId="0" shapeId="0">
      <text>
        <r>
          <rPr>
            <sz val="11"/>
            <color theme="1"/>
            <rFont val="Calibri"/>
            <scheme val="minor"/>
          </rPr>
          <t>Count of days on which Profit earned
======</t>
        </r>
      </text>
    </comment>
    <comment ref="H90" authorId="0" shapeId="0">
      <text>
        <r>
          <rPr>
            <sz val="11"/>
            <color theme="1"/>
            <rFont val="Calibri"/>
            <scheme val="minor"/>
          </rPr>
          <t>Count of days on which Loss incurred
======</t>
        </r>
      </text>
    </comment>
    <comment ref="E97" authorId="0" shapeId="0">
      <text>
        <r>
          <rPr>
            <sz val="11"/>
            <color theme="1"/>
            <rFont val="Calibri"/>
            <scheme val="minor"/>
          </rPr>
          <t>Count of days on which Profit earned during the month
======</t>
        </r>
      </text>
    </comment>
    <comment ref="E98" authorId="0" shapeId="0">
      <text>
        <r>
          <rPr>
            <sz val="11"/>
            <color theme="1"/>
            <rFont val="Calibri"/>
            <scheme val="minor"/>
          </rPr>
          <t>Count of days on which Loss incurred during the month
======</t>
        </r>
      </text>
    </comment>
  </commentList>
</comments>
</file>

<file path=xl/comments4.xml><?xml version="1.0" encoding="utf-8"?>
<comments xmlns="http://schemas.openxmlformats.org/spreadsheetml/2006/main">
  <authors>
    <author/>
  </authors>
  <commentList>
    <comment ref="J1414" authorId="0" shapeId="0">
      <text>
        <r>
          <rPr>
            <sz val="11"/>
            <color theme="1"/>
            <rFont val="Calibri"/>
            <scheme val="minor"/>
          </rPr>
          <t>Orders
Buy+Sell Constitute One complete order if both rates are entered. If only Buy or Sell rate is entered shall make one partially complete order and make it a fully complete order when other rate (Buy/Sell) is entered in any next trading session, however brokerage will be calculated accordingly for partially or fully complete order on any particular day
======</t>
        </r>
      </text>
    </comment>
    <comment ref="A1417" authorId="0" shapeId="0">
      <text>
        <r>
          <rPr>
            <sz val="11"/>
            <color theme="1"/>
            <rFont val="Calibri"/>
            <scheme val="minor"/>
          </rPr>
          <t>Buy on 28-Jan-22
======</t>
        </r>
      </text>
    </comment>
    <comment ref="A1418" authorId="0" shapeId="0">
      <text>
        <r>
          <rPr>
            <sz val="11"/>
            <color theme="1"/>
            <rFont val="Calibri"/>
            <scheme val="minor"/>
          </rPr>
          <t>Buy on 07-Feb-22
======</t>
        </r>
      </text>
    </comment>
    <comment ref="B1784" authorId="0" shapeId="0">
      <text>
        <r>
          <rPr>
            <sz val="11"/>
            <color theme="1"/>
            <rFont val="Calibri"/>
            <scheme val="minor"/>
          </rPr>
          <t>Intraday
======</t>
        </r>
      </text>
    </comment>
    <comment ref="Y1784" authorId="0" shapeId="0">
      <text>
        <r>
          <rPr>
            <sz val="11"/>
            <color theme="1"/>
            <rFont val="Calibri"/>
            <scheme val="minor"/>
          </rPr>
          <t>Zerodha Total Charges
======</t>
        </r>
      </text>
    </comment>
    <comment ref="Z1784" authorId="0" shapeId="0">
      <text>
        <r>
          <rPr>
            <sz val="11"/>
            <color theme="1"/>
            <rFont val="Calibri"/>
            <scheme val="minor"/>
          </rPr>
          <t>Zerodha Brokerages
======</t>
        </r>
      </text>
    </comment>
    <comment ref="Y1785" authorId="0" shapeId="0">
      <text>
        <r>
          <rPr>
            <sz val="11"/>
            <color theme="1"/>
            <rFont val="Calibri"/>
            <scheme val="minor"/>
          </rPr>
          <t>Dhan Total Charges
======</t>
        </r>
      </text>
    </comment>
    <comment ref="Z1785" authorId="0" shapeId="0">
      <text>
        <r>
          <rPr>
            <sz val="11"/>
            <color theme="1"/>
            <rFont val="Calibri"/>
            <scheme val="minor"/>
          </rPr>
          <t>Dhan Brokerages
======</t>
        </r>
      </text>
    </comment>
    <comment ref="AB1785" authorId="0" shapeId="0">
      <text>
        <r>
          <rPr>
            <sz val="11"/>
            <color theme="1"/>
            <rFont val="Calibri"/>
            <scheme val="minor"/>
          </rPr>
          <t>Paid to OPP ₹ 2000
======</t>
        </r>
      </text>
    </comment>
    <comment ref="Y1786" authorId="0" shapeId="0">
      <text>
        <r>
          <rPr>
            <sz val="11"/>
            <color theme="1"/>
            <rFont val="Calibri"/>
            <scheme val="minor"/>
          </rPr>
          <t>Kotak Total Charges
======</t>
        </r>
      </text>
    </comment>
    <comment ref="Z1786" authorId="0" shapeId="0">
      <text>
        <r>
          <rPr>
            <sz val="11"/>
            <color theme="1"/>
            <rFont val="Calibri"/>
            <scheme val="minor"/>
          </rPr>
          <t>Kotak Brokerages
======</t>
        </r>
      </text>
    </comment>
    <comment ref="AB1786" authorId="0" shapeId="0">
      <text>
        <r>
          <rPr>
            <sz val="11"/>
            <color theme="1"/>
            <rFont val="Calibri"/>
            <scheme val="minor"/>
          </rPr>
          <t>Paid to Golden Investment Services
======</t>
        </r>
      </text>
    </comment>
    <comment ref="AC1786" authorId="0" shapeId="0">
      <text>
        <r>
          <rPr>
            <sz val="11"/>
            <color theme="1"/>
            <rFont val="Calibri"/>
            <scheme val="minor"/>
          </rPr>
          <t>Intraday Loss through Golden
======</t>
        </r>
      </text>
    </comment>
    <comment ref="B1790" authorId="0" shapeId="0">
      <text>
        <r>
          <rPr>
            <sz val="11"/>
            <color theme="1"/>
            <rFont val="Calibri"/>
            <scheme val="minor"/>
          </rPr>
          <t>Futures &amp; Options
======</t>
        </r>
      </text>
    </comment>
    <comment ref="H1790" authorId="0" shapeId="0">
      <text>
        <r>
          <rPr>
            <sz val="11"/>
            <color theme="1"/>
            <rFont val="Calibri"/>
            <scheme val="minor"/>
          </rPr>
          <t>Futures &amp; Options
======</t>
        </r>
      </text>
    </comment>
    <comment ref="I1791" authorId="0" shapeId="0">
      <text>
        <r>
          <rPr>
            <sz val="11"/>
            <color theme="1"/>
            <rFont val="Calibri"/>
            <scheme val="minor"/>
          </rPr>
          <t>Second to Last Value
======</t>
        </r>
      </text>
    </comment>
    <comment ref="I1792" authorId="0" shapeId="0">
      <text>
        <r>
          <rPr>
            <sz val="11"/>
            <color theme="1"/>
            <rFont val="Calibri"/>
            <scheme val="minor"/>
          </rPr>
          <t>Last Value
======</t>
        </r>
      </text>
    </comment>
    <comment ref="AC1792" authorId="0" shapeId="0">
      <text>
        <r>
          <rPr>
            <sz val="11"/>
            <color theme="1"/>
            <rFont val="Calibri"/>
            <scheme val="minor"/>
          </rPr>
          <t>In the normal course this cell will show the amount of transactions settled today. But to get Net Profit/Loss of transactions settled today but Bought/Sold earlier, change date of FNO transaction(s) which were Bought/Sold earlier.
======</t>
        </r>
      </text>
    </comment>
    <comment ref="I1793" authorId="0" shapeId="0">
      <text>
        <r>
          <rPr>
            <sz val="11"/>
            <color theme="1"/>
            <rFont val="Calibri"/>
            <scheme val="minor"/>
          </rPr>
          <t>Last Value of Column 'L' &amp; 'M' "&lt;&gt;0"
======</t>
        </r>
      </text>
    </comment>
    <comment ref="B1798" authorId="0" shapeId="0">
      <text>
        <r>
          <rPr>
            <sz val="11"/>
            <color theme="1"/>
            <rFont val="Calibri"/>
            <scheme val="minor"/>
          </rPr>
          <t>Futures &amp; Options
======</t>
        </r>
      </text>
    </comment>
    <comment ref="L1804" authorId="0" shapeId="0">
      <text>
        <r>
          <rPr>
            <sz val="11"/>
            <color theme="1"/>
            <rFont val="Calibri"/>
            <scheme val="minor"/>
          </rPr>
          <t>======
ID#AAAAUIdXmUA
Satya Gupta    (2021-11-03 11:20:21)
For each Order</t>
        </r>
      </text>
    </comment>
    <comment ref="O1810" authorId="0" shapeId="0">
      <text>
        <r>
          <rPr>
            <sz val="11"/>
            <color theme="1"/>
            <rFont val="Calibri"/>
            <scheme val="minor"/>
          </rPr>
          <t>ETC for X, XC, XD, XT, Z, ZP groups
======</t>
        </r>
      </text>
    </comment>
  </commentList>
  <extLst>
    <ext xmlns:r="http://schemas.openxmlformats.org/officeDocument/2006/relationships" uri="GoogleSheetsCustomDataVersion1">
      <go:sheetsCustomData xmlns:go="http://customooxmlschemas.google.com/" r:id="rId1" roundtripDataSignature="AMtx7mhLjtJCdsjiPkctXMMdK6ReNXowpQ=="/>
    </ext>
  </extLst>
</comments>
</file>

<file path=xl/comments5.xml><?xml version="1.0" encoding="utf-8"?>
<comments xmlns="http://schemas.openxmlformats.org/spreadsheetml/2006/main">
  <authors>
    <author/>
  </authors>
  <commentList>
    <comment ref="I1" authorId="0" shapeId="0">
      <text>
        <r>
          <rPr>
            <sz val="11"/>
            <color theme="1"/>
            <rFont val="Calibri"/>
            <scheme val="minor"/>
          </rPr>
          <t>======
ID#AAAARGJ9sDc
S.P.Gupta    (2021-05-08 13:22:51)
Per Share</t>
        </r>
      </text>
    </comment>
    <comment ref="B4" authorId="0" shapeId="0">
      <text>
        <r>
          <rPr>
            <sz val="11"/>
            <color theme="1"/>
            <rFont val="Calibri"/>
            <scheme val="minor"/>
          </rPr>
          <t>======
ID#AAAARF3BEpw
Issue Size    (2021-05-08 13:22:51)
100,000,000 Total Shares for Public out of which
10,000,000 Reserved for Employees &amp; 
10,000,000 Reserved for Existing Shareholders 
@price band of Rs.75-82 in the multiples of 75 Shares
Issue size for General Public Rs. 6560 mn (656 Crore)</t>
        </r>
      </text>
    </comment>
    <comment ref="T7" authorId="0" shapeId="0">
      <text>
        <r>
          <rPr>
            <sz val="11"/>
            <color theme="1"/>
            <rFont val="Calibri"/>
            <scheme val="minor"/>
          </rPr>
          <t>======
ID#AAAARGJ9sCU
S.P.Gupta    (2021-05-08 13:22:51)
Adjusted against Sale of the even date</t>
        </r>
      </text>
    </comment>
    <comment ref="B8" authorId="0" shapeId="0">
      <text>
        <r>
          <rPr>
            <sz val="11"/>
            <color theme="1"/>
            <rFont val="Calibri"/>
            <scheme val="minor"/>
          </rPr>
          <t>======
ID#AAAARGJ9sDY
Issue Size    (2021-05-08 13:22:51)
50,000,000 Shares for Public
@ price band of Rs.46-50 in the multiples of 125 Shares
Issue size for Public Rs.2500 mn (250 Crore)
New Issue trade started on 01/08/2005
(after 19 days from the close of issue on 12/07/2005)</t>
        </r>
      </text>
    </comment>
    <comment ref="D8" authorId="0" shapeId="0">
      <text>
        <r>
          <rPr>
            <sz val="11"/>
            <color theme="1"/>
            <rFont val="Calibri"/>
            <scheme val="minor"/>
          </rPr>
          <t>======
ID#AAAARF3BEpg
S.P.Gupta    (2021-05-08 13:22:51)
125 shares,i.e.50% of application quantity allotted hence investment proportionnately reduced</t>
        </r>
      </text>
    </comment>
    <comment ref="R8" authorId="0" shapeId="0">
      <text>
        <r>
          <rPr>
            <sz val="11"/>
            <color theme="1"/>
            <rFont val="Calibri"/>
            <scheme val="minor"/>
          </rPr>
          <t>======
ID#AAAARGJ9sBg
S.P.Gupta    (2021-05-08 13:22:51)
50% of application amount refunded, credit given on
12/08/2005</t>
        </r>
      </text>
    </comment>
    <comment ref="B10" authorId="0" shapeId="0">
      <text>
        <r>
          <rPr>
            <sz val="11"/>
            <color theme="1"/>
            <rFont val="Calibri"/>
            <scheme val="minor"/>
          </rPr>
          <t>======
ID#AAAARFjorzQ
Issue Size    (2021-05-08 13:22:51)
406,600,000 Shares for Public
@ price band of Rs.29-34 in multiples of 200 Shares
Issue size for Public Rs. 13,722.4 mn (1372.24 Crore)
35%, i.e. Rs.480 Crore of the issue available for Retail Individual Bidders
New Issue trade started on 11/08/2005
(after 19 days from the close of issue on 22/07/2005)</t>
        </r>
      </text>
    </comment>
    <comment ref="R10" authorId="0" shapeId="0">
      <text>
        <r>
          <rPr>
            <sz val="11"/>
            <color theme="1"/>
            <rFont val="Calibri"/>
            <scheme val="minor"/>
          </rPr>
          <t>======
ID#AAAARF3BEpI
S.P.Gupta    (2021-05-08 13:22:51)
100% of application amount refunded, credit given on
23/08/2005</t>
        </r>
      </text>
    </comment>
    <comment ref="B22" authorId="0" shapeId="0">
      <text>
        <r>
          <rPr>
            <sz val="11"/>
            <color theme="1"/>
            <rFont val="Calibri"/>
            <scheme val="minor"/>
          </rPr>
          <t>======
ID#AAAARGJ9sBw
Issue Size    (2021-05-08 13:22:51)
Aggregating to Rs. 50 Crore
@ price band of Rs.90-102 in multiples of 60 Shares
25%, i.e. Rs.12.50 Crore of the issue available for Retail Individual Bidders
New Issue trade started on 28/09/2005
(after 19 days from the close of issue on 09/09/2005)</t>
        </r>
      </text>
    </comment>
    <comment ref="R22" authorId="0" shapeId="0">
      <text>
        <r>
          <rPr>
            <sz val="11"/>
            <color theme="1"/>
            <rFont val="Calibri"/>
            <scheme val="minor"/>
          </rPr>
          <t>======
ID#AAAARF3BEpE
S.P.Gupta    (2021-05-08 13:22:51)
100% of application amount refunded, credit given on
23/08/2005</t>
        </r>
      </text>
    </comment>
    <comment ref="T35" authorId="0" shapeId="0">
      <text>
        <r>
          <rPr>
            <sz val="11"/>
            <color theme="1"/>
            <rFont val="Calibri"/>
            <scheme val="minor"/>
          </rPr>
          <t>======
ID#AAAARGJ9sDA
S.P.Gupta    (2021-05-08 13:22:51)
Adjusted against Sale of the even date</t>
        </r>
      </text>
    </comment>
    <comment ref="B104" authorId="0" shapeId="0">
      <text>
        <r>
          <rPr>
            <sz val="11"/>
            <color theme="1"/>
            <rFont val="Calibri"/>
            <scheme val="minor"/>
          </rPr>
          <t>======
ID#AAAARFjorzM
S.P.Gupta    (2021-05-08 13:22:51)
Allotment in IPO</t>
        </r>
      </text>
    </comment>
    <comment ref="B105" authorId="0" shapeId="0">
      <text>
        <r>
          <rPr>
            <sz val="11"/>
            <color theme="1"/>
            <rFont val="Calibri"/>
            <scheme val="minor"/>
          </rPr>
          <t>======
ID#AAAARF3BEpQ
S.P.Gupta    (2021-05-08 13:22:51)
Allotment in IPO</t>
        </r>
      </text>
    </comment>
    <comment ref="B117" authorId="0" shapeId="0">
      <text>
        <r>
          <rPr>
            <sz val="11"/>
            <color theme="1"/>
            <rFont val="Calibri"/>
            <scheme val="minor"/>
          </rPr>
          <t>======
ID#AAAARGJ9sDI
S.P.Gupta    (2021-05-08 13:22:51)
1:1 Bonus Allotment</t>
        </r>
      </text>
    </comment>
    <comment ref="B119" authorId="0" shapeId="0">
      <text>
        <r>
          <rPr>
            <sz val="11"/>
            <color theme="1"/>
            <rFont val="Calibri"/>
            <scheme val="minor"/>
          </rPr>
          <t>======
ID#AAAARF3BEp4
S.P.Gupta    (2021-05-08 13:22:51)
1:1 Bonus Allotment</t>
        </r>
      </text>
    </comment>
    <comment ref="B120" authorId="0" shapeId="0">
      <text>
        <r>
          <rPr>
            <sz val="11"/>
            <color theme="1"/>
            <rFont val="Calibri"/>
            <scheme val="minor"/>
          </rPr>
          <t>======
ID#AAAARGJ9sDE
S.P.Gupta    (2021-05-08 13:22:51)
1:1 Bonus Allotment</t>
        </r>
      </text>
    </comment>
    <comment ref="B121" authorId="0" shapeId="0">
      <text>
        <r>
          <rPr>
            <sz val="11"/>
            <color theme="1"/>
            <rFont val="Calibri"/>
            <scheme val="minor"/>
          </rPr>
          <t>======
ID#AAAARGJ9sCY
S.P.Gupta    (2021-05-08 13:22:51)
1:1 Bonus Allotment</t>
        </r>
      </text>
    </comment>
    <comment ref="I131" authorId="0" shapeId="0">
      <text>
        <r>
          <rPr>
            <sz val="11"/>
            <color theme="1"/>
            <rFont val="Calibri"/>
            <scheme val="minor"/>
          </rPr>
          <t>======
ID#AAAARF3BEpY
S.P.Gupta    (2021-05-08 13:22:51)
Per Share</t>
        </r>
      </text>
    </comment>
    <comment ref="U133" authorId="0" shapeId="0">
      <text>
        <r>
          <rPr>
            <sz val="11"/>
            <color theme="1"/>
            <rFont val="Calibri"/>
            <scheme val="minor"/>
          </rPr>
          <t>======
ID#AAAARF3BEps
S.P.Gupta    (2021-05-08 13:22:51)
The income of Rs 224.00, being value of fraction 0.3750 received on amalgamation of the company (credited in SB A/c on 25/11/05), has been added into the total of this column, however, to know net profit/ loss on this particular scrip this amount (Rs.224) may separately be deducted from this cell's amount.</t>
        </r>
      </text>
    </comment>
    <comment ref="T139" authorId="0" shapeId="0">
      <text>
        <r>
          <rPr>
            <sz val="11"/>
            <color theme="1"/>
            <rFont val="Calibri"/>
            <scheme val="minor"/>
          </rPr>
          <t>======
ID#AAAARGJ9sB4
S.P.Gupta    (2021-05-08 13:22:51)
Adjusted against purchases of 19/07 &amp; 20/07, hence recd date is same day as that of pay date</t>
        </r>
      </text>
    </comment>
    <comment ref="T145" authorId="0" shapeId="0">
      <text>
        <r>
          <rPr>
            <sz val="11"/>
            <color theme="1"/>
            <rFont val="Calibri"/>
            <scheme val="minor"/>
          </rPr>
          <t>======
ID#AAAARF3BEp0
S.P.Gupta    (2021-05-08 13:22:51)
Adjusted against purchases whose 'pay date' is 18/09/05 hence 'recd date' is same as 'pay date'</t>
        </r>
      </text>
    </comment>
    <comment ref="T147" authorId="0" shapeId="0">
      <text>
        <r>
          <rPr>
            <sz val="11"/>
            <color theme="1"/>
            <rFont val="Calibri"/>
            <scheme val="minor"/>
          </rPr>
          <t>======
ID#AAAARGJ9sC8
S.P.Gupta    (2021-05-08 13:22:51)
Adjusted against purchases of 02/09/05, hence recd date is same day as that of pay date</t>
        </r>
      </text>
    </comment>
    <comment ref="T158" authorId="0" shapeId="0">
      <text>
        <r>
          <rPr>
            <sz val="11"/>
            <color theme="1"/>
            <rFont val="Calibri"/>
            <scheme val="minor"/>
          </rPr>
          <t>======
ID#AAAARGJ9sBY
S.P.Gupta    (2021-05-08 13:22:51)
Adjusted against purchases whose 'pay date' is 18/09/05 hence 'recd date' is same as 'pay date'</t>
        </r>
      </text>
    </comment>
    <comment ref="T159" authorId="0" shapeId="0">
      <text>
        <r>
          <rPr>
            <sz val="11"/>
            <color theme="1"/>
            <rFont val="Calibri"/>
            <scheme val="minor"/>
          </rPr>
          <t>======
ID#AAAARF3BEpc
S.P.Gupta    (2021-05-08 13:22:51)
Adjusted against purchases whose 'pay date' is 18/09/05 hence 'recd date' is same as 'pay date'</t>
        </r>
      </text>
    </comment>
    <comment ref="T160" authorId="0" shapeId="0">
      <text>
        <r>
          <rPr>
            <sz val="11"/>
            <color theme="1"/>
            <rFont val="Calibri"/>
            <scheme val="minor"/>
          </rPr>
          <t>======
ID#AAAARGJ9sBk
S.P.Gupta    (2021-05-08 13:22:51)
Adjusted against purchases whose 'pay date' is 18/09/05 hence 'recd date' is same as 'pay date'</t>
        </r>
      </text>
    </comment>
    <comment ref="T161" authorId="0" shapeId="0">
      <text>
        <r>
          <rPr>
            <sz val="11"/>
            <color theme="1"/>
            <rFont val="Calibri"/>
            <scheme val="minor"/>
          </rPr>
          <t>======
ID#AAAARGJ9sCk
S.P.Gupta    (2021-05-08 13:22:51)
Adjusted against purchases whose 'pay date' is 18/09/05 hence 'recd date' is same as 'pay date'</t>
        </r>
      </text>
    </comment>
    <comment ref="T163" authorId="0" shapeId="0">
      <text>
        <r>
          <rPr>
            <sz val="11"/>
            <color theme="1"/>
            <rFont val="Calibri"/>
            <scheme val="minor"/>
          </rPr>
          <t>======
ID#AAAARGJ9sB8
S.P.Gupta    (2021-05-08 13:22:51)
Adjusted against purchases whose 'pay date' is 18/09/05 but recd date is changed to 19/09/05 to prevent divisibility by zero days</t>
        </r>
      </text>
    </comment>
    <comment ref="T167" authorId="0" shapeId="0">
      <text>
        <r>
          <rPr>
            <sz val="11"/>
            <color theme="1"/>
            <rFont val="Calibri"/>
            <scheme val="minor"/>
          </rPr>
          <t>======
ID#AAAARF3BEpM
S.P.Gupta    (2021-05-08 13:22:51)
Adjusted against purchases whose 'pay date' is 18/09/05 but recd date is changed to 19/09/05 to prevent divisibility by zero days</t>
        </r>
      </text>
    </comment>
    <comment ref="A306" authorId="0" shapeId="0">
      <text>
        <r>
          <rPr>
            <sz val="11"/>
            <color theme="1"/>
            <rFont val="Calibri"/>
            <scheme val="minor"/>
          </rPr>
          <t>======
ID#AAAARGJ9sCo
S.P.Gupta    (2021-05-08 13:22:51)
Basis of charging STT has been modified from total value to only sale value from today onwards. This appears to be logical and is also quite nearer to the STT charged in Kotak's bills</t>
        </r>
      </text>
    </comment>
    <comment ref="U325" authorId="0" shapeId="0">
      <text>
        <r>
          <rPr>
            <sz val="11"/>
            <color theme="1"/>
            <rFont val="Calibri"/>
            <scheme val="minor"/>
          </rPr>
          <t>======
ID#AAAARGJ9sBc
Satya Gupta    (2021-05-08 13:22:51)
External link to Share Transactions - Old.xlsx 'I-D upto31-12-05'!V48+Share Transactions - Old.xlsx 'IPO, Dvd etc'!M18-Share Transactions - Old.xlsx 'IPO, Dvd etc'!S38+Share Transactions - Old.xlsx 'IPO, Dvd etc'!L36 now broken</t>
        </r>
      </text>
    </comment>
    <comment ref="U326" authorId="0" shapeId="0">
      <text>
        <r>
          <rPr>
            <sz val="11"/>
            <color theme="1"/>
            <rFont val="Calibri"/>
            <scheme val="minor"/>
          </rPr>
          <t>======
ID#AAAARGJ9sDM
Satya Gupta    (2021-05-08 13:22:51)
External link to Share Transactions - Old.xlsx]Chronology'!G69 now broken</t>
        </r>
      </text>
    </comment>
    <comment ref="E328" authorId="0" shapeId="0">
      <text>
        <r>
          <rPr>
            <sz val="11"/>
            <color theme="1"/>
            <rFont val="Calibri"/>
            <scheme val="minor"/>
          </rPr>
          <t>======
ID#AAAARGJ9sB0
S.P.Gupta    (2021-05-08 13:22:51)
w.e.f. 01-Apr-05</t>
        </r>
      </text>
    </comment>
    <comment ref="F328" authorId="0" shapeId="0">
      <text>
        <r>
          <rPr>
            <sz val="11"/>
            <color theme="1"/>
            <rFont val="Calibri"/>
            <scheme val="minor"/>
          </rPr>
          <t>======
ID#AAAARGJ9sCI
S.P.Gupta    (2021-05-08 13:22:51)
w.e.f. 01-Apr-06</t>
        </r>
      </text>
    </comment>
    <comment ref="E329" authorId="0" shapeId="0">
      <text>
        <r>
          <rPr>
            <sz val="11"/>
            <color theme="1"/>
            <rFont val="Calibri"/>
            <scheme val="minor"/>
          </rPr>
          <t>======
ID#AAAARF3BEpA
S.P.Gupta    (2021-05-08 13:22:51)
w.e.f. 01-Jun-05</t>
        </r>
      </text>
    </comment>
    <comment ref="F329" authorId="0" shapeId="0">
      <text>
        <r>
          <rPr>
            <sz val="11"/>
            <color theme="1"/>
            <rFont val="Calibri"/>
            <scheme val="minor"/>
          </rPr>
          <t>======
ID#AAAARF3BEpo
S.P.Gupta    (2021-05-08 13:22:51)
w.e.f. 01-Jun-06</t>
        </r>
      </text>
    </comment>
    <comment ref="E330" authorId="0" shapeId="0">
      <text>
        <r>
          <rPr>
            <sz val="11"/>
            <color theme="1"/>
            <rFont val="Calibri"/>
            <scheme val="minor"/>
          </rPr>
          <t>======
ID#AAAARGJ9sDQ
S.P.Gupta    (2021-05-08 13:22:51)
w.e.f. 01-Jun-05</t>
        </r>
      </text>
    </comment>
    <comment ref="F330" authorId="0" shapeId="0">
      <text>
        <r>
          <rPr>
            <sz val="11"/>
            <color theme="1"/>
            <rFont val="Calibri"/>
            <scheme val="minor"/>
          </rPr>
          <t>======
ID#AAAARGJ9sBM
S.P.Gupta    (2021-05-08 13:22:51)
w.e.f. 01-Jun-06</t>
        </r>
      </text>
    </comment>
    <comment ref="E331" authorId="0" shapeId="0">
      <text>
        <r>
          <rPr>
            <sz val="11"/>
            <color theme="1"/>
            <rFont val="Calibri"/>
            <scheme val="minor"/>
          </rPr>
          <t>======
ID#AAAARGJ9sBs
S.P.Gupta    (2021-05-08 13:22:51)
w.e.f. 01-Jun-05</t>
        </r>
      </text>
    </comment>
    <comment ref="F331" authorId="0" shapeId="0">
      <text>
        <r>
          <rPr>
            <sz val="11"/>
            <color theme="1"/>
            <rFont val="Calibri"/>
            <scheme val="minor"/>
          </rPr>
          <t>======
ID#AAAARF3BEpU
S.P.Gupta    (2021-05-08 13:22:51)
w.e.f. 01-Jun-06</t>
        </r>
      </text>
    </comment>
    <comment ref="E337" authorId="0" shapeId="0">
      <text>
        <r>
          <rPr>
            <sz val="11"/>
            <color theme="1"/>
            <rFont val="Calibri"/>
            <scheme val="minor"/>
          </rPr>
          <t>======
ID#AAAARGJ9sCQ
S.P.Gupta    (2021-05-08 13:22:51)
w.e.f. 01-Jul-05
incl Serv Tax</t>
        </r>
      </text>
    </comment>
  </commentList>
  <extLst>
    <ext xmlns:r="http://schemas.openxmlformats.org/officeDocument/2006/relationships" uri="GoogleSheetsCustomDataVersion1">
      <go:sheetsCustomData xmlns:go="http://customooxmlschemas.google.com/" r:id="rId1" roundtripDataSignature="AMtx7mgVT0pLwOI5aWKuOdCDWO7jBEz8Ig=="/>
    </ext>
  </extLst>
</comments>
</file>

<file path=xl/comments6.xml><?xml version="1.0" encoding="utf-8"?>
<comments xmlns="http://schemas.openxmlformats.org/spreadsheetml/2006/main">
  <authors>
    <author/>
  </authors>
  <commentList>
    <comment ref="R2" authorId="0" shapeId="0">
      <text>
        <r>
          <rPr>
            <sz val="11"/>
            <color theme="1"/>
            <rFont val="Calibri"/>
            <scheme val="minor"/>
          </rPr>
          <t>Dematerialisation charges 40+GST
======</t>
        </r>
      </text>
    </comment>
    <comment ref="R3" authorId="0" shapeId="0">
      <text>
        <r>
          <rPr>
            <sz val="11"/>
            <color theme="1"/>
            <rFont val="Calibri"/>
            <scheme val="minor"/>
          </rPr>
          <t>Dematerialisation charges 40+GST
======</t>
        </r>
      </text>
    </comment>
    <comment ref="R4" authorId="0" shapeId="0">
      <text>
        <r>
          <rPr>
            <sz val="11"/>
            <color theme="1"/>
            <rFont val="Calibri"/>
            <scheme val="minor"/>
          </rPr>
          <t>Dematerialisation charges 40+GST
======</t>
        </r>
      </text>
    </comment>
    <comment ref="A14" authorId="0" shapeId="0">
      <text>
        <r>
          <rPr>
            <sz val="11"/>
            <color theme="1"/>
            <rFont val="Calibri"/>
            <scheme val="minor"/>
          </rPr>
          <t>Avg ₹ 730.63
======</t>
        </r>
      </text>
    </comment>
    <comment ref="A17" authorId="0" shapeId="0">
      <text>
        <r>
          <rPr>
            <sz val="11"/>
            <color theme="1"/>
            <rFont val="Calibri"/>
            <scheme val="minor"/>
          </rPr>
          <t>Rate arrived ₹
October 20, 2022, as the record date for the demerger. In the demerger plan, shareholders will get 1 share of Aarti Pharmalabs for every 4 shares they hold in Aarti Industries
======</t>
        </r>
      </text>
    </comment>
    <comment ref="I17" authorId="0" shapeId="0">
      <text>
        <r>
          <rPr>
            <sz val="11"/>
            <color theme="1"/>
            <rFont val="Calibri"/>
            <scheme val="minor"/>
          </rPr>
          <t>October 20, 2022, as the record date for the demerger. In the demerger plan, shareholders will get 1 share of Aarti Pharmalabs for every 4 shares they hold in Aarti Industries
======</t>
        </r>
      </text>
    </comment>
    <comment ref="A18" authorId="0" shapeId="0">
      <text>
        <r>
          <rPr>
            <sz val="11"/>
            <color theme="1"/>
            <rFont val="Calibri"/>
            <scheme val="minor"/>
          </rPr>
          <t>667.52
======</t>
        </r>
      </text>
    </comment>
    <comment ref="L18" authorId="0" shapeId="0">
      <text>
        <r>
          <rPr>
            <sz val="11"/>
            <color theme="1"/>
            <rFont val="Calibri"/>
            <scheme val="minor"/>
          </rPr>
          <t>Debit to a/c delayed. Credited to demat a/c on 7-Oct-21
======</t>
        </r>
      </text>
    </comment>
    <comment ref="A22" authorId="0" shapeId="0">
      <text>
        <r>
          <rPr>
            <sz val="11"/>
            <color theme="1"/>
            <rFont val="Calibri"/>
            <scheme val="minor"/>
          </rPr>
          <t>Avg 101.62
======</t>
        </r>
      </text>
    </comment>
    <comment ref="A25" authorId="0" shapeId="0">
      <text>
        <r>
          <rPr>
            <sz val="11"/>
            <color theme="1"/>
            <rFont val="Calibri"/>
            <scheme val="minor"/>
          </rPr>
          <t>Avg ₹ 2592.2
======</t>
        </r>
      </text>
    </comment>
    <comment ref="D25" authorId="0" shapeId="0">
      <text>
        <r>
          <rPr>
            <sz val="11"/>
            <color theme="1"/>
            <rFont val="Calibri"/>
            <scheme val="minor"/>
          </rPr>
          <t>MT-TGT 3750
======</t>
        </r>
      </text>
    </comment>
    <comment ref="A28" authorId="0" shapeId="0">
      <text>
        <r>
          <rPr>
            <sz val="11"/>
            <color theme="1"/>
            <rFont val="Calibri"/>
            <scheme val="minor"/>
          </rPr>
          <t>1251.91
======</t>
        </r>
      </text>
    </comment>
    <comment ref="A31" authorId="0" shapeId="0">
      <text>
        <r>
          <rPr>
            <sz val="11"/>
            <color theme="1"/>
            <rFont val="Calibri"/>
            <scheme val="minor"/>
          </rPr>
          <t>Avg ₹ 98.50
======</t>
        </r>
      </text>
    </comment>
    <comment ref="I31" authorId="0" shapeId="0">
      <text>
        <r>
          <rPr>
            <sz val="11"/>
            <color theme="1"/>
            <rFont val="Calibri"/>
            <scheme val="minor"/>
          </rPr>
          <t>Bonus 1:2 converted w.e.f. 06-Sep-2022
======</t>
        </r>
      </text>
    </comment>
    <comment ref="A34" authorId="0" shapeId="0">
      <text>
        <r>
          <rPr>
            <sz val="11"/>
            <color theme="1"/>
            <rFont val="Calibri"/>
            <scheme val="minor"/>
          </rPr>
          <t>Avg 244
======</t>
        </r>
      </text>
    </comment>
    <comment ref="A38" authorId="0" shapeId="0">
      <text>
        <r>
          <rPr>
            <sz val="11"/>
            <color theme="1"/>
            <rFont val="Calibri"/>
            <scheme val="minor"/>
          </rPr>
          <t>1694.52
======</t>
        </r>
      </text>
    </comment>
    <comment ref="L43" authorId="0" shapeId="0">
      <text>
        <r>
          <rPr>
            <sz val="11"/>
            <color theme="1"/>
            <rFont val="Calibri"/>
            <scheme val="minor"/>
          </rPr>
          <t>Credited to Demat A/c on 13-May-22
======</t>
        </r>
      </text>
    </comment>
    <comment ref="A44" authorId="0" shapeId="0">
      <text>
        <r>
          <rPr>
            <sz val="11"/>
            <color theme="1"/>
            <rFont val="Calibri"/>
            <scheme val="minor"/>
          </rPr>
          <t>775.76
======</t>
        </r>
      </text>
    </comment>
    <comment ref="I50" authorId="0" shapeId="0">
      <text>
        <r>
          <rPr>
            <sz val="11"/>
            <color theme="1"/>
            <rFont val="Calibri"/>
            <scheme val="minor"/>
          </rPr>
          <t>1 Bonus Share for 2 Shares held on record date 05-Oct-22
======</t>
        </r>
      </text>
    </comment>
    <comment ref="J50" authorId="0" shapeId="0">
      <text>
        <r>
          <rPr>
            <sz val="11"/>
            <color theme="1"/>
            <rFont val="Calibri"/>
            <scheme val="minor"/>
          </rPr>
          <t>1 Bonus Share for 2 Shares held on record date 05-Oct-22
======</t>
        </r>
      </text>
    </comment>
    <comment ref="K54" authorId="0" shapeId="0">
      <text>
        <r>
          <rPr>
            <sz val="11"/>
            <color theme="1"/>
            <rFont val="Calibri"/>
            <scheme val="minor"/>
          </rPr>
          <t>Buy cost - discovered cost of NSL (9236-1513)
NMDC Steel listed at 30.25 hence discovered cost 50x30.25=1513
======</t>
        </r>
      </text>
    </comment>
    <comment ref="A55" authorId="0" shapeId="0">
      <text>
        <r>
          <rPr>
            <sz val="11"/>
            <color theme="1"/>
            <rFont val="Calibri"/>
            <scheme val="minor"/>
          </rPr>
          <t>One share of NMDC Steel bearing a face value of ₹10 each, for every share held in NMDC of face value of Re 1 each as on 25 October, 2022
======</t>
        </r>
      </text>
    </comment>
    <comment ref="K55" authorId="0" shapeId="0">
      <text>
        <r>
          <rPr>
            <sz val="11"/>
            <color theme="1"/>
            <rFont val="Calibri"/>
            <scheme val="minor"/>
          </rPr>
          <t>As per listing at 30.25*50
======</t>
        </r>
      </text>
    </comment>
    <comment ref="L55" authorId="0" shapeId="0">
      <text>
        <r>
          <rPr>
            <sz val="11"/>
            <color theme="1"/>
            <rFont val="Calibri"/>
            <scheme val="minor"/>
          </rPr>
          <t>One share of NMDC Steel bearing a face value of ₹10 each, for every share held in NMDC of face value of Re 1 each as on 25 October, 2022
Credited to demat on 20-Feb-2023
======</t>
        </r>
      </text>
    </comment>
    <comment ref="F57" authorId="0" shapeId="0">
      <text>
        <r>
          <rPr>
            <sz val="11"/>
            <color theme="1"/>
            <rFont val="Calibri"/>
            <scheme val="minor"/>
          </rPr>
          <t>IPO Allotment
======</t>
        </r>
      </text>
    </comment>
    <comment ref="L57" authorId="0" shapeId="0">
      <text>
        <r>
          <rPr>
            <sz val="11"/>
            <color theme="1"/>
            <rFont val="Calibri"/>
            <scheme val="minor"/>
          </rPr>
          <t>Credit to Demat on 17/08/21
======</t>
        </r>
      </text>
    </comment>
    <comment ref="A63" authorId="0" shapeId="0">
      <text>
        <r>
          <rPr>
            <sz val="11"/>
            <color theme="1"/>
            <rFont val="Calibri"/>
            <scheme val="minor"/>
          </rPr>
          <t>Avg 109.46
======</t>
        </r>
      </text>
    </comment>
    <comment ref="A67" authorId="0" shapeId="0">
      <text>
        <r>
          <rPr>
            <sz val="11"/>
            <color theme="1"/>
            <rFont val="Calibri"/>
            <scheme val="minor"/>
          </rPr>
          <t>Avg ₹ 1198.2
======</t>
        </r>
      </text>
    </comment>
    <comment ref="A74" authorId="0" shapeId="0">
      <text>
        <r>
          <rPr>
            <sz val="11"/>
            <color theme="1"/>
            <rFont val="Calibri"/>
            <scheme val="minor"/>
          </rPr>
          <t>Avg ₹ 9158.5
======</t>
        </r>
      </text>
    </comment>
    <comment ref="A78" authorId="0" shapeId="0">
      <text>
        <r>
          <rPr>
            <sz val="11"/>
            <color theme="1"/>
            <rFont val="Calibri"/>
            <scheme val="minor"/>
          </rPr>
          <t>Avg ₹ 3604.25
======</t>
        </r>
      </text>
    </comment>
    <comment ref="A80" authorId="0" shapeId="0">
      <text>
        <r>
          <rPr>
            <sz val="11"/>
            <color theme="1"/>
            <rFont val="Calibri"/>
            <scheme val="minor"/>
          </rPr>
          <t>Avg ₹ 129.50
======</t>
        </r>
      </text>
    </comment>
    <comment ref="R84" authorId="0" shapeId="0">
      <text>
        <r>
          <rPr>
            <sz val="11"/>
            <color theme="1"/>
            <rFont val="Calibri"/>
            <scheme val="minor"/>
          </rPr>
          <t>Demat charges taken with the first Sell transaction of the day
======</t>
        </r>
      </text>
    </comment>
    <comment ref="D87" authorId="0" shapeId="0">
      <text>
        <r>
          <rPr>
            <sz val="11"/>
            <color theme="1"/>
            <rFont val="Calibri"/>
            <scheme val="minor"/>
          </rPr>
          <t>Targets: Upto 7 - 9 - 13 - 17 - 21+
======</t>
        </r>
      </text>
    </comment>
    <comment ref="G87" authorId="0" shapeId="0">
      <text>
        <r>
          <rPr>
            <sz val="11"/>
            <color theme="1"/>
            <rFont val="Calibri"/>
            <scheme val="minor"/>
          </rPr>
          <t>Buy A2Z INFRA at CMP of 5 and dips till 3
Sl 2.5
======</t>
        </r>
      </text>
    </comment>
    <comment ref="D88" authorId="0" shapeId="0">
      <text>
        <r>
          <rPr>
            <sz val="11"/>
            <color theme="1"/>
            <rFont val="Calibri"/>
            <scheme val="minor"/>
          </rPr>
          <t>Targets: Upto 7 - 9 - 13 - 17 - 21+
======</t>
        </r>
      </text>
    </comment>
    <comment ref="G88" authorId="0" shapeId="0">
      <text>
        <r>
          <rPr>
            <sz val="11"/>
            <color theme="1"/>
            <rFont val="Calibri"/>
            <scheme val="minor"/>
          </rPr>
          <t>Buy A2Z INFRA at CMP of 5 and dips till 3
Sl 2.5
======</t>
        </r>
      </text>
    </comment>
    <comment ref="D91" authorId="0" shapeId="0">
      <text>
        <r>
          <rPr>
            <sz val="11"/>
            <color theme="1"/>
            <rFont val="Calibri"/>
            <scheme val="minor"/>
          </rPr>
          <t>Targets: Upto 7 - 9 - 13 - 17 - 21+
======</t>
        </r>
      </text>
    </comment>
    <comment ref="G91" authorId="0" shapeId="0">
      <text>
        <r>
          <rPr>
            <sz val="11"/>
            <color theme="1"/>
            <rFont val="Calibri"/>
            <scheme val="minor"/>
          </rPr>
          <t>Buy A2Z INFRA at CMP of 5 and dips till 3
Sl 2.5
======</t>
        </r>
      </text>
    </comment>
    <comment ref="D92" authorId="0" shapeId="0">
      <text>
        <r>
          <rPr>
            <sz val="11"/>
            <color theme="1"/>
            <rFont val="Calibri"/>
            <scheme val="minor"/>
          </rPr>
          <t>Targets: Upto 7 - 9 - 13 - 17 - 21+
======</t>
        </r>
      </text>
    </comment>
    <comment ref="G92" authorId="0" shapeId="0">
      <text>
        <r>
          <rPr>
            <sz val="11"/>
            <color theme="1"/>
            <rFont val="Calibri"/>
            <scheme val="minor"/>
          </rPr>
          <t>Buy A2Z INFRA at CMP of 5 and dips till 3
Sl 2.5
======</t>
        </r>
      </text>
    </comment>
    <comment ref="R103" authorId="0" shapeId="0">
      <text>
        <r>
          <rPr>
            <sz val="11"/>
            <color theme="1"/>
            <rFont val="Calibri"/>
            <scheme val="minor"/>
          </rPr>
          <t>Demat charges taken with the first Sell transaction of the day
======</t>
        </r>
      </text>
    </comment>
    <comment ref="J117" authorId="0" shapeId="0">
      <text>
        <r>
          <rPr>
            <sz val="11"/>
            <color theme="1"/>
            <rFont val="Calibri"/>
            <scheme val="minor"/>
          </rPr>
          <t>Zerodha @ ₹ 7665
======</t>
        </r>
      </text>
    </comment>
    <comment ref="R119" authorId="0" shapeId="0">
      <text>
        <r>
          <rPr>
            <sz val="11"/>
            <color theme="1"/>
            <rFont val="Calibri"/>
            <scheme val="minor"/>
          </rPr>
          <t>Demat charges taken with the first Sell transaction of the day
======</t>
        </r>
      </text>
    </comment>
    <comment ref="R124" authorId="0" shapeId="0">
      <text>
        <r>
          <rPr>
            <sz val="11"/>
            <color theme="1"/>
            <rFont val="Calibri"/>
            <scheme val="minor"/>
          </rPr>
          <t>Demat charges taken with the first Sell transaction of the day
======</t>
        </r>
      </text>
    </comment>
    <comment ref="S127" authorId="0" shapeId="0">
      <text>
        <r>
          <rPr>
            <sz val="11"/>
            <color theme="1"/>
            <rFont val="Calibri"/>
            <scheme val="minor"/>
          </rPr>
          <t xml:space="preserve">Credited on 30/03/21
======
ID#AAAARFjorzI
Satya Gupta    (2021-06-30 14:48:16)
</t>
        </r>
      </text>
    </comment>
    <comment ref="R128" authorId="0" shapeId="0">
      <text>
        <r>
          <rPr>
            <sz val="11"/>
            <color theme="1"/>
            <rFont val="Calibri"/>
            <scheme val="minor"/>
          </rPr>
          <t>======
ID#AAAARGJ9sCE
    (2021-05-10 15:05:06)
Charges for moving from SBICAP to Zerodha's CDSL A/c ₹ 35.40
Charges for moving from Sunita to Satya's CDSLboth A/c thru Zerodha ₹ 29.50</t>
        </r>
      </text>
    </comment>
    <comment ref="R134" authorId="0" shapeId="0">
      <text>
        <r>
          <rPr>
            <sz val="11"/>
            <color theme="1"/>
            <rFont val="Calibri"/>
            <scheme val="minor"/>
          </rPr>
          <t>Demat charges taken with the first Sell transaction of the day
======</t>
        </r>
      </text>
    </comment>
    <comment ref="R135" authorId="0" shapeId="0">
      <text>
        <r>
          <rPr>
            <sz val="11"/>
            <color theme="1"/>
            <rFont val="Calibri"/>
            <scheme val="minor"/>
          </rPr>
          <t>Demat charges taken with the first Sell transaction of the day
======</t>
        </r>
      </text>
    </comment>
    <comment ref="L140" authorId="0" shapeId="0">
      <text>
        <r>
          <rPr>
            <sz val="11"/>
            <color theme="1"/>
            <rFont val="Calibri"/>
            <scheme val="minor"/>
          </rPr>
          <t>Due to error by SBI amount was debited on 13-May-22
Credited to Demat A/c on 06-May-22
======</t>
        </r>
      </text>
    </comment>
    <comment ref="D143" authorId="0" shapeId="0">
      <text>
        <r>
          <rPr>
            <sz val="11"/>
            <color theme="1"/>
            <rFont val="Calibri"/>
            <scheme val="minor"/>
          </rPr>
          <t>on 03Aug22
======</t>
        </r>
      </text>
    </comment>
    <comment ref="D144" authorId="0" shapeId="0">
      <text>
        <r>
          <rPr>
            <sz val="11"/>
            <color theme="1"/>
            <rFont val="Calibri"/>
            <scheme val="minor"/>
          </rPr>
          <t>on 03Aug22
======</t>
        </r>
      </text>
    </comment>
    <comment ref="D145" authorId="0" shapeId="0">
      <text>
        <r>
          <rPr>
            <sz val="11"/>
            <color theme="1"/>
            <rFont val="Calibri"/>
            <scheme val="minor"/>
          </rPr>
          <t>on 03Aug22
======</t>
        </r>
      </text>
    </comment>
    <comment ref="J148" authorId="0" shapeId="0">
      <text>
        <r>
          <rPr>
            <sz val="11"/>
            <color theme="1"/>
            <rFont val="Calibri"/>
            <scheme val="minor"/>
          </rPr>
          <t>Zerodha @ ₹ 1425
======</t>
        </r>
      </text>
    </comment>
    <comment ref="R148" authorId="0" shapeId="0">
      <text>
        <r>
          <rPr>
            <sz val="11"/>
            <color theme="1"/>
            <rFont val="Calibri"/>
            <scheme val="minor"/>
          </rPr>
          <t>Since IntraDay is not allowed hence each intraday sell is also going through demat a/c hence demat charges
======</t>
        </r>
      </text>
    </comment>
    <comment ref="H151" authorId="0" shapeId="0">
      <text>
        <r>
          <rPr>
            <sz val="11"/>
            <color theme="1"/>
            <rFont val="Calibri"/>
            <scheme val="minor"/>
          </rPr>
          <t>======
ID#AAAARGJ9sCg
Satya Gupta    (2021-07-08 08:27:27)
100 Crompton were split into 50 shares each in
1. Crompton Greaves Consumer Electricals
2. CG Power &amp; Industrial Solutions</t>
        </r>
      </text>
    </comment>
    <comment ref="I151" authorId="0" shapeId="0">
      <text>
        <r>
          <rPr>
            <sz val="11"/>
            <color theme="1"/>
            <rFont val="Calibri"/>
            <scheme val="minor"/>
          </rPr>
          <t>======
ID#AAAARGJ9sBo
Satya Gupta    (2021-07-08 08:27:27)
100 Crompton were split into 50 shares each in
1. Crompton Greaves Consumer Electricals
2. CG Power &amp; Industrial Solutions</t>
        </r>
      </text>
    </comment>
    <comment ref="J151" authorId="0" shapeId="0">
      <text>
        <r>
          <rPr>
            <sz val="11"/>
            <color theme="1"/>
            <rFont val="Calibri"/>
            <scheme val="minor"/>
          </rPr>
          <t>======
ID#AAAARGJ9sDU
Satya Gupta    (2021-07-08 08:27:27)
100 Crompton were split into 50 shares each in
1. Crompton Greaves Consumer Electricals
2. CG Power &amp; Industrial Solutions</t>
        </r>
      </text>
    </comment>
    <comment ref="H161" authorId="0" shapeId="0">
      <text>
        <r>
          <rPr>
            <sz val="11"/>
            <color theme="1"/>
            <rFont val="Calibri"/>
            <scheme val="minor"/>
          </rPr>
          <t>======
ID#AAAARGJ9sBQ
Satya Gupta    (2021-07-08 08:27:27)
100 Crompton were split into 50 shares each in
1. Crompton Greaves Consumer Electricals
2. CG Power &amp; Industrial Solutions</t>
        </r>
      </text>
    </comment>
    <comment ref="I161" authorId="0" shapeId="0">
      <text>
        <r>
          <rPr>
            <sz val="11"/>
            <color theme="1"/>
            <rFont val="Calibri"/>
            <scheme val="minor"/>
          </rPr>
          <t>======
ID#AAAARGJ9sCA
Satya Gupta    (2021-07-08 08:27:27)
100 Crompton were split into 50 shares each in
1. Crompton Greaves Consumer Electricals
2. CG Power &amp; Industrial Solutions</t>
        </r>
      </text>
    </comment>
    <comment ref="J161" authorId="0" shapeId="0">
      <text>
        <r>
          <rPr>
            <sz val="11"/>
            <color theme="1"/>
            <rFont val="Calibri"/>
            <scheme val="minor"/>
          </rPr>
          <t>======
ID#AAAARF3BEp8
Satya Gupta    (2021-07-08 08:27:27)
100 Crompton were split into 50 shares each in
1. Crompton Greaves Consumer Electricals
2. CG Power &amp; Industrial Solutions</t>
        </r>
      </text>
    </comment>
    <comment ref="D163" authorId="0" shapeId="0">
      <text>
        <r>
          <rPr>
            <sz val="11"/>
            <color theme="1"/>
            <rFont val="Calibri"/>
            <scheme val="minor"/>
          </rPr>
          <t>170-175
======</t>
        </r>
      </text>
    </comment>
    <comment ref="D164" authorId="0" shapeId="0">
      <text>
        <r>
          <rPr>
            <sz val="11"/>
            <color theme="1"/>
            <rFont val="Calibri"/>
            <scheme val="minor"/>
          </rPr>
          <t>170-175
======</t>
        </r>
      </text>
    </comment>
    <comment ref="D165" authorId="0" shapeId="0">
      <text>
        <r>
          <rPr>
            <sz val="11"/>
            <color theme="1"/>
            <rFont val="Calibri"/>
            <scheme val="minor"/>
          </rPr>
          <t>170-175
======</t>
        </r>
      </text>
    </comment>
    <comment ref="P171" authorId="0" shapeId="0">
      <text>
        <r>
          <rPr>
            <sz val="11"/>
            <color theme="1"/>
            <rFont val="Calibri"/>
            <scheme val="minor"/>
          </rPr>
          <t>Actual date 11-Nov-21
======</t>
        </r>
      </text>
    </comment>
    <comment ref="R171" authorId="0" shapeId="0">
      <text>
        <r>
          <rPr>
            <sz val="11"/>
            <color theme="1"/>
            <rFont val="Calibri"/>
            <scheme val="minor"/>
          </rPr>
          <t>Demat charges taken with the first Sell transaction of the day
======</t>
        </r>
      </text>
    </comment>
    <comment ref="R172" authorId="0" shapeId="0">
      <text>
        <r>
          <rPr>
            <sz val="11"/>
            <color theme="1"/>
            <rFont val="Calibri"/>
            <scheme val="minor"/>
          </rPr>
          <t>Demat charges taken with the first Sell transaction of the day
======</t>
        </r>
      </text>
    </comment>
    <comment ref="P173" authorId="0" shapeId="0">
      <text>
        <r>
          <rPr>
            <sz val="11"/>
            <color theme="1"/>
            <rFont val="Calibri"/>
            <scheme val="minor"/>
          </rPr>
          <t>Actual date 11-Nov-21
======</t>
        </r>
      </text>
    </comment>
    <comment ref="R180" authorId="0" shapeId="0">
      <text>
        <r>
          <rPr>
            <sz val="11"/>
            <color theme="1"/>
            <rFont val="Calibri"/>
            <scheme val="minor"/>
          </rPr>
          <t>Demat charges taken with the first Sell transaction of the day
======</t>
        </r>
      </text>
    </comment>
    <comment ref="R182" authorId="0" shapeId="0">
      <text>
        <r>
          <rPr>
            <sz val="11"/>
            <color theme="1"/>
            <rFont val="Calibri"/>
            <scheme val="minor"/>
          </rPr>
          <t>Demat charges taken with the first Sell transaction of the day
======</t>
        </r>
      </text>
    </comment>
    <comment ref="R183" authorId="0" shapeId="0">
      <text>
        <r>
          <rPr>
            <sz val="11"/>
            <color theme="1"/>
            <rFont val="Calibri"/>
            <scheme val="minor"/>
          </rPr>
          <t>Demat charges taken with the first Sell transaction of the day
======</t>
        </r>
      </text>
    </comment>
    <comment ref="R184" authorId="0" shapeId="0">
      <text>
        <r>
          <rPr>
            <sz val="11"/>
            <color theme="1"/>
            <rFont val="Calibri"/>
            <scheme val="minor"/>
          </rPr>
          <t>Demat charges taken with the first Sell transaction of the day
======</t>
        </r>
      </text>
    </comment>
    <comment ref="R198" authorId="0" shapeId="0">
      <text>
        <r>
          <rPr>
            <sz val="11"/>
            <color theme="1"/>
            <rFont val="Calibri"/>
            <scheme val="minor"/>
          </rPr>
          <t>Demat charges taken with the first Sell transaction of the day
======</t>
        </r>
      </text>
    </comment>
    <comment ref="R202" authorId="0" shapeId="0">
      <text>
        <r>
          <rPr>
            <sz val="11"/>
            <color theme="1"/>
            <rFont val="Calibri"/>
            <scheme val="minor"/>
          </rPr>
          <t>Demat charges taken with the first Sell transaction of the day
======</t>
        </r>
      </text>
    </comment>
    <comment ref="R205" authorId="0" shapeId="0">
      <text>
        <r>
          <rPr>
            <sz val="11"/>
            <color theme="1"/>
            <rFont val="Calibri"/>
            <scheme val="minor"/>
          </rPr>
          <t>Demat charges taken with the first Sell transaction of the day
======</t>
        </r>
      </text>
    </comment>
    <comment ref="R206" authorId="0" shapeId="0">
      <text>
        <r>
          <rPr>
            <sz val="11"/>
            <color theme="1"/>
            <rFont val="Calibri"/>
            <scheme val="minor"/>
          </rPr>
          <t>Demat charges taken with the first Sell transaction of the day
======</t>
        </r>
      </text>
    </comment>
    <comment ref="R208" authorId="0" shapeId="0">
      <text>
        <r>
          <rPr>
            <sz val="11"/>
            <color theme="1"/>
            <rFont val="Calibri"/>
            <scheme val="minor"/>
          </rPr>
          <t>Demat charges taken with the first Sell transaction of the day
======</t>
        </r>
      </text>
    </comment>
    <comment ref="R211" authorId="0" shapeId="0">
      <text>
        <r>
          <rPr>
            <sz val="11"/>
            <color theme="1"/>
            <rFont val="Calibri"/>
            <scheme val="minor"/>
          </rPr>
          <t>Demat charges taken with the first Sell transaction of the day
======</t>
        </r>
      </text>
    </comment>
    <comment ref="R213" authorId="0" shapeId="0">
      <text>
        <r>
          <rPr>
            <sz val="11"/>
            <color theme="1"/>
            <rFont val="Calibri"/>
            <scheme val="minor"/>
          </rPr>
          <t>Demat charges taken with the first Sell transaction of the day
======</t>
        </r>
      </text>
    </comment>
    <comment ref="R216" authorId="0" shapeId="0">
      <text>
        <r>
          <rPr>
            <sz val="11"/>
            <color theme="1"/>
            <rFont val="Calibri"/>
            <scheme val="minor"/>
          </rPr>
          <t>Day's transactions were net Buy/Sell ZERO hence no Demat charges.
======</t>
        </r>
      </text>
    </comment>
    <comment ref="R218" authorId="0" shapeId="0">
      <text>
        <r>
          <rPr>
            <sz val="11"/>
            <color theme="1"/>
            <rFont val="Calibri"/>
            <scheme val="minor"/>
          </rPr>
          <t>Day's transactions were net Buy/Sell ZERO hence no Demat charges.
======</t>
        </r>
      </text>
    </comment>
    <comment ref="R220" authorId="0" shapeId="0">
      <text>
        <r>
          <rPr>
            <sz val="11"/>
            <color theme="1"/>
            <rFont val="Calibri"/>
            <scheme val="minor"/>
          </rPr>
          <t>Demat charges taken with the first Sell transaction of the day
======</t>
        </r>
      </text>
    </comment>
    <comment ref="R221" authorId="0" shapeId="0">
      <text>
        <r>
          <rPr>
            <sz val="11"/>
            <color theme="1"/>
            <rFont val="Calibri"/>
            <scheme val="minor"/>
          </rPr>
          <t>Demat charges taken with the first Sell transaction of the day
======</t>
        </r>
      </text>
    </comment>
    <comment ref="R223" authorId="0" shapeId="0">
      <text>
        <r>
          <rPr>
            <sz val="11"/>
            <color theme="1"/>
            <rFont val="Calibri"/>
            <scheme val="minor"/>
          </rPr>
          <t>Demat charges taken with the first Sell transaction of the day
======</t>
        </r>
      </text>
    </comment>
    <comment ref="R224" authorId="0" shapeId="0">
      <text>
        <r>
          <rPr>
            <sz val="11"/>
            <color theme="1"/>
            <rFont val="Calibri"/>
            <scheme val="minor"/>
          </rPr>
          <t>Demat charges taken with the first Sell transaction of the day
======</t>
        </r>
      </text>
    </comment>
    <comment ref="R225" authorId="0" shapeId="0">
      <text>
        <r>
          <rPr>
            <sz val="11"/>
            <color theme="1"/>
            <rFont val="Calibri"/>
            <scheme val="minor"/>
          </rPr>
          <t>Demat charges taken with the first Sell transaction of the day
======</t>
        </r>
      </text>
    </comment>
    <comment ref="R226" authorId="0" shapeId="0">
      <text>
        <r>
          <rPr>
            <sz val="11"/>
            <color theme="1"/>
            <rFont val="Calibri"/>
            <scheme val="minor"/>
          </rPr>
          <t>Demat charges taken with the first Sell transaction of the day
======</t>
        </r>
      </text>
    </comment>
    <comment ref="R228" authorId="0" shapeId="0">
      <text>
        <r>
          <rPr>
            <sz val="11"/>
            <color theme="1"/>
            <rFont val="Calibri"/>
            <scheme val="minor"/>
          </rPr>
          <t>Demat charges taken with the first Sell transaction of the day
======</t>
        </r>
      </text>
    </comment>
    <comment ref="R229" authorId="0" shapeId="0">
      <text>
        <r>
          <rPr>
            <sz val="11"/>
            <color theme="1"/>
            <rFont val="Calibri"/>
            <scheme val="minor"/>
          </rPr>
          <t>Demat charges taken with the first Sell transaction of the day
======</t>
        </r>
      </text>
    </comment>
    <comment ref="R230" authorId="0" shapeId="0">
      <text>
        <r>
          <rPr>
            <sz val="11"/>
            <color theme="1"/>
            <rFont val="Calibri"/>
            <scheme val="minor"/>
          </rPr>
          <t>Demat charges taken with the first Sell transaction of the day
======</t>
        </r>
      </text>
    </comment>
    <comment ref="R231" authorId="0" shapeId="0">
      <text>
        <r>
          <rPr>
            <sz val="11"/>
            <color theme="1"/>
            <rFont val="Calibri"/>
            <scheme val="minor"/>
          </rPr>
          <t>Demat charges taken with the first Sell transaction of the day
======</t>
        </r>
      </text>
    </comment>
    <comment ref="R232" authorId="0" shapeId="0">
      <text>
        <r>
          <rPr>
            <sz val="11"/>
            <color theme="1"/>
            <rFont val="Calibri"/>
            <scheme val="minor"/>
          </rPr>
          <t>Demat charges taken with the first Sell transaction of the day
======</t>
        </r>
      </text>
    </comment>
    <comment ref="R235" authorId="0" shapeId="0">
      <text>
        <r>
          <rPr>
            <sz val="11"/>
            <color theme="1"/>
            <rFont val="Calibri"/>
            <scheme val="minor"/>
          </rPr>
          <t>Demat charges taken with the first Sell transaction of the day
======</t>
        </r>
      </text>
    </comment>
    <comment ref="R239" authorId="0" shapeId="0">
      <text>
        <r>
          <rPr>
            <sz val="11"/>
            <color theme="1"/>
            <rFont val="Calibri"/>
            <scheme val="minor"/>
          </rPr>
          <t>Demat charges taken with the first Sell transaction of the day
======</t>
        </r>
      </text>
    </comment>
    <comment ref="R240" authorId="0" shapeId="0">
      <text>
        <r>
          <rPr>
            <sz val="11"/>
            <color theme="1"/>
            <rFont val="Calibri"/>
            <scheme val="minor"/>
          </rPr>
          <t>Demat charges taken with the first Sell transaction of the day
======</t>
        </r>
      </text>
    </comment>
    <comment ref="R242" authorId="0" shapeId="0">
      <text>
        <r>
          <rPr>
            <sz val="11"/>
            <color theme="1"/>
            <rFont val="Calibri"/>
            <scheme val="minor"/>
          </rPr>
          <t>Demat charges taken with the first Sell transaction of the day
======</t>
        </r>
      </text>
    </comment>
    <comment ref="R243" authorId="0" shapeId="0">
      <text>
        <r>
          <rPr>
            <sz val="11"/>
            <color theme="1"/>
            <rFont val="Calibri"/>
            <scheme val="minor"/>
          </rPr>
          <t>Demat charges taken with the first Sell transaction of the day
======</t>
        </r>
      </text>
    </comment>
    <comment ref="R246" authorId="0" shapeId="0">
      <text>
        <r>
          <rPr>
            <sz val="11"/>
            <color theme="1"/>
            <rFont val="Calibri"/>
            <scheme val="minor"/>
          </rPr>
          <t>Demat charges taken with the first Sell transaction of the day
======</t>
        </r>
      </text>
    </comment>
    <comment ref="R247" authorId="0" shapeId="0">
      <text>
        <r>
          <rPr>
            <sz val="11"/>
            <color theme="1"/>
            <rFont val="Calibri"/>
            <scheme val="minor"/>
          </rPr>
          <t>Demat charges taken with the first Sell transaction of the day
======</t>
        </r>
      </text>
    </comment>
    <comment ref="R248" authorId="0" shapeId="0">
      <text>
        <r>
          <rPr>
            <sz val="11"/>
            <color theme="1"/>
            <rFont val="Calibri"/>
            <scheme val="minor"/>
          </rPr>
          <t>Demat charges taken with the first Sell transaction of the day
======</t>
        </r>
      </text>
    </comment>
    <comment ref="R250" authorId="0" shapeId="0">
      <text>
        <r>
          <rPr>
            <sz val="11"/>
            <color theme="1"/>
            <rFont val="Calibri"/>
            <scheme val="minor"/>
          </rPr>
          <t>Demat charges taken with the first Sell transaction of the day
======</t>
        </r>
      </text>
    </comment>
    <comment ref="R251" authorId="0" shapeId="0">
      <text>
        <r>
          <rPr>
            <sz val="11"/>
            <color theme="1"/>
            <rFont val="Calibri"/>
            <scheme val="minor"/>
          </rPr>
          <t>Demat charges taken with the first Sell transaction of the day
======</t>
        </r>
      </text>
    </comment>
    <comment ref="R252" authorId="0" shapeId="0">
      <text>
        <r>
          <rPr>
            <sz val="11"/>
            <color theme="1"/>
            <rFont val="Calibri"/>
            <scheme val="minor"/>
          </rPr>
          <t>Demat charges taken with the first Sell transaction of the day
======</t>
        </r>
      </text>
    </comment>
    <comment ref="R259" authorId="0" shapeId="0">
      <text>
        <r>
          <rPr>
            <sz val="11"/>
            <color theme="1"/>
            <rFont val="Calibri"/>
            <scheme val="minor"/>
          </rPr>
          <t>Demat charges already taken with another Sell transaction of the day
======</t>
        </r>
      </text>
    </comment>
    <comment ref="R260" authorId="0" shapeId="0">
      <text>
        <r>
          <rPr>
            <sz val="11"/>
            <color theme="1"/>
            <rFont val="Calibri"/>
            <scheme val="minor"/>
          </rPr>
          <t>Demat charges already taken with another Sell transaction of the day
======</t>
        </r>
      </text>
    </comment>
    <comment ref="R262" authorId="0" shapeId="0">
      <text>
        <r>
          <rPr>
            <sz val="11"/>
            <color theme="1"/>
            <rFont val="Calibri"/>
            <scheme val="minor"/>
          </rPr>
          <t>Demat charges already taken with another Sell transaction of the day
======</t>
        </r>
      </text>
    </comment>
    <comment ref="R264" authorId="0" shapeId="0">
      <text>
        <r>
          <rPr>
            <sz val="11"/>
            <color theme="1"/>
            <rFont val="Calibri"/>
            <scheme val="minor"/>
          </rPr>
          <t>Demat charges taken with the first Sell transaction of the day
======</t>
        </r>
      </text>
    </comment>
    <comment ref="R266" authorId="0" shapeId="0">
      <text>
        <r>
          <rPr>
            <sz val="11"/>
            <color theme="1"/>
            <rFont val="Calibri"/>
            <scheme val="minor"/>
          </rPr>
          <t>Demat charges taken with the first Sell transaction of the day
======</t>
        </r>
      </text>
    </comment>
    <comment ref="R268" authorId="0" shapeId="0">
      <text>
        <r>
          <rPr>
            <sz val="11"/>
            <color theme="1"/>
            <rFont val="Calibri"/>
            <scheme val="minor"/>
          </rPr>
          <t>Demat charges taken with the first Sell transaction of the day
======</t>
        </r>
      </text>
    </comment>
    <comment ref="R271" authorId="0" shapeId="0">
      <text>
        <r>
          <rPr>
            <sz val="11"/>
            <color theme="1"/>
            <rFont val="Calibri"/>
            <scheme val="minor"/>
          </rPr>
          <t>Demat charges taken with the first Sell transaction of the day
======</t>
        </r>
      </text>
    </comment>
    <comment ref="R272" authorId="0" shapeId="0">
      <text>
        <r>
          <rPr>
            <sz val="11"/>
            <color theme="1"/>
            <rFont val="Calibri"/>
            <scheme val="minor"/>
          </rPr>
          <t>Demat charges taken with the first Sell transaction of the day
======</t>
        </r>
      </text>
    </comment>
    <comment ref="R273" authorId="0" shapeId="0">
      <text>
        <r>
          <rPr>
            <sz val="11"/>
            <color theme="1"/>
            <rFont val="Calibri"/>
            <scheme val="minor"/>
          </rPr>
          <t>Demat charges taken with the first Sell transaction of the day
======</t>
        </r>
      </text>
    </comment>
    <comment ref="R277" authorId="0" shapeId="0">
      <text>
        <r>
          <rPr>
            <sz val="11"/>
            <color theme="1"/>
            <rFont val="Calibri"/>
            <scheme val="minor"/>
          </rPr>
          <t>Demat charges taken with the first Sell transaction of the day
======</t>
        </r>
      </text>
    </comment>
    <comment ref="R278" authorId="0" shapeId="0">
      <text>
        <r>
          <rPr>
            <sz val="11"/>
            <color theme="1"/>
            <rFont val="Calibri"/>
            <scheme val="minor"/>
          </rPr>
          <t>Demat charges taken with the first Sell transaction of the day
======</t>
        </r>
      </text>
    </comment>
    <comment ref="R279" authorId="0" shapeId="0">
      <text>
        <r>
          <rPr>
            <sz val="11"/>
            <color theme="1"/>
            <rFont val="Calibri"/>
            <scheme val="minor"/>
          </rPr>
          <t>Demat charges taken with the first Sell transaction of the day
======</t>
        </r>
      </text>
    </comment>
    <comment ref="R282" authorId="0" shapeId="0">
      <text>
        <r>
          <rPr>
            <sz val="11"/>
            <color theme="1"/>
            <rFont val="Calibri"/>
            <scheme val="minor"/>
          </rPr>
          <t>Demat charges taken with the first Sell transaction of the day
======</t>
        </r>
      </text>
    </comment>
    <comment ref="R286" authorId="0" shapeId="0">
      <text>
        <r>
          <rPr>
            <sz val="11"/>
            <color theme="1"/>
            <rFont val="Calibri"/>
            <scheme val="minor"/>
          </rPr>
          <t>Demat charges taken with the first Sell transaction of the day
======</t>
        </r>
      </text>
    </comment>
    <comment ref="R292" authorId="0" shapeId="0">
      <text>
        <r>
          <rPr>
            <sz val="11"/>
            <color theme="1"/>
            <rFont val="Calibri"/>
            <scheme val="minor"/>
          </rPr>
          <t>Demat charges taken with the first Sell transaction of the day
======</t>
        </r>
      </text>
    </comment>
    <comment ref="P293" authorId="0" shapeId="0">
      <text>
        <r>
          <rPr>
            <sz val="11"/>
            <color theme="1"/>
            <rFont val="Calibri"/>
            <scheme val="minor"/>
          </rPr>
          <t>20-Jan-23
======</t>
        </r>
      </text>
    </comment>
    <comment ref="P294" authorId="0" shapeId="0">
      <text>
        <r>
          <rPr>
            <sz val="11"/>
            <color theme="1"/>
            <rFont val="Calibri"/>
            <scheme val="minor"/>
          </rPr>
          <t>2-Feb-23
======</t>
        </r>
      </text>
    </comment>
    <comment ref="I316" authorId="0" shapeId="0">
      <text>
        <r>
          <rPr>
            <sz val="11"/>
            <color theme="1"/>
            <rFont val="Calibri"/>
            <scheme val="minor"/>
          </rPr>
          <t>Bonus 1:2 converted w.e.f. 06-Sep-2022
======</t>
        </r>
      </text>
    </comment>
    <comment ref="I317" authorId="0" shapeId="0">
      <text>
        <r>
          <rPr>
            <sz val="11"/>
            <color theme="1"/>
            <rFont val="Calibri"/>
            <scheme val="minor"/>
          </rPr>
          <t>Bonus 1:2 converted w.e.f. 06-Sep-2022
======</t>
        </r>
      </text>
    </comment>
    <comment ref="P319" authorId="0" shapeId="0">
      <text>
        <r>
          <rPr>
            <sz val="11"/>
            <color theme="1"/>
            <rFont val="Calibri"/>
            <scheme val="minor"/>
          </rPr>
          <t>8-Mar-23
======</t>
        </r>
      </text>
    </comment>
    <comment ref="S336" authorId="0" shapeId="0">
      <text>
        <r>
          <rPr>
            <sz val="11"/>
            <color theme="1"/>
            <rFont val="Calibri"/>
            <scheme val="minor"/>
          </rPr>
          <t>Credited on 25/06/21
======</t>
        </r>
      </text>
    </comment>
    <comment ref="A338" authorId="0" shapeId="0">
      <text>
        <r>
          <rPr>
            <sz val="11"/>
            <color theme="1"/>
            <rFont val="Calibri"/>
            <scheme val="minor"/>
          </rPr>
          <t>Avg ₹ 2607.83
======</t>
        </r>
      </text>
    </comment>
    <comment ref="R338" authorId="0" shapeId="0">
      <text>
        <r>
          <rPr>
            <sz val="11"/>
            <color theme="1"/>
            <rFont val="Calibri"/>
            <scheme val="minor"/>
          </rPr>
          <t>Demat charges taken with the first Sell transaction of the day
======</t>
        </r>
      </text>
    </comment>
    <comment ref="G339" authorId="0" shapeId="0">
      <text>
        <r>
          <rPr>
            <sz val="11"/>
            <color theme="1"/>
            <rFont val="Calibri"/>
            <scheme val="minor"/>
          </rPr>
          <t>Buy on dips till 150
======</t>
        </r>
      </text>
    </comment>
    <comment ref="R346" authorId="0" shapeId="0">
      <text>
        <r>
          <rPr>
            <sz val="11"/>
            <color theme="1"/>
            <rFont val="Calibri"/>
            <scheme val="minor"/>
          </rPr>
          <t>Demat charges taken with the first Sell transaction of the day
======</t>
        </r>
      </text>
    </comment>
    <comment ref="R347" authorId="0" shapeId="0">
      <text>
        <r>
          <rPr>
            <sz val="11"/>
            <color theme="1"/>
            <rFont val="Calibri"/>
            <scheme val="minor"/>
          </rPr>
          <t>Demat charges taken with the first Sell transaction of the day
======</t>
        </r>
      </text>
    </comment>
    <comment ref="G353" authorId="0" shapeId="0">
      <text>
        <r>
          <rPr>
            <sz val="11"/>
            <color theme="1"/>
            <rFont val="Calibri"/>
            <scheme val="minor"/>
          </rPr>
          <t>MEDIUM TERM:85, LONG_TERM:150/-
======</t>
        </r>
      </text>
    </comment>
    <comment ref="G358" authorId="0" shapeId="0">
      <text>
        <r>
          <rPr>
            <sz val="11"/>
            <color theme="1"/>
            <rFont val="Calibri"/>
            <scheme val="minor"/>
          </rPr>
          <t>MEDIUM TERM:85, LONG_TERM:150/-
======</t>
        </r>
      </text>
    </comment>
    <comment ref="R372" authorId="0" shapeId="0">
      <text>
        <r>
          <rPr>
            <sz val="11"/>
            <color theme="1"/>
            <rFont val="Calibri"/>
            <scheme val="minor"/>
          </rPr>
          <t>Demat charges taken with the first Sell transaction of the day
======</t>
        </r>
      </text>
    </comment>
    <comment ref="D374" authorId="0" shapeId="0">
      <text>
        <r>
          <rPr>
            <sz val="11"/>
            <color theme="1"/>
            <rFont val="Calibri"/>
            <scheme val="minor"/>
          </rPr>
          <t>TGT 850-885-920
======</t>
        </r>
      </text>
    </comment>
    <comment ref="G374" authorId="0" shapeId="0">
      <text>
        <r>
          <rPr>
            <sz val="11"/>
            <color theme="1"/>
            <rFont val="Calibri"/>
            <scheme val="minor"/>
          </rPr>
          <t>INSECTICIDE 789, ADD ON DIPS TILL 755, SL 720, TGT 850-885-920*
======</t>
        </r>
      </text>
    </comment>
    <comment ref="D376" authorId="0" shapeId="0">
      <text>
        <r>
          <rPr>
            <sz val="11"/>
            <color theme="1"/>
            <rFont val="Calibri"/>
            <scheme val="minor"/>
          </rPr>
          <t>120-125
======</t>
        </r>
      </text>
    </comment>
    <comment ref="R377" authorId="0" shapeId="0">
      <text>
        <r>
          <rPr>
            <sz val="11"/>
            <color theme="1"/>
            <rFont val="Calibri"/>
            <scheme val="minor"/>
          </rPr>
          <t>======
ID#AAAARGJ9sBU
    (2021-05-10 15:05:06)
Charges for moving from SBICAP to Zerodha's CDSL A/c ₹ 35.40
Charges for moving from Sunita to Satya's CDSLboth A/c thru Zerodha ₹ 29.50</t>
        </r>
      </text>
    </comment>
    <comment ref="L378" authorId="0" shapeId="0">
      <text>
        <r>
          <rPr>
            <sz val="11"/>
            <color theme="1"/>
            <rFont val="Calibri"/>
            <scheme val="minor"/>
          </rPr>
          <t>Credit to Demat account
======
ID#AAAAMT5jkpc
Satya Gupta    (2021-04-16 13:19:57)
IPO credit to Demat on 28/01/2021</t>
        </r>
      </text>
    </comment>
    <comment ref="R378" authorId="0" shapeId="0">
      <text>
        <r>
          <rPr>
            <sz val="11"/>
            <color theme="1"/>
            <rFont val="Calibri"/>
            <scheme val="minor"/>
          </rPr>
          <t>======
ID#AAAARGJ9sCw
    (2021-05-10 15:05:06)
Charges for moving from SBICAP to Zerodha's CDSL A/c ₹ 35.40
------
ID#AAAAUIdXmUI
Satya Prakash Gupta    (2021-10-18 18:37:54)
_Marked as resolved_
------
ID#AAAAUIdXmUM
Satya Prakash Gupta    (2021-10-18 18:37:58)
_Re-opened_</t>
        </r>
      </text>
    </comment>
    <comment ref="D394" authorId="0" shapeId="0">
      <text>
        <r>
          <rPr>
            <sz val="11"/>
            <color theme="1"/>
            <rFont val="Calibri"/>
            <scheme val="minor"/>
          </rPr>
          <t>ST-TGT 90
======</t>
        </r>
      </text>
    </comment>
    <comment ref="J394" authorId="0" shapeId="0">
      <text>
        <r>
          <rPr>
            <sz val="11"/>
            <color theme="1"/>
            <rFont val="Calibri"/>
            <scheme val="minor"/>
          </rPr>
          <t>Zerodha @ ₹ 73.05
======</t>
        </r>
      </text>
    </comment>
    <comment ref="R408" authorId="0" shapeId="0">
      <text>
        <r>
          <rPr>
            <sz val="11"/>
            <color theme="1"/>
            <rFont val="Calibri"/>
            <scheme val="minor"/>
          </rPr>
          <t>======
ID#AAAAUIdXmUU
    (2021-11-13 15:40:07)
Dematerialisation charges ₹ 40+GST
Charges for moving from SBICAP to Zerodha's CDSL A/c ₹ 30+GST</t>
        </r>
      </text>
    </comment>
    <comment ref="A411" authorId="0" shapeId="0">
      <text>
        <r>
          <rPr>
            <sz val="11"/>
            <color theme="1"/>
            <rFont val="Calibri"/>
            <scheme val="minor"/>
          </rPr>
          <t>Avg ₹ 31.18
======</t>
        </r>
      </text>
    </comment>
    <comment ref="R412" authorId="0" shapeId="0">
      <text>
        <r>
          <rPr>
            <sz val="11"/>
            <color theme="1"/>
            <rFont val="Calibri"/>
            <scheme val="minor"/>
          </rPr>
          <t>Demat charges taken with the first Sell transaction of the day
======</t>
        </r>
      </text>
    </comment>
    <comment ref="R415" authorId="0" shapeId="0">
      <text>
        <r>
          <rPr>
            <sz val="11"/>
            <color theme="1"/>
            <rFont val="Calibri"/>
            <scheme val="minor"/>
          </rPr>
          <t>Demat charges taken with the first Sell transaction of the day
======</t>
        </r>
      </text>
    </comment>
    <comment ref="R418" authorId="0" shapeId="0">
      <text>
        <r>
          <rPr>
            <sz val="11"/>
            <color theme="1"/>
            <rFont val="Calibri"/>
            <scheme val="minor"/>
          </rPr>
          <t>======
ID#AAAARFjorzU
    (2021-05-10 15:05:06)
Charges for moving from SBICAP to Zerodha's CDSL A/c ₹ 35.40
Charges for moving from Sunita to Satya's CDSLboth A/c thru Zerodha ₹ 29.50</t>
        </r>
      </text>
    </comment>
    <comment ref="R421" authorId="0" shapeId="0">
      <text>
        <r>
          <rPr>
            <sz val="11"/>
            <color theme="1"/>
            <rFont val="Calibri"/>
            <scheme val="minor"/>
          </rPr>
          <t>Demat charges taken with the first Sell transaction of the day
======</t>
        </r>
      </text>
    </comment>
    <comment ref="S421" authorId="0" shapeId="0">
      <text>
        <r>
          <rPr>
            <sz val="11"/>
            <color theme="1"/>
            <rFont val="Calibri"/>
            <scheme val="minor"/>
          </rPr>
          <t>Credited on 31/03/21
======</t>
        </r>
      </text>
    </comment>
    <comment ref="A429" authorId="0" shapeId="0">
      <text>
        <r>
          <rPr>
            <sz val="11"/>
            <color theme="1"/>
            <rFont val="Calibri"/>
            <scheme val="minor"/>
          </rPr>
          <t>Avg ₹ 82.60
======</t>
        </r>
      </text>
    </comment>
    <comment ref="A431" authorId="0" shapeId="0">
      <text>
        <r>
          <rPr>
            <sz val="11"/>
            <color theme="1"/>
            <rFont val="Calibri"/>
            <scheme val="minor"/>
          </rPr>
          <t>Avg ₹ 76.85
======</t>
        </r>
      </text>
    </comment>
    <comment ref="R431" authorId="0" shapeId="0">
      <text>
        <r>
          <rPr>
            <sz val="11"/>
            <color theme="1"/>
            <rFont val="Calibri"/>
            <scheme val="minor"/>
          </rPr>
          <t>Demat charges taken with the first Sell transaction of the day
======</t>
        </r>
      </text>
    </comment>
    <comment ref="P447" authorId="0" shapeId="0">
      <text>
        <r>
          <rPr>
            <sz val="11"/>
            <color theme="1"/>
            <rFont val="Calibri"/>
            <scheme val="minor"/>
          </rPr>
          <t>Actual 19-Jan-23
======</t>
        </r>
      </text>
    </comment>
    <comment ref="R456" authorId="0" shapeId="0">
      <text>
        <r>
          <rPr>
            <sz val="11"/>
            <color theme="1"/>
            <rFont val="Calibri"/>
            <scheme val="minor"/>
          </rPr>
          <t>Demat charges taken with the first Sell transaction of the day
======</t>
        </r>
      </text>
    </comment>
    <comment ref="R459" authorId="0" shapeId="0">
      <text>
        <r>
          <rPr>
            <sz val="11"/>
            <color theme="1"/>
            <rFont val="Calibri"/>
            <scheme val="minor"/>
          </rPr>
          <t>Demat charges taken with the first Sell transaction of the day
======</t>
        </r>
      </text>
    </comment>
    <comment ref="R460" authorId="0" shapeId="0">
      <text>
        <r>
          <rPr>
            <sz val="11"/>
            <color theme="1"/>
            <rFont val="Calibri"/>
            <scheme val="minor"/>
          </rPr>
          <t>Demat charges taken with the first Sell transaction of the day
======</t>
        </r>
      </text>
    </comment>
    <comment ref="R463" authorId="0" shapeId="0">
      <text>
        <r>
          <rPr>
            <sz val="11"/>
            <color theme="1"/>
            <rFont val="Calibri"/>
            <scheme val="minor"/>
          </rPr>
          <t>======
ID#AAAARGJ9sCc
    (2021-05-14 03:39:00)
Charges for moving from SBICAP to Zerodha's CDSL A/c ₹ 35.40
Charges for moving from Sunita to Satya's CDSLboth A/c thru Zerodha ₹ 29.50</t>
        </r>
      </text>
    </comment>
    <comment ref="R466" authorId="0" shapeId="0">
      <text>
        <r>
          <rPr>
            <sz val="11"/>
            <color theme="1"/>
            <rFont val="Calibri"/>
            <scheme val="minor"/>
          </rPr>
          <t>Demat charges taken with the first Sell transaction of the day
======</t>
        </r>
      </text>
    </comment>
    <comment ref="R474" authorId="0" shapeId="0">
      <text>
        <r>
          <rPr>
            <sz val="11"/>
            <color theme="1"/>
            <rFont val="Calibri"/>
            <scheme val="minor"/>
          </rPr>
          <t>Demat charges taken with the first Sell transaction of the day
======</t>
        </r>
      </text>
    </comment>
    <comment ref="P477" authorId="0" shapeId="0">
      <text>
        <r>
          <rPr>
            <sz val="11"/>
            <color theme="1"/>
            <rFont val="Calibri"/>
            <scheme val="minor"/>
          </rPr>
          <t>4-Jan-23
======</t>
        </r>
      </text>
    </comment>
    <comment ref="R477" authorId="0" shapeId="0">
      <text>
        <r>
          <rPr>
            <sz val="11"/>
            <color theme="1"/>
            <rFont val="Calibri"/>
            <scheme val="minor"/>
          </rPr>
          <t>Demat charges taken with the first Sell transaction of the day
======</t>
        </r>
      </text>
    </comment>
    <comment ref="A479" authorId="0" shapeId="0">
      <text>
        <r>
          <rPr>
            <sz val="11"/>
            <color theme="1"/>
            <rFont val="Calibri"/>
            <scheme val="minor"/>
          </rPr>
          <t>Avg ₹ 1248.13
======</t>
        </r>
      </text>
    </comment>
    <comment ref="R490" authorId="0" shapeId="0">
      <text>
        <r>
          <rPr>
            <sz val="11"/>
            <color theme="1"/>
            <rFont val="Calibri"/>
            <scheme val="minor"/>
          </rPr>
          <t>Demat charges taken with the first Sell transaction of the day
======</t>
        </r>
      </text>
    </comment>
    <comment ref="R496" authorId="0" shapeId="0">
      <text>
        <r>
          <rPr>
            <sz val="11"/>
            <color theme="1"/>
            <rFont val="Calibri"/>
            <scheme val="minor"/>
          </rPr>
          <t>Demat charges taken with the first Sell transaction of the day
======</t>
        </r>
      </text>
    </comment>
    <comment ref="R498" authorId="0" shapeId="0">
      <text>
        <r>
          <rPr>
            <sz val="11"/>
            <color theme="1"/>
            <rFont val="Calibri"/>
            <scheme val="minor"/>
          </rPr>
          <t>Demat charges taken with the first Sell transaction of the day
======</t>
        </r>
      </text>
    </comment>
    <comment ref="R499" authorId="0" shapeId="0">
      <text>
        <r>
          <rPr>
            <sz val="11"/>
            <color theme="1"/>
            <rFont val="Calibri"/>
            <scheme val="minor"/>
          </rPr>
          <t>Demat charges taken with the first Sell transaction of the day
======</t>
        </r>
      </text>
    </comment>
    <comment ref="A513" authorId="0" shapeId="0">
      <text>
        <r>
          <rPr>
            <sz val="11"/>
            <color theme="1"/>
            <rFont val="Calibri"/>
            <scheme val="minor"/>
          </rPr>
          <t>Avg ₹ 8.14
======</t>
        </r>
      </text>
    </comment>
    <comment ref="R513" authorId="0" shapeId="0">
      <text>
        <r>
          <rPr>
            <sz val="11"/>
            <color theme="1"/>
            <rFont val="Calibri"/>
            <scheme val="minor"/>
          </rPr>
          <t>Demat charges taken with the first Sell transaction of the day
======</t>
        </r>
      </text>
    </comment>
    <comment ref="R521" authorId="0" shapeId="0">
      <text>
        <r>
          <rPr>
            <sz val="11"/>
            <color theme="1"/>
            <rFont val="Calibri"/>
            <scheme val="minor"/>
          </rPr>
          <t>Demat charges taken with the first Sell transaction of the day
======</t>
        </r>
      </text>
    </comment>
    <comment ref="I527" authorId="0" shapeId="0">
      <text>
        <r>
          <rPr>
            <sz val="11"/>
            <color theme="1"/>
            <rFont val="Calibri"/>
            <scheme val="minor"/>
          </rPr>
          <t>Credit after amalgamation on 26/11/2021
======</t>
        </r>
      </text>
    </comment>
    <comment ref="K527" authorId="0" shapeId="0">
      <text>
        <r>
          <rPr>
            <sz val="11"/>
            <color theme="1"/>
            <rFont val="Calibri"/>
            <scheme val="minor"/>
          </rPr>
          <t>Buy Cost of 100 TATASTLBSL ₹ 8810
Received TATASTEEL in 15:1 ratio on amalgamation hence Cost of 6 TATASTEEL ₹  7929 (8810/6.6667*6) Minus ₹ 737.48
Cash received on 13/12/2021 for fraction share 0.6667 (should get ₹ 881 (8810-7929) hence loss of ₹ 143.52)
======</t>
        </r>
      </text>
    </comment>
    <comment ref="R527" authorId="0" shapeId="0">
      <text>
        <r>
          <rPr>
            <sz val="11"/>
            <color theme="1"/>
            <rFont val="Calibri"/>
            <scheme val="minor"/>
          </rPr>
          <t>Demat charges taken with the first Sell transaction of the day
======</t>
        </r>
      </text>
    </comment>
    <comment ref="R532" authorId="0" shapeId="0">
      <text>
        <r>
          <rPr>
            <sz val="11"/>
            <color theme="1"/>
            <rFont val="Calibri"/>
            <scheme val="minor"/>
          </rPr>
          <t>Demat charges taken with the first Sell transaction of the day
======</t>
        </r>
      </text>
    </comment>
    <comment ref="R541" authorId="0" shapeId="0">
      <text>
        <r>
          <rPr>
            <sz val="11"/>
            <color theme="1"/>
            <rFont val="Calibri"/>
            <scheme val="minor"/>
          </rPr>
          <t>Demat charges taken with the first Sell transaction of the day
======</t>
        </r>
      </text>
    </comment>
    <comment ref="G545" authorId="0" shapeId="0">
      <text>
        <r>
          <rPr>
            <sz val="11"/>
            <color theme="1"/>
            <rFont val="Calibri"/>
            <scheme val="minor"/>
          </rPr>
          <t>Med-Term High Risk Return Call
======</t>
        </r>
      </text>
    </comment>
    <comment ref="D547" authorId="0" shapeId="0">
      <text>
        <r>
          <rPr>
            <sz val="11"/>
            <color theme="1"/>
            <rFont val="Calibri"/>
            <scheme val="minor"/>
          </rPr>
          <t>First target 25
======</t>
        </r>
      </text>
    </comment>
    <comment ref="R549" authorId="0" shapeId="0">
      <text>
        <r>
          <rPr>
            <sz val="11"/>
            <color theme="1"/>
            <rFont val="Calibri"/>
            <scheme val="minor"/>
          </rPr>
          <t>Demat charges taken with the first Sell transaction of the day
======</t>
        </r>
      </text>
    </comment>
    <comment ref="R550" authorId="0" shapeId="0">
      <text>
        <r>
          <rPr>
            <sz val="11"/>
            <color theme="1"/>
            <rFont val="Calibri"/>
            <scheme val="minor"/>
          </rPr>
          <t>Demat charges taken with the first Sell transaction of the day
======</t>
        </r>
      </text>
    </comment>
    <comment ref="R558" authorId="0" shapeId="0">
      <text>
        <r>
          <rPr>
            <sz val="11"/>
            <color theme="1"/>
            <rFont val="Calibri"/>
            <scheme val="minor"/>
          </rPr>
          <t>Demat charges taken with the first Sell transaction of the day
======</t>
        </r>
      </text>
    </comment>
    <comment ref="T561" authorId="0" shapeId="0">
      <text>
        <r>
          <rPr>
            <sz val="11"/>
            <color theme="1"/>
            <rFont val="Calibri"/>
            <scheme val="minor"/>
          </rPr>
          <t>Profit prior to 01/01/2021 ₹ 30,599.00 
Net Profit ₹ 4,310.09 (after adjusting losses below)
Loss on old holding sold after 01/01/2021 ₹ 26,288.91
BHEL ₹    7,292.56
MTNL ₹ 10,094.50
Rolta ₹     8,901.85
======</t>
        </r>
      </text>
    </comment>
    <comment ref="V561" authorId="0" shapeId="0">
      <text>
        <r>
          <rPr>
            <sz val="11"/>
            <color theme="1"/>
            <rFont val="Calibri"/>
            <scheme val="minor"/>
          </rPr>
          <t>Minus Demat A/c AMC etc.
======</t>
        </r>
      </text>
    </comment>
    <comment ref="R567" authorId="0" shapeId="0">
      <text>
        <r>
          <rPr>
            <sz val="11"/>
            <color theme="1"/>
            <rFont val="Calibri"/>
            <scheme val="minor"/>
          </rPr>
          <t>Satya
Demat A/c AMC etc. Within 1st parenthesis
Buyback settlement Within 2nd parenthesis
OFS/Buyback Order Within 3rd parenthesis
Payment Gateway Within 4th parenthesis
Other Debits within 5th parenthesis
======</t>
        </r>
      </text>
    </comment>
    <comment ref="T567" authorId="0" shapeId="0">
      <text>
        <r>
          <rPr>
            <sz val="11"/>
            <color theme="1"/>
            <rFont val="Calibri"/>
            <scheme val="minor"/>
          </rPr>
          <t>Sunita Demat A/c AMC etc.
Chg by SBICAP Within 1st parenthesis
Chg by Zerodha Within 2nd parenthesis
======</t>
        </r>
      </text>
    </comment>
  </commentList>
  <extLst>
    <ext xmlns:r="http://schemas.openxmlformats.org/officeDocument/2006/relationships" uri="GoogleSheetsCustomDataVersion1">
      <go:sheetsCustomData xmlns:go="http://customooxmlschemas.google.com/" r:id="rId1" roundtripDataSignature="AMtx7mhaOT522fFej9Jgt3BwuE7M7uGCQQ=="/>
    </ext>
  </extLst>
</comments>
</file>

<file path=xl/comments7.xml><?xml version="1.0" encoding="utf-8"?>
<comments xmlns="http://schemas.openxmlformats.org/spreadsheetml/2006/main">
  <authors>
    <author/>
  </authors>
  <commentList>
    <comment ref="D13" authorId="0" shapeId="0">
      <text>
        <r>
          <rPr>
            <sz val="11"/>
            <color theme="1"/>
            <rFont val="Calibri"/>
            <scheme val="minor"/>
          </rPr>
          <t>100 Bought, Sold on 26/10/2021
======</t>
        </r>
      </text>
    </comment>
    <comment ref="D16" authorId="0" shapeId="0">
      <text>
        <r>
          <rPr>
            <sz val="11"/>
            <color theme="1"/>
            <rFont val="Calibri"/>
            <scheme val="minor"/>
          </rPr>
          <t>110 Bought, Sold 300 on 09/11/2021
======</t>
        </r>
      </text>
    </comment>
    <comment ref="D17" authorId="0" shapeId="0">
      <text>
        <r>
          <rPr>
            <sz val="11"/>
            <color theme="1"/>
            <rFont val="Calibri"/>
            <scheme val="minor"/>
          </rPr>
          <t>90 Bought, Sold 300 on 09/11/2021
======</t>
        </r>
      </text>
    </comment>
    <comment ref="D18" authorId="0" shapeId="0">
      <text>
        <r>
          <rPr>
            <sz val="11"/>
            <color theme="1"/>
            <rFont val="Calibri"/>
            <scheme val="minor"/>
          </rPr>
          <t>100 Bought, Sold 300 on 09/11/2021
======</t>
        </r>
      </text>
    </comment>
    <comment ref="D27" authorId="0" shapeId="0">
      <text>
        <r>
          <rPr>
            <sz val="11"/>
            <color theme="1"/>
            <rFont val="Calibri"/>
            <scheme val="minor"/>
          </rPr>
          <t>100 Bought, Sold on 29/11/2021
======</t>
        </r>
      </text>
    </comment>
    <comment ref="D29" authorId="0" shapeId="0">
      <text>
        <r>
          <rPr>
            <sz val="11"/>
            <color theme="1"/>
            <rFont val="Calibri"/>
            <scheme val="minor"/>
          </rPr>
          <t>183 Bought, Sold on 14/12/2021
======</t>
        </r>
      </text>
    </comment>
    <comment ref="D32" authorId="0" shapeId="0">
      <text>
        <r>
          <rPr>
            <sz val="11"/>
            <color theme="1"/>
            <rFont val="Calibri"/>
            <scheme val="minor"/>
          </rPr>
          <t>100 Bought, Sold on 16/12/2021
======</t>
        </r>
      </text>
    </comment>
    <comment ref="D34" authorId="0" shapeId="0">
      <text>
        <r>
          <rPr>
            <sz val="11"/>
            <color theme="1"/>
            <rFont val="Calibri"/>
            <scheme val="minor"/>
          </rPr>
          <t>135 Bought, Sold 200 on 21/12/2021
======</t>
        </r>
      </text>
    </comment>
    <comment ref="D35" authorId="0" shapeId="0">
      <text>
        <r>
          <rPr>
            <sz val="11"/>
            <color theme="1"/>
            <rFont val="Calibri"/>
            <scheme val="minor"/>
          </rPr>
          <t>65 Bought, Sold 200 on 21/12/2021
======</t>
        </r>
      </text>
    </comment>
    <comment ref="D39" authorId="0" shapeId="0">
      <text>
        <r>
          <rPr>
            <sz val="11"/>
            <color theme="1"/>
            <rFont val="Calibri"/>
            <scheme val="minor"/>
          </rPr>
          <t>50 Sold, Bought on 24/12/2021
======</t>
        </r>
      </text>
    </comment>
    <comment ref="D41" authorId="0" shapeId="0">
      <text>
        <r>
          <rPr>
            <sz val="11"/>
            <color theme="1"/>
            <rFont val="Calibri"/>
            <scheme val="minor"/>
          </rPr>
          <t>100 Bought, Sold 360 on 04/01/2022
======</t>
        </r>
      </text>
    </comment>
    <comment ref="D42" authorId="0" shapeId="0">
      <text>
        <r>
          <rPr>
            <sz val="11"/>
            <color theme="1"/>
            <rFont val="Calibri"/>
            <scheme val="minor"/>
          </rPr>
          <t>160 Bought, Sold 360 on 04/01/2022
======</t>
        </r>
      </text>
    </comment>
    <comment ref="D44" authorId="0" shapeId="0">
      <text>
        <r>
          <rPr>
            <sz val="11"/>
            <color theme="1"/>
            <rFont val="Calibri"/>
            <scheme val="minor"/>
          </rPr>
          <t>50 Bought, Sold on 07/01/2022
======</t>
        </r>
      </text>
    </comment>
    <comment ref="D48" authorId="0" shapeId="0">
      <text>
        <r>
          <rPr>
            <sz val="11"/>
            <color theme="1"/>
            <rFont val="Calibri"/>
            <scheme val="minor"/>
          </rPr>
          <t>175 Bought, Sold on 13/01/2022
======</t>
        </r>
      </text>
    </comment>
    <comment ref="D50" authorId="0" shapeId="0">
      <text>
        <r>
          <rPr>
            <sz val="11"/>
            <color theme="1"/>
            <rFont val="Calibri"/>
            <scheme val="minor"/>
          </rPr>
          <t>100 Bought, Sold on 14/01/2022
150 Bought, Sold on 17/01/2022
======</t>
        </r>
      </text>
    </comment>
    <comment ref="D51" authorId="0" shapeId="0">
      <text>
        <r>
          <rPr>
            <sz val="11"/>
            <color theme="1"/>
            <rFont val="Calibri"/>
            <scheme val="minor"/>
          </rPr>
          <t>47 Sold, Bought on 18/01/2022
======</t>
        </r>
      </text>
    </comment>
    <comment ref="C55" authorId="0" shapeId="0">
      <text>
        <r>
          <rPr>
            <sz val="11"/>
            <color theme="1"/>
            <rFont val="Calibri"/>
            <scheme val="minor"/>
          </rPr>
          <t>₹ 103.76 BAJFINANCE included
======</t>
        </r>
      </text>
    </comment>
    <comment ref="C56" authorId="0" shapeId="0">
      <text>
        <r>
          <rPr>
            <sz val="11"/>
            <color theme="1"/>
            <rFont val="Calibri"/>
            <scheme val="minor"/>
          </rPr>
          <t>₹ 85.58 BAJFINANCE included
======</t>
        </r>
      </text>
    </comment>
    <comment ref="D64" authorId="0" shapeId="0">
      <text>
        <r>
          <rPr>
            <sz val="11"/>
            <color theme="1"/>
            <rFont val="Calibri"/>
            <scheme val="minor"/>
          </rPr>
          <t>190 Bought, Sold on 04/02/2022
======</t>
        </r>
      </text>
    </comment>
    <comment ref="D65" authorId="0" shapeId="0">
      <text>
        <r>
          <rPr>
            <sz val="11"/>
            <color theme="1"/>
            <rFont val="Calibri"/>
            <scheme val="minor"/>
          </rPr>
          <t>60 Bought, Sold on 08/02/2022
======</t>
        </r>
      </text>
    </comment>
    <comment ref="D67" authorId="0" shapeId="0">
      <text>
        <r>
          <rPr>
            <sz val="11"/>
            <color theme="1"/>
            <rFont val="Calibri"/>
            <scheme val="minor"/>
          </rPr>
          <t>50 Bought, Sold on 10/02/2022
======</t>
        </r>
      </text>
    </comment>
    <comment ref="D72" authorId="0" shapeId="0">
      <text>
        <r>
          <rPr>
            <sz val="11"/>
            <color theme="1"/>
            <rFont val="Calibri"/>
            <scheme val="minor"/>
          </rPr>
          <t>70 Bought, Sold on 15/02/2022
======</t>
        </r>
      </text>
    </comment>
    <comment ref="D73" authorId="0" shapeId="0">
      <text>
        <r>
          <rPr>
            <sz val="11"/>
            <color theme="1"/>
            <rFont val="Calibri"/>
            <scheme val="minor"/>
          </rPr>
          <t>115 Bought, Sold on 25/01/2022
Loss ₹ 47.93 on Sold 3 BAJFINANCE Bought 5 on 24/01/2022 
======</t>
        </r>
      </text>
    </comment>
    <comment ref="D74" authorId="0" shapeId="0">
      <text>
        <r>
          <rPr>
            <sz val="11"/>
            <color theme="1"/>
            <rFont val="Calibri"/>
            <scheme val="minor"/>
          </rPr>
          <t>100 Bought, Sold on 04/01/2022
Loss ₹ 249.93 on Sold 2 BAJFINANCE Bought 5 on 24/01/2022 
======</t>
        </r>
      </text>
    </comment>
    <comment ref="C76" authorId="0" shapeId="0">
      <text>
        <r>
          <rPr>
            <sz val="11"/>
            <color theme="1"/>
            <rFont val="Calibri"/>
            <scheme val="minor"/>
          </rPr>
          <t>Including SETFGOLD ₹ 145.06
======</t>
        </r>
      </text>
    </comment>
    <comment ref="D76" authorId="0" shapeId="0">
      <text>
        <r>
          <rPr>
            <sz val="11"/>
            <color theme="1"/>
            <rFont val="Calibri"/>
            <scheme val="minor"/>
          </rPr>
          <t>10 Bought, Sold on 23/02/2022
======</t>
        </r>
      </text>
    </comment>
    <comment ref="D77" authorId="0" shapeId="0">
      <text>
        <r>
          <rPr>
            <sz val="11"/>
            <color theme="1"/>
            <rFont val="Calibri"/>
            <scheme val="minor"/>
          </rPr>
          <t>1500 Bought, Sold 1500 on 24/02/2022
======</t>
        </r>
      </text>
    </comment>
    <comment ref="D78" authorId="0" shapeId="0">
      <text>
        <r>
          <rPr>
            <sz val="11"/>
            <color theme="1"/>
            <rFont val="Calibri"/>
            <scheme val="minor"/>
          </rPr>
          <t>21 Sold 20 Bought on 18-Feb-22
               01 Bought on 21-Oct-21
10 Bought, Sold on 25-Feb-22
======</t>
        </r>
      </text>
    </comment>
    <comment ref="C84" authorId="0" shapeId="0">
      <text>
        <r>
          <rPr>
            <sz val="11"/>
            <color theme="1"/>
            <rFont val="Calibri"/>
            <scheme val="minor"/>
          </rPr>
          <t>Including SETFGOLD ₹ 411.66
======</t>
        </r>
      </text>
    </comment>
    <comment ref="D85" authorId="0" shapeId="0">
      <text>
        <r>
          <rPr>
            <sz val="11"/>
            <color theme="1"/>
            <rFont val="Calibri"/>
            <scheme val="minor"/>
          </rPr>
          <t>1500 Bought, Sold 1500 on 07/03/2022
======</t>
        </r>
      </text>
    </comment>
    <comment ref="D87" authorId="0" shapeId="0">
      <text>
        <r>
          <rPr>
            <sz val="11"/>
            <color theme="1"/>
            <rFont val="Calibri"/>
            <scheme val="minor"/>
          </rPr>
          <t>20 Sold, Bought on 04-Mar-22
======</t>
        </r>
      </text>
    </comment>
    <comment ref="D88" authorId="0" shapeId="0">
      <text>
        <r>
          <rPr>
            <sz val="11"/>
            <color theme="1"/>
            <rFont val="Calibri"/>
            <scheme val="minor"/>
          </rPr>
          <t>10 Bought, Sold on 14-Mar-22
======</t>
        </r>
      </text>
    </comment>
    <comment ref="D93" authorId="0" shapeId="0">
      <text>
        <r>
          <rPr>
            <sz val="11"/>
            <color theme="1"/>
            <rFont val="Calibri"/>
            <scheme val="minor"/>
          </rPr>
          <t>16 Bought, Sold on 22-Mar-22
======</t>
        </r>
      </text>
    </comment>
    <comment ref="D98" authorId="0" shapeId="0">
      <text>
        <r>
          <rPr>
            <sz val="11"/>
            <color theme="1"/>
            <rFont val="Calibri"/>
            <scheme val="minor"/>
          </rPr>
          <t>40 Bought, Sold on 29-Mar-22
======</t>
        </r>
      </text>
    </comment>
    <comment ref="D100" authorId="0" shapeId="0">
      <text>
        <r>
          <rPr>
            <sz val="11"/>
            <color theme="1"/>
            <rFont val="Calibri"/>
            <scheme val="minor"/>
          </rPr>
          <t>50 Sold, Bought on 07-Feb-22
10 Sold, Bought on 30-Mar-22
114 Sold, Bought on 11-Feb-22
======</t>
        </r>
      </text>
    </comment>
    <comment ref="D102" authorId="0" shapeId="0">
      <text>
        <r>
          <rPr>
            <sz val="11"/>
            <color theme="1"/>
            <rFont val="Calibri"/>
            <scheme val="minor"/>
          </rPr>
          <t>50 Sold, Bought on 4-Apr-22
======</t>
        </r>
      </text>
    </comment>
    <comment ref="D106" authorId="0" shapeId="0">
      <text>
        <r>
          <rPr>
            <sz val="11"/>
            <color theme="1"/>
            <rFont val="Calibri"/>
            <scheme val="minor"/>
          </rPr>
          <t>SETFGOLD
2500 Sold,
                1600 Bought on 21-Jun-21
                  500 Bought on 25-Aug-21
                  400 Bought on 26-Aug-21
======</t>
        </r>
      </text>
    </comment>
    <comment ref="D107" authorId="0" shapeId="0">
      <text>
        <r>
          <rPr>
            <sz val="11"/>
            <color theme="1"/>
            <rFont val="Calibri"/>
            <scheme val="minor"/>
          </rPr>
          <t>124 Bought, Sold on 01-Apr-22
======</t>
        </r>
      </text>
    </comment>
    <comment ref="D109" authorId="0" shapeId="0">
      <text>
        <r>
          <rPr>
            <sz val="11"/>
            <color theme="1"/>
            <rFont val="Calibri"/>
            <scheme val="minor"/>
          </rPr>
          <t>100 Sold, Bought on 12-Apr-22
======</t>
        </r>
      </text>
    </comment>
    <comment ref="D110" authorId="0" shapeId="0">
      <text>
        <r>
          <rPr>
            <sz val="11"/>
            <color theme="1"/>
            <rFont val="Calibri"/>
            <scheme val="minor"/>
          </rPr>
          <t>100 Bought, Sold on 18-Apr-22
======</t>
        </r>
      </text>
    </comment>
    <comment ref="D111" authorId="0" shapeId="0">
      <text>
        <r>
          <rPr>
            <sz val="11"/>
            <color theme="1"/>
            <rFont val="Calibri"/>
            <scheme val="minor"/>
          </rPr>
          <t>30 Sold, Bought on 19-Apr-22
======</t>
        </r>
      </text>
    </comment>
    <comment ref="D112" authorId="0" shapeId="0">
      <text>
        <r>
          <rPr>
            <sz val="11"/>
            <color theme="1"/>
            <rFont val="Calibri"/>
            <scheme val="minor"/>
          </rPr>
          <t>31 Sold, Bought on 08-Apr-22
======</t>
        </r>
      </text>
    </comment>
    <comment ref="D113" authorId="0" shapeId="0">
      <text>
        <r>
          <rPr>
            <sz val="11"/>
            <color theme="1"/>
            <rFont val="Calibri"/>
            <scheme val="minor"/>
          </rPr>
          <t>60 Bought, Sold on 20-Apr-22
======</t>
        </r>
      </text>
    </comment>
    <comment ref="D115" authorId="0" shapeId="0">
      <text>
        <r>
          <rPr>
            <sz val="11"/>
            <color theme="1"/>
            <rFont val="Calibri"/>
            <scheme val="minor"/>
          </rPr>
          <t>50 Sold, Bought on 25-Apr-22
======</t>
        </r>
      </text>
    </comment>
    <comment ref="D119" authorId="0" shapeId="0">
      <text>
        <r>
          <rPr>
            <sz val="11"/>
            <color theme="1"/>
            <rFont val="Calibri"/>
            <scheme val="minor"/>
          </rPr>
          <t>100 Bought, Sold on 28-Apr-22
======</t>
        </r>
      </text>
    </comment>
    <comment ref="D120" authorId="0" shapeId="0">
      <text>
        <r>
          <rPr>
            <sz val="11"/>
            <color theme="1"/>
            <rFont val="Calibri"/>
            <scheme val="minor"/>
          </rPr>
          <t>50 Sold, Bought on 02-May-22
100 Sold, Bought on 28-Apr-22
======</t>
        </r>
      </text>
    </comment>
    <comment ref="D121" authorId="0" shapeId="0">
      <text>
        <r>
          <rPr>
            <sz val="11"/>
            <color theme="1"/>
            <rFont val="Calibri"/>
            <scheme val="minor"/>
          </rPr>
          <t>50 Sold, Bought on 07-Apr-22
100 Sold, Bought on 29-Apr-22
======</t>
        </r>
      </text>
    </comment>
    <comment ref="D122" authorId="0" shapeId="0">
      <text>
        <r>
          <rPr>
            <sz val="11"/>
            <color theme="1"/>
            <rFont val="Calibri"/>
            <scheme val="minor"/>
          </rPr>
          <t>100 Bought, Sold on 05-May-22
======</t>
        </r>
      </text>
    </comment>
    <comment ref="D123" authorId="0" shapeId="0">
      <text>
        <r>
          <rPr>
            <sz val="11"/>
            <color theme="1"/>
            <rFont val="Calibri"/>
            <scheme val="minor"/>
          </rPr>
          <t>SETFGOLD
400 Sold, Bought on 5-Mar-21
======</t>
        </r>
      </text>
    </comment>
    <comment ref="D126" authorId="0" shapeId="0">
      <text>
        <r>
          <rPr>
            <sz val="11"/>
            <color theme="1"/>
            <rFont val="Calibri"/>
            <scheme val="minor"/>
          </rPr>
          <t>40 Sold,
                30 Bought on 09-May-22
                10 Bought on 10-May-22
======</t>
        </r>
      </text>
    </comment>
    <comment ref="D350" authorId="0" shapeId="0">
      <text>
        <r>
          <rPr>
            <sz val="11"/>
            <color theme="1"/>
            <rFont val="Calibri"/>
            <scheme val="minor"/>
          </rPr>
          <t>Loss ₹ 47.93 on Sell of 3 on 21/02/2022
Loss ₹ 249.93 on Sell of 2 on 22/02/2022 BAJFINANCE Bought 5 on 24/01/2022
======</t>
        </r>
      </text>
    </comment>
    <comment ref="B360" authorId="0" shapeId="0">
      <text>
        <r>
          <rPr>
            <sz val="11"/>
            <color theme="1"/>
            <rFont val="Calibri"/>
            <scheme val="minor"/>
          </rPr>
          <t>January 26, Wednesday Republic Day
======</t>
        </r>
      </text>
    </comment>
    <comment ref="B362" authorId="0" shapeId="0">
      <text>
        <r>
          <rPr>
            <sz val="11"/>
            <color theme="1"/>
            <rFont val="Calibri"/>
            <scheme val="minor"/>
          </rPr>
          <t>March 01, Mahashivratri
March 18, Friday Holi
======</t>
        </r>
      </text>
    </comment>
    <comment ref="B363" authorId="0" shapeId="0">
      <text>
        <r>
          <rPr>
            <sz val="11"/>
            <color theme="1"/>
            <rFont val="Calibri"/>
            <scheme val="minor"/>
          </rPr>
          <t>April 14, Thursday Dr.Baba Saheb Ambedkar Jayanti/Mahavir Jayanti
April 15, Friday Good Friday
======</t>
        </r>
      </text>
    </comment>
    <comment ref="B364" authorId="0" shapeId="0">
      <text>
        <r>
          <rPr>
            <sz val="11"/>
            <color theme="1"/>
            <rFont val="Calibri"/>
            <scheme val="minor"/>
          </rPr>
          <t>May 03, Tuesday Id-Ul-Fitr (Ramzan ID)
======</t>
        </r>
      </text>
    </comment>
    <comment ref="B367" authorId="0" shapeId="0">
      <text>
        <r>
          <rPr>
            <sz val="11"/>
            <color theme="1"/>
            <rFont val="Calibri"/>
            <scheme val="minor"/>
          </rPr>
          <t>August 09, Tuesday Moharram
August 15, Monday Independence Day
August 31, Wednesday Ganesh Chaturthi
======</t>
        </r>
      </text>
    </comment>
    <comment ref="B369" authorId="0" shapeId="0">
      <text>
        <r>
          <rPr>
            <sz val="11"/>
            <color theme="1"/>
            <rFont val="Calibri"/>
            <scheme val="minor"/>
          </rPr>
          <t>October 05, Wednesday Dussehra
October 24, Monday Diwali * Laxmi Pujan
October 26, Wednesday Balipratipada
======</t>
        </r>
      </text>
    </comment>
    <comment ref="B370" authorId="0" shapeId="0">
      <text>
        <r>
          <rPr>
            <sz val="11"/>
            <color theme="1"/>
            <rFont val="Calibri"/>
            <scheme val="minor"/>
          </rPr>
          <t>November 08, Tuesday Gurunanak Jayanti
======</t>
        </r>
      </text>
    </comment>
    <comment ref="A377" authorId="0" shapeId="0">
      <text>
        <r>
          <rPr>
            <sz val="11"/>
            <color theme="1"/>
            <rFont val="Calibri"/>
            <scheme val="minor"/>
          </rPr>
          <t>Trading Days Elapsed in the current month
======</t>
        </r>
      </text>
    </comment>
    <comment ref="E377" authorId="0" shapeId="0">
      <text>
        <r>
          <rPr>
            <sz val="11"/>
            <color theme="1"/>
            <rFont val="Calibri"/>
            <scheme val="minor"/>
          </rPr>
          <t>Worked Days from 04-Oct-2021
======</t>
        </r>
      </text>
    </comment>
    <comment ref="I377" authorId="0" shapeId="0">
      <text>
        <r>
          <rPr>
            <sz val="11"/>
            <color theme="1"/>
            <rFont val="Calibri"/>
            <scheme val="minor"/>
          </rPr>
          <t>Days from 04-Oct-2021 till End of Month
======</t>
        </r>
      </text>
    </comment>
    <comment ref="A378" authorId="0" shapeId="0">
      <text>
        <r>
          <rPr>
            <sz val="11"/>
            <color theme="1"/>
            <rFont val="Calibri"/>
            <scheme val="minor"/>
          </rPr>
          <t>Trading Days Left in the current month
======</t>
        </r>
      </text>
    </comment>
    <comment ref="E378" authorId="0" shapeId="0">
      <text>
        <r>
          <rPr>
            <sz val="11"/>
            <color theme="1"/>
            <rFont val="Calibri"/>
            <scheme val="minor"/>
          </rPr>
          <t>Avg Profit per Worked Day
======</t>
        </r>
      </text>
    </comment>
    <comment ref="I378" authorId="0" shapeId="0">
      <text>
        <r>
          <rPr>
            <sz val="11"/>
            <color theme="1"/>
            <rFont val="Calibri"/>
            <scheme val="minor"/>
          </rPr>
          <t>Market Days from 04-Oct-2021 till today
======</t>
        </r>
      </text>
    </comment>
    <comment ref="E381" authorId="0" shapeId="0">
      <text>
        <r>
          <rPr>
            <sz val="11"/>
            <color theme="1"/>
            <rFont val="Calibri"/>
            <scheme val="minor"/>
          </rPr>
          <t>₹ 36632 Old 10 year Dividend from DCMSHRIRAM
Remaining amount invested from FDR maturity
======</t>
        </r>
      </text>
    </comment>
    <comment ref="D390" authorId="0" shapeId="0">
      <text>
        <r>
          <rPr>
            <sz val="11"/>
            <color theme="1"/>
            <rFont val="Calibri"/>
            <scheme val="minor"/>
          </rPr>
          <t>If CN in comparison with our details is:
Short (Red/-) then in 1st parenthesis
Excess (Blue/+) then in 2nd parenthesis
======</t>
        </r>
      </text>
    </comment>
    <comment ref="E423" authorId="0" shapeId="0">
      <text>
        <r>
          <rPr>
            <sz val="11"/>
            <color theme="1"/>
            <rFont val="Calibri"/>
            <scheme val="minor"/>
          </rPr>
          <t>37607
======</t>
        </r>
      </text>
    </comment>
    <comment ref="E424" authorId="0" shapeId="0">
      <text>
        <r>
          <rPr>
            <sz val="11"/>
            <color theme="1"/>
            <rFont val="Calibri"/>
            <scheme val="minor"/>
          </rPr>
          <t>141,753
======</t>
        </r>
      </text>
    </comment>
    <comment ref="E425" authorId="0" shapeId="0">
      <text>
        <r>
          <rPr>
            <sz val="11"/>
            <color theme="1"/>
            <rFont val="Calibri"/>
            <scheme val="minor"/>
          </rPr>
          <t>86782
======</t>
        </r>
      </text>
    </comment>
    <comment ref="E426" authorId="0" shapeId="0">
      <text>
        <r>
          <rPr>
            <sz val="11"/>
            <color theme="1"/>
            <rFont val="Calibri"/>
            <scheme val="minor"/>
          </rPr>
          <t>173564
======</t>
        </r>
      </text>
    </comment>
    <comment ref="E427" authorId="0" shapeId="0">
      <text>
        <r>
          <rPr>
            <sz val="11"/>
            <color theme="1"/>
            <rFont val="Calibri"/>
            <scheme val="minor"/>
          </rPr>
          <t>118800
======</t>
        </r>
      </text>
    </comment>
    <comment ref="E428" authorId="0" shapeId="0">
      <text>
        <r>
          <rPr>
            <sz val="11"/>
            <color theme="1"/>
            <rFont val="Calibri"/>
            <scheme val="minor"/>
          </rPr>
          <t>77813
======</t>
        </r>
      </text>
    </comment>
    <comment ref="E452" authorId="0" shapeId="0">
      <text>
        <r>
          <rPr>
            <sz val="11"/>
            <color theme="1"/>
            <rFont val="Calibri"/>
            <scheme val="minor"/>
          </rPr>
          <t>In Calander year 2022 Mahavir Jayanti &amp; Ambedkar Jayanti fell on same date
======</t>
        </r>
      </text>
    </comment>
  </commentList>
</comments>
</file>

<file path=xl/comments8.xml><?xml version="1.0" encoding="utf-8"?>
<comments xmlns="http://schemas.openxmlformats.org/spreadsheetml/2006/main">
  <authors>
    <author/>
  </authors>
  <commentList>
    <comment ref="X41" authorId="0" shapeId="0">
      <text>
        <r>
          <rPr>
            <sz val="11"/>
            <color theme="1"/>
            <rFont val="Calibri"/>
            <scheme val="minor"/>
          </rPr>
          <t>Low for the day is L-2.35 but after reco time didn't go below L-4.00
======</t>
        </r>
      </text>
    </comment>
    <comment ref="V47" authorId="0" shapeId="0">
      <text>
        <r>
          <rPr>
            <sz val="11"/>
            <color theme="1"/>
            <rFont val="Calibri"/>
            <scheme val="minor"/>
          </rPr>
          <t>Open for the day is O-4.00 but after reco opened at O-8.00
======</t>
        </r>
      </text>
    </comment>
    <comment ref="X47" authorId="0" shapeId="0">
      <text>
        <r>
          <rPr>
            <sz val="11"/>
            <color theme="1"/>
            <rFont val="Calibri"/>
            <scheme val="minor"/>
          </rPr>
          <t>Low for the day is L-4.00 but after reco time didn't go below L-8.00
======</t>
        </r>
      </text>
    </comment>
    <comment ref="V68" authorId="0" shapeId="0">
      <text>
        <r>
          <rPr>
            <sz val="11"/>
            <color theme="1"/>
            <rFont val="Calibri"/>
            <scheme val="minor"/>
          </rPr>
          <t>Rate just after Reco time 10:58
======</t>
        </r>
      </text>
    </comment>
    <comment ref="X68" authorId="0" shapeId="0">
      <text>
        <r>
          <rPr>
            <sz val="11"/>
            <color theme="1"/>
            <rFont val="Calibri"/>
            <scheme val="minor"/>
          </rPr>
          <t>Lowest Rate after Reco time 10:58
======</t>
        </r>
      </text>
    </comment>
    <comment ref="V73" authorId="0" shapeId="0">
      <text>
        <r>
          <rPr>
            <sz val="11"/>
            <color theme="1"/>
            <rFont val="Calibri"/>
            <scheme val="minor"/>
          </rPr>
          <t>Rate just after Reco time 10:20
======</t>
        </r>
      </text>
    </comment>
    <comment ref="X73" authorId="0" shapeId="0">
      <text>
        <r>
          <rPr>
            <sz val="11"/>
            <color theme="1"/>
            <rFont val="Calibri"/>
            <scheme val="minor"/>
          </rPr>
          <t>Lowest Rate after Reco time 10:20
======</t>
        </r>
      </text>
    </comment>
    <comment ref="V76" authorId="0" shapeId="0">
      <text>
        <r>
          <rPr>
            <sz val="11"/>
            <color theme="1"/>
            <rFont val="Calibri"/>
            <scheme val="minor"/>
          </rPr>
          <t>Rate just after Reco time 10:00
======</t>
        </r>
      </text>
    </comment>
    <comment ref="X76" authorId="0" shapeId="0">
      <text>
        <r>
          <rPr>
            <sz val="11"/>
            <color theme="1"/>
            <rFont val="Calibri"/>
            <scheme val="minor"/>
          </rPr>
          <t>Lowest Rate after Reco time 10:00
======</t>
        </r>
      </text>
    </comment>
    <comment ref="AK76" authorId="0" shapeId="0">
      <text>
        <r>
          <rPr>
            <sz val="11"/>
            <color theme="1"/>
            <rFont val="Calibri"/>
            <scheme val="minor"/>
          </rPr>
          <t>SL Hit
======</t>
        </r>
      </text>
    </comment>
    <comment ref="V79" authorId="0" shapeId="0">
      <text>
        <r>
          <rPr>
            <sz val="11"/>
            <color theme="1"/>
            <rFont val="Calibri"/>
            <scheme val="minor"/>
          </rPr>
          <t>Rate just after Reco time 11:50
======</t>
        </r>
      </text>
    </comment>
    <comment ref="X79" authorId="0" shapeId="0">
      <text>
        <r>
          <rPr>
            <sz val="11"/>
            <color theme="1"/>
            <rFont val="Calibri"/>
            <scheme val="minor"/>
          </rPr>
          <t>Lowest Rate after Reco time 11:50
======</t>
        </r>
      </text>
    </comment>
    <comment ref="V86" authorId="0" shapeId="0">
      <text>
        <r>
          <rPr>
            <sz val="11"/>
            <color theme="1"/>
            <rFont val="Calibri"/>
            <scheme val="minor"/>
          </rPr>
          <t>Rate just after Reco time 12:27
======</t>
        </r>
      </text>
    </comment>
    <comment ref="X86" authorId="0" shapeId="0">
      <text>
        <r>
          <rPr>
            <sz val="11"/>
            <color theme="1"/>
            <rFont val="Calibri"/>
            <scheme val="minor"/>
          </rPr>
          <t>Lowest Rate after Reco time 12:27
======</t>
        </r>
      </text>
    </comment>
    <comment ref="AI86" authorId="0" shapeId="0">
      <text>
        <r>
          <rPr>
            <sz val="11"/>
            <color theme="1"/>
            <rFont val="Calibri"/>
            <scheme val="minor"/>
          </rPr>
          <t>SL Hit
======</t>
        </r>
      </text>
    </comment>
    <comment ref="V91" authorId="0" shapeId="0">
      <text>
        <r>
          <rPr>
            <sz val="11"/>
            <color theme="1"/>
            <rFont val="Calibri"/>
            <scheme val="minor"/>
          </rPr>
          <t>Rate just after Reco time 12:17
======</t>
        </r>
      </text>
    </comment>
    <comment ref="A162" authorId="0" shapeId="0">
      <text>
        <r>
          <rPr>
            <sz val="11"/>
            <color theme="1"/>
            <rFont val="Calibri"/>
            <scheme val="minor"/>
          </rPr>
          <t>Star rating greater than or equal to 10 is good but LOW % signify such instances are very less hence not a good thing to go
======</t>
        </r>
      </text>
    </comment>
    <comment ref="B162" authorId="0" shapeId="0">
      <text>
        <r>
          <rPr>
            <sz val="11"/>
            <color theme="1"/>
            <rFont val="Calibri"/>
            <scheme val="minor"/>
          </rPr>
          <t>Star rating greater than or equal to 10 is good but LOW % signify such instances are very less hence not a good thing to go
======</t>
        </r>
      </text>
    </comment>
    <comment ref="C162" authorId="0" shapeId="0">
      <text>
        <r>
          <rPr>
            <sz val="11"/>
            <color theme="1"/>
            <rFont val="Calibri"/>
            <scheme val="minor"/>
          </rPr>
          <t>Star rating greater than or equal to 10 is good but LOW % signify such instances are very less hence not a good thing to go
======</t>
        </r>
      </text>
    </comment>
    <comment ref="D162" authorId="0" shapeId="0">
      <text>
        <r>
          <rPr>
            <sz val="11"/>
            <color theme="1"/>
            <rFont val="Calibri"/>
            <scheme val="minor"/>
          </rPr>
          <t>Star rating greater than or equal to 10 is good but LOW % signify such instances are very less hence not a good thing to go
======</t>
        </r>
      </text>
    </comment>
  </commentList>
</comments>
</file>

<file path=xl/sharedStrings.xml><?xml version="1.0" encoding="utf-8"?>
<sst xmlns="http://schemas.openxmlformats.org/spreadsheetml/2006/main" count="16584" uniqueCount="2669">
  <si>
    <t>Date</t>
  </si>
  <si>
    <t>Amount</t>
  </si>
  <si>
    <t>Particulars</t>
  </si>
  <si>
    <t>Payin</t>
  </si>
  <si>
    <t>F&amp;O</t>
  </si>
  <si>
    <t xml:space="preserve">NIFTY 25AUG 17900 CE ₹-19,107 </t>
  </si>
  <si>
    <t xml:space="preserve">NIFTY 25AUG 17900 CE ₹-3422.90 </t>
  </si>
  <si>
    <t>Payout</t>
  </si>
  <si>
    <t>Investment</t>
  </si>
  <si>
    <t>Profit/Loss</t>
  </si>
  <si>
    <t>Dhan Bal</t>
  </si>
  <si>
    <t>Holding</t>
  </si>
  <si>
    <t>Interest</t>
  </si>
  <si>
    <t>Daily Product</t>
  </si>
  <si>
    <t>Chgs Type</t>
  </si>
  <si>
    <t>Amt</t>
  </si>
  <si>
    <t>R/O Adjustment</t>
  </si>
  <si>
    <r>
      <rPr>
        <sz val="8"/>
        <color theme="1"/>
        <rFont val="Verdana"/>
        <family val="2"/>
      </rPr>
      <t>Grs Profit/</t>
    </r>
    <r>
      <rPr>
        <sz val="8"/>
        <color rgb="FFFF0000"/>
        <rFont val="Verdana"/>
        <family val="2"/>
      </rPr>
      <t>(Loss)</t>
    </r>
  </si>
  <si>
    <t>Total</t>
  </si>
  <si>
    <t>Positional</t>
  </si>
  <si>
    <t>IntraDay</t>
  </si>
  <si>
    <t>Bal as per me</t>
  </si>
  <si>
    <t>F&amp;O Profits</t>
  </si>
  <si>
    <t>Month</t>
  </si>
  <si>
    <t xml:space="preserve">Total </t>
  </si>
  <si>
    <t>Bal as per Dhan</t>
  </si>
  <si>
    <t>F&amp;O Losses</t>
  </si>
  <si>
    <r>
      <rPr>
        <sz val="8"/>
        <color rgb="FF000000"/>
        <rFont val="Verdana"/>
        <family val="2"/>
      </rPr>
      <t>Surplus/</t>
    </r>
    <r>
      <rPr>
        <sz val="8"/>
        <color rgb="FFFF0000"/>
        <rFont val="Verdana"/>
        <family val="2"/>
      </rPr>
      <t>(Short)</t>
    </r>
  </si>
  <si>
    <t>Cross Verify</t>
  </si>
  <si>
    <r>
      <rPr>
        <sz val="8"/>
        <color theme="1"/>
        <rFont val="Verdana"/>
        <family val="2"/>
      </rPr>
      <t>Positional Profit/</t>
    </r>
    <r>
      <rPr>
        <sz val="8"/>
        <color rgb="FFFF0000"/>
        <rFont val="Verdana"/>
        <family val="2"/>
      </rPr>
      <t>(Loss)</t>
    </r>
  </si>
  <si>
    <t>Difference</t>
  </si>
  <si>
    <r>
      <rPr>
        <sz val="8"/>
        <color theme="1"/>
        <rFont val="Verdana"/>
        <family val="2"/>
      </rPr>
      <t>IntraDay Profit/</t>
    </r>
    <r>
      <rPr>
        <sz val="8"/>
        <color rgb="FFFF0000"/>
        <rFont val="Verdana"/>
        <family val="2"/>
      </rPr>
      <t>(Loss)</t>
    </r>
  </si>
  <si>
    <t>P&amp;L for Month</t>
  </si>
  <si>
    <t>12 CAMS</t>
  </si>
  <si>
    <t>10 GLAND</t>
  </si>
  <si>
    <t>50 BECTORFOOD</t>
  </si>
  <si>
    <t>575 IRFC</t>
  </si>
  <si>
    <t>10 INDIGOPNTS</t>
  </si>
  <si>
    <t>72 BHEL</t>
  </si>
  <si>
    <t>51 MTNL</t>
  </si>
  <si>
    <t>100 ROLTA</t>
  </si>
  <si>
    <t>51 SONACOMS</t>
  </si>
  <si>
    <t>35 DODLA</t>
  </si>
  <si>
    <t>45 SHYMMETAL</t>
  </si>
  <si>
    <t>26 NUVOCO</t>
  </si>
  <si>
    <t>20 SANSERA</t>
  </si>
  <si>
    <t>20 ABSLAMC</t>
  </si>
  <si>
    <t>6 PAYTM</t>
  </si>
  <si>
    <t>TATASTEEL fraction credited</t>
  </si>
  <si>
    <t>NIFTY 03 FEB 17600 CE</t>
  </si>
  <si>
    <t>SUNPHARMA FEB 900 CE</t>
  </si>
  <si>
    <t>SAIL FEB 107.5 CE</t>
  </si>
  <si>
    <t>BANKNIFTY FEB 37600 CE</t>
  </si>
  <si>
    <t>SAIL MAR 107.5 CE</t>
  </si>
  <si>
    <t>SAIL MAR 110 CE</t>
  </si>
  <si>
    <t>AMBUJACEM MAR 305 CE</t>
  </si>
  <si>
    <t>LICHSGFIN MAR 370 CE</t>
  </si>
  <si>
    <t>LICHSGFIN MAR 380 CE</t>
  </si>
  <si>
    <t>ofs-ONGC debited ₹-15996.68</t>
  </si>
  <si>
    <t>42 RUCHI</t>
  </si>
  <si>
    <t>POWERGRID APR 240 CE</t>
  </si>
  <si>
    <t>SAIL APR 113 CE</t>
  </si>
  <si>
    <t>FSL APR 140 CE</t>
  </si>
  <si>
    <t>ofs-INEOSSTYRO debited ₹-224231.5</t>
  </si>
  <si>
    <t>BANK NIFTY 21 APR 36200 PE</t>
  </si>
  <si>
    <t>HINDALCO MAY 510 CE</t>
  </si>
  <si>
    <t>HINDALCO MAY 510 CE ₹-10512</t>
  </si>
  <si>
    <t>HINDALCO MAY 510 CE ₹-9490</t>
  </si>
  <si>
    <t>HINDALCO MAY 510 CE ₹-7123.05</t>
  </si>
  <si>
    <t>51 CAMPUS</t>
  </si>
  <si>
    <t>ITC MAY 270 CE ₹-15554</t>
  </si>
  <si>
    <t>NTPC MAY 160 CE ₹-22,838.88</t>
  </si>
  <si>
    <t>15 LIC</t>
  </si>
  <si>
    <t>BAJFINANCE MAY 5700 CE ₹-23,039.00</t>
  </si>
  <si>
    <t>AXISBANK MAY 660 CE ₹-13,953.11</t>
  </si>
  <si>
    <t>ICICIBANK MAY 700 PE ₹ -24,102.11</t>
  </si>
  <si>
    <t>KOTAKBANK JUN 1920 CE ₹-24039</t>
  </si>
  <si>
    <t xml:space="preserve">CANBK JUN 200 CE ₹-20,287 </t>
  </si>
  <si>
    <t>L&amp;TFH JUN 78 CE ₹-35743</t>
  </si>
  <si>
    <t xml:space="preserve">COALINDIA JUN 200 CE ₹-26080.87 </t>
  </si>
  <si>
    <t>BHARATFORG JUN 650 PE ₹-20287.28</t>
  </si>
  <si>
    <t xml:space="preserve">HCLTECH JUN 980 PE ₹ -14732.80 </t>
  </si>
  <si>
    <t>Gail Buyback Payout Direct to Bank</t>
  </si>
  <si>
    <t>TCS JUN 3300 CE ₹ -8879.00</t>
  </si>
  <si>
    <t>SARDAEN Buyback Payout Direct to Bank</t>
  </si>
  <si>
    <t>NIFTY JUN 15900 CE ₹</t>
  </si>
  <si>
    <t>ASHOKLEY JUN 140 CE ₹</t>
  </si>
  <si>
    <t>Margin blocked ₹-32,397.75 for ASHOKLEY JUN 140 CE</t>
  </si>
  <si>
    <t xml:space="preserve">VEDL JUL 240 CE   ₹-18,636 </t>
  </si>
  <si>
    <t xml:space="preserve">NIFTY 07JUN 15750 CE  ₹-11,981 </t>
  </si>
  <si>
    <t xml:space="preserve">NIFTY 14JUL 16200 CE  ₹-10,080 </t>
  </si>
  <si>
    <t>NIFTY 14JUL 16100 PE  ₹-17,356.10</t>
  </si>
  <si>
    <t>NIFTY 14JUL 16000 PE   -13,980</t>
  </si>
  <si>
    <t>NIFTY 14JUL 16100 CE ₹-7,776</t>
  </si>
  <si>
    <t>INDUSTOWER JUL 220 CE ₹-26,081.00</t>
  </si>
  <si>
    <t xml:space="preserve">ACC JUL 2160 PE ₹-19,310 </t>
  </si>
  <si>
    <t xml:space="preserve">NIFTY 21JUL 16100 PE ₹-6,825 </t>
  </si>
  <si>
    <t xml:space="preserve">SUNPHARMA JUL 880 CE ₹-10,180 </t>
  </si>
  <si>
    <t xml:space="preserve">VEDL JUL 240 CE ₹-24,840 </t>
  </si>
  <si>
    <t xml:space="preserve">COALINDIA JUL 200 CE ₹-22,322 </t>
  </si>
  <si>
    <t xml:space="preserve">ACC JUL 2160 PE ₹-4,026 </t>
  </si>
  <si>
    <t>NIFTY JUL 16700 CE ₹-6,6110.98</t>
  </si>
  <si>
    <t>ICICI AUG 820 CE ₹-27,954.59</t>
  </si>
  <si>
    <t xml:space="preserve">TORNTPOWER AUG 530 CE ₹-33,045 </t>
  </si>
  <si>
    <t xml:space="preserve">LUPIN AUG 670 CE ₹-15,759 </t>
  </si>
  <si>
    <t xml:space="preserve">NAVINFLUOR AUG 4500 CE ₹-37,398 </t>
  </si>
  <si>
    <t xml:space="preserve">NAVINFLUOR AUG 4500 CE ₹-29,293.00 </t>
  </si>
  <si>
    <t>Matrimony.com Buyback Payout Direct to Bank</t>
  </si>
  <si>
    <t>46 DREAMFOLKS</t>
  </si>
  <si>
    <t xml:space="preserve">BHARTIARTL SEP 790 CE ₹-13094.28 </t>
  </si>
  <si>
    <t>BANKNIFTY SEP 39800 CE ₹-13656.42</t>
  </si>
  <si>
    <t>BANKNIFTY SEP 40200 CE ₹-26690</t>
  </si>
  <si>
    <t>NIFTY SEP 17500 CE ₹-9280</t>
  </si>
  <si>
    <t xml:space="preserve">NIFTY SEP 17200 CE ₹-4,527 </t>
  </si>
  <si>
    <t xml:space="preserve">NIFTY SEP 17200 CE ₹-12,979 </t>
  </si>
  <si>
    <t>72 DCXINDIA</t>
  </si>
  <si>
    <t xml:space="preserve">LUPIN NOV 760 CE ₹-13,633.22 </t>
  </si>
  <si>
    <t xml:space="preserve">TATAMOTORS NOV 440 CE ₹-12,001 </t>
  </si>
  <si>
    <t>36 ACI</t>
  </si>
  <si>
    <t>50 NMDC Sold @123.25 for ₹6156 Bought @121 on 09-Dec-22, hence zero</t>
  </si>
  <si>
    <t>42 SULA</t>
  </si>
  <si>
    <t>60 ELIN</t>
  </si>
  <si>
    <t>50 NMDC Sold @122.50 for ₹6119 Bought @121 on 27-Jan-23, hence zero</t>
  </si>
  <si>
    <t>25 SAIL Sold @88 for ₹2197 Bought @85.90 on 04-Jan-23, hence zero</t>
  </si>
  <si>
    <t>50 SAIL Sold @87 for ₹4346 bought @86.25 on 30-Jan-23, hence zero</t>
  </si>
  <si>
    <t>30 MCX Sold @1571.6667 for ₹47102 Bought @1555 on 24-Jan-23, hence zero</t>
  </si>
  <si>
    <t>10 POLYPLEX Sold @1579 for ₹15774 bought @1552 on 23-Jan-23, hence zero</t>
  </si>
  <si>
    <t>43 GAIL Sold @108.7326 for ₹4671 Bought @108 on 15-mar-23, hence zero</t>
  </si>
  <si>
    <t>50 GAIL Sold @111.3800 for ₹5563 Bought @110 on 09-mar-23, hence zero</t>
  </si>
  <si>
    <t>Zerodha Bal</t>
  </si>
  <si>
    <t>Demat Chgs</t>
  </si>
  <si>
    <t/>
  </si>
  <si>
    <t>9 RELIANCE PP</t>
  </si>
  <si>
    <t>Auto Settle</t>
  </si>
  <si>
    <t>100 SAIL</t>
  </si>
  <si>
    <t>20 SBIN</t>
  </si>
  <si>
    <t>25 CHOLAFIN</t>
  </si>
  <si>
    <t>25 ICICIBANK</t>
  </si>
  <si>
    <t>2 BAJFINANCE</t>
  </si>
  <si>
    <t>5 SBICARD</t>
  </si>
  <si>
    <t>150 NATIONALUM</t>
  </si>
  <si>
    <t>20 CARBORUNIV</t>
  </si>
  <si>
    <t>5 HDFC</t>
  </si>
  <si>
    <t>50 SAIL</t>
  </si>
  <si>
    <t>100 DWARKESH</t>
  </si>
  <si>
    <t>Short Delivery BoM &amp; IOB</t>
  </si>
  <si>
    <t>100 GHCL</t>
  </si>
  <si>
    <t>100 MMTC</t>
  </si>
  <si>
    <t>25 BIOCON</t>
  </si>
  <si>
    <t>100 SBIN</t>
  </si>
  <si>
    <t>50 CYBERTECH</t>
  </si>
  <si>
    <t>20 RAMCOSYS</t>
  </si>
  <si>
    <t>100 BEL</t>
  </si>
  <si>
    <t>10 HDFCBANK</t>
  </si>
  <si>
    <t>50 TATAMOTORS</t>
  </si>
  <si>
    <t>5 CHOLAFIN</t>
  </si>
  <si>
    <t>25 BSOFT</t>
  </si>
  <si>
    <t>10 CHOLAFIN</t>
  </si>
  <si>
    <t>2500 IDEA</t>
  </si>
  <si>
    <t>50 PFC</t>
  </si>
  <si>
    <t>100 IDFC</t>
  </si>
  <si>
    <t>100 IOC</t>
  </si>
  <si>
    <t>11 KEI</t>
  </si>
  <si>
    <t>100 BURGERKING</t>
  </si>
  <si>
    <t>200 LEMONTREE</t>
  </si>
  <si>
    <t>10 ABB</t>
  </si>
  <si>
    <t>50 ZEEL</t>
  </si>
  <si>
    <t>10 RELIANCE</t>
  </si>
  <si>
    <t>SEBI Turnover Fee</t>
  </si>
  <si>
    <t>As per statement but alredy considered in daily a/c</t>
  </si>
  <si>
    <t>19 KEI + 11 KEI</t>
  </si>
  <si>
    <t>50 BPCL</t>
  </si>
  <si>
    <t>100 APTECHT</t>
  </si>
  <si>
    <t>30 CHOLAFIN</t>
  </si>
  <si>
    <t>100 SCHNEIDER</t>
  </si>
  <si>
    <t>25 TRENT</t>
  </si>
  <si>
    <t>100 TATAPOWER</t>
  </si>
  <si>
    <t>50 BIOCON</t>
  </si>
  <si>
    <t>10 NATCOPHARM</t>
  </si>
  <si>
    <t>100 TRITURBINE</t>
  </si>
  <si>
    <t>100 WELSPUNIND</t>
  </si>
  <si>
    <t>50 FDC</t>
  </si>
  <si>
    <t>25 CYIENT</t>
  </si>
  <si>
    <t>50 GREAVESCOT</t>
  </si>
  <si>
    <t>500 NBCC</t>
  </si>
  <si>
    <t>5 HINDUNILVR</t>
  </si>
  <si>
    <t>10 SUNTV</t>
  </si>
  <si>
    <t>8 ADANIPORTS</t>
  </si>
  <si>
    <t>1000 JPASSOCIAT</t>
  </si>
  <si>
    <t>100 GICHSGFIN</t>
  </si>
  <si>
    <t>20 CREDITACC</t>
  </si>
  <si>
    <t>200 NCC</t>
  </si>
  <si>
    <t>50 KNRCON</t>
  </si>
  <si>
    <t>200 JSL</t>
  </si>
  <si>
    <t>25 CARBORUNIV</t>
  </si>
  <si>
    <t>50 HINDALCO</t>
  </si>
  <si>
    <t>1075 IRFC</t>
  </si>
  <si>
    <t>50 SONACOMS</t>
  </si>
  <si>
    <t>20 MAWANASUG</t>
  </si>
  <si>
    <t>2 SRF</t>
  </si>
  <si>
    <t>Shares Transfer Charges</t>
  </si>
  <si>
    <t>500 IRFC</t>
  </si>
  <si>
    <t>25 KUANTUM</t>
  </si>
  <si>
    <t>50 NOCIL</t>
  </si>
  <si>
    <t>Excess ETC in the contract note 03/08/21</t>
  </si>
  <si>
    <t>10 EASEMYTRIP</t>
  </si>
  <si>
    <t>50 TRIDENT</t>
  </si>
  <si>
    <t>100 NATIONALUM</t>
  </si>
  <si>
    <t>25 PNCINFRA</t>
  </si>
  <si>
    <t>500 JPASSOCIAT</t>
  </si>
  <si>
    <t>5 RELIANCE</t>
  </si>
  <si>
    <t>11 TIGERLOGS</t>
  </si>
  <si>
    <t>50 CHOLAFIN</t>
  </si>
  <si>
    <t>AMC for Demat Account for 03-12-2020 to 03-03-2021</t>
  </si>
  <si>
    <t>10 SBIN</t>
  </si>
  <si>
    <t>4000 IDEA</t>
  </si>
  <si>
    <t>200 YESBANK</t>
  </si>
  <si>
    <t>5 CDSL</t>
  </si>
  <si>
    <t>20 LXCHEM</t>
  </si>
  <si>
    <t>50 IBULHSGFIN</t>
  </si>
  <si>
    <t>5 INDIGO</t>
  </si>
  <si>
    <t>1 BAJFINANCE</t>
  </si>
  <si>
    <t>100 GENUSPOWER</t>
  </si>
  <si>
    <t>9 NATIONALUM</t>
  </si>
  <si>
    <t>15 M&amp;M</t>
  </si>
  <si>
    <t>5 MUTHOOTFIN</t>
  </si>
  <si>
    <t>1 TATVA</t>
  </si>
  <si>
    <t>10 IEX</t>
  </si>
  <si>
    <t>2 RELIANCE</t>
  </si>
  <si>
    <t>50 ITDCEM</t>
  </si>
  <si>
    <t>100 HBLPOWER</t>
  </si>
  <si>
    <t>50 L&amp;TFH</t>
  </si>
  <si>
    <t>200 PNB</t>
  </si>
  <si>
    <t>50 ARVIND</t>
  </si>
  <si>
    <t>15 SBIN</t>
  </si>
  <si>
    <t>19 KEI</t>
  </si>
  <si>
    <t>AMC for Demat Account for 04-03-2021 to 01-06-2021</t>
  </si>
  <si>
    <t>100 IBREALEST</t>
  </si>
  <si>
    <t>4 BAJFINANCE</t>
  </si>
  <si>
    <t>10 ELGIEQUIP</t>
  </si>
  <si>
    <t>100 KTKBANK</t>
  </si>
  <si>
    <t>20 TATAMOTORS</t>
  </si>
  <si>
    <t>20 ZENTEC</t>
  </si>
  <si>
    <t>10 CDSL</t>
  </si>
  <si>
    <t>60 ITC</t>
  </si>
  <si>
    <t>30 TATAPOWER</t>
  </si>
  <si>
    <t>50 TATAPOWER</t>
  </si>
  <si>
    <t>2 TCS</t>
  </si>
  <si>
    <t>3 TCS</t>
  </si>
  <si>
    <t>1 TCS</t>
  </si>
  <si>
    <t>2 VOLTAMP</t>
  </si>
  <si>
    <t>Short margin penalty for 24/11/21</t>
  </si>
  <si>
    <t>100 BAJAJHIND</t>
  </si>
  <si>
    <t>40 INDHOTEL</t>
  </si>
  <si>
    <t>5 HAVELLS</t>
  </si>
  <si>
    <t>20 DEVYANI</t>
  </si>
  <si>
    <t>300 RENUKA</t>
  </si>
  <si>
    <t>100 SHALPAINTS</t>
  </si>
  <si>
    <t>35 VSSL</t>
  </si>
  <si>
    <t>10 AVADHSUGAR</t>
  </si>
  <si>
    <t>1000 A2ZINFRA</t>
  </si>
  <si>
    <t>50 NATIONALUM</t>
  </si>
  <si>
    <t>100 SHALPAINTS BTST</t>
  </si>
  <si>
    <t>200 BAJAJHIND</t>
  </si>
  <si>
    <t>50 INDSUCR</t>
  </si>
  <si>
    <t>3 BAJFINANCE</t>
  </si>
  <si>
    <t>50 VSSL</t>
  </si>
  <si>
    <t>Payment Gateway Charges</t>
  </si>
  <si>
    <t>5000 IDEA</t>
  </si>
  <si>
    <t>100 BRNL</t>
  </si>
  <si>
    <t>100 RENUKA</t>
  </si>
  <si>
    <t>2000 TOYAMIND</t>
  </si>
  <si>
    <t>35 TATAPOWER</t>
  </si>
  <si>
    <t>25 SBIN</t>
  </si>
  <si>
    <t>70 CIPLA</t>
  </si>
  <si>
    <t>500 TOYAMIND</t>
  </si>
  <si>
    <t>25 SAIL</t>
  </si>
  <si>
    <t>1000 TOYAMIND</t>
  </si>
  <si>
    <t>100 FEDERALBNK</t>
  </si>
  <si>
    <t>20 AUROPHARMA</t>
  </si>
  <si>
    <t>50 LICHSGFIN</t>
  </si>
  <si>
    <t>10 BPCL</t>
  </si>
  <si>
    <t>50 FEDERALBNK</t>
  </si>
  <si>
    <t>25 LICHSGFIN</t>
  </si>
  <si>
    <t>10 TATASTEEL</t>
  </si>
  <si>
    <t>2 CDSL</t>
  </si>
  <si>
    <t>600 SAIL</t>
  </si>
  <si>
    <t>5 POLYPLEX</t>
  </si>
  <si>
    <t>7 RELIANCE</t>
  </si>
  <si>
    <t>50 SBIN</t>
  </si>
  <si>
    <t>1500 TOYAMIND</t>
  </si>
  <si>
    <t>10 ADANIPORTS</t>
  </si>
  <si>
    <t>50 ITC</t>
  </si>
  <si>
    <t>AMC for Demat Account</t>
  </si>
  <si>
    <t>for the period 04-03-2021 to 01-06-2021</t>
  </si>
  <si>
    <t>OFS order placement charge for ONGC</t>
  </si>
  <si>
    <t>ONGC</t>
  </si>
  <si>
    <t>100 BHEL</t>
  </si>
  <si>
    <t>40 BPCL</t>
  </si>
  <si>
    <t>50 CANBK</t>
  </si>
  <si>
    <t>300 SAIL</t>
  </si>
  <si>
    <t>300 TOYAMIND</t>
  </si>
  <si>
    <t>100 ONGC</t>
  </si>
  <si>
    <t>200 TOYAMIND</t>
  </si>
  <si>
    <t>2 AUBANK</t>
  </si>
  <si>
    <t>100 A2ZINFRA</t>
  </si>
  <si>
    <t>OFS order placement charge for INEOSSTYRO</t>
  </si>
  <si>
    <t>INEOSSTYRO</t>
  </si>
  <si>
    <t>Sensibull Advice Bundle for 18/04/22 to 18/05/22</t>
  </si>
  <si>
    <t>55 RUCHI</t>
  </si>
  <si>
    <t>30 INEOSSTYRO</t>
  </si>
  <si>
    <t>50 INEOSSTYRO</t>
  </si>
  <si>
    <t>300 GAIL</t>
  </si>
  <si>
    <t>51 CAMPUS ACTIV</t>
  </si>
  <si>
    <t>5 ENDURANCE</t>
  </si>
  <si>
    <t>20 GHCL</t>
  </si>
  <si>
    <t>20 RUCHI</t>
  </si>
  <si>
    <t>Pledge charges for SAIL (200)</t>
  </si>
  <si>
    <t>25 INEOSSTYRO</t>
  </si>
  <si>
    <t>Buyback Order Placement charge</t>
  </si>
  <si>
    <t>Gail (India) Limited</t>
  </si>
  <si>
    <t>4 INSECTICID</t>
  </si>
  <si>
    <t>Sarda Energy &amp; Minerals Limited</t>
  </si>
  <si>
    <t>Net settlement for</t>
  </si>
  <si>
    <t>Gail (India) Limited buyback</t>
  </si>
  <si>
    <t>Sarda Energy &amp; Minerals Limited buyback</t>
  </si>
  <si>
    <t>20 INEOSSTYRO</t>
  </si>
  <si>
    <t>41 INEOSSTYRO</t>
  </si>
  <si>
    <t>10 INEOSSTYRO</t>
  </si>
  <si>
    <t>9 INEOSSTYRO</t>
  </si>
  <si>
    <t>30 TATAMOTORS</t>
  </si>
  <si>
    <t>1250 A2ZINFRA</t>
  </si>
  <si>
    <t>5 CARBORUNIN</t>
  </si>
  <si>
    <t>Matrimony.com</t>
  </si>
  <si>
    <t>5 INEOSSTYRO</t>
  </si>
  <si>
    <t>1000 PARACABLES</t>
  </si>
  <si>
    <t>10 TATAPOWER</t>
  </si>
  <si>
    <t>10 LT</t>
  </si>
  <si>
    <t>Matrimony.com buyback</t>
  </si>
  <si>
    <t>5 EXCELINDUS</t>
  </si>
  <si>
    <t>10 CARBORUNIN</t>
  </si>
  <si>
    <t>50 ITI</t>
  </si>
  <si>
    <t>100 NGIND</t>
  </si>
  <si>
    <t>200 VASWANI</t>
  </si>
  <si>
    <t>100 NHPC</t>
  </si>
  <si>
    <t>2 GARFIBRES</t>
  </si>
  <si>
    <t>1000 SUZLON</t>
  </si>
  <si>
    <t>5 LT</t>
  </si>
  <si>
    <t>50 MOTHERSON</t>
  </si>
  <si>
    <t>10 EIDPARRY</t>
  </si>
  <si>
    <t>100 RCF</t>
  </si>
  <si>
    <t>300 MCLEODRUSS</t>
  </si>
  <si>
    <t>25 BANKBARODA</t>
  </si>
  <si>
    <t>TicketTape Subscription 1 month + 14 days trial (28/10/22 to 11/12/22)</t>
  </si>
  <si>
    <t>20 LT</t>
  </si>
  <si>
    <t>Being fee for tickertape</t>
  </si>
  <si>
    <t>1 ADANIENT</t>
  </si>
  <si>
    <t>100 DCBBANK</t>
  </si>
  <si>
    <t>20 NTPC</t>
  </si>
  <si>
    <t>7 INFY</t>
  </si>
  <si>
    <t>5 ITC</t>
  </si>
  <si>
    <t>50 TATASTEEL</t>
  </si>
  <si>
    <t>100 SKIPPER</t>
  </si>
  <si>
    <t>100 SUZLON</t>
  </si>
  <si>
    <t>50 NMDC</t>
  </si>
  <si>
    <t>45 GAIL</t>
  </si>
  <si>
    <t>100 NCC</t>
  </si>
  <si>
    <t>10 MCX</t>
  </si>
  <si>
    <t>for the period 01-12-2021 to 01-03-2022</t>
  </si>
  <si>
    <t>75 SAIL</t>
  </si>
  <si>
    <t>37 MCX</t>
  </si>
  <si>
    <t>6 HINDUNILVR</t>
  </si>
  <si>
    <t>10 POLYPLEX</t>
  </si>
  <si>
    <t>5 PATANJALI</t>
  </si>
  <si>
    <t>132 GAIL</t>
  </si>
  <si>
    <t>30 MCX</t>
  </si>
  <si>
    <t>43 GAIL</t>
  </si>
  <si>
    <t>50 GAIL</t>
  </si>
  <si>
    <t>200 SHALPAINTS</t>
  </si>
  <si>
    <t>38 GAIL</t>
  </si>
  <si>
    <t>6 SARDAEN</t>
  </si>
  <si>
    <t>4 MATRIMONY</t>
  </si>
  <si>
    <t>7 MCX</t>
  </si>
  <si>
    <r>
      <rPr>
        <sz val="8"/>
        <color theme="1"/>
        <rFont val="Verdana"/>
        <family val="2"/>
      </rPr>
      <t>Grs Profit/</t>
    </r>
    <r>
      <rPr>
        <sz val="8"/>
        <color rgb="FFFF0000"/>
        <rFont val="Verdana"/>
        <family val="2"/>
      </rPr>
      <t>(Loss)</t>
    </r>
  </si>
  <si>
    <t>Bal as per Zerodha</t>
  </si>
  <si>
    <r>
      <rPr>
        <sz val="8"/>
        <color rgb="FF000000"/>
        <rFont val="Verdana"/>
        <family val="2"/>
      </rPr>
      <t>Surplus/</t>
    </r>
    <r>
      <rPr>
        <sz val="8"/>
        <color rgb="FFFF0000"/>
        <rFont val="Verdana"/>
        <family val="2"/>
      </rPr>
      <t>(Short)</t>
    </r>
  </si>
  <si>
    <t>Cost of Holding</t>
  </si>
  <si>
    <r>
      <rPr>
        <sz val="8"/>
        <color theme="1"/>
        <rFont val="Verdana"/>
        <family val="2"/>
      </rPr>
      <t>Grs Profit/</t>
    </r>
    <r>
      <rPr>
        <sz val="8"/>
        <color rgb="FFFF0000"/>
        <rFont val="Verdana"/>
        <family val="2"/>
      </rPr>
      <t>(Loss)</t>
    </r>
  </si>
  <si>
    <t>Exp not taken anywhere</t>
  </si>
  <si>
    <t>Paid to Zerodha</t>
  </si>
  <si>
    <t>Consultancy</t>
  </si>
  <si>
    <t>Paid to Dhan</t>
  </si>
  <si>
    <t>Paid to Kotak</t>
  </si>
  <si>
    <t>Paid to Others</t>
  </si>
  <si>
    <t>Loss of Intt on Funds Deployed</t>
  </si>
  <si>
    <r>
      <rPr>
        <sz val="8"/>
        <color theme="1"/>
        <rFont val="Verdana"/>
        <family val="2"/>
      </rPr>
      <t>Net Inflow/</t>
    </r>
    <r>
      <rPr>
        <sz val="8"/>
        <color rgb="FFFF0000"/>
        <rFont val="Verdana"/>
        <family val="2"/>
      </rPr>
      <t>(Outflow)</t>
    </r>
  </si>
  <si>
    <r>
      <rPr>
        <sz val="8"/>
        <color theme="1"/>
        <rFont val="Verdana"/>
        <family val="2"/>
      </rPr>
      <t>Net Profit/</t>
    </r>
    <r>
      <rPr>
        <sz val="8"/>
        <color rgb="FFFF0000"/>
        <rFont val="Verdana"/>
        <family val="2"/>
      </rPr>
      <t>(Loss)</t>
    </r>
  </si>
  <si>
    <t>Previous Exp</t>
  </si>
  <si>
    <t>Prev Net Profit/(Loss)</t>
  </si>
  <si>
    <t>Diff</t>
  </si>
  <si>
    <t>Day's Gross P&amp;L</t>
  </si>
  <si>
    <t>Previous Intt</t>
  </si>
  <si>
    <t>Day's Net P&amp;L</t>
  </si>
  <si>
    <t>Zerodha</t>
  </si>
  <si>
    <t>Dhan</t>
  </si>
  <si>
    <t>Kotak</t>
  </si>
  <si>
    <t>INFY DEC 1620 CE ₹-10,230.60</t>
  </si>
  <si>
    <t>WIPRO DEC 410 CE ₹-8,029</t>
  </si>
  <si>
    <t xml:space="preserve">HDFCBANK DEC 1640 CE ₹-18347.16 </t>
  </si>
  <si>
    <t>WIPRO JAN 385 PE ₹-16910.17</t>
  </si>
  <si>
    <t xml:space="preserve">BANKNIFTY 12JAN 42200 CE ₹-10,030 </t>
  </si>
  <si>
    <t>NIFTY 19JAN 17900 CE ₹-5927.29</t>
  </si>
  <si>
    <t>NIFTY 25JAN 18150 CE ₹-8,326</t>
  </si>
  <si>
    <t>NIFTY 23MAR 17500 CE ₹401.01</t>
  </si>
  <si>
    <t>Kotak Bal</t>
  </si>
  <si>
    <t>stamp duty charges reversed</t>
  </si>
  <si>
    <t>VL DT. 27/01/2023 stamp duty charges reversed</t>
  </si>
  <si>
    <r>
      <rPr>
        <sz val="8"/>
        <color theme="1"/>
        <rFont val="Verdana"/>
        <family val="2"/>
      </rPr>
      <t>Grs Profit/</t>
    </r>
    <r>
      <rPr>
        <sz val="8"/>
        <color rgb="FFFF0000"/>
        <rFont val="Verdana"/>
        <family val="2"/>
      </rPr>
      <t>(Loss)</t>
    </r>
  </si>
  <si>
    <t>Bal as per Kotak</t>
  </si>
  <si>
    <r>
      <rPr>
        <sz val="8"/>
        <color rgb="FF000000"/>
        <rFont val="Verdana"/>
        <family val="2"/>
      </rPr>
      <t>Surplus/</t>
    </r>
    <r>
      <rPr>
        <sz val="8"/>
        <color rgb="FFFF0000"/>
        <rFont val="Verdana"/>
        <family val="2"/>
      </rPr>
      <t>(Short)</t>
    </r>
  </si>
  <si>
    <r>
      <rPr>
        <sz val="8"/>
        <color theme="1"/>
        <rFont val="Verdana"/>
        <family val="2"/>
      </rPr>
      <t>Positional Profit/</t>
    </r>
    <r>
      <rPr>
        <sz val="8"/>
        <color rgb="FFFF0000"/>
        <rFont val="Verdana"/>
        <family val="2"/>
      </rPr>
      <t>(Loss)</t>
    </r>
  </si>
  <si>
    <r>
      <rPr>
        <sz val="8"/>
        <color theme="1"/>
        <rFont val="Verdana"/>
        <family val="2"/>
      </rPr>
      <t>IntraDay Profit/</t>
    </r>
    <r>
      <rPr>
        <sz val="8"/>
        <color rgb="FFFF0000"/>
        <rFont val="Verdana"/>
        <family val="2"/>
      </rPr>
      <t>(Loss)</t>
    </r>
  </si>
  <si>
    <t>Symbol</t>
  </si>
  <si>
    <t>B / S</t>
  </si>
  <si>
    <t>Exch</t>
  </si>
  <si>
    <t>Acct</t>
  </si>
  <si>
    <t>Qty</t>
  </si>
  <si>
    <t>Mkt Rate</t>
  </si>
  <si>
    <t>Brkrge</t>
  </si>
  <si>
    <t>Nett Rate</t>
  </si>
  <si>
    <t>TTL Value</t>
  </si>
  <si>
    <t>Exp/per</t>
  </si>
  <si>
    <t>GST</t>
  </si>
  <si>
    <t>STT</t>
  </si>
  <si>
    <t>SD</t>
  </si>
  <si>
    <t>ETC</t>
  </si>
  <si>
    <t>Othr Chg</t>
  </si>
  <si>
    <t>Ttl Chg</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</si>
  <si>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</si>
  <si>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</si>
  <si>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</si>
  <si>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r>
      <rPr>
        <i/>
        <u/>
        <sz val="8"/>
        <color theme="1"/>
        <rFont val="Verdana"/>
        <family val="2"/>
      </rPr>
      <t xml:space="preserve">Del </t>
    </r>
    <r>
      <rPr>
        <i/>
        <u/>
        <sz val="8"/>
        <color rgb="FF0000FF"/>
        <rFont val="Verdana"/>
        <family val="2"/>
      </rPr>
      <t>In</t>
    </r>
    <r>
      <rPr>
        <i/>
        <u/>
        <sz val="8"/>
        <color theme="1"/>
        <rFont val="Verdana"/>
        <family val="2"/>
      </rPr>
      <t>/</t>
    </r>
    <r>
      <rPr>
        <i/>
        <u/>
        <sz val="8"/>
        <color rgb="FFFF0000"/>
        <rFont val="Verdana"/>
        <family val="2"/>
      </rPr>
      <t>Out</t>
    </r>
  </si>
  <si>
    <t>Exp %</t>
  </si>
  <si>
    <t>Del Day</t>
  </si>
  <si>
    <t>Broker</t>
  </si>
  <si>
    <t>REC</t>
  </si>
  <si>
    <t>Sell</t>
  </si>
  <si>
    <t>BSE</t>
  </si>
  <si>
    <t>Sunita</t>
  </si>
  <si>
    <t>SBICAP</t>
  </si>
  <si>
    <t>RPOWER</t>
  </si>
  <si>
    <t>CONTROLPR</t>
  </si>
  <si>
    <t>PATELENG</t>
  </si>
  <si>
    <t>Buy</t>
  </si>
  <si>
    <t>CUMMINSIND</t>
  </si>
  <si>
    <t>ROLTA</t>
  </si>
  <si>
    <t>SOBHA</t>
  </si>
  <si>
    <t>BHEL</t>
  </si>
  <si>
    <t>INFY</t>
  </si>
  <si>
    <t>CIPLA</t>
  </si>
  <si>
    <t>RELIANCE</t>
  </si>
  <si>
    <t>HEROMOTOCO</t>
  </si>
  <si>
    <t>INDIACEM</t>
  </si>
  <si>
    <t>CROMPTON</t>
  </si>
  <si>
    <t>DABUR</t>
  </si>
  <si>
    <t>TATAPOWER</t>
  </si>
  <si>
    <t>ADANIENT</t>
  </si>
  <si>
    <t>HINDALCO</t>
  </si>
  <si>
    <t>CGPOWER</t>
  </si>
  <si>
    <t>NSE</t>
  </si>
  <si>
    <t>CAMS</t>
  </si>
  <si>
    <t>Satya</t>
  </si>
  <si>
    <t>GLAND</t>
  </si>
  <si>
    <t>RELIANCE PP</t>
  </si>
  <si>
    <t>BECTORFOOD</t>
  </si>
  <si>
    <t>INDIGOPNTS</t>
  </si>
  <si>
    <t>IOB</t>
  </si>
  <si>
    <t>Not Applicable</t>
  </si>
  <si>
    <t>MAHABANK</t>
  </si>
  <si>
    <t>SBIN</t>
  </si>
  <si>
    <t>BEL</t>
  </si>
  <si>
    <t>SAIL</t>
  </si>
  <si>
    <t>NATIONALUM</t>
  </si>
  <si>
    <t>GHCL</t>
  </si>
  <si>
    <t>BAJFINANCE</t>
  </si>
  <si>
    <t>BSOFT</t>
  </si>
  <si>
    <t>CHOLAFIN</t>
  </si>
  <si>
    <t>ICICIBANK</t>
  </si>
  <si>
    <t>SBICARD</t>
  </si>
  <si>
    <t>MAWANASUG</t>
  </si>
  <si>
    <t>HINDUNILVR</t>
  </si>
  <si>
    <t>CARBORUNIV</t>
  </si>
  <si>
    <t>HDFC</t>
  </si>
  <si>
    <t>IDFC</t>
  </si>
  <si>
    <t>BIOCON</t>
  </si>
  <si>
    <t>DWARKESH</t>
  </si>
  <si>
    <t>CYBERTECH</t>
  </si>
  <si>
    <t>MMTC</t>
  </si>
  <si>
    <t>IRFC</t>
  </si>
  <si>
    <t>HDFCBANK</t>
  </si>
  <si>
    <t>PFC</t>
  </si>
  <si>
    <t>RAMCOSYS</t>
  </si>
  <si>
    <t>MTNL</t>
  </si>
  <si>
    <t>IOC</t>
  </si>
  <si>
    <t>TATAMOTORS</t>
  </si>
  <si>
    <t>ABB</t>
  </si>
  <si>
    <t>BURGERKING</t>
  </si>
  <si>
    <t>IDEA</t>
  </si>
  <si>
    <t>KEI</t>
  </si>
  <si>
    <t>FDC</t>
  </si>
  <si>
    <t>LEMONTREE</t>
  </si>
  <si>
    <t>NATCOPHARM</t>
  </si>
  <si>
    <t>SHALPAINTS</t>
  </si>
  <si>
    <t>BPCL</t>
  </si>
  <si>
    <t>ZEEL</t>
  </si>
  <si>
    <t>M&amp;M</t>
  </si>
  <si>
    <t>SUNTV</t>
  </si>
  <si>
    <t>TRENT</t>
  </si>
  <si>
    <t>SCHNEIDER</t>
  </si>
  <si>
    <t>PNB</t>
  </si>
  <si>
    <t>TRITURBINE</t>
  </si>
  <si>
    <t>KNRCON</t>
  </si>
  <si>
    <t>APTECHT</t>
  </si>
  <si>
    <t>CYIENT</t>
  </si>
  <si>
    <t>WELSPUNIND</t>
  </si>
  <si>
    <t>JSL</t>
  </si>
  <si>
    <t>ITDCEM</t>
  </si>
  <si>
    <t>GREAVESCOT</t>
  </si>
  <si>
    <t>JPASSOCIAT</t>
  </si>
  <si>
    <t>NBCC</t>
  </si>
  <si>
    <t>CREDITACC</t>
  </si>
  <si>
    <t>DCBBANK</t>
  </si>
  <si>
    <t>ADANIPORTS</t>
  </si>
  <si>
    <t>NCC</t>
  </si>
  <si>
    <t>JUBLPHARMA</t>
  </si>
  <si>
    <t>GICHSGFIN</t>
  </si>
  <si>
    <t>SONACOMS</t>
  </si>
  <si>
    <t>DODLA</t>
  </si>
  <si>
    <t>SHYMMETAL</t>
  </si>
  <si>
    <t>NMDC</t>
  </si>
  <si>
    <t>GUJAPOLLO</t>
  </si>
  <si>
    <t>PNBGILTS</t>
  </si>
  <si>
    <t>SRF</t>
  </si>
  <si>
    <t>SKIPPER</t>
  </si>
  <si>
    <t>GENUSPOWER</t>
  </si>
  <si>
    <t>HBLPOWER</t>
  </si>
  <si>
    <t>EASEMYTRIP</t>
  </si>
  <si>
    <t>RENUKA</t>
  </si>
  <si>
    <t>BAJAJHIND</t>
  </si>
  <si>
    <t>L&amp;TFH</t>
  </si>
  <si>
    <t>PNCINFRA</t>
  </si>
  <si>
    <t>BRNL</t>
  </si>
  <si>
    <t>NOCIL</t>
  </si>
  <si>
    <t>YESBANK</t>
  </si>
  <si>
    <t>KUANTUM</t>
  </si>
  <si>
    <t>TATVA</t>
  </si>
  <si>
    <t>ELGIEQUIP</t>
  </si>
  <si>
    <t>TRIDENT</t>
  </si>
  <si>
    <t>INSECTICID</t>
  </si>
  <si>
    <t>INDSUCR</t>
  </si>
  <si>
    <t>TIGERLOGS</t>
  </si>
  <si>
    <t>LXCHEM</t>
  </si>
  <si>
    <t>CDSL</t>
  </si>
  <si>
    <t>ZENTEC</t>
  </si>
  <si>
    <t>KTKBANK</t>
  </si>
  <si>
    <t>INDIGO</t>
  </si>
  <si>
    <t>IBULHSGFIN</t>
  </si>
  <si>
    <t>MUTHOOTFIN</t>
  </si>
  <si>
    <t>SANSERA</t>
  </si>
  <si>
    <t>CAPLIPOINT</t>
  </si>
  <si>
    <t>IBREALEST</t>
  </si>
  <si>
    <t>IEX</t>
  </si>
  <si>
    <t>ARVIND</t>
  </si>
  <si>
    <t>AARTIIND</t>
  </si>
  <si>
    <t>TCS</t>
  </si>
  <si>
    <t>DCMSHRIRAM</t>
  </si>
  <si>
    <t>ITC</t>
  </si>
  <si>
    <t>VSSL</t>
  </si>
  <si>
    <t>TATASTLBSL</t>
  </si>
  <si>
    <t>AVADHSUGAR</t>
  </si>
  <si>
    <t>DEVYANI</t>
  </si>
  <si>
    <t>HAVELLS</t>
  </si>
  <si>
    <t>VOLTAMP</t>
  </si>
  <si>
    <t>INDHOTEL</t>
  </si>
  <si>
    <t>A2ZINFRA</t>
  </si>
  <si>
    <t>ASHOKA</t>
  </si>
  <si>
    <t>TOYAMIND</t>
  </si>
  <si>
    <t>FEDERALBNK</t>
  </si>
  <si>
    <t>JPPOWER</t>
  </si>
  <si>
    <t>MCX</t>
  </si>
  <si>
    <t>TATASTEEL</t>
  </si>
  <si>
    <t>LICHSGFIN</t>
  </si>
  <si>
    <t>MCLEODRUSS</t>
  </si>
  <si>
    <t>AUROPHARMA</t>
  </si>
  <si>
    <t>AUBANK</t>
  </si>
  <si>
    <t>SETFGOLD</t>
  </si>
  <si>
    <t>POLYPLEX</t>
  </si>
  <si>
    <t>CANBK</t>
  </si>
  <si>
    <t>GAIL</t>
  </si>
  <si>
    <t>ROUTE</t>
  </si>
  <si>
    <t>CARBORUNIN</t>
  </si>
  <si>
    <t>RUCHI</t>
  </si>
  <si>
    <t>RCF</t>
  </si>
  <si>
    <t>PARACABLES</t>
  </si>
  <si>
    <t>TNPETRO</t>
  </si>
  <si>
    <t>NGIND</t>
  </si>
  <si>
    <t>SARDAEN</t>
  </si>
  <si>
    <t>VASWANI</t>
  </si>
  <si>
    <t>GODREJAGRO</t>
  </si>
  <si>
    <t>ENDURANCE</t>
  </si>
  <si>
    <t>CAMPUS ACTIV</t>
  </si>
  <si>
    <t>MATRIMONY</t>
  </si>
  <si>
    <t>ITI</t>
  </si>
  <si>
    <t>NHPC</t>
  </si>
  <si>
    <t>EXCELINDUS</t>
  </si>
  <si>
    <t>EIDPARRY</t>
  </si>
  <si>
    <t>GARFIBRES</t>
  </si>
  <si>
    <t>MOTHERSON</t>
  </si>
  <si>
    <t>LT</t>
  </si>
  <si>
    <t>SUZLON</t>
  </si>
  <si>
    <t>TATAELXSI</t>
  </si>
  <si>
    <t>ADANIPOWER</t>
  </si>
  <si>
    <t>SHAKTIPUMP</t>
  </si>
  <si>
    <t>BANKBARODA</t>
  </si>
  <si>
    <t>DREAMFOLKS</t>
  </si>
  <si>
    <t>ABSLAMC</t>
  </si>
  <si>
    <t>NTPC</t>
  </si>
  <si>
    <t>DCXINDIA</t>
  </si>
  <si>
    <t>ACI</t>
  </si>
  <si>
    <t xml:space="preserve">ITC </t>
  </si>
  <si>
    <t>TATACONSUM</t>
  </si>
  <si>
    <t>SULA</t>
  </si>
  <si>
    <t>MSUMI</t>
  </si>
  <si>
    <t>PATANJALI</t>
  </si>
  <si>
    <t>TATACOMM</t>
  </si>
  <si>
    <t>MUKANDLTD</t>
  </si>
  <si>
    <t>IDFCFIRSTB</t>
  </si>
  <si>
    <t>SOUTHBANK</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</si>
  <si>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</si>
  <si>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</si>
  <si>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</si>
  <si>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r>
      <rPr>
        <i/>
        <u/>
        <sz val="8"/>
        <color theme="1"/>
        <rFont val="Verdana"/>
        <family val="2"/>
      </rPr>
      <t xml:space="preserve">Del </t>
    </r>
    <r>
      <rPr>
        <i/>
        <u/>
        <sz val="8"/>
        <color rgb="FF0000FF"/>
        <rFont val="Verdana"/>
        <family val="2"/>
      </rPr>
      <t>In</t>
    </r>
    <r>
      <rPr>
        <i/>
        <u/>
        <sz val="8"/>
        <color theme="1"/>
        <rFont val="Verdana"/>
        <family val="2"/>
      </rPr>
      <t>/</t>
    </r>
    <r>
      <rPr>
        <i/>
        <u/>
        <sz val="8"/>
        <color rgb="FFFF0000"/>
        <rFont val="Verdana"/>
        <family val="2"/>
      </rPr>
      <t>Out</t>
    </r>
  </si>
  <si>
    <t>Type</t>
  </si>
  <si>
    <t>Buy @</t>
  </si>
  <si>
    <t>Sell @</t>
  </si>
  <si>
    <t>Brkrge (B)</t>
  </si>
  <si>
    <t>Brkrge (S)</t>
  </si>
  <si>
    <t>Grs Profit</t>
  </si>
  <si>
    <t>Ttl Brkrge</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</si>
  <si>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</si>
  <si>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</si>
  <si>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</si>
  <si>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t>B/S Rate%</t>
  </si>
  <si>
    <t>Reco</t>
  </si>
  <si>
    <t>Intra</t>
  </si>
  <si>
    <t>UPL</t>
  </si>
  <si>
    <t>ELDERPHARM</t>
  </si>
  <si>
    <t>POWERGRID</t>
  </si>
  <si>
    <t>ORIENTBANK</t>
  </si>
  <si>
    <t>JSWSTEEL</t>
  </si>
  <si>
    <t>RAYMOND</t>
  </si>
  <si>
    <t>DISHTV</t>
  </si>
  <si>
    <t>GVKPIL</t>
  </si>
  <si>
    <t>AXISBANK</t>
  </si>
  <si>
    <t>INDUSINDBK</t>
  </si>
  <si>
    <t>JUBLFOOD</t>
  </si>
  <si>
    <t>APOLLOTYRE</t>
  </si>
  <si>
    <t>CONCOR</t>
  </si>
  <si>
    <t>TVSMOTOR</t>
  </si>
  <si>
    <t>Golden</t>
  </si>
  <si>
    <t>ESCORTS</t>
  </si>
  <si>
    <t>COROMANDEL</t>
  </si>
  <si>
    <t>PVR</t>
  </si>
  <si>
    <t>MGL</t>
  </si>
  <si>
    <t>IGL</t>
  </si>
  <si>
    <t>HINDPETRO</t>
  </si>
  <si>
    <t>ASHOKLEY</t>
  </si>
  <si>
    <t>TATACHEM</t>
  </si>
  <si>
    <t>TITAN</t>
  </si>
  <si>
    <t>GRAPHITE</t>
  </si>
  <si>
    <t>GRASIM</t>
  </si>
  <si>
    <t>CADILAHC</t>
  </si>
  <si>
    <t>TORNTPHARM</t>
  </si>
  <si>
    <t>BAJAJCON</t>
  </si>
  <si>
    <t>HEG</t>
  </si>
  <si>
    <t>PRAJIND</t>
  </si>
  <si>
    <t>DLF</t>
  </si>
  <si>
    <t>MPHASIS</t>
  </si>
  <si>
    <t>PIDILITIND</t>
  </si>
  <si>
    <t>TINPLATE</t>
  </si>
  <si>
    <t>JINDALSTEL</t>
  </si>
  <si>
    <t>ASIANPAINT</t>
  </si>
  <si>
    <t>BAJAJFINSV</t>
  </si>
  <si>
    <t>GDL</t>
  </si>
  <si>
    <t>FINEORG</t>
  </si>
  <si>
    <t>WOCKPHARMA</t>
  </si>
  <si>
    <t>IOLCP</t>
  </si>
  <si>
    <t>ADVENZYMES</t>
  </si>
  <si>
    <t>ANGELBRKG</t>
  </si>
  <si>
    <t>PRSMJOHNSN</t>
  </si>
  <si>
    <t>APOLLOHOSP</t>
  </si>
  <si>
    <t>IRCTC</t>
  </si>
  <si>
    <t>JUSTDIAL</t>
  </si>
  <si>
    <t>MAXHEALTH</t>
  </si>
  <si>
    <t>QUESS</t>
  </si>
  <si>
    <t>GPIL</t>
  </si>
  <si>
    <t>GODREJCP</t>
  </si>
  <si>
    <t>CANFINHOME</t>
  </si>
  <si>
    <t>DCMSRMIND</t>
  </si>
  <si>
    <t>ISEC</t>
  </si>
  <si>
    <t>ABCAPITAL</t>
  </si>
  <si>
    <t>MCDOWELL</t>
  </si>
  <si>
    <t>SEQUENT</t>
  </si>
  <si>
    <t>PAYTM</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</si>
  <si>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</si>
  <si>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</si>
  <si>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</si>
  <si>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t>Equity Options</t>
  </si>
  <si>
    <t>F&amp;O Type</t>
  </si>
  <si>
    <t>Mth</t>
  </si>
  <si>
    <t>Strike</t>
  </si>
  <si>
    <t>CE/PE</t>
  </si>
  <si>
    <t>Lot Size</t>
  </si>
  <si>
    <t># of Lots</t>
  </si>
  <si>
    <t>Orders</t>
  </si>
  <si>
    <t>B Value</t>
  </si>
  <si>
    <t>S Value</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</si>
  <si>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</si>
  <si>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</si>
  <si>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</si>
  <si>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t>BANKNIFTY 03NOV 40100 CE</t>
  </si>
  <si>
    <t>BANKNIFTY 20JAN 38700 CE</t>
  </si>
  <si>
    <t>NIFTY 03FEB 17600 CE</t>
  </si>
  <si>
    <t>SAIL MAR 105 CE</t>
  </si>
  <si>
    <t>LICHSGFIN MAR 365 CE</t>
  </si>
  <si>
    <t>POWERGRID APR 230 CE</t>
  </si>
  <si>
    <t>POWERGRID APR 237.5 CE</t>
  </si>
  <si>
    <t>NIFTY 21APR 17100 PE</t>
  </si>
  <si>
    <t>BANKNIFTY 21APR 36200 PE</t>
  </si>
  <si>
    <t>BANDHANBNK APR 335 CE</t>
  </si>
  <si>
    <t>ONGC MAY 167.5 CE</t>
  </si>
  <si>
    <t>ITC MAY 270 CE</t>
  </si>
  <si>
    <t>NTPC MAY 160 CE</t>
  </si>
  <si>
    <t>BAJFINANCE MAY 5700 CE</t>
  </si>
  <si>
    <t>TATAMOTORS MAY 410 PE</t>
  </si>
  <si>
    <t>PVR MAY 1800 CE</t>
  </si>
  <si>
    <t>AXISBANK MAY 660 CE</t>
  </si>
  <si>
    <t>ICICIBANK MAY 700 PE</t>
  </si>
  <si>
    <t>KOTAKBANK JUN 1920 CE</t>
  </si>
  <si>
    <t>CANBK JUN 200 CE</t>
  </si>
  <si>
    <t>CANBK JUN 210 CE</t>
  </si>
  <si>
    <t>TATASTEEL JUN 1080 CE</t>
  </si>
  <si>
    <t>CANBK JUN 215 CE</t>
  </si>
  <si>
    <t>L&amp;TFH JUN 78 CE</t>
  </si>
  <si>
    <t>COALINDIA JUN 200 CE</t>
  </si>
  <si>
    <t>BHARATFORG JUN 650 PE</t>
  </si>
  <si>
    <t>ONGC JUN 165 CE</t>
  </si>
  <si>
    <t>NMDC JUN 120 PE</t>
  </si>
  <si>
    <t>HCLTECH JUN 980 PE</t>
  </si>
  <si>
    <t>LTTS JUN 3300 CE</t>
  </si>
  <si>
    <t>TITAN JUN 2100 CE</t>
  </si>
  <si>
    <t>NIFTY 16JUN 15600 PE</t>
  </si>
  <si>
    <t>NIFTY 16JUN 15500 PE</t>
  </si>
  <si>
    <t>NIFTY 16JUN 15450 PE</t>
  </si>
  <si>
    <t>NIFTY 16JUN 15350 PE</t>
  </si>
  <si>
    <t>NIFTY 23JUN 15350 CE</t>
  </si>
  <si>
    <t>NIFTY 23JUN 15300 PE</t>
  </si>
  <si>
    <t>KOTAKBANK JUN 1680 CE</t>
  </si>
  <si>
    <t>NIFTY 23JUN 15600 PE</t>
  </si>
  <si>
    <t>NIFTY 23JUN 15400 PE</t>
  </si>
  <si>
    <t>TCS JUN 3200 CE</t>
  </si>
  <si>
    <t>NIFTY 23JUN 15600 CE</t>
  </si>
  <si>
    <t>NIFTY 23JUN 15650 CE</t>
  </si>
  <si>
    <t>NIFTY JUN 15750 CE</t>
  </si>
  <si>
    <t>TCS JUN 3300 CE</t>
  </si>
  <si>
    <t>NIFTY JUN 15900 CE</t>
  </si>
  <si>
    <t xml:space="preserve">ASHOKLEY JUN 140 CE    </t>
  </si>
  <si>
    <t>VEDL JUL 240 CE</t>
  </si>
  <si>
    <t>NIFTY JUN 15800 PE</t>
  </si>
  <si>
    <t>NIFTY 07JUN 15750 CE</t>
  </si>
  <si>
    <t>SUNPHARMA JUL 830 PE</t>
  </si>
  <si>
    <t>NIFTY 07JUN 15750 PE</t>
  </si>
  <si>
    <t>NIFTY 07JUN 15900 PE</t>
  </si>
  <si>
    <t>NIFTY 07JUL 15900 PE</t>
  </si>
  <si>
    <t>NIFTY 14JUL 16200 CE</t>
  </si>
  <si>
    <t>NIFTY 14JUL 16100 PE</t>
  </si>
  <si>
    <t>INDUSTOWER JUL 220 CE</t>
  </si>
  <si>
    <t>NIFTY 14JUL 16000 PE</t>
  </si>
  <si>
    <t>NIFTY 14JUL 16100 CE</t>
  </si>
  <si>
    <t>NIFTY 21JUL 15850 CE</t>
  </si>
  <si>
    <t>NIFTY 21JUL 16100 PE</t>
  </si>
  <si>
    <t>NIFTY 21JUL 16150 CE</t>
  </si>
  <si>
    <t>ACC JUL 2160 PE</t>
  </si>
  <si>
    <t>NIFTY JUL 16700 PE</t>
  </si>
  <si>
    <t>COALINDIA JUL 200 CE</t>
  </si>
  <si>
    <t>SUNPHARMA JUL 880 CE</t>
  </si>
  <si>
    <t>NIFTY JUL 16700 CE</t>
  </si>
  <si>
    <t>ICICI AUG 820 CE</t>
  </si>
  <si>
    <t>NIFTY 11AUG 17350 CE</t>
  </si>
  <si>
    <t>TORNTPOWER AUG 530 CE</t>
  </si>
  <si>
    <t>LUPIN AUG 670 CE</t>
  </si>
  <si>
    <t>NIFTY 11AUG 17400 CE</t>
  </si>
  <si>
    <t>NAVINFLUOR AUG 4500 CE</t>
  </si>
  <si>
    <t>NIFTY 11AUG 17450 PE</t>
  </si>
  <si>
    <t>HDFCBANK AUG 1500 PE</t>
  </si>
  <si>
    <t>NIFTY AUG 17900 PE</t>
  </si>
  <si>
    <t>TECHM AUG 1100 PE</t>
  </si>
  <si>
    <t>NIFTY 25AUG 17900 CE</t>
  </si>
  <si>
    <t>VEDL AUG 270 CE</t>
  </si>
  <si>
    <t>DIXON AUG 4000 PE</t>
  </si>
  <si>
    <t>TATASTEEL SEP 108 CE</t>
  </si>
  <si>
    <t>BIOCON SEP 305 PE</t>
  </si>
  <si>
    <t>NIFTY 15SEP 17850 CE</t>
  </si>
  <si>
    <t>BHARTIARTL SEP 790 CE</t>
  </si>
  <si>
    <t>SBIN SEP 570 CE</t>
  </si>
  <si>
    <t>NIFTY 22SEP 17900 PE</t>
  </si>
  <si>
    <t>NIFTY 22SEP 17700 CE</t>
  </si>
  <si>
    <t>INTELLECT SEP 560 PE</t>
  </si>
  <si>
    <t>INFY SEP  1380 PE</t>
  </si>
  <si>
    <t>BANKNIFTY 22:SEP 40700 CE</t>
  </si>
  <si>
    <t>BANKNIFTY 22:SEP 40700 PE</t>
  </si>
  <si>
    <t>BSOFT SEP 300 PE</t>
  </si>
  <si>
    <t>DLF SEP 380 PE</t>
  </si>
  <si>
    <t>BANKNIFTY SEP 39800 CE</t>
  </si>
  <si>
    <t>BANKNIFTY SEP 40200 CE</t>
  </si>
  <si>
    <t>NIFTY SEP 17500 CE</t>
  </si>
  <si>
    <t>NIFTY SEP 17200 CE</t>
  </si>
  <si>
    <t>SUNPHARMA NOV 1030 CE</t>
  </si>
  <si>
    <t>BATAINDIA NOV 1860 PE</t>
  </si>
  <si>
    <t>VEDL NOV 300 PE</t>
  </si>
  <si>
    <t>FEDERALBNK NOV 137 CE</t>
  </si>
  <si>
    <t>MGL NOV 900 CE</t>
  </si>
  <si>
    <t>HINDALCO NOV 430 CE</t>
  </si>
  <si>
    <t>HEROMOTOCO NOV 2600 CE</t>
  </si>
  <si>
    <t>PIDILITIND NOV 2650 PE</t>
  </si>
  <si>
    <t>LUPIN NOV 760 CE</t>
  </si>
  <si>
    <t>TATAMOTORS NOV 440 CE</t>
  </si>
  <si>
    <t>FEDERALBNK NOV 133 PE</t>
  </si>
  <si>
    <t>BANKNIFTY 17NOV 42600 CE</t>
  </si>
  <si>
    <t>DLF NOV 400 PE</t>
  </si>
  <si>
    <t>LTTS DEC 3900 CE</t>
  </si>
  <si>
    <t>INFY DEC 1640 CE</t>
  </si>
  <si>
    <t>EXIDEIND DEC 185 CE</t>
  </si>
  <si>
    <t>TATAMOTORS DEC 435 PE</t>
  </si>
  <si>
    <t>BANDHANBNK DEC 240 CE</t>
  </si>
  <si>
    <t>WIPRO DEC 405 CE</t>
  </si>
  <si>
    <t>NATIONALUM DEC 78 CE</t>
  </si>
  <si>
    <t>VOLTAS DEC 860 CE</t>
  </si>
  <si>
    <t>ASIANPAINT DEC 3200 CE</t>
  </si>
  <si>
    <t>ICICIBANK DEC 930 CE</t>
  </si>
  <si>
    <t>INFY DEC 1620 CE</t>
  </si>
  <si>
    <t>WIPRO DEC 410 CE</t>
  </si>
  <si>
    <t>ICICIBANK DEC 920 PE</t>
  </si>
  <si>
    <t>JINDALSTEL DEC 540 PE</t>
  </si>
  <si>
    <t>INDIACEM DEC 230 PE</t>
  </si>
  <si>
    <t>NIFTY 29DEC 18200 CE</t>
  </si>
  <si>
    <t>HDFCBANK DEC 1640 CE</t>
  </si>
  <si>
    <t>WIPRO DEC 390 PE</t>
  </si>
  <si>
    <t>HAVELLS DEC 1180 CE</t>
  </si>
  <si>
    <t>TATAMOTORS DEC 380 CE</t>
  </si>
  <si>
    <t>DLF DEC 370 PE</t>
  </si>
  <si>
    <t>WIPRO JAN 385 PE</t>
  </si>
  <si>
    <t>BANKNIFTY 05JAN 43600 CE</t>
  </si>
  <si>
    <t>NIFTY 05JAN 17950 PE</t>
  </si>
  <si>
    <t>BANKNIFTY 12JAN 42200 CE</t>
  </si>
  <si>
    <t>NIFTY 12JAN 18100 PE</t>
  </si>
  <si>
    <t>BANKNIFTY 12JAN 42100 CE</t>
  </si>
  <si>
    <t>NIFTY 12JAN 18000 CE</t>
  </si>
  <si>
    <t>BANKNIFTY 12JAN 41800 PE</t>
  </si>
  <si>
    <t>NIFTY 12JAN 17900 CE</t>
  </si>
  <si>
    <t>NIFTY 19JAN 18000 PE</t>
  </si>
  <si>
    <t>NIFTY 19JAN 17900 CE</t>
  </si>
  <si>
    <t>NIFTY 19JAN 18000 CE</t>
  </si>
  <si>
    <t>ZEEL JAN 235 CE</t>
  </si>
  <si>
    <t>NIFTY 19JAN 18050 CE</t>
  </si>
  <si>
    <t>NIFTY 19JAN 17950 CE</t>
  </si>
  <si>
    <t>INTELLECT JAN 420 PE</t>
  </si>
  <si>
    <t>NIFTY 25JAN 17950 CE</t>
  </si>
  <si>
    <t>BANKNIFTY 25JAN 42700 PE</t>
  </si>
  <si>
    <t>BANKNIFTY 25JAN 43000 PE</t>
  </si>
  <si>
    <t>NIFTY 25JAN 18150 CE</t>
  </si>
  <si>
    <t>NIFTY 2FEB 17900 CE</t>
  </si>
  <si>
    <t>NIFTY 9FEB 18100 CE</t>
  </si>
  <si>
    <t>NIFTY 9FEB 17700 PE</t>
  </si>
  <si>
    <t>NIFTY 16FEB 18000 CE</t>
  </si>
  <si>
    <t>NIFTY 16FEB 17900 PE</t>
  </si>
  <si>
    <t>NIFTY 16FEB 18150 CE</t>
  </si>
  <si>
    <t>NIFTY 23FEB 18000 CE</t>
  </si>
  <si>
    <t>NIFTY 02MAR 17650 CE</t>
  </si>
  <si>
    <t>NIFTY 02MAR 17200 PE</t>
  </si>
  <si>
    <t>NIFTY 09MAR 17900 CE</t>
  </si>
  <si>
    <t>NIFTY 16MAR 17800 CE</t>
  </si>
  <si>
    <t>NIFTY 16MAR 17100 PE</t>
  </si>
  <si>
    <t>NIFTY 16MAR 16800 CE</t>
  </si>
  <si>
    <t>NIFTY 16MAR 16900 PE</t>
  </si>
  <si>
    <t>NIFTY 16MAR 16800 PE</t>
  </si>
  <si>
    <t>NIFTY 23MAR 17500 CE</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</si>
  <si>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</si>
  <si>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</si>
  <si>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</si>
  <si>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r>
      <rPr>
        <sz val="8"/>
        <color theme="1"/>
        <rFont val="Verdana"/>
        <family val="2"/>
      </rPr>
      <t xml:space="preserve">Total Pay </t>
    </r>
    <r>
      <rPr>
        <sz val="8"/>
        <color rgb="FF0000FF"/>
        <rFont val="Verdana"/>
        <family val="2"/>
      </rPr>
      <t>In</t>
    </r>
    <r>
      <rPr>
        <sz val="8"/>
        <color theme="1"/>
        <rFont val="Verdana"/>
        <family val="2"/>
      </rPr>
      <t>/</t>
    </r>
    <r>
      <rPr>
        <sz val="8"/>
        <color rgb="FFFF0000"/>
        <rFont val="Verdana"/>
        <family val="2"/>
      </rPr>
      <t>Out</t>
    </r>
    <r>
      <rPr>
        <sz val="8"/>
        <color theme="1"/>
        <rFont val="Verdana"/>
        <family val="2"/>
      </rPr>
      <t xml:space="preserve"> during following dates (both dates inclusive)</t>
    </r>
  </si>
  <si>
    <t>Surplus (+) / Short (-)</t>
  </si>
  <si>
    <t>Buy/Sell</t>
  </si>
  <si>
    <t>For Delivery (+)/(-)</t>
  </si>
  <si>
    <t>Intraday</t>
  </si>
  <si>
    <t>For Intraday (+)/(-)</t>
  </si>
  <si>
    <t>Position</t>
  </si>
  <si>
    <t>F&amp;O Zerodha</t>
  </si>
  <si>
    <t>For F&amp;O (+)/(-)</t>
  </si>
  <si>
    <t>All Transactions P&amp;L</t>
  </si>
  <si>
    <t>Validation List Source ='Master Data'!$C$2#</t>
  </si>
  <si>
    <t>F&amp;O Dhan</t>
  </si>
  <si>
    <t>Last Transaction P&amp;L</t>
  </si>
  <si>
    <t>F&amp;O Kotak</t>
  </si>
  <si>
    <t>Last Transaction Date</t>
  </si>
  <si>
    <t>IntraDay Transaction Count</t>
  </si>
  <si>
    <t>Reconciliation with Contract Note</t>
  </si>
  <si>
    <t>Total Charges</t>
  </si>
  <si>
    <r>
      <rPr>
        <i/>
        <sz val="8"/>
        <color rgb="FFFF0000"/>
        <rFont val="Verdana"/>
        <family val="2"/>
      </rPr>
      <t>Paid</t>
    </r>
    <r>
      <rPr>
        <i/>
        <sz val="8"/>
        <color theme="1"/>
        <rFont val="Verdana"/>
        <family val="2"/>
      </rPr>
      <t xml:space="preserve"> / </t>
    </r>
    <r>
      <rPr>
        <i/>
        <sz val="8"/>
        <color rgb="FF0000FF"/>
        <rFont val="Verdana"/>
        <family val="2"/>
      </rPr>
      <t>Received</t>
    </r>
  </si>
  <si>
    <t>Pending</t>
  </si>
  <si>
    <t>Day's Net FNO Dr/Cr</t>
  </si>
  <si>
    <t>FNO Pending Debits</t>
  </si>
  <si>
    <t>Trade</t>
  </si>
  <si>
    <t>SEBI Fee</t>
  </si>
  <si>
    <t>indices</t>
  </si>
  <si>
    <t>Contract Note</t>
  </si>
  <si>
    <t>Settled</t>
  </si>
  <si>
    <t>CN is +/- by ₹</t>
  </si>
  <si>
    <r>
      <rPr>
        <i/>
        <sz val="8"/>
        <color theme="1"/>
        <rFont val="Verdana"/>
        <family val="2"/>
      </rPr>
      <t xml:space="preserve">Amount </t>
    </r>
    <r>
      <rPr>
        <i/>
        <sz val="8"/>
        <color rgb="FFFF0000"/>
        <rFont val="Verdana"/>
        <family val="2"/>
      </rPr>
      <t>Paid</t>
    </r>
    <r>
      <rPr>
        <i/>
        <sz val="8"/>
        <color theme="1"/>
        <rFont val="Verdana"/>
        <family val="2"/>
      </rPr>
      <t xml:space="preserve"> / </t>
    </r>
    <r>
      <rPr>
        <i/>
        <sz val="8"/>
        <color rgb="FF0000FF"/>
        <rFont val="Verdana"/>
        <family val="2"/>
      </rPr>
      <t>Received</t>
    </r>
  </si>
  <si>
    <t>FNO Transaction Count</t>
  </si>
  <si>
    <t>Total &gt;&gt;&gt;</t>
  </si>
  <si>
    <t>NIFTY</t>
  </si>
  <si>
    <t>BANKNIFTY</t>
  </si>
  <si>
    <t>Intra+Buy+Sell</t>
  </si>
  <si>
    <t>STOCKS</t>
  </si>
  <si>
    <t>Brokerage (Delivery)</t>
  </si>
  <si>
    <t xml:space="preserve">              (Intraday)</t>
  </si>
  <si>
    <t xml:space="preserve">              (Equity Options)</t>
  </si>
  <si>
    <t>GST / Service Tax + Edu Cess</t>
  </si>
  <si>
    <t>STT  (Delivery on both Buy &amp; Sell)</t>
  </si>
  <si>
    <t xml:space="preserve">       (Intraday on Sell)</t>
  </si>
  <si>
    <t xml:space="preserve">       (Equity Options on Sell Side)</t>
  </si>
  <si>
    <t>Exchange Tran Charge (Buy &amp; Sell) Delivery/Intraday NSE</t>
  </si>
  <si>
    <t>Exchange Tran Charge (Buy &amp; Sell) Delivery/Intraday BSE</t>
  </si>
  <si>
    <t>Exchange Tran Charge (Buy &amp; Sell) Equity Options NSE</t>
  </si>
  <si>
    <t>Stamp Duty (Delivery on Buy only)</t>
  </si>
  <si>
    <t xml:space="preserve">                 (Intraday on Buy only)</t>
  </si>
  <si>
    <t xml:space="preserve">                 (Equity Options on Buy Side) </t>
  </si>
  <si>
    <t>Name of Scrip</t>
  </si>
  <si>
    <t>Name</t>
  </si>
  <si>
    <t>Shares</t>
  </si>
  <si>
    <t>Nett C P</t>
  </si>
  <si>
    <t>Expenses</t>
  </si>
  <si>
    <t>Value</t>
  </si>
  <si>
    <t>Amt Pyble</t>
  </si>
  <si>
    <t>Serv Tax</t>
  </si>
  <si>
    <t>STTax</t>
  </si>
  <si>
    <t>Trnovr Chg</t>
  </si>
  <si>
    <t>Stmp Chg</t>
  </si>
  <si>
    <t>Amt Paid</t>
  </si>
  <si>
    <t>Shrt/Excs</t>
  </si>
  <si>
    <t>Pay Date</t>
  </si>
  <si>
    <t>Avg Date</t>
  </si>
  <si>
    <t>Avg Cost</t>
  </si>
  <si>
    <t>Status</t>
  </si>
  <si>
    <t>Brker</t>
  </si>
  <si>
    <t>Allahabad Bank</t>
  </si>
  <si>
    <t>Jindal Vijay</t>
  </si>
  <si>
    <t>Bharat Forge</t>
  </si>
  <si>
    <t>Karnataka Bank</t>
  </si>
  <si>
    <t>Syndicate Bank</t>
  </si>
  <si>
    <t>IDFC Ltd</t>
  </si>
  <si>
    <t>Reliance Energy</t>
  </si>
  <si>
    <t>Gujarat Ambuja</t>
  </si>
  <si>
    <t>3i Infotech</t>
  </si>
  <si>
    <t>Reliance Industries</t>
  </si>
  <si>
    <t>Dena Bank</t>
  </si>
  <si>
    <t>Mysore Cement</t>
  </si>
  <si>
    <t>Mercator Lines</t>
  </si>
  <si>
    <t>Ashok Leyland</t>
  </si>
  <si>
    <t>IFCI Ltd</t>
  </si>
  <si>
    <t>Talbros Components</t>
  </si>
  <si>
    <t>VBC Ferro Alloys</t>
  </si>
  <si>
    <t>Centurian Bank</t>
  </si>
  <si>
    <t>Finolex Industries</t>
  </si>
  <si>
    <t>Gujarat NRE</t>
  </si>
  <si>
    <t>India Infoline</t>
  </si>
  <si>
    <t>Rain Calcining</t>
  </si>
  <si>
    <t>Tata Tele (Mah)</t>
  </si>
  <si>
    <t>ITC Ltd</t>
  </si>
  <si>
    <t>Petronet LNG</t>
  </si>
  <si>
    <t>Balrampur Chini</t>
  </si>
  <si>
    <t>MSK Projects</t>
  </si>
  <si>
    <t>ICICI Bank</t>
  </si>
  <si>
    <t>MRO-Tek</t>
  </si>
  <si>
    <t>Manali Petro</t>
  </si>
  <si>
    <t>Hindalco</t>
  </si>
  <si>
    <t>Welspun Gujarat</t>
  </si>
  <si>
    <t>Ranbaxy Lab</t>
  </si>
  <si>
    <t>Rolta India</t>
  </si>
  <si>
    <t>Cipla Pharma</t>
  </si>
  <si>
    <t>ACC Ltd</t>
  </si>
  <si>
    <t>Greaves Cotton</t>
  </si>
  <si>
    <t>ITI Ltd</t>
  </si>
  <si>
    <t>Spice Jet</t>
  </si>
  <si>
    <t>Wipro</t>
  </si>
  <si>
    <t>Sesa Goa</t>
  </si>
  <si>
    <t>Mawana Sugar</t>
  </si>
  <si>
    <t>Shipping Corp</t>
  </si>
  <si>
    <t>Ballarpur Indus</t>
  </si>
  <si>
    <t>Escorts</t>
  </si>
  <si>
    <t>Indus Ind Bank</t>
  </si>
  <si>
    <t>Mcleod Rusel</t>
  </si>
  <si>
    <t>Mid Day Multimedia</t>
  </si>
  <si>
    <t>Control Print</t>
  </si>
  <si>
    <t>IDBI</t>
  </si>
  <si>
    <t>Bindal Agro</t>
  </si>
  <si>
    <t>Bank of Rajasthan</t>
  </si>
  <si>
    <t>State Bank of India</t>
  </si>
  <si>
    <t>Neyveli Lignite</t>
  </si>
  <si>
    <t>SPG</t>
  </si>
  <si>
    <t>Satyam Computer</t>
  </si>
  <si>
    <t>Infosys Technology</t>
  </si>
  <si>
    <t>Rashtriya Chem (RCF)</t>
  </si>
  <si>
    <t>Piramyd Retail</t>
  </si>
  <si>
    <t>Reliance Petroleum</t>
  </si>
  <si>
    <t>India Cement</t>
  </si>
  <si>
    <t>Tata Consultancy</t>
  </si>
  <si>
    <t>Hem</t>
  </si>
  <si>
    <t>Bharti Airtel</t>
  </si>
  <si>
    <t>Nett S P</t>
  </si>
  <si>
    <t>Amt Rcvble</t>
  </si>
  <si>
    <t>Amt Rcvd</t>
  </si>
  <si>
    <t>Rcvd Date</t>
  </si>
  <si>
    <t>Yield</t>
  </si>
  <si>
    <t>Days</t>
  </si>
  <si>
    <t>Stock</t>
  </si>
  <si>
    <t>Purc @</t>
  </si>
  <si>
    <t>Sold @</t>
  </si>
  <si>
    <t>Brkrge (P)</t>
  </si>
  <si>
    <t>Margin</t>
  </si>
  <si>
    <t>Ttl Margin</t>
  </si>
  <si>
    <t>Ttl Chrges</t>
  </si>
  <si>
    <t>Settle Date</t>
  </si>
  <si>
    <t>Profi/Loss</t>
  </si>
  <si>
    <t>Grss Mrgn</t>
  </si>
  <si>
    <r>
      <rPr>
        <u/>
        <sz val="8"/>
        <color rgb="FFFF0000"/>
        <rFont val="Verdana"/>
        <family val="2"/>
      </rPr>
      <t>Pd /</t>
    </r>
    <r>
      <rPr>
        <u/>
        <sz val="8"/>
        <color rgb="FF008000"/>
        <rFont val="Verdana"/>
        <family val="2"/>
      </rPr>
      <t xml:space="preserve"> Rcvd</t>
    </r>
  </si>
  <si>
    <t>DCM Shriram Cons</t>
  </si>
  <si>
    <t>Taj GVK Hotel</t>
  </si>
  <si>
    <t>Spanco Tele</t>
  </si>
  <si>
    <t>G E Shipping</t>
  </si>
  <si>
    <t>Bombay Rayon (BRFL)</t>
  </si>
  <si>
    <t>VSNL</t>
  </si>
  <si>
    <t>Tata Steel</t>
  </si>
  <si>
    <t>Zee Telefilm</t>
  </si>
  <si>
    <t>Pratibha Industries</t>
  </si>
  <si>
    <t>Bata India</t>
  </si>
  <si>
    <t>Nalco</t>
  </si>
  <si>
    <t>Brokerage, etc.</t>
  </si>
  <si>
    <t>Ttl Nett Profit/Loss</t>
  </si>
  <si>
    <t>Avg Investment</t>
  </si>
  <si>
    <t xml:space="preserve">                  (Day Trade)</t>
  </si>
  <si>
    <t>Avg Yield</t>
  </si>
  <si>
    <t>Service Tax + Edu Cess</t>
  </si>
  <si>
    <t>STT (Delivery based purchase/sale)</t>
  </si>
  <si>
    <t xml:space="preserve">       (Non-Delivery based Sale)</t>
  </si>
  <si>
    <t xml:space="preserve">       (Derivatives)</t>
  </si>
  <si>
    <t>Turnover Charge (Delvry)</t>
  </si>
  <si>
    <t xml:space="preserve">                            (Day Trade)</t>
  </si>
  <si>
    <t>Stamp Charge (Delivery)</t>
  </si>
  <si>
    <t xml:space="preserve">                        (Day Trade)</t>
  </si>
  <si>
    <t>Demat Chg (by Broker)</t>
  </si>
  <si>
    <t>Demat Chg (by Bank)</t>
  </si>
  <si>
    <r>
      <rPr>
        <u/>
        <sz val="8"/>
        <color rgb="FFFF6600"/>
        <rFont val="Verdana"/>
        <family val="2"/>
      </rPr>
      <t xml:space="preserve">Purchase / </t>
    </r>
    <r>
      <rPr>
        <u/>
        <sz val="8"/>
        <color rgb="FF808000"/>
        <rFont val="Verdana"/>
        <family val="2"/>
      </rPr>
      <t>Sale</t>
    </r>
  </si>
  <si>
    <r>
      <rPr>
        <u/>
        <sz val="8"/>
        <color rgb="FFFF6600"/>
        <rFont val="Verdana"/>
        <family val="2"/>
      </rPr>
      <t xml:space="preserve">Pd / </t>
    </r>
    <r>
      <rPr>
        <u/>
        <sz val="8"/>
        <color rgb="FF808000"/>
        <rFont val="Verdana"/>
        <family val="2"/>
      </rPr>
      <t>Rcvd</t>
    </r>
  </si>
  <si>
    <t>Day-Trade</t>
  </si>
  <si>
    <t>Grs Mrgin</t>
  </si>
  <si>
    <r>
      <rPr>
        <u/>
        <sz val="8"/>
        <color rgb="FFFF0000"/>
        <rFont val="Verdana"/>
        <family val="2"/>
      </rPr>
      <t>Pd /</t>
    </r>
    <r>
      <rPr>
        <u/>
        <sz val="8"/>
        <color rgb="FF008000"/>
        <rFont val="Verdana"/>
        <family val="2"/>
      </rPr>
      <t xml:space="preserve"> Rcvd</t>
    </r>
  </si>
  <si>
    <t>Scrip</t>
  </si>
  <si>
    <t>Sector</t>
  </si>
  <si>
    <t>Target</t>
  </si>
  <si>
    <t>Target %</t>
  </si>
  <si>
    <t>Reco by</t>
  </si>
  <si>
    <t>Reco Period</t>
  </si>
  <si>
    <t>Buy Rate (Net)</t>
  </si>
  <si>
    <t>B Qty</t>
  </si>
  <si>
    <t>Buy Rate</t>
  </si>
  <si>
    <t>Buy Date (Dr 2 A/c)</t>
  </si>
  <si>
    <t>Sell Rate (Net)</t>
  </si>
  <si>
    <t>Sell Rate</t>
  </si>
  <si>
    <t>Sale Proceeds</t>
  </si>
  <si>
    <t>Sale Date (T2)</t>
  </si>
  <si>
    <t>Sale Date (T)</t>
  </si>
  <si>
    <t>Demat Chg</t>
  </si>
  <si>
    <t>Dividend</t>
  </si>
  <si>
    <t>Grs P&amp;L</t>
  </si>
  <si>
    <t>Qty &amp; Symbol</t>
  </si>
  <si>
    <t>Net P&amp;L</t>
  </si>
  <si>
    <t>Net P&amp;L in %</t>
  </si>
  <si>
    <t>HoldYr</t>
  </si>
  <si>
    <t>HoldMth</t>
  </si>
  <si>
    <t>HoldDay</t>
  </si>
  <si>
    <t>CAGR</t>
  </si>
  <si>
    <t>Account</t>
  </si>
  <si>
    <t>**DCMSRIND</t>
  </si>
  <si>
    <t>DCM Shriram Industries</t>
  </si>
  <si>
    <t>Sugar</t>
  </si>
  <si>
    <t>Self</t>
  </si>
  <si>
    <t>*DCM</t>
  </si>
  <si>
    <t>DCM</t>
  </si>
  <si>
    <t>Castings, Forgings &amp; Fastners</t>
  </si>
  <si>
    <t>*DCMSHRIRAM</t>
  </si>
  <si>
    <t>DCM Shriram</t>
  </si>
  <si>
    <t>Diversified</t>
  </si>
  <si>
    <t>Aarti Industries</t>
  </si>
  <si>
    <t>Chemicals</t>
  </si>
  <si>
    <t>MO</t>
  </si>
  <si>
    <t>Momentum</t>
  </si>
  <si>
    <t>AARTIPHARM</t>
  </si>
  <si>
    <t>Aditya Birla Sun Life AMC</t>
  </si>
  <si>
    <t>Finance</t>
  </si>
  <si>
    <t>IPO</t>
  </si>
  <si>
    <t>Ashoka Buildcon</t>
  </si>
  <si>
    <t>Engineering - Turnkey Services</t>
  </si>
  <si>
    <t>Chola</t>
  </si>
  <si>
    <t>Del Buy Call</t>
  </si>
  <si>
    <t>Computer Age Management Services</t>
  </si>
  <si>
    <t>Miscellaneous</t>
  </si>
  <si>
    <t>3750</t>
  </si>
  <si>
    <t>Caplin Point Laboratories</t>
  </si>
  <si>
    <t>Pharmaceuticals</t>
  </si>
  <si>
    <t>957</t>
  </si>
  <si>
    <t>HDFC Securities</t>
  </si>
  <si>
    <t>Buy Call</t>
  </si>
  <si>
    <t>ELIN</t>
  </si>
  <si>
    <t>Gujarat Apollo Industries</t>
  </si>
  <si>
    <t>Engineering</t>
  </si>
  <si>
    <t>280</t>
  </si>
  <si>
    <t>Jubilant Pharmova</t>
  </si>
  <si>
    <t>860</t>
  </si>
  <si>
    <t>LICI</t>
  </si>
  <si>
    <t>Buyback</t>
  </si>
  <si>
    <t>Mining &amp; Mineral products</t>
  </si>
  <si>
    <t>225</t>
  </si>
  <si>
    <t>NSL</t>
  </si>
  <si>
    <t>328</t>
  </si>
  <si>
    <t>ICICI Direct</t>
  </si>
  <si>
    <t>NUVOCO</t>
  </si>
  <si>
    <t>Nuvoco Vistas Corporation</t>
  </si>
  <si>
    <t>Cement</t>
  </si>
  <si>
    <t>827</t>
  </si>
  <si>
    <t>PNB Gilts</t>
  </si>
  <si>
    <t>90</t>
  </si>
  <si>
    <t>Zee</t>
  </si>
  <si>
    <t>Steel Authority of India</t>
  </si>
  <si>
    <t>Steel</t>
  </si>
  <si>
    <t>150</t>
  </si>
  <si>
    <t>Private</t>
  </si>
  <si>
    <t>Till buyback offer @1500 is open</t>
  </si>
  <si>
    <t>&lt;&lt; № of Holdings</t>
  </si>
  <si>
    <t>Investment at Buy Cost &gt;&gt;</t>
  </si>
  <si>
    <t>A2Z Infra Engineering</t>
  </si>
  <si>
    <t>ABB India</t>
  </si>
  <si>
    <t>-</t>
  </si>
  <si>
    <t>Adani Enterprises</t>
  </si>
  <si>
    <t>Adani Ports &amp; Special Economic Zone</t>
  </si>
  <si>
    <t>Infrastructure Developers &amp; Operators</t>
  </si>
  <si>
    <t>Zee Business</t>
  </si>
  <si>
    <t>Aptech</t>
  </si>
  <si>
    <t>250</t>
  </si>
  <si>
    <t>High-Gain</t>
  </si>
  <si>
    <t>Arvind</t>
  </si>
  <si>
    <t>Textiles</t>
  </si>
  <si>
    <t>Short Term Buy</t>
  </si>
  <si>
    <t>Avadh Sugar &amp; Energy</t>
  </si>
  <si>
    <t>ICICI Sec</t>
  </si>
  <si>
    <t>Bajaj Hindusthan Sugar</t>
  </si>
  <si>
    <t>Bajaj Finance</t>
  </si>
  <si>
    <t>Finance &amp; Investments</t>
  </si>
  <si>
    <t>Mrs Bectors Food Specialities</t>
  </si>
  <si>
    <t>Bharat Electronics</t>
  </si>
  <si>
    <t>Bharat Heavy Electricals</t>
  </si>
  <si>
    <t>Biocon</t>
  </si>
  <si>
    <t>Short Term</t>
  </si>
  <si>
    <t>444</t>
  </si>
  <si>
    <t>Conviction Del Idea</t>
  </si>
  <si>
    <t>Bharat Petroleum Corporation</t>
  </si>
  <si>
    <t>Bharat Road Network</t>
  </si>
  <si>
    <t>Construction</t>
  </si>
  <si>
    <t>45</t>
  </si>
  <si>
    <t>Birlasoft</t>
  </si>
  <si>
    <t>Burger King India</t>
  </si>
  <si>
    <t>165-170</t>
  </si>
  <si>
    <t>CAMPUS</t>
  </si>
  <si>
    <t>Canara Bank</t>
  </si>
  <si>
    <t>Bansal &amp; Kunal</t>
  </si>
  <si>
    <t>Carborundum Universal</t>
  </si>
  <si>
    <t>670</t>
  </si>
  <si>
    <t>Central Depository Services (India)</t>
  </si>
  <si>
    <t>CG Power &amp; Industrial Solutions</t>
  </si>
  <si>
    <t>Cholamandalam Investment and Fin Co</t>
  </si>
  <si>
    <t>OPP</t>
  </si>
  <si>
    <t>Cipla</t>
  </si>
  <si>
    <t>CreditAccess Grameen</t>
  </si>
  <si>
    <t>820</t>
  </si>
  <si>
    <t>Crompton Greaves Consumer Electricals</t>
  </si>
  <si>
    <t>Cummins India</t>
  </si>
  <si>
    <t>Cybertech Systems &amp; Software</t>
  </si>
  <si>
    <t>170</t>
  </si>
  <si>
    <t>Cyient</t>
  </si>
  <si>
    <t>865</t>
  </si>
  <si>
    <t>Dabur India</t>
  </si>
  <si>
    <t>DCB Bank</t>
  </si>
  <si>
    <t>Banks - Private Sector</t>
  </si>
  <si>
    <t>130</t>
  </si>
  <si>
    <t xml:space="preserve">IPO </t>
  </si>
  <si>
    <t>Devyani International</t>
  </si>
  <si>
    <t>Quick Service Restaurant</t>
  </si>
  <si>
    <t>Dodla Dairy</t>
  </si>
  <si>
    <t>Dwarikesh Sugar Industries</t>
  </si>
  <si>
    <t>Med Term</t>
  </si>
  <si>
    <t>Easy Trip Planners</t>
  </si>
  <si>
    <t>665</t>
  </si>
  <si>
    <t>Intra Day</t>
  </si>
  <si>
    <t>Elgi Equipments</t>
  </si>
  <si>
    <t>Compressors / Drilling Equipment</t>
  </si>
  <si>
    <t>255</t>
  </si>
  <si>
    <t>Short Term Del Buy call</t>
  </si>
  <si>
    <t>Till buyback offer @190 is open</t>
  </si>
  <si>
    <t>Genus Power Infrastructures</t>
  </si>
  <si>
    <t>Consumer Durables</t>
  </si>
  <si>
    <t>80</t>
  </si>
  <si>
    <t>Up to demerger of chemical and textile businesses</t>
  </si>
  <si>
    <t>GIC Housing Finance</t>
  </si>
  <si>
    <t>160</t>
  </si>
  <si>
    <t>Gland Pharma</t>
  </si>
  <si>
    <t>Engines</t>
  </si>
  <si>
    <t>188</t>
  </si>
  <si>
    <t>Havells India</t>
  </si>
  <si>
    <t>Electric Equipment</t>
  </si>
  <si>
    <t>3 Months</t>
  </si>
  <si>
    <t>HBL Power Systems</t>
  </si>
  <si>
    <t>Dry cells</t>
  </si>
  <si>
    <t>60</t>
  </si>
  <si>
    <t>HDFC Bank</t>
  </si>
  <si>
    <t>Hero Motocorp</t>
  </si>
  <si>
    <t>Hindalco Industries</t>
  </si>
  <si>
    <t>386</t>
  </si>
  <si>
    <t>Hindustan Unilever</t>
  </si>
  <si>
    <t>Del Idea</t>
  </si>
  <si>
    <t>Indiabulls Real Estate</t>
  </si>
  <si>
    <t>Realty</t>
  </si>
  <si>
    <t>200</t>
  </si>
  <si>
    <t>Indiabulls Housing Finance</t>
  </si>
  <si>
    <t>nil</t>
  </si>
  <si>
    <t>Prithvi</t>
  </si>
  <si>
    <t>Banks</t>
  </si>
  <si>
    <t>Vodafone Idea</t>
  </si>
  <si>
    <t>Telecomm</t>
  </si>
  <si>
    <t>Indian Energy Exchange</t>
  </si>
  <si>
    <t>Overnight</t>
  </si>
  <si>
    <t>Indian Hotels Co</t>
  </si>
  <si>
    <t>Hotels &amp; Restaurants</t>
  </si>
  <si>
    <t>AR</t>
  </si>
  <si>
    <t>ML Term Call</t>
  </si>
  <si>
    <t>India Cements</t>
  </si>
  <si>
    <t>Interglobe Aviation</t>
  </si>
  <si>
    <t>Air Transport Service</t>
  </si>
  <si>
    <t>Indigo Paints</t>
  </si>
  <si>
    <t>Indian Sucrose</t>
  </si>
  <si>
    <t>85</t>
  </si>
  <si>
    <t>Infosys Technologies</t>
  </si>
  <si>
    <t>Insecticides India</t>
  </si>
  <si>
    <t>Agro Chemicals</t>
  </si>
  <si>
    <t>850</t>
  </si>
  <si>
    <t>SML Term Call</t>
  </si>
  <si>
    <t>Indian Overseas Bank</t>
  </si>
  <si>
    <t>Indian Oil Corporation</t>
  </si>
  <si>
    <t>120</t>
  </si>
  <si>
    <t>Indian Railway Finance Corp</t>
  </si>
  <si>
    <t>FMCG</t>
  </si>
  <si>
    <t>Technical</t>
  </si>
  <si>
    <t>ITD Cementation India</t>
  </si>
  <si>
    <t>110</t>
  </si>
  <si>
    <t>Jaiprakash Associates</t>
  </si>
  <si>
    <t>20</t>
  </si>
  <si>
    <t>Jindal Stainless</t>
  </si>
  <si>
    <t>KEI Industries</t>
  </si>
  <si>
    <t>KNR Constructions</t>
  </si>
  <si>
    <t>241</t>
  </si>
  <si>
    <t>Banks - Private</t>
  </si>
  <si>
    <t>Kuantum Papers</t>
  </si>
  <si>
    <t>Paper</t>
  </si>
  <si>
    <t>95</t>
  </si>
  <si>
    <t>Short Term Pick</t>
  </si>
  <si>
    <t>L&amp;T Finance Holdings</t>
  </si>
  <si>
    <t>108</t>
  </si>
  <si>
    <t>Lemon Tree Hotels</t>
  </si>
  <si>
    <t>Laxmi Organic Industries</t>
  </si>
  <si>
    <t>800</t>
  </si>
  <si>
    <t>Medium Term Del Buy call</t>
  </si>
  <si>
    <t>Mahindra &amp; Mahindra</t>
  </si>
  <si>
    <t>Automobile</t>
  </si>
  <si>
    <t>Bank of Maharashtra</t>
  </si>
  <si>
    <t>Mawana Sugars</t>
  </si>
  <si>
    <t>55-60</t>
  </si>
  <si>
    <t>Mahanagar Telephone Nigam</t>
  </si>
  <si>
    <t>Muthoot Finance</t>
  </si>
  <si>
    <t>1560</t>
  </si>
  <si>
    <t>Angel</t>
  </si>
  <si>
    <t>Natco Pharma</t>
  </si>
  <si>
    <t>National Aluminium</t>
  </si>
  <si>
    <t>National Aluminium Company</t>
  </si>
  <si>
    <t>Non Ferrous Metals</t>
  </si>
  <si>
    <t>News Article</t>
  </si>
  <si>
    <t>NBCC (India)</t>
  </si>
  <si>
    <t>65</t>
  </si>
  <si>
    <t>180</t>
  </si>
  <si>
    <t>12 months</t>
  </si>
  <si>
    <t>Short Term Del Buy Call</t>
  </si>
  <si>
    <t>300</t>
  </si>
  <si>
    <t>Patel Engineering</t>
  </si>
  <si>
    <t>Power Finance Corporation</t>
  </si>
  <si>
    <t>Punjab National Bank</t>
  </si>
  <si>
    <t>46</t>
  </si>
  <si>
    <t>PNC Infratech</t>
  </si>
  <si>
    <t>335</t>
  </si>
  <si>
    <t>Polyplex Corporation</t>
  </si>
  <si>
    <t>Packaging</t>
  </si>
  <si>
    <t>Ramco Systems</t>
  </si>
  <si>
    <t>585-590</t>
  </si>
  <si>
    <t>RECLTD</t>
  </si>
  <si>
    <t>Rural Electrification Corp</t>
  </si>
  <si>
    <t>Refineries</t>
  </si>
  <si>
    <t>RELIANCEPP</t>
  </si>
  <si>
    <t>Reliance PP</t>
  </si>
  <si>
    <t>Shree Renuka Sugars</t>
  </si>
  <si>
    <t>Reliance Power</t>
  </si>
  <si>
    <t>NA</t>
  </si>
  <si>
    <t>Sansera Engineering</t>
  </si>
  <si>
    <t>Auto Ancillaries</t>
  </si>
  <si>
    <t>SBI Cards &amp; Payment Services</t>
  </si>
  <si>
    <t>Banks - PSU</t>
  </si>
  <si>
    <t>Schneider Electric Infrastructure</t>
  </si>
  <si>
    <t>Shalimar Paints</t>
  </si>
  <si>
    <t>Paints/Varnish</t>
  </si>
  <si>
    <t>Shyam Metalics &amp; Energy</t>
  </si>
  <si>
    <t>Skipper</t>
  </si>
  <si>
    <t xml:space="preserve">SOBHA </t>
  </si>
  <si>
    <t>Sobha Developer</t>
  </si>
  <si>
    <t>Sona BLW Precision Forgings</t>
  </si>
  <si>
    <t>7700</t>
  </si>
  <si>
    <t xml:space="preserve">Technical Pick FTD </t>
  </si>
  <si>
    <t>Sun TV Network</t>
  </si>
  <si>
    <t>Tata Motors</t>
  </si>
  <si>
    <t>Tata Power</t>
  </si>
  <si>
    <t>Tata Power Company</t>
  </si>
  <si>
    <t>133</t>
  </si>
  <si>
    <t>Power Generation &amp; Distribution</t>
  </si>
  <si>
    <t>AB Capital</t>
  </si>
  <si>
    <t>Tatva Chintan Pharma Chem</t>
  </si>
  <si>
    <t>2745</t>
  </si>
  <si>
    <t>Tata Consultancy Services</t>
  </si>
  <si>
    <t>IT - Software</t>
  </si>
  <si>
    <t>Tiger Logistics (India)</t>
  </si>
  <si>
    <t>Logistics</t>
  </si>
  <si>
    <t>Trent</t>
  </si>
  <si>
    <t>Trident</t>
  </si>
  <si>
    <t>30</t>
  </si>
  <si>
    <t>Mid Term Call</t>
  </si>
  <si>
    <t>Triveni Turbine</t>
  </si>
  <si>
    <t>124</t>
  </si>
  <si>
    <t>Voltamp Transformers</t>
  </si>
  <si>
    <t>Short</t>
  </si>
  <si>
    <t>Vardhman Special Steels</t>
  </si>
  <si>
    <t>Welspun India</t>
  </si>
  <si>
    <t>99</t>
  </si>
  <si>
    <t>Yes Bank</t>
  </si>
  <si>
    <t>Zee Entertainment Enterprises</t>
  </si>
  <si>
    <t>Zen Technologies</t>
  </si>
  <si>
    <t>Totals</t>
  </si>
  <si>
    <r>
      <rPr>
        <sz val="8"/>
        <color theme="1"/>
        <rFont val="Verdana"/>
        <family val="2"/>
      </rPr>
      <t>Posi</t>
    </r>
    <r>
      <rPr>
        <sz val="8"/>
        <color rgb="FF0000FF"/>
        <rFont val="Verdana"/>
        <family val="2"/>
      </rPr>
      <t xml:space="preserve"> P</t>
    </r>
    <r>
      <rPr>
        <sz val="8"/>
        <color theme="1"/>
        <rFont val="Verdana"/>
        <family val="2"/>
      </rPr>
      <t>&amp;L</t>
    </r>
  </si>
  <si>
    <t>Last Posi Sell Date</t>
  </si>
  <si>
    <t>PosiCount</t>
  </si>
  <si>
    <t>PosiP&amp;L</t>
  </si>
  <si>
    <t>Last Posi Qty</t>
  </si>
  <si>
    <t>Last Posi P&amp;L</t>
  </si>
  <si>
    <t>Last Posi Sell Rate</t>
  </si>
  <si>
    <t>IntraCount</t>
  </si>
  <si>
    <t>FNOCount</t>
  </si>
  <si>
    <t>FNO</t>
  </si>
  <si>
    <t>Demat AMC &amp; other Chgs</t>
  </si>
  <si>
    <t>B/S Date</t>
  </si>
  <si>
    <t>B/S Value</t>
  </si>
  <si>
    <t>Profit</t>
  </si>
  <si>
    <t>Return %</t>
  </si>
  <si>
    <t>Period</t>
  </si>
  <si>
    <t>Return/Difference/Avg Hold Days</t>
  </si>
  <si>
    <t>Sell/Buy/Net Values/CAGR</t>
  </si>
  <si>
    <t>IOB/MAHABANK Loss</t>
  </si>
  <si>
    <t>Day</t>
  </si>
  <si>
    <t>Profit On Buy/Sell</t>
  </si>
  <si>
    <t>Pledge Charge</t>
  </si>
  <si>
    <t>PeakMargin Penalty</t>
  </si>
  <si>
    <t>Exch Days</t>
  </si>
  <si>
    <t>Avg/Day</t>
  </si>
  <si>
    <t>Mth Amt</t>
  </si>
  <si>
    <t>Wrkd Days</t>
  </si>
  <si>
    <t>Nil Earning Days</t>
  </si>
  <si>
    <t>Mthly Profit Rank</t>
  </si>
  <si>
    <t>Daily Avg Rank</t>
  </si>
  <si>
    <t>Mth Days</t>
  </si>
  <si>
    <t>Sr #</t>
  </si>
  <si>
    <t>Profit invested net of losses</t>
  </si>
  <si>
    <t>Cost of 2900 SETFGOLD (profit on sell considered above in profit reinvested)</t>
  </si>
  <si>
    <t>Dividend Invested</t>
  </si>
  <si>
    <t>Sunita's A/c net</t>
  </si>
  <si>
    <t>Invested through spg A/c</t>
  </si>
  <si>
    <t>Total of above &gt;&gt;&gt;&gt;&gt;</t>
  </si>
  <si>
    <t>Purchase Cost of DCMSHRIRAM shares</t>
  </si>
  <si>
    <t>Uninvested Balance in Zerodha</t>
  </si>
  <si>
    <t>Charges etc</t>
  </si>
  <si>
    <t>Other Loss</t>
  </si>
  <si>
    <t>Round Off</t>
  </si>
  <si>
    <t>Demat Chrg to be settled on completion of Buy</t>
  </si>
  <si>
    <t>Debit</t>
  </si>
  <si>
    <t>Credit</t>
  </si>
  <si>
    <t>spg</t>
  </si>
  <si>
    <t>IRFC 575 Sell Value</t>
  </si>
  <si>
    <t>DCM Dividend</t>
  </si>
  <si>
    <t>Contra</t>
  </si>
  <si>
    <t>sunita</t>
  </si>
  <si>
    <t>Beawar Urban Co-operative Bank Ltd</t>
  </si>
  <si>
    <t>Industrial Development &amp; Finance Corporation Ltd</t>
  </si>
  <si>
    <t>LIC AJMER DO</t>
  </si>
  <si>
    <t>Bajaj Finance FD</t>
  </si>
  <si>
    <t>SBI Life</t>
  </si>
  <si>
    <t>SBI FD</t>
  </si>
  <si>
    <t>Out of Expenses</t>
  </si>
  <si>
    <t>Kshitiz</t>
  </si>
  <si>
    <t>MF</t>
  </si>
  <si>
    <t>Stocks</t>
  </si>
  <si>
    <t>Holidays for the calendar year 2023 - Equities</t>
  </si>
  <si>
    <t>Sr.No</t>
  </si>
  <si>
    <t>Holidays</t>
  </si>
  <si>
    <t>Thursday</t>
  </si>
  <si>
    <t>Republic Day</t>
  </si>
  <si>
    <t>Wednesday</t>
  </si>
  <si>
    <t>Holi</t>
  </si>
  <si>
    <t>Ram Navami</t>
  </si>
  <si>
    <t>Tuesday</t>
  </si>
  <si>
    <t>Mahavir Jayanti</t>
  </si>
  <si>
    <t>Friday</t>
  </si>
  <si>
    <t>Good Friday</t>
  </si>
  <si>
    <t>Ambedkar Jayanti</t>
  </si>
  <si>
    <t>Ramzan Id</t>
  </si>
  <si>
    <t>Monday</t>
  </si>
  <si>
    <t>Maharashtra Day</t>
  </si>
  <si>
    <t>Bakri Id</t>
  </si>
  <si>
    <t>Independence Day</t>
  </si>
  <si>
    <t>Ganesh Chaturthi</t>
  </si>
  <si>
    <t>Gandhi Jayanti</t>
  </si>
  <si>
    <t>Dussehra</t>
  </si>
  <si>
    <t>Balipratipada</t>
  </si>
  <si>
    <t>Gurunanak Jayanti</t>
  </si>
  <si>
    <t>Christmas</t>
  </si>
  <si>
    <t>Trading Holidays on Saturday/Sunday</t>
  </si>
  <si>
    <t>Saturday</t>
  </si>
  <si>
    <t>Mahashivratri</t>
  </si>
  <si>
    <t>Muharram</t>
  </si>
  <si>
    <t>Sunday</t>
  </si>
  <si>
    <t>Laxmi-Pujan</t>
  </si>
  <si>
    <t>Holidays for the calendar year 2022 - Equities</t>
  </si>
  <si>
    <t>Mahavir /Ambedkar Jayanti</t>
  </si>
  <si>
    <t>Ramzan ID</t>
  </si>
  <si>
    <t>Moharram</t>
  </si>
  <si>
    <t xml:space="preserve">Scrip: </t>
  </si>
  <si>
    <t>banknifty</t>
  </si>
  <si>
    <t>b</t>
  </si>
  <si>
    <t>c</t>
  </si>
  <si>
    <t>d</t>
  </si>
  <si>
    <t>e</t>
  </si>
  <si>
    <t>f</t>
  </si>
  <si>
    <t>Buy (NSE)</t>
  </si>
  <si>
    <t>Sell (NSE)</t>
  </si>
  <si>
    <t>Brokerage</t>
  </si>
  <si>
    <t>FNO Brokerage</t>
  </si>
  <si>
    <t>SEBI</t>
  </si>
  <si>
    <t>nifty</t>
  </si>
  <si>
    <t>H</t>
  </si>
  <si>
    <t>i</t>
  </si>
  <si>
    <t>j</t>
  </si>
  <si>
    <t>k</t>
  </si>
  <si>
    <t>l</t>
  </si>
  <si>
    <t>Buy (NSE)100</t>
  </si>
  <si>
    <t>Total Turnover</t>
  </si>
  <si>
    <t>Intraday Gross P&amp;L</t>
  </si>
  <si>
    <t>Intraday Net P&amp;L</t>
  </si>
  <si>
    <r>
      <rPr>
        <sz val="8"/>
        <color theme="1"/>
        <rFont val="Verdana"/>
        <family val="2"/>
      </rPr>
      <t xml:space="preserve">Brokerage on each lot of </t>
    </r>
    <r>
      <rPr>
        <sz val="8"/>
        <color rgb="FF0000FF"/>
        <rFont val="Verdana"/>
        <family val="2"/>
      </rPr>
      <t>Buy</t>
    </r>
    <r>
      <rPr>
        <sz val="8"/>
        <color theme="1"/>
        <rFont val="Verdana"/>
        <family val="2"/>
      </rPr>
      <t xml:space="preserve"> &amp; </t>
    </r>
    <r>
      <rPr>
        <sz val="8"/>
        <color rgb="FFFF0000"/>
        <rFont val="Verdana"/>
        <family val="2"/>
      </rPr>
      <t>Sell</t>
    </r>
  </si>
  <si>
    <r>
      <rPr>
        <sz val="8"/>
        <color theme="1"/>
        <rFont val="Verdana"/>
        <family val="2"/>
      </rPr>
      <t xml:space="preserve">STT on </t>
    </r>
    <r>
      <rPr>
        <sz val="8"/>
        <color rgb="FFFF0000"/>
        <rFont val="Verdana"/>
        <family val="2"/>
      </rPr>
      <t>Sell</t>
    </r>
    <r>
      <rPr>
        <sz val="8"/>
        <color theme="1"/>
        <rFont val="Verdana"/>
        <family val="2"/>
      </rPr>
      <t xml:space="preserve"> only</t>
    </r>
  </si>
  <si>
    <r>
      <rPr>
        <sz val="8"/>
        <color theme="1"/>
        <rFont val="Verdana"/>
        <family val="2"/>
      </rPr>
      <t xml:space="preserve">STT on </t>
    </r>
    <r>
      <rPr>
        <sz val="8"/>
        <color rgb="FFFF0000"/>
        <rFont val="Verdana"/>
        <family val="2"/>
      </rPr>
      <t>Sell</t>
    </r>
    <r>
      <rPr>
        <sz val="8"/>
        <color theme="1"/>
        <rFont val="Verdana"/>
        <family val="2"/>
      </rPr>
      <t xml:space="preserve"> only (Options)</t>
    </r>
  </si>
  <si>
    <r>
      <rPr>
        <sz val="8"/>
        <color theme="1"/>
        <rFont val="Verdana"/>
        <family val="2"/>
      </rPr>
      <t xml:space="preserve">ExchTranChg on </t>
    </r>
    <r>
      <rPr>
        <sz val="8"/>
        <color rgb="FF0000FF"/>
        <rFont val="Verdana"/>
        <family val="2"/>
      </rPr>
      <t>Buy</t>
    </r>
    <r>
      <rPr>
        <sz val="8"/>
        <color theme="1"/>
        <rFont val="Verdana"/>
        <family val="2"/>
      </rPr>
      <t xml:space="preserve"> &amp; </t>
    </r>
    <r>
      <rPr>
        <sz val="8"/>
        <color rgb="FFFF0000"/>
        <rFont val="Verdana"/>
        <family val="2"/>
      </rPr>
      <t>Sell</t>
    </r>
  </si>
  <si>
    <r>
      <rPr>
        <sz val="8"/>
        <color theme="1"/>
        <rFont val="Verdana"/>
        <family val="2"/>
      </rPr>
      <t xml:space="preserve">ExchTranChg on </t>
    </r>
    <r>
      <rPr>
        <sz val="8"/>
        <color rgb="FF0000FF"/>
        <rFont val="Verdana"/>
        <family val="2"/>
      </rPr>
      <t>Buy</t>
    </r>
    <r>
      <rPr>
        <sz val="8"/>
        <color theme="1"/>
        <rFont val="Verdana"/>
        <family val="2"/>
      </rPr>
      <t xml:space="preserve"> &amp; </t>
    </r>
    <r>
      <rPr>
        <sz val="8"/>
        <color rgb="FFFF0000"/>
        <rFont val="Verdana"/>
        <family val="2"/>
      </rPr>
      <t>Sell (Options)</t>
    </r>
  </si>
  <si>
    <r>
      <rPr>
        <sz val="8"/>
        <color theme="1"/>
        <rFont val="Verdana"/>
        <family val="2"/>
      </rPr>
      <t xml:space="preserve">Stamp Duty on </t>
    </r>
    <r>
      <rPr>
        <sz val="8"/>
        <color rgb="FF0000FF"/>
        <rFont val="Verdana"/>
        <family val="2"/>
      </rPr>
      <t>Buy</t>
    </r>
    <r>
      <rPr>
        <sz val="8"/>
        <color theme="1"/>
        <rFont val="Verdana"/>
        <family val="2"/>
      </rPr>
      <t xml:space="preserve"> only</t>
    </r>
  </si>
  <si>
    <r>
      <rPr>
        <sz val="8"/>
        <color theme="1"/>
        <rFont val="Verdana"/>
        <family val="2"/>
      </rPr>
      <t xml:space="preserve">SEBI Trnovr Fee on </t>
    </r>
    <r>
      <rPr>
        <sz val="8"/>
        <color rgb="FF0000FF"/>
        <rFont val="Verdana"/>
        <family val="2"/>
      </rPr>
      <t>Buy</t>
    </r>
    <r>
      <rPr>
        <sz val="8"/>
        <color theme="1"/>
        <rFont val="Verdana"/>
        <family val="2"/>
      </rPr>
      <t xml:space="preserve"> &amp; </t>
    </r>
    <r>
      <rPr>
        <sz val="8"/>
        <color rgb="FFFF0000"/>
        <rFont val="Verdana"/>
        <family val="2"/>
      </rPr>
      <t>Sell</t>
    </r>
  </si>
  <si>
    <t>GST on Brokerage &amp; ETC</t>
  </si>
  <si>
    <t>Sold Holding</t>
  </si>
  <si>
    <t>Avg Rate</t>
  </si>
  <si>
    <t>Delivery</t>
  </si>
  <si>
    <t>Total STT</t>
  </si>
  <si>
    <t>Bought for Holding</t>
  </si>
  <si>
    <t>High/Tgt</t>
  </si>
  <si>
    <t>Low/SL</t>
  </si>
  <si>
    <t>Reco/Open</t>
  </si>
  <si>
    <t>Open/High</t>
  </si>
  <si>
    <t>Rating Overall</t>
  </si>
  <si>
    <t>Low Below SL%</t>
  </si>
  <si>
    <t>Margin % from Reco Rate</t>
  </si>
  <si>
    <t>Stop Loss % from Reco Rate</t>
  </si>
  <si>
    <t>Margin if Tgt Hit</t>
  </si>
  <si>
    <t>Loss if SL Triggered</t>
  </si>
  <si>
    <t>Reco Date</t>
  </si>
  <si>
    <t>Yes' if SL Hit prior to Tgt Hit</t>
  </si>
  <si>
    <t>Option Name</t>
  </si>
  <si>
    <t>Expiry</t>
  </si>
  <si>
    <t>Reco Rate</t>
  </si>
  <si>
    <t>SL</t>
  </si>
  <si>
    <t>Open</t>
  </si>
  <si>
    <t>High</t>
  </si>
  <si>
    <t>Low</t>
  </si>
  <si>
    <t>Reco/Open %</t>
  </si>
  <si>
    <t>Open/High %</t>
  </si>
  <si>
    <t>High/Target %</t>
  </si>
  <si>
    <t>Low/SL %</t>
  </si>
  <si>
    <t>2nd Day High</t>
  </si>
  <si>
    <t>3rd Day High</t>
  </si>
  <si>
    <t>4th Day High</t>
  </si>
  <si>
    <t>Ashish</t>
  </si>
  <si>
    <t>SRTRANSFIN</t>
  </si>
  <si>
    <t>OCT</t>
  </si>
  <si>
    <t>PE</t>
  </si>
  <si>
    <t>@53</t>
  </si>
  <si>
    <t>T-63</t>
  </si>
  <si>
    <t>SL-49</t>
  </si>
  <si>
    <t>O-53</t>
  </si>
  <si>
    <t>H-71</t>
  </si>
  <si>
    <t>L-49</t>
  </si>
  <si>
    <t>Kushal</t>
  </si>
  <si>
    <t>CE</t>
  </si>
  <si>
    <t>@94</t>
  </si>
  <si>
    <t>T-110</t>
  </si>
  <si>
    <t>SL-85</t>
  </si>
  <si>
    <t>O-109</t>
  </si>
  <si>
    <t>H-109</t>
  </si>
  <si>
    <t>L-65</t>
  </si>
  <si>
    <t>@3.05</t>
  </si>
  <si>
    <t>T-3.70</t>
  </si>
  <si>
    <t>SL-2.80</t>
  </si>
  <si>
    <t>O-4.25</t>
  </si>
  <si>
    <t>H-4.35</t>
  </si>
  <si>
    <t>L-3.50</t>
  </si>
  <si>
    <t>@102.40</t>
  </si>
  <si>
    <t>T-115</t>
  </si>
  <si>
    <t>SL-95</t>
  </si>
  <si>
    <t>O-118.95</t>
  </si>
  <si>
    <t>H-161.40</t>
  </si>
  <si>
    <t>L-115.55</t>
  </si>
  <si>
    <t>@48</t>
  </si>
  <si>
    <t>T-60</t>
  </si>
  <si>
    <t>SL-40</t>
  </si>
  <si>
    <t>O-56.15</t>
  </si>
  <si>
    <t>H-62.50</t>
  </si>
  <si>
    <t>L-27.90</t>
  </si>
  <si>
    <t>Varun</t>
  </si>
  <si>
    <t>WIPRO</t>
  </si>
  <si>
    <t>@7.60</t>
  </si>
  <si>
    <t>T-10</t>
  </si>
  <si>
    <t>SL-6</t>
  </si>
  <si>
    <t>O-7.50</t>
  </si>
  <si>
    <t>H-11.80</t>
  </si>
  <si>
    <t>L-5.80</t>
  </si>
  <si>
    <t>@57</t>
  </si>
  <si>
    <t>T-70</t>
  </si>
  <si>
    <t>SL-50</t>
  </si>
  <si>
    <t>O-70</t>
  </si>
  <si>
    <t>H- 78.25</t>
  </si>
  <si>
    <t>L-63.05</t>
  </si>
  <si>
    <t>@9.20</t>
  </si>
  <si>
    <t>T-12</t>
  </si>
  <si>
    <t>SL-8</t>
  </si>
  <si>
    <t>O-9.90</t>
  </si>
  <si>
    <t>H-13.20</t>
  </si>
  <si>
    <t>L-9.20</t>
  </si>
  <si>
    <t>BERGEPAINT</t>
  </si>
  <si>
    <t>@12</t>
  </si>
  <si>
    <t>T-22</t>
  </si>
  <si>
    <t>O-13.55</t>
  </si>
  <si>
    <t>H-15.65</t>
  </si>
  <si>
    <t>L-9.80</t>
  </si>
  <si>
    <t>@61</t>
  </si>
  <si>
    <t>T-80</t>
  </si>
  <si>
    <t>SL-55</t>
  </si>
  <si>
    <t>O-66.05</t>
  </si>
  <si>
    <t>H-71.80</t>
  </si>
  <si>
    <t>L-50</t>
  </si>
  <si>
    <t>NOV</t>
  </si>
  <si>
    <t>@5.20</t>
  </si>
  <si>
    <t>T-23</t>
  </si>
  <si>
    <t>SL-10</t>
  </si>
  <si>
    <t>O-5.60</t>
  </si>
  <si>
    <t>H-6.45</t>
  </si>
  <si>
    <t>L-5.00</t>
  </si>
  <si>
    <t>@3.30</t>
  </si>
  <si>
    <t>T-5</t>
  </si>
  <si>
    <t>SL-3</t>
  </si>
  <si>
    <t>O-4.60</t>
  </si>
  <si>
    <t>H-3.95</t>
  </si>
  <si>
    <t>L-4.60</t>
  </si>
  <si>
    <t>@30</t>
  </si>
  <si>
    <t>T-42</t>
  </si>
  <si>
    <t>SL-24</t>
  </si>
  <si>
    <t>O-30.00</t>
  </si>
  <si>
    <t>H-31.80</t>
  </si>
  <si>
    <t>L-17.65</t>
  </si>
  <si>
    <t>@53.60</t>
  </si>
  <si>
    <t>SL-48</t>
  </si>
  <si>
    <t>O-68.95</t>
  </si>
  <si>
    <t>H-83</t>
  </si>
  <si>
    <t>L-64.05</t>
  </si>
  <si>
    <t>@81.90</t>
  </si>
  <si>
    <t>T-96</t>
  </si>
  <si>
    <t>SL-60</t>
  </si>
  <si>
    <t>O-90.00</t>
  </si>
  <si>
    <t>H-104.95</t>
  </si>
  <si>
    <t>L-81.00</t>
  </si>
  <si>
    <t>@4.00</t>
  </si>
  <si>
    <t>T-5.00</t>
  </si>
  <si>
    <t>SL-3.50</t>
  </si>
  <si>
    <t>O-5.05</t>
  </si>
  <si>
    <t>H-6.00</t>
  </si>
  <si>
    <t>L-3.60</t>
  </si>
  <si>
    <t>SUNPHARMA</t>
  </si>
  <si>
    <t>@28.90</t>
  </si>
  <si>
    <t>T-41</t>
  </si>
  <si>
    <t>SL-23.65</t>
  </si>
  <si>
    <t>O-30.90</t>
  </si>
  <si>
    <t>H-46.30</t>
  </si>
  <si>
    <t>L-28.95</t>
  </si>
  <si>
    <t>@3.15</t>
  </si>
  <si>
    <t>T-4.50</t>
  </si>
  <si>
    <t>SL-3.00</t>
  </si>
  <si>
    <t>O-4.05</t>
  </si>
  <si>
    <t>H-4.25</t>
  </si>
  <si>
    <t>L-2.60</t>
  </si>
  <si>
    <t>@3.55</t>
  </si>
  <si>
    <t>SL-2.95</t>
  </si>
  <si>
    <t>O-3.55</t>
  </si>
  <si>
    <t>H-3.90</t>
  </si>
  <si>
    <t>L-2.50</t>
  </si>
  <si>
    <t>@27.50</t>
  </si>
  <si>
    <t>T-37.50</t>
  </si>
  <si>
    <t>SL-21</t>
  </si>
  <si>
    <t>O-28.45</t>
  </si>
  <si>
    <t>H-55.80</t>
  </si>
  <si>
    <t>L-27.55</t>
  </si>
  <si>
    <t>BATAINDIA</t>
  </si>
  <si>
    <t>@57.35</t>
  </si>
  <si>
    <t>T-67</t>
  </si>
  <si>
    <t>O-59.10</t>
  </si>
  <si>
    <t>H-68.55</t>
  </si>
  <si>
    <t>L-49.60</t>
  </si>
  <si>
    <t>ICICI</t>
  </si>
  <si>
    <t>@64</t>
  </si>
  <si>
    <t>T-150</t>
  </si>
  <si>
    <t>SL-18.80</t>
  </si>
  <si>
    <t>O-72.60</t>
  </si>
  <si>
    <t>H-215</t>
  </si>
  <si>
    <t>L-36</t>
  </si>
  <si>
    <t>VEDL</t>
  </si>
  <si>
    <t>@11.10</t>
  </si>
  <si>
    <t>T-15.00</t>
  </si>
  <si>
    <t>SL-10.00</t>
  </si>
  <si>
    <t>O-13</t>
  </si>
  <si>
    <t>H-14.45</t>
  </si>
  <si>
    <t>L-7.90</t>
  </si>
  <si>
    <t>@4.65</t>
  </si>
  <si>
    <t>T-6.00</t>
  </si>
  <si>
    <t>SL-3.30</t>
  </si>
  <si>
    <t>O-4.95</t>
  </si>
  <si>
    <t>H-5.50</t>
  </si>
  <si>
    <t>L-3.70</t>
  </si>
  <si>
    <t>@5.15</t>
  </si>
  <si>
    <t>T-7.00</t>
  </si>
  <si>
    <t>SL-4.50</t>
  </si>
  <si>
    <t>O-6.65</t>
  </si>
  <si>
    <t>H-11.00</t>
  </si>
  <si>
    <t>L-5.90</t>
  </si>
  <si>
    <t>@15.00</t>
  </si>
  <si>
    <t>T-25.00</t>
  </si>
  <si>
    <t>O-15.55</t>
  </si>
  <si>
    <t>H-20.35</t>
  </si>
  <si>
    <t>L-12.35</t>
  </si>
  <si>
    <t>@22.10</t>
  </si>
  <si>
    <t>T-30</t>
  </si>
  <si>
    <t>SL-20</t>
  </si>
  <si>
    <t>O-25.00</t>
  </si>
  <si>
    <t>H-29.15</t>
  </si>
  <si>
    <t>L-17.05</t>
  </si>
  <si>
    <t>@2.80</t>
  </si>
  <si>
    <t>T-5.90</t>
  </si>
  <si>
    <t>SL-1.45</t>
  </si>
  <si>
    <t>O-2.75</t>
  </si>
  <si>
    <t>H-3.70</t>
  </si>
  <si>
    <t>L-2.25</t>
  </si>
  <si>
    <t>@1.30</t>
  </si>
  <si>
    <t>T-3.00</t>
  </si>
  <si>
    <t>SL-0.80</t>
  </si>
  <si>
    <t>O-1.15</t>
  </si>
  <si>
    <t>H-1.70</t>
  </si>
  <si>
    <t>L-1.10</t>
  </si>
  <si>
    <t>LALPATHLAB</t>
  </si>
  <si>
    <t>@70.20</t>
  </si>
  <si>
    <t>T-90</t>
  </si>
  <si>
    <t>O-71</t>
  </si>
  <si>
    <t>H-80</t>
  </si>
  <si>
    <t>L-9.50</t>
  </si>
  <si>
    <t>@62.00</t>
  </si>
  <si>
    <t>T-75</t>
  </si>
  <si>
    <t>O-60.80</t>
  </si>
  <si>
    <t>H-81.00</t>
  </si>
  <si>
    <t>L-60.80</t>
  </si>
  <si>
    <t>@1.25</t>
  </si>
  <si>
    <t>T-2.90</t>
  </si>
  <si>
    <t>SL-0.65</t>
  </si>
  <si>
    <t>O-1.00</t>
  </si>
  <si>
    <t>H-3.15</t>
  </si>
  <si>
    <t>L-0.95</t>
  </si>
  <si>
    <t>@19.00</t>
  </si>
  <si>
    <t>SL-15.00</t>
  </si>
  <si>
    <t>O-20.10</t>
  </si>
  <si>
    <t>H-28.00</t>
  </si>
  <si>
    <t>L-18.00</t>
  </si>
  <si>
    <t>@72.00</t>
  </si>
  <si>
    <t>T-85.00</t>
  </si>
  <si>
    <t>SL-65.00</t>
  </si>
  <si>
    <t>O-104.75</t>
  </si>
  <si>
    <t>H-104.75</t>
  </si>
  <si>
    <t>L-47.00</t>
  </si>
  <si>
    <t>@7.00</t>
  </si>
  <si>
    <t>T-10.00</t>
  </si>
  <si>
    <t>SL-6.00</t>
  </si>
  <si>
    <t>O-8.50</t>
  </si>
  <si>
    <t>H-19.35</t>
  </si>
  <si>
    <t>L-8.20</t>
  </si>
  <si>
    <t>LTI</t>
  </si>
  <si>
    <t>@101.25</t>
  </si>
  <si>
    <t>T-130.00</t>
  </si>
  <si>
    <t>SL-88.00</t>
  </si>
  <si>
    <t>O-131.00</t>
  </si>
  <si>
    <t>H-247.60</t>
  </si>
  <si>
    <t>L-128.50</t>
  </si>
  <si>
    <t>@4.20</t>
  </si>
  <si>
    <t>T-7.80</t>
  </si>
  <si>
    <t>SL-2.20</t>
  </si>
  <si>
    <t>O-2.55</t>
  </si>
  <si>
    <t>H-4.95</t>
  </si>
  <si>
    <t>L-2.55</t>
  </si>
  <si>
    <t>@3.10</t>
  </si>
  <si>
    <t>T-3.80</t>
  </si>
  <si>
    <t>SL-2.40</t>
  </si>
  <si>
    <t>O-4.30</t>
  </si>
  <si>
    <t>H-5.20</t>
  </si>
  <si>
    <t>L-2.35</t>
  </si>
  <si>
    <t>GLENMARK</t>
  </si>
  <si>
    <t>@12.40</t>
  </si>
  <si>
    <t>T-16.00</t>
  </si>
  <si>
    <t>O-16.00</t>
  </si>
  <si>
    <t>H-26.20</t>
  </si>
  <si>
    <t>L-15.80</t>
  </si>
  <si>
    <t>HINDCOPPER</t>
  </si>
  <si>
    <t>@3.80</t>
  </si>
  <si>
    <t>T-7.50</t>
  </si>
  <si>
    <t>SL-2.45</t>
  </si>
  <si>
    <t>O-3.70</t>
  </si>
  <si>
    <t>H-5.00</t>
  </si>
  <si>
    <t>L-4.00</t>
  </si>
  <si>
    <t>@7.40</t>
  </si>
  <si>
    <t>O-8.05</t>
  </si>
  <si>
    <t>H-9.85</t>
  </si>
  <si>
    <t>L-7.40</t>
  </si>
  <si>
    <t>Yes</t>
  </si>
  <si>
    <t>LUPIN</t>
  </si>
  <si>
    <t>@15.70</t>
  </si>
  <si>
    <t>T-21.75</t>
  </si>
  <si>
    <t>SL-14.00</t>
  </si>
  <si>
    <t>O-17.00</t>
  </si>
  <si>
    <t>H-17.90</t>
  </si>
  <si>
    <t>L-10.65</t>
  </si>
  <si>
    <t>@8.00</t>
  </si>
  <si>
    <t>T-17.90</t>
  </si>
  <si>
    <t>SL-4.40</t>
  </si>
  <si>
    <t>@11.15</t>
  </si>
  <si>
    <t>SL-9.00</t>
  </si>
  <si>
    <t>O-11.40</t>
  </si>
  <si>
    <t>H-14.25</t>
  </si>
  <si>
    <t>L-7.00</t>
  </si>
  <si>
    <t>@1.50</t>
  </si>
  <si>
    <t>T-2.30</t>
  </si>
  <si>
    <t>SL-1.30</t>
  </si>
  <si>
    <t>O-1.65</t>
  </si>
  <si>
    <t>H-1.80</t>
  </si>
  <si>
    <t>CHAMBLFERT</t>
  </si>
  <si>
    <t>@6.50</t>
  </si>
  <si>
    <t>T-13.90</t>
  </si>
  <si>
    <t>SL-3.80</t>
  </si>
  <si>
    <t>O-8.00</t>
  </si>
  <si>
    <t>H-9.50</t>
  </si>
  <si>
    <t>L-8.00</t>
  </si>
  <si>
    <t>@2.20</t>
  </si>
  <si>
    <t>T-3.25</t>
  </si>
  <si>
    <t>SL-1.80</t>
  </si>
  <si>
    <t>H-2.80</t>
  </si>
  <si>
    <t>L-1.35</t>
  </si>
  <si>
    <t>@6.30</t>
  </si>
  <si>
    <t>T-9.00</t>
  </si>
  <si>
    <t>SL-5.50</t>
  </si>
  <si>
    <t>O-10.90</t>
  </si>
  <si>
    <t>H-17.20</t>
  </si>
  <si>
    <t>L-6.90</t>
  </si>
  <si>
    <t>@31.40</t>
  </si>
  <si>
    <t>T-45.00</t>
  </si>
  <si>
    <t>SL-30.00</t>
  </si>
  <si>
    <t>O-40.95</t>
  </si>
  <si>
    <t>H-57.80</t>
  </si>
  <si>
    <t>L-27.35</t>
  </si>
  <si>
    <t>@0.95</t>
  </si>
  <si>
    <t>T-1.60</t>
  </si>
  <si>
    <t>O-0.95</t>
  </si>
  <si>
    <t>H-1.25</t>
  </si>
  <si>
    <t>L-0.90</t>
  </si>
  <si>
    <t>@6.00</t>
  </si>
  <si>
    <t>T-13.50</t>
  </si>
  <si>
    <t>O-6.00</t>
  </si>
  <si>
    <t>H-6.90</t>
  </si>
  <si>
    <t>L-4.20</t>
  </si>
  <si>
    <t>Arman</t>
  </si>
  <si>
    <t>HCLTECH</t>
  </si>
  <si>
    <t>@13.00</t>
  </si>
  <si>
    <t>SL-8.00</t>
  </si>
  <si>
    <t>O-23.15</t>
  </si>
  <si>
    <t>H-23.15</t>
  </si>
  <si>
    <t>L-5.25</t>
  </si>
  <si>
    <t>@17.75</t>
  </si>
  <si>
    <t>T-27.00</t>
  </si>
  <si>
    <t>O-21.00</t>
  </si>
  <si>
    <t>H-40.00</t>
  </si>
  <si>
    <t>L-20.15</t>
  </si>
  <si>
    <t>@13.90</t>
  </si>
  <si>
    <t>O-3.05</t>
  </si>
  <si>
    <t>H-3.05</t>
  </si>
  <si>
    <t>DEC</t>
  </si>
  <si>
    <t>@60.80</t>
  </si>
  <si>
    <t>T-70.00</t>
  </si>
  <si>
    <t>SL-50.00</t>
  </si>
  <si>
    <t>O-61</t>
  </si>
  <si>
    <t>H-76.35</t>
  </si>
  <si>
    <t>L-43</t>
  </si>
  <si>
    <t>COFORGE</t>
  </si>
  <si>
    <t>@150</t>
  </si>
  <si>
    <t>T-180</t>
  </si>
  <si>
    <t>SL-13</t>
  </si>
  <si>
    <t>O-152</t>
  </si>
  <si>
    <t>H-204.05</t>
  </si>
  <si>
    <t>L-138</t>
  </si>
  <si>
    <t>LTTS</t>
  </si>
  <si>
    <t>@90.80</t>
  </si>
  <si>
    <t>T-120.00</t>
  </si>
  <si>
    <t>SL-80</t>
  </si>
  <si>
    <t>O-98</t>
  </si>
  <si>
    <t>H-105</t>
  </si>
  <si>
    <t>L-84.50</t>
  </si>
  <si>
    <t>@25.90</t>
  </si>
  <si>
    <t>T-30.00</t>
  </si>
  <si>
    <t>SL-18.00</t>
  </si>
  <si>
    <t>O-26.00</t>
  </si>
  <si>
    <t>H-29.80</t>
  </si>
  <si>
    <t>L-25.00</t>
  </si>
  <si>
    <t>BALRAMCHIN</t>
  </si>
  <si>
    <t>@19.30</t>
  </si>
  <si>
    <t>O-21.60</t>
  </si>
  <si>
    <t>H-30.60</t>
  </si>
  <si>
    <t>L-21.60</t>
  </si>
  <si>
    <t>@48.00</t>
  </si>
  <si>
    <t>SL-35.00</t>
  </si>
  <si>
    <t>O-41.95</t>
  </si>
  <si>
    <t>H-60.00</t>
  </si>
  <si>
    <t>L-40.00</t>
  </si>
  <si>
    <t>BRITANNIA</t>
  </si>
  <si>
    <t>@108.00</t>
  </si>
  <si>
    <t>T-132.00</t>
  </si>
  <si>
    <t>SL-98.00</t>
  </si>
  <si>
    <t>O-110.05</t>
  </si>
  <si>
    <t>H-114.00</t>
  </si>
  <si>
    <t>L-90.30</t>
  </si>
  <si>
    <t>@40.45</t>
  </si>
  <si>
    <t>T-48.00</t>
  </si>
  <si>
    <t>O-44.40</t>
  </si>
  <si>
    <t>H-47.90</t>
  </si>
  <si>
    <t>L-35.35</t>
  </si>
  <si>
    <t>@16.00</t>
  </si>
  <si>
    <t>SL-11.00</t>
  </si>
  <si>
    <t>O-14.85</t>
  </si>
  <si>
    <t>H-19.50</t>
  </si>
  <si>
    <t>L-14.85</t>
  </si>
  <si>
    <t>EXIDEIND</t>
  </si>
  <si>
    <t>@7.70</t>
  </si>
  <si>
    <t>SL-6.50</t>
  </si>
  <si>
    <t>O-7.75</t>
  </si>
  <si>
    <t>H-8.80</t>
  </si>
  <si>
    <t>L-6.40</t>
  </si>
  <si>
    <t>@13.35</t>
  </si>
  <si>
    <t>T-19.50</t>
  </si>
  <si>
    <t>O-13.95</t>
  </si>
  <si>
    <t>H-15.45</t>
  </si>
  <si>
    <t>L-11.15</t>
  </si>
  <si>
    <t>@16.40</t>
  </si>
  <si>
    <t>T-21.00</t>
  </si>
  <si>
    <t>SL-12.00</t>
  </si>
  <si>
    <t>O-17.05</t>
  </si>
  <si>
    <t>H-25.70</t>
  </si>
  <si>
    <t>L-16.55</t>
  </si>
  <si>
    <t>BANDHANBNK</t>
  </si>
  <si>
    <t>@6.60</t>
  </si>
  <si>
    <t>T-13.00</t>
  </si>
  <si>
    <t>SL-4.80</t>
  </si>
  <si>
    <t>O-6.90</t>
  </si>
  <si>
    <t>H-10.15</t>
  </si>
  <si>
    <t>L-6.25</t>
  </si>
  <si>
    <t>@21.10</t>
  </si>
  <si>
    <t>SL-19.00</t>
  </si>
  <si>
    <t>O-22.05</t>
  </si>
  <si>
    <t>H-26.00</t>
  </si>
  <si>
    <t>L-19.05</t>
  </si>
  <si>
    <t>@12.00</t>
  </si>
  <si>
    <t>T-26.00</t>
  </si>
  <si>
    <t>O-13.00</t>
  </si>
  <si>
    <t>H-14.00</t>
  </si>
  <si>
    <t>L-11.10</t>
  </si>
  <si>
    <t>@2.35</t>
  </si>
  <si>
    <t>SL-2.10</t>
  </si>
  <si>
    <t>O-2.80</t>
  </si>
  <si>
    <t>H-3.40</t>
  </si>
  <si>
    <t>L-2.75</t>
  </si>
  <si>
    <t>@80.00</t>
  </si>
  <si>
    <t>T-95.00</t>
  </si>
  <si>
    <t>SL-70.00</t>
  </si>
  <si>
    <t>O-80.00</t>
  </si>
  <si>
    <t>H-127.15</t>
  </si>
  <si>
    <t>L-80</t>
  </si>
  <si>
    <t>@7.80</t>
  </si>
  <si>
    <t>O-8.60</t>
  </si>
  <si>
    <t>H-9.00</t>
  </si>
  <si>
    <t>L-7.55</t>
  </si>
  <si>
    <t>H-10.55</t>
  </si>
  <si>
    <t>H-9.90</t>
  </si>
  <si>
    <t>H-10.80</t>
  </si>
  <si>
    <t>DIVISLAB</t>
  </si>
  <si>
    <t>@68.35</t>
  </si>
  <si>
    <t>T-88.00</t>
  </si>
  <si>
    <t>SL-66</t>
  </si>
  <si>
    <t>H-108.75</t>
  </si>
  <si>
    <t>L-79.00</t>
  </si>
  <si>
    <t>@4.30</t>
  </si>
  <si>
    <t>SL-4.00</t>
  </si>
  <si>
    <t>H-7.90</t>
  </si>
  <si>
    <t>L-4.90</t>
  </si>
  <si>
    <t>@9.00</t>
  </si>
  <si>
    <t>T-19.80</t>
  </si>
  <si>
    <t>SL-6.80</t>
  </si>
  <si>
    <t>O-10.60</t>
  </si>
  <si>
    <t>H-12.80</t>
  </si>
  <si>
    <t>L-9.35</t>
  </si>
  <si>
    <t>H-13.00</t>
  </si>
  <si>
    <t>H-10.00</t>
  </si>
  <si>
    <t>H-8.05</t>
  </si>
  <si>
    <t>@12.60</t>
  </si>
  <si>
    <t>T-17.00</t>
  </si>
  <si>
    <t>O-15.20</t>
  </si>
  <si>
    <t>H-23.30</t>
  </si>
  <si>
    <t>L-15.05</t>
  </si>
  <si>
    <t>VOLTAS</t>
  </si>
  <si>
    <t>@22.50</t>
  </si>
  <si>
    <t>T-50.00</t>
  </si>
  <si>
    <t>O-27.00</t>
  </si>
  <si>
    <t>H-29.05</t>
  </si>
  <si>
    <t>L-20.80</t>
  </si>
  <si>
    <t>T-14.80</t>
  </si>
  <si>
    <t>O-7.35</t>
  </si>
  <si>
    <t>H-7.70</t>
  </si>
  <si>
    <t>L-6.15</t>
  </si>
  <si>
    <t>H-8.90</t>
  </si>
  <si>
    <t>H-9.80</t>
  </si>
  <si>
    <t>@13.60</t>
  </si>
  <si>
    <t>O-17.15</t>
  </si>
  <si>
    <t>H-19.60</t>
  </si>
  <si>
    <t>L-15.55</t>
  </si>
  <si>
    <t>@29.60</t>
  </si>
  <si>
    <t>T-38.60</t>
  </si>
  <si>
    <t>SL-26.60</t>
  </si>
  <si>
    <t>O-34.80</t>
  </si>
  <si>
    <t>H-44.25</t>
  </si>
  <si>
    <t>L-34.80</t>
  </si>
  <si>
    <t>@7.55</t>
  </si>
  <si>
    <t>L-8.15</t>
  </si>
  <si>
    <t>@65.50</t>
  </si>
  <si>
    <t>O-73.25</t>
  </si>
  <si>
    <t>H-106.90</t>
  </si>
  <si>
    <t>L-72.50</t>
  </si>
  <si>
    <t>@18.25</t>
  </si>
  <si>
    <t>SL-16.00</t>
  </si>
  <si>
    <t>O-19.00</t>
  </si>
  <si>
    <t>H-21.25</t>
  </si>
  <si>
    <t>L-17.85</t>
  </si>
  <si>
    <t>EICHERMOT</t>
  </si>
  <si>
    <t>@114.00</t>
  </si>
  <si>
    <t>T-135.00</t>
  </si>
  <si>
    <t>SL-105.00</t>
  </si>
  <si>
    <t>O-123.00</t>
  </si>
  <si>
    <t>H-153.95</t>
  </si>
  <si>
    <t>L-120.05</t>
  </si>
  <si>
    <t>GMRINFRA</t>
  </si>
  <si>
    <t>@1.10</t>
  </si>
  <si>
    <t>T-2.80</t>
  </si>
  <si>
    <t>O-1.25</t>
  </si>
  <si>
    <t>H-1.40</t>
  </si>
  <si>
    <t>L-1.25</t>
  </si>
  <si>
    <t>H-1.50</t>
  </si>
  <si>
    <t>@32.20</t>
  </si>
  <si>
    <t>SL-23.00</t>
  </si>
  <si>
    <t>O-35.75</t>
  </si>
  <si>
    <t>H-38.00</t>
  </si>
  <si>
    <t>L-13.80</t>
  </si>
  <si>
    <t>O-8.10</t>
  </si>
  <si>
    <t>H-8.10</t>
  </si>
  <si>
    <t>L-3.40</t>
  </si>
  <si>
    <t>T-8.00</t>
  </si>
  <si>
    <t>SL-5.00</t>
  </si>
  <si>
    <t>O-6.40</t>
  </si>
  <si>
    <t>H-9.30</t>
  </si>
  <si>
    <t>L-4.65</t>
  </si>
  <si>
    <t>@16.80</t>
  </si>
  <si>
    <t>O-19.05</t>
  </si>
  <si>
    <t>H-20.20</t>
  </si>
  <si>
    <t>L-10.40</t>
  </si>
  <si>
    <t>O-9.00</t>
  </si>
  <si>
    <t>H-10.05</t>
  </si>
  <si>
    <t>L-8.50</t>
  </si>
  <si>
    <t>@108</t>
  </si>
  <si>
    <t>T-129</t>
  </si>
  <si>
    <t>SL-100</t>
  </si>
  <si>
    <t>O-115.05</t>
  </si>
  <si>
    <t>H-121.90</t>
  </si>
  <si>
    <t>L-100.10</t>
  </si>
  <si>
    <t>@37.55</t>
  </si>
  <si>
    <t>T-50</t>
  </si>
  <si>
    <t>SL-30</t>
  </si>
  <si>
    <t>O-42.00</t>
  </si>
  <si>
    <t>H-45.00</t>
  </si>
  <si>
    <t>L-31.35</t>
  </si>
  <si>
    <t>@8</t>
  </si>
  <si>
    <t>T-16</t>
  </si>
  <si>
    <t>SL-5</t>
  </si>
  <si>
    <t>O-9</t>
  </si>
  <si>
    <t>H-11.45</t>
  </si>
  <si>
    <t>L-8.85</t>
  </si>
  <si>
    <t>@112</t>
  </si>
  <si>
    <t>O-120</t>
  </si>
  <si>
    <t>H-198.05</t>
  </si>
  <si>
    <t>L-120</t>
  </si>
  <si>
    <t>@13.55</t>
  </si>
  <si>
    <t>T-16.50</t>
  </si>
  <si>
    <t>SL-10.80</t>
  </si>
  <si>
    <t>O-14.05</t>
  </si>
  <si>
    <t>H-15.10</t>
  </si>
  <si>
    <t>L-12.20</t>
  </si>
  <si>
    <t>@12.80</t>
  </si>
  <si>
    <t>SL-9</t>
  </si>
  <si>
    <t>O-13.60</t>
  </si>
  <si>
    <t>H-20.40</t>
  </si>
  <si>
    <t>L-11.60</t>
  </si>
  <si>
    <t>NAVINFLUOR</t>
  </si>
  <si>
    <t>@114.80</t>
  </si>
  <si>
    <t>T-138</t>
  </si>
  <si>
    <t>SL-98</t>
  </si>
  <si>
    <t>O-136.15</t>
  </si>
  <si>
    <t>H-195.05</t>
  </si>
  <si>
    <t>L-127.40</t>
  </si>
  <si>
    <t>@10.45</t>
  </si>
  <si>
    <t>SL-7</t>
  </si>
  <si>
    <t>O-11.50</t>
  </si>
  <si>
    <t>H-20.95</t>
  </si>
  <si>
    <t>@7.50</t>
  </si>
  <si>
    <t>O-7.55</t>
  </si>
  <si>
    <t>H-7.80</t>
  </si>
  <si>
    <t>L-3.30</t>
  </si>
  <si>
    <t>@24.70</t>
  </si>
  <si>
    <t>T-33</t>
  </si>
  <si>
    <t>SL-22</t>
  </si>
  <si>
    <t>O-29.05</t>
  </si>
  <si>
    <t>H-39</t>
  </si>
  <si>
    <t>L-24.60</t>
  </si>
  <si>
    <t>@9.65</t>
  </si>
  <si>
    <t>T-11</t>
  </si>
  <si>
    <t>H-19.40</t>
  </si>
  <si>
    <t>L-8.95</t>
  </si>
  <si>
    <t>@1.70</t>
  </si>
  <si>
    <t>T-2.20</t>
  </si>
  <si>
    <t>SL-1.50</t>
  </si>
  <si>
    <t>O-1.90</t>
  </si>
  <si>
    <t>H-2.05</t>
  </si>
  <si>
    <t>L-1.05</t>
  </si>
  <si>
    <t>NAUKRI</t>
  </si>
  <si>
    <t>@62</t>
  </si>
  <si>
    <t>T-83</t>
  </si>
  <si>
    <t>O-69.55</t>
  </si>
  <si>
    <t>H-88.85</t>
  </si>
  <si>
    <t>L-35</t>
  </si>
  <si>
    <t>@18.50</t>
  </si>
  <si>
    <t>SL-15</t>
  </si>
  <si>
    <t>O-17</t>
  </si>
  <si>
    <t>H-21.75</t>
  </si>
  <si>
    <t>L-7.85</t>
  </si>
  <si>
    <t>@32.40</t>
  </si>
  <si>
    <t>T-51</t>
  </si>
  <si>
    <t>SL-26</t>
  </si>
  <si>
    <t>O-42.05</t>
  </si>
  <si>
    <t>H-50.25</t>
  </si>
  <si>
    <t>L-26.40</t>
  </si>
  <si>
    <t>@6.40</t>
  </si>
  <si>
    <t>T-9</t>
  </si>
  <si>
    <t>O-8</t>
  </si>
  <si>
    <t>H-9.95</t>
  </si>
  <si>
    <t>@4.75</t>
  </si>
  <si>
    <t>T-7</t>
  </si>
  <si>
    <t>SL-4</t>
  </si>
  <si>
    <t>O-6.10</t>
  </si>
  <si>
    <t>H-12.95</t>
  </si>
  <si>
    <t>T-10.15</t>
  </si>
  <si>
    <t>O-7.65</t>
  </si>
  <si>
    <t>H-17.50</t>
  </si>
  <si>
    <t>L-7.65</t>
  </si>
  <si>
    <t>@5.80</t>
  </si>
  <si>
    <t>T-11.25</t>
  </si>
  <si>
    <t>SL-2.35</t>
  </si>
  <si>
    <t>O-7</t>
  </si>
  <si>
    <t>H-12.50</t>
  </si>
  <si>
    <t>L-5.70</t>
  </si>
  <si>
    <t>SIEMENS</t>
  </si>
  <si>
    <t>@36.30</t>
  </si>
  <si>
    <t>SL-32</t>
  </si>
  <si>
    <t>O-49</t>
  </si>
  <si>
    <t>H-106.60</t>
  </si>
  <si>
    <t>@4.55</t>
  </si>
  <si>
    <t>T-6</t>
  </si>
  <si>
    <t>O-4.40</t>
  </si>
  <si>
    <t>H-6.95</t>
  </si>
  <si>
    <t>L-3.15</t>
  </si>
  <si>
    <t>JAN</t>
  </si>
  <si>
    <t>@7.85</t>
  </si>
  <si>
    <t>O-8.95</t>
  </si>
  <si>
    <t>H-11.05</t>
  </si>
  <si>
    <t>L-8.40</t>
  </si>
  <si>
    <t>@9.80</t>
  </si>
  <si>
    <t>T-13</t>
  </si>
  <si>
    <t>SL-8.50</t>
  </si>
  <si>
    <t>O-11</t>
  </si>
  <si>
    <t>H-18.90</t>
  </si>
  <si>
    <t>L-8.70</t>
  </si>
  <si>
    <t>LTIM</t>
  </si>
  <si>
    <t>@139</t>
  </si>
  <si>
    <t>SL-125</t>
  </si>
  <si>
    <t>O-165</t>
  </si>
  <si>
    <t>H-185</t>
  </si>
  <si>
    <t>L-150</t>
  </si>
  <si>
    <t>@2.55</t>
  </si>
  <si>
    <t>T-3.50</t>
  </si>
  <si>
    <t>SL-2.30</t>
  </si>
  <si>
    <t>O-2.90</t>
  </si>
  <si>
    <t>L-2.05</t>
  </si>
  <si>
    <t>T-28</t>
  </si>
  <si>
    <t>O-20.05</t>
  </si>
  <si>
    <t>H-23.25</t>
  </si>
  <si>
    <t>L-15.45</t>
  </si>
  <si>
    <t>@11.55</t>
  </si>
  <si>
    <t>SL-11</t>
  </si>
  <si>
    <t>O-15</t>
  </si>
  <si>
    <t>H-18.60</t>
  </si>
  <si>
    <t>L-14</t>
  </si>
  <si>
    <t>@44.35</t>
  </si>
  <si>
    <t>SL-38</t>
  </si>
  <si>
    <t>O-47</t>
  </si>
  <si>
    <t>H-53.15</t>
  </si>
  <si>
    <t>L-37.90</t>
  </si>
  <si>
    <t>IPCALAB</t>
  </si>
  <si>
    <t>@19</t>
  </si>
  <si>
    <t>O-21.05</t>
  </si>
  <si>
    <t>H-27.90</t>
  </si>
  <si>
    <t>L-19.30</t>
  </si>
  <si>
    <t>@83.70</t>
  </si>
  <si>
    <t>T-104</t>
  </si>
  <si>
    <t>SL-74</t>
  </si>
  <si>
    <t>O-113</t>
  </si>
  <si>
    <t>H-115.75</t>
  </si>
  <si>
    <t>L-75.30</t>
  </si>
  <si>
    <t>@10.20</t>
  </si>
  <si>
    <t>O-10.75</t>
  </si>
  <si>
    <t>H-11.50</t>
  </si>
  <si>
    <t>L-8.10</t>
  </si>
  <si>
    <t>RAIN</t>
  </si>
  <si>
    <t>@12.85</t>
  </si>
  <si>
    <t>T-26</t>
  </si>
  <si>
    <t>H-14.90</t>
  </si>
  <si>
    <t>L-11.45</t>
  </si>
  <si>
    <t>@25.75</t>
  </si>
  <si>
    <t>T-40</t>
  </si>
  <si>
    <t>O-26.45</t>
  </si>
  <si>
    <t>L-20.90</t>
  </si>
  <si>
    <t>MCDOWELL-N</t>
  </si>
  <si>
    <t>@8.40</t>
  </si>
  <si>
    <t>T-21.60</t>
  </si>
  <si>
    <t>O-9.15</t>
  </si>
  <si>
    <t>H-14.75</t>
  </si>
  <si>
    <t>@23.25</t>
  </si>
  <si>
    <t>T-37</t>
  </si>
  <si>
    <t>SL-18</t>
  </si>
  <si>
    <t>O-26</t>
  </si>
  <si>
    <t>L-20.60</t>
  </si>
  <si>
    <t>@70.15</t>
  </si>
  <si>
    <t>T-93</t>
  </si>
  <si>
    <t>SL-57</t>
  </si>
  <si>
    <t>O-69.80</t>
  </si>
  <si>
    <t>H-81.95</t>
  </si>
  <si>
    <t>L-55.15</t>
  </si>
  <si>
    <t>@17.90</t>
  </si>
  <si>
    <t>SL-14</t>
  </si>
  <si>
    <t>O-18.20</t>
  </si>
  <si>
    <t>H-25.20</t>
  </si>
  <si>
    <t>L-16.85</t>
  </si>
  <si>
    <t>INTELLECT</t>
  </si>
  <si>
    <t>@14.80</t>
  </si>
  <si>
    <t>T-20.50</t>
  </si>
  <si>
    <t>L-14.50</t>
  </si>
  <si>
    <t>@3.65</t>
  </si>
  <si>
    <t>T-4.75</t>
  </si>
  <si>
    <t>O-4.10</t>
  </si>
  <si>
    <t>H-4.85</t>
  </si>
  <si>
    <t>@17</t>
  </si>
  <si>
    <t>SL-12</t>
  </si>
  <si>
    <t>O-19.15</t>
  </si>
  <si>
    <t>H-28.50</t>
  </si>
  <si>
    <t>L-19.15</t>
  </si>
  <si>
    <t>@13.20</t>
  </si>
  <si>
    <t>T-25</t>
  </si>
  <si>
    <t>O-22</t>
  </si>
  <si>
    <t>H-22</t>
  </si>
  <si>
    <t>L-14.25</t>
  </si>
  <si>
    <t>O-4</t>
  </si>
  <si>
    <t>RBLBANK</t>
  </si>
  <si>
    <t>@7.15</t>
  </si>
  <si>
    <t>L-6</t>
  </si>
  <si>
    <t>@17.50</t>
  </si>
  <si>
    <t>O-18.60</t>
  </si>
  <si>
    <t>H-23.90</t>
  </si>
  <si>
    <t>L-18</t>
  </si>
  <si>
    <t>T-6.20</t>
  </si>
  <si>
    <t>L-3</t>
  </si>
  <si>
    <t>@20</t>
  </si>
  <si>
    <t>O-21.20</t>
  </si>
  <si>
    <t>L-16</t>
  </si>
  <si>
    <t>@8.60</t>
  </si>
  <si>
    <t>T-12.50</t>
  </si>
  <si>
    <t>SL-6.20</t>
  </si>
  <si>
    <t>O-10</t>
  </si>
  <si>
    <t>H-19.45</t>
  </si>
  <si>
    <t>L-6.85</t>
  </si>
  <si>
    <t>@9.10</t>
  </si>
  <si>
    <t>T-18</t>
  </si>
  <si>
    <t>H-20.30</t>
  </si>
  <si>
    <t>@16.70</t>
  </si>
  <si>
    <t>O-18.95</t>
  </si>
  <si>
    <t>H-19.70</t>
  </si>
  <si>
    <t>L-12.10</t>
  </si>
  <si>
    <t>GRANULES</t>
  </si>
  <si>
    <t>O-8.65</t>
  </si>
  <si>
    <t>DIXON</t>
  </si>
  <si>
    <t>@50</t>
  </si>
  <si>
    <t>T-65</t>
  </si>
  <si>
    <t>O-54.05</t>
  </si>
  <si>
    <t>L-35.90</t>
  </si>
  <si>
    <t>@19.35</t>
  </si>
  <si>
    <t>SL-17</t>
  </si>
  <si>
    <t>O-34.85</t>
  </si>
  <si>
    <t>H-34.85</t>
  </si>
  <si>
    <t>L-21.50</t>
  </si>
  <si>
    <t>@1.85</t>
  </si>
  <si>
    <t>T-2.50</t>
  </si>
  <si>
    <t>SL-1.70</t>
  </si>
  <si>
    <t>O-2.10</t>
  </si>
  <si>
    <t>H-4.10</t>
  </si>
  <si>
    <t>@10.70</t>
  </si>
  <si>
    <t>T-20</t>
  </si>
  <si>
    <t>O-12.50</t>
  </si>
  <si>
    <t>H-20</t>
  </si>
  <si>
    <t>@6</t>
  </si>
  <si>
    <t>SL-2</t>
  </si>
  <si>
    <t>T-15</t>
  </si>
  <si>
    <t>H-15</t>
  </si>
  <si>
    <t>L-7.20</t>
  </si>
  <si>
    <t>@33.40</t>
  </si>
  <si>
    <t>O-110</t>
  </si>
  <si>
    <t>H-118</t>
  </si>
  <si>
    <t>L-63</t>
  </si>
  <si>
    <t>@9.25</t>
  </si>
  <si>
    <t>O-9.25</t>
  </si>
  <si>
    <t>H-13.50</t>
  </si>
  <si>
    <t>L-7.75</t>
  </si>
  <si>
    <t>@70</t>
  </si>
  <si>
    <t>O-134.90</t>
  </si>
  <si>
    <t>H-134.90</t>
  </si>
  <si>
    <t>@3.50</t>
  </si>
  <si>
    <t>O-5</t>
  </si>
  <si>
    <t>L-4.40</t>
  </si>
  <si>
    <t>O-4.85</t>
  </si>
  <si>
    <t>L-1.85</t>
  </si>
  <si>
    <t>@9.75</t>
  </si>
  <si>
    <t>O-14.60</t>
  </si>
  <si>
    <t>H-23.55</t>
  </si>
  <si>
    <t>L-13.70</t>
  </si>
  <si>
    <t>Kushal BAJAJ-AUTO FEB 3740 CE @108 T-150 SL-90 O-200 H-285.05 L-200</t>
  </si>
  <si>
    <t>Varun APOLLOTYRE FEB 325 CE @6 T-13 SL-8 O-12 H-17.95 L-5</t>
  </si>
  <si>
    <t>Varun NTPC FEB 167.5 CE @5.60 T-5 SL-3.30 O- H- L-</t>
  </si>
  <si>
    <t>Kushal ITC FEB 345 CE @10.15 T-16 SL-7 O-10.75 H-13.85 L-8.70</t>
  </si>
  <si>
    <t>Kushal APOLLOTYRE FEB 315 CE @11.60 T-18 SL-7 O-12.50 H-17.95 L-11.60</t>
  </si>
  <si>
    <t>Rate just after Reco time 12:27</t>
  </si>
  <si>
    <t>Lowest Rate after Reco time 12:27</t>
  </si>
  <si>
    <t>H-</t>
  </si>
  <si>
    <t>SL Hit</t>
  </si>
  <si>
    <t xml:space="preserve">Reco to Open </t>
  </si>
  <si>
    <t>Open to High</t>
  </si>
  <si>
    <r>
      <rPr>
        <sz val="11"/>
        <color theme="1"/>
        <rFont val="Calibri"/>
        <family val="2"/>
      </rPr>
      <t xml:space="preserve">Open + &lt;=0.50% from Reco </t>
    </r>
    <r>
      <rPr>
        <b/>
        <sz val="11"/>
        <color rgb="FFC00000"/>
        <rFont val="Calibri"/>
        <family val="2"/>
      </rPr>
      <t>10</t>
    </r>
    <r>
      <rPr>
        <sz val="11"/>
        <color theme="1"/>
        <rFont val="Calibri"/>
        <family val="2"/>
      </rPr>
      <t xml:space="preserve"> Star</t>
    </r>
  </si>
  <si>
    <r>
      <rPr>
        <sz val="11"/>
        <color theme="1"/>
        <rFont val="Calibri"/>
        <family val="2"/>
      </rPr>
      <t xml:space="preserve">High + &gt;50% from Open </t>
    </r>
    <r>
      <rPr>
        <b/>
        <sz val="11"/>
        <color rgb="FFC00000"/>
        <rFont val="Calibri"/>
        <family val="2"/>
      </rPr>
      <t>10</t>
    </r>
    <r>
      <rPr>
        <sz val="11"/>
        <color theme="1"/>
        <rFont val="Calibri"/>
        <family val="2"/>
      </rPr>
      <t xml:space="preserve"> Star</t>
    </r>
  </si>
  <si>
    <r>
      <rPr>
        <sz val="11"/>
        <color theme="1"/>
        <rFont val="Calibri"/>
        <family val="2"/>
      </rPr>
      <t xml:space="preserve">Open + 0.50% - 1% from Reco </t>
    </r>
    <r>
      <rPr>
        <b/>
        <sz val="11"/>
        <color rgb="FFC00000"/>
        <rFont val="Calibri"/>
        <family val="2"/>
      </rPr>
      <t>9</t>
    </r>
    <r>
      <rPr>
        <sz val="11"/>
        <color theme="1"/>
        <rFont val="Calibri"/>
        <family val="2"/>
      </rPr>
      <t xml:space="preserve"> Star</t>
    </r>
  </si>
  <si>
    <r>
      <rPr>
        <sz val="11"/>
        <color theme="1"/>
        <rFont val="Calibri"/>
        <family val="2"/>
      </rPr>
      <t xml:space="preserve">High + 50% - 40% from Open </t>
    </r>
    <r>
      <rPr>
        <b/>
        <sz val="11"/>
        <color rgb="FFC00000"/>
        <rFont val="Calibri"/>
        <family val="2"/>
      </rPr>
      <t>9</t>
    </r>
    <r>
      <rPr>
        <sz val="11"/>
        <color theme="1"/>
        <rFont val="Calibri"/>
        <family val="2"/>
      </rPr>
      <t xml:space="preserve"> Star</t>
    </r>
  </si>
  <si>
    <r>
      <rPr>
        <sz val="11"/>
        <color theme="1"/>
        <rFont val="Calibri"/>
        <family val="2"/>
      </rPr>
      <t xml:space="preserve">Open + 1% - 2% from Reco </t>
    </r>
    <r>
      <rPr>
        <b/>
        <sz val="11"/>
        <color rgb="FFC00000"/>
        <rFont val="Calibri"/>
        <family val="2"/>
      </rPr>
      <t>8</t>
    </r>
    <r>
      <rPr>
        <sz val="11"/>
        <color theme="1"/>
        <rFont val="Calibri"/>
        <family val="2"/>
      </rPr>
      <t xml:space="preserve"> Star</t>
    </r>
  </si>
  <si>
    <r>
      <rPr>
        <sz val="11"/>
        <color theme="1"/>
        <rFont val="Calibri"/>
        <family val="2"/>
      </rPr>
      <t xml:space="preserve">High + 40% - 30% from Open </t>
    </r>
    <r>
      <rPr>
        <b/>
        <sz val="11"/>
        <color rgb="FFC00000"/>
        <rFont val="Calibri"/>
        <family val="2"/>
      </rPr>
      <t>8</t>
    </r>
    <r>
      <rPr>
        <sz val="11"/>
        <color theme="1"/>
        <rFont val="Calibri"/>
        <family val="2"/>
      </rPr>
      <t xml:space="preserve"> Star</t>
    </r>
  </si>
  <si>
    <r>
      <rPr>
        <sz val="11"/>
        <color theme="1"/>
        <rFont val="Calibri"/>
        <family val="2"/>
      </rPr>
      <t xml:space="preserve">Open + 2% - 5% from Reco </t>
    </r>
    <r>
      <rPr>
        <b/>
        <sz val="11"/>
        <color rgb="FFC00000"/>
        <rFont val="Calibri"/>
        <family val="2"/>
      </rPr>
      <t>7</t>
    </r>
    <r>
      <rPr>
        <sz val="11"/>
        <color theme="1"/>
        <rFont val="Calibri"/>
        <family val="2"/>
      </rPr>
      <t xml:space="preserve"> Star</t>
    </r>
  </si>
  <si>
    <r>
      <rPr>
        <sz val="11"/>
        <color theme="1"/>
        <rFont val="Calibri"/>
        <family val="2"/>
      </rPr>
      <t xml:space="preserve">High + 30% - 20% from Open </t>
    </r>
    <r>
      <rPr>
        <b/>
        <sz val="11"/>
        <color rgb="FFC00000"/>
        <rFont val="Calibri"/>
        <family val="2"/>
      </rPr>
      <t>7</t>
    </r>
    <r>
      <rPr>
        <sz val="11"/>
        <color theme="1"/>
        <rFont val="Calibri"/>
        <family val="2"/>
      </rPr>
      <t xml:space="preserve"> Star</t>
    </r>
  </si>
  <si>
    <r>
      <rPr>
        <sz val="11"/>
        <color theme="1"/>
        <rFont val="Calibri"/>
        <family val="2"/>
      </rPr>
      <t>Open + 5% - 10% from Reco</t>
    </r>
    <r>
      <rPr>
        <b/>
        <sz val="11"/>
        <color rgb="FFC55A11"/>
        <rFont val="Calibri"/>
        <family val="2"/>
      </rPr>
      <t xml:space="preserve"> </t>
    </r>
    <r>
      <rPr>
        <b/>
        <sz val="11"/>
        <color rgb="FFC00000"/>
        <rFont val="Calibri"/>
        <family val="2"/>
      </rPr>
      <t>6</t>
    </r>
    <r>
      <rPr>
        <sz val="11"/>
        <color theme="1"/>
        <rFont val="Calibri"/>
        <family val="2"/>
      </rPr>
      <t xml:space="preserve"> Star</t>
    </r>
  </si>
  <si>
    <r>
      <rPr>
        <sz val="11"/>
        <color theme="1"/>
        <rFont val="Calibri"/>
        <family val="2"/>
      </rPr>
      <t xml:space="preserve">High + 20% - 10% from Open </t>
    </r>
    <r>
      <rPr>
        <b/>
        <sz val="11"/>
        <color rgb="FFC00000"/>
        <rFont val="Calibri"/>
        <family val="2"/>
      </rPr>
      <t>6</t>
    </r>
    <r>
      <rPr>
        <sz val="11"/>
        <color theme="1"/>
        <rFont val="Calibri"/>
        <family val="2"/>
      </rPr>
      <t xml:space="preserve"> Star</t>
    </r>
  </si>
  <si>
    <r>
      <rPr>
        <sz val="11"/>
        <color theme="1"/>
        <rFont val="Calibri"/>
        <family val="2"/>
      </rPr>
      <t xml:space="preserve">Open + 10% - 20% from Reco </t>
    </r>
    <r>
      <rPr>
        <b/>
        <sz val="11"/>
        <color rgb="FFC00000"/>
        <rFont val="Calibri"/>
        <family val="2"/>
      </rPr>
      <t>5</t>
    </r>
    <r>
      <rPr>
        <sz val="11"/>
        <color theme="1"/>
        <rFont val="Calibri"/>
        <family val="2"/>
      </rPr>
      <t xml:space="preserve"> Star</t>
    </r>
  </si>
  <si>
    <r>
      <rPr>
        <sz val="11"/>
        <color theme="1"/>
        <rFont val="Calibri"/>
        <family val="2"/>
      </rPr>
      <t xml:space="preserve">High + 10% - 5% from Open </t>
    </r>
    <r>
      <rPr>
        <b/>
        <sz val="11"/>
        <color rgb="FFC00000"/>
        <rFont val="Calibri"/>
        <family val="2"/>
      </rPr>
      <t>5</t>
    </r>
    <r>
      <rPr>
        <sz val="11"/>
        <color theme="1"/>
        <rFont val="Calibri"/>
        <family val="2"/>
      </rPr>
      <t xml:space="preserve"> Star</t>
    </r>
  </si>
  <si>
    <r>
      <rPr>
        <sz val="11"/>
        <color theme="1"/>
        <rFont val="Calibri"/>
        <family val="2"/>
      </rPr>
      <t xml:space="preserve">Open + 20% - 30% from Reco </t>
    </r>
    <r>
      <rPr>
        <b/>
        <sz val="11"/>
        <color rgb="FFC00000"/>
        <rFont val="Calibri"/>
        <family val="2"/>
      </rPr>
      <t>4</t>
    </r>
    <r>
      <rPr>
        <sz val="11"/>
        <color theme="1"/>
        <rFont val="Calibri"/>
        <family val="2"/>
      </rPr>
      <t xml:space="preserve"> Star</t>
    </r>
  </si>
  <si>
    <r>
      <rPr>
        <sz val="11"/>
        <color theme="1"/>
        <rFont val="Calibri"/>
        <family val="2"/>
      </rPr>
      <t xml:space="preserve">High + 5% - 4% from Open </t>
    </r>
    <r>
      <rPr>
        <b/>
        <sz val="11"/>
        <color rgb="FFC00000"/>
        <rFont val="Calibri"/>
        <family val="2"/>
      </rPr>
      <t>4</t>
    </r>
    <r>
      <rPr>
        <sz val="11"/>
        <color theme="1"/>
        <rFont val="Calibri"/>
        <family val="2"/>
      </rPr>
      <t xml:space="preserve"> Star</t>
    </r>
  </si>
  <si>
    <r>
      <rPr>
        <sz val="11"/>
        <color theme="1"/>
        <rFont val="Calibri"/>
        <family val="2"/>
      </rPr>
      <t xml:space="preserve">Open + 30% - 40% from Reco </t>
    </r>
    <r>
      <rPr>
        <b/>
        <sz val="11"/>
        <color rgb="FFC00000"/>
        <rFont val="Calibri"/>
        <family val="2"/>
      </rPr>
      <t>3</t>
    </r>
    <r>
      <rPr>
        <sz val="11"/>
        <color theme="1"/>
        <rFont val="Calibri"/>
        <family val="2"/>
      </rPr>
      <t xml:space="preserve"> Star</t>
    </r>
  </si>
  <si>
    <r>
      <rPr>
        <sz val="11"/>
        <color theme="1"/>
        <rFont val="Calibri"/>
        <family val="2"/>
      </rPr>
      <t xml:space="preserve">High + 4% - 3% from Open </t>
    </r>
    <r>
      <rPr>
        <b/>
        <sz val="11"/>
        <color rgb="FFC00000"/>
        <rFont val="Calibri"/>
        <family val="2"/>
      </rPr>
      <t>3</t>
    </r>
    <r>
      <rPr>
        <sz val="11"/>
        <color theme="1"/>
        <rFont val="Calibri"/>
        <family val="2"/>
      </rPr>
      <t xml:space="preserve"> Star</t>
    </r>
  </si>
  <si>
    <r>
      <rPr>
        <sz val="11"/>
        <color theme="1"/>
        <rFont val="Calibri"/>
        <family val="2"/>
      </rPr>
      <t xml:space="preserve">Open + 40% - 50% from Reco </t>
    </r>
    <r>
      <rPr>
        <b/>
        <sz val="11"/>
        <color rgb="FFC00000"/>
        <rFont val="Calibri"/>
        <family val="2"/>
      </rPr>
      <t>2</t>
    </r>
    <r>
      <rPr>
        <sz val="11"/>
        <color theme="1"/>
        <rFont val="Calibri"/>
        <family val="2"/>
      </rPr>
      <t xml:space="preserve"> Star</t>
    </r>
  </si>
  <si>
    <r>
      <rPr>
        <sz val="11"/>
        <color theme="1"/>
        <rFont val="Calibri"/>
        <family val="2"/>
      </rPr>
      <t xml:space="preserve">High + 3% - 2% from Open </t>
    </r>
    <r>
      <rPr>
        <b/>
        <sz val="11"/>
        <color rgb="FFC00000"/>
        <rFont val="Calibri"/>
        <family val="2"/>
      </rPr>
      <t>2</t>
    </r>
    <r>
      <rPr>
        <sz val="11"/>
        <color theme="1"/>
        <rFont val="Calibri"/>
        <family val="2"/>
      </rPr>
      <t xml:space="preserve"> Star</t>
    </r>
  </si>
  <si>
    <r>
      <rPr>
        <sz val="11"/>
        <color theme="1"/>
        <rFont val="Calibri"/>
        <family val="2"/>
      </rPr>
      <t xml:space="preserve">Open + &gt;50% from Reco </t>
    </r>
    <r>
      <rPr>
        <b/>
        <sz val="11"/>
        <color rgb="FFC00000"/>
        <rFont val="Calibri"/>
        <family val="2"/>
      </rPr>
      <t>1</t>
    </r>
    <r>
      <rPr>
        <sz val="11"/>
        <color theme="1"/>
        <rFont val="Calibri"/>
        <family val="2"/>
      </rPr>
      <t xml:space="preserve"> Star</t>
    </r>
  </si>
  <si>
    <r>
      <rPr>
        <sz val="11"/>
        <color theme="1"/>
        <rFont val="Calibri"/>
        <family val="2"/>
      </rPr>
      <t xml:space="preserve">High + &lt;2% from Open </t>
    </r>
    <r>
      <rPr>
        <b/>
        <sz val="11"/>
        <color rgb="FFC00000"/>
        <rFont val="Calibri"/>
        <family val="2"/>
      </rPr>
      <t>1</t>
    </r>
    <r>
      <rPr>
        <sz val="11"/>
        <color theme="1"/>
        <rFont val="Calibri"/>
        <family val="2"/>
      </rPr>
      <t xml:space="preserve"> Star</t>
    </r>
  </si>
  <si>
    <t>High Away from Target</t>
  </si>
  <si>
    <t xml:space="preserve">Low Away from Stoploss </t>
  </si>
  <si>
    <r>
      <rPr>
        <sz val="11"/>
        <color theme="1"/>
        <rFont val="Calibri"/>
        <family val="2"/>
      </rPr>
      <t>High</t>
    </r>
    <r>
      <rPr>
        <sz val="11"/>
        <color theme="1"/>
        <rFont val="Calibri"/>
        <family val="2"/>
      </rPr>
      <t xml:space="preserve"> &gt;45% away from Target </t>
    </r>
    <r>
      <rPr>
        <b/>
        <sz val="11"/>
        <color rgb="FFC00000"/>
        <rFont val="Calibri"/>
        <family val="2"/>
      </rPr>
      <t>1</t>
    </r>
    <r>
      <rPr>
        <sz val="11"/>
        <color theme="1"/>
        <rFont val="Calibri"/>
        <family val="2"/>
      </rPr>
      <t xml:space="preserve"> Star</t>
    </r>
  </si>
  <si>
    <r>
      <rPr>
        <sz val="11"/>
        <color theme="1"/>
        <rFont val="Calibri"/>
        <family val="2"/>
      </rPr>
      <t>Low</t>
    </r>
    <r>
      <rPr>
        <sz val="11"/>
        <color theme="1"/>
        <rFont val="Calibri"/>
        <family val="2"/>
      </rPr>
      <t xml:space="preserve"> &gt;20% away from SL </t>
    </r>
    <r>
      <rPr>
        <b/>
        <sz val="11"/>
        <color rgb="FFFF0000"/>
        <rFont val="Calibri"/>
        <family val="2"/>
      </rPr>
      <t>10</t>
    </r>
    <r>
      <rPr>
        <sz val="11"/>
        <color theme="1"/>
        <rFont val="Calibri"/>
        <family val="2"/>
      </rPr>
      <t xml:space="preserve"> Star</t>
    </r>
  </si>
  <si>
    <r>
      <rPr>
        <sz val="11"/>
        <color theme="1"/>
        <rFont val="Calibri"/>
        <family val="2"/>
      </rPr>
      <t xml:space="preserve">High 35% - 45% away from Tgt </t>
    </r>
    <r>
      <rPr>
        <b/>
        <sz val="11"/>
        <color rgb="FFC00000"/>
        <rFont val="Calibri"/>
        <family val="2"/>
      </rPr>
      <t>2</t>
    </r>
    <r>
      <rPr>
        <sz val="11"/>
        <color theme="1"/>
        <rFont val="Calibri"/>
        <family val="2"/>
      </rPr>
      <t xml:space="preserve"> Star</t>
    </r>
  </si>
  <si>
    <r>
      <rPr>
        <sz val="11"/>
        <color theme="1"/>
        <rFont val="Calibri"/>
        <family val="2"/>
      </rPr>
      <t>Low</t>
    </r>
    <r>
      <rPr>
        <sz val="11"/>
        <color theme="1"/>
        <rFont val="Calibri"/>
        <family val="2"/>
      </rPr>
      <t xml:space="preserve"> 10% - 20% away from SL </t>
    </r>
    <r>
      <rPr>
        <b/>
        <sz val="11"/>
        <color rgb="FFFF0000"/>
        <rFont val="Calibri"/>
        <family val="2"/>
      </rPr>
      <t>8</t>
    </r>
    <r>
      <rPr>
        <sz val="11"/>
        <color theme="1"/>
        <rFont val="Calibri"/>
        <family val="2"/>
      </rPr>
      <t xml:space="preserve"> Star</t>
    </r>
  </si>
  <si>
    <r>
      <rPr>
        <sz val="11"/>
        <color theme="1"/>
        <rFont val="Calibri"/>
        <family val="2"/>
      </rPr>
      <t xml:space="preserve">High 25% - 35% away from Tgt </t>
    </r>
    <r>
      <rPr>
        <b/>
        <sz val="11"/>
        <color rgb="FFC00000"/>
        <rFont val="Calibri"/>
        <family val="2"/>
      </rPr>
      <t>4</t>
    </r>
    <r>
      <rPr>
        <sz val="11"/>
        <color theme="1"/>
        <rFont val="Calibri"/>
        <family val="2"/>
      </rPr>
      <t xml:space="preserve"> Star</t>
    </r>
  </si>
  <si>
    <r>
      <rPr>
        <sz val="11"/>
        <color theme="1"/>
        <rFont val="Calibri"/>
        <family val="2"/>
      </rPr>
      <t>Low</t>
    </r>
    <r>
      <rPr>
        <sz val="11"/>
        <color theme="1"/>
        <rFont val="Calibri"/>
        <family val="2"/>
      </rPr>
      <t xml:space="preserve"> 5% - 10% away from SL </t>
    </r>
    <r>
      <rPr>
        <b/>
        <sz val="11"/>
        <color rgb="FFFF0000"/>
        <rFont val="Calibri"/>
        <family val="2"/>
      </rPr>
      <t>7</t>
    </r>
    <r>
      <rPr>
        <sz val="11"/>
        <color theme="1"/>
        <rFont val="Calibri"/>
        <family val="2"/>
      </rPr>
      <t xml:space="preserve"> Star</t>
    </r>
  </si>
  <si>
    <r>
      <rPr>
        <sz val="11"/>
        <color theme="1"/>
        <rFont val="Calibri"/>
        <family val="2"/>
      </rPr>
      <t xml:space="preserve">High 15% - 25% away from Tgt </t>
    </r>
    <r>
      <rPr>
        <b/>
        <sz val="11"/>
        <color rgb="FFC00000"/>
        <rFont val="Calibri"/>
        <family val="2"/>
      </rPr>
      <t>5</t>
    </r>
    <r>
      <rPr>
        <sz val="11"/>
        <color theme="1"/>
        <rFont val="Calibri"/>
        <family val="2"/>
      </rPr>
      <t xml:space="preserve"> Star</t>
    </r>
  </si>
  <si>
    <r>
      <rPr>
        <sz val="11"/>
        <color theme="1"/>
        <rFont val="Calibri"/>
        <family val="2"/>
      </rPr>
      <t>Low</t>
    </r>
    <r>
      <rPr>
        <sz val="11"/>
        <color theme="1"/>
        <rFont val="Calibri"/>
        <family val="2"/>
      </rPr>
      <t xml:space="preserve"> 2% - 5% away from SL </t>
    </r>
    <r>
      <rPr>
        <b/>
        <sz val="11"/>
        <color rgb="FFFF0000"/>
        <rFont val="Calibri"/>
        <family val="2"/>
      </rPr>
      <t>5</t>
    </r>
    <r>
      <rPr>
        <sz val="11"/>
        <color theme="1"/>
        <rFont val="Calibri"/>
        <family val="2"/>
      </rPr>
      <t xml:space="preserve"> Star</t>
    </r>
  </si>
  <si>
    <r>
      <rPr>
        <sz val="11"/>
        <color theme="1"/>
        <rFont val="Calibri"/>
        <family val="2"/>
      </rPr>
      <t xml:space="preserve">High 5% - 15% away from Tgt </t>
    </r>
    <r>
      <rPr>
        <b/>
        <sz val="11"/>
        <color rgb="FFC00000"/>
        <rFont val="Calibri"/>
        <family val="2"/>
      </rPr>
      <t>7</t>
    </r>
    <r>
      <rPr>
        <sz val="11"/>
        <color theme="1"/>
        <rFont val="Calibri"/>
        <family val="2"/>
      </rPr>
      <t xml:space="preserve"> Star</t>
    </r>
  </si>
  <si>
    <r>
      <rPr>
        <sz val="11"/>
        <color theme="1"/>
        <rFont val="Calibri"/>
        <family val="2"/>
      </rPr>
      <t>Low</t>
    </r>
    <r>
      <rPr>
        <sz val="11"/>
        <color theme="1"/>
        <rFont val="Calibri"/>
        <family val="2"/>
      </rPr>
      <t xml:space="preserve"> 0.5% - 2% away from SL </t>
    </r>
    <r>
      <rPr>
        <b/>
        <sz val="11"/>
        <color rgb="FFFF0000"/>
        <rFont val="Calibri"/>
        <family val="2"/>
      </rPr>
      <t xml:space="preserve">4 </t>
    </r>
    <r>
      <rPr>
        <sz val="11"/>
        <color theme="1"/>
        <rFont val="Calibri"/>
        <family val="2"/>
      </rPr>
      <t>Star</t>
    </r>
  </si>
  <si>
    <r>
      <rPr>
        <sz val="11"/>
        <color theme="1"/>
        <rFont val="Calibri"/>
        <family val="2"/>
      </rPr>
      <t>High</t>
    </r>
    <r>
      <rPr>
        <sz val="11"/>
        <color theme="1"/>
        <rFont val="Calibri"/>
        <family val="2"/>
      </rPr>
      <t xml:space="preserve"> &lt;=5% away from Target </t>
    </r>
    <r>
      <rPr>
        <b/>
        <sz val="11"/>
        <color rgb="FFC00000"/>
        <rFont val="Calibri"/>
        <family val="2"/>
      </rPr>
      <t>8</t>
    </r>
    <r>
      <rPr>
        <sz val="11"/>
        <color theme="1"/>
        <rFont val="Calibri"/>
        <family val="2"/>
      </rPr>
      <t xml:space="preserve"> Star</t>
    </r>
  </si>
  <si>
    <r>
      <rPr>
        <sz val="11"/>
        <color theme="1"/>
        <rFont val="Calibri"/>
        <family val="2"/>
      </rPr>
      <t>Low</t>
    </r>
    <r>
      <rPr>
        <sz val="11"/>
        <color theme="1"/>
        <rFont val="Calibri"/>
        <family val="2"/>
      </rPr>
      <t xml:space="preserve"> &lt;=0.5% away from SL </t>
    </r>
    <r>
      <rPr>
        <b/>
        <sz val="11"/>
        <color rgb="FFFF0000"/>
        <rFont val="Calibri"/>
        <family val="2"/>
      </rPr>
      <t>2</t>
    </r>
    <r>
      <rPr>
        <sz val="11"/>
        <color theme="1"/>
        <rFont val="Calibri"/>
        <family val="2"/>
      </rPr>
      <t xml:space="preserve"> Star</t>
    </r>
  </si>
  <si>
    <r>
      <rPr>
        <sz val="11"/>
        <color theme="1"/>
        <rFont val="Calibri"/>
        <family val="2"/>
      </rPr>
      <t xml:space="preserve">Target Hit or Exceeded </t>
    </r>
    <r>
      <rPr>
        <b/>
        <sz val="11"/>
        <color rgb="FFC00000"/>
        <rFont val="Calibri"/>
        <family val="2"/>
      </rPr>
      <t>10</t>
    </r>
    <r>
      <rPr>
        <sz val="11"/>
        <color theme="1"/>
        <rFont val="Calibri"/>
        <family val="2"/>
      </rPr>
      <t xml:space="preserve"> Star</t>
    </r>
  </si>
  <si>
    <r>
      <rPr>
        <sz val="11"/>
        <color theme="1"/>
        <rFont val="Calibri"/>
        <family val="2"/>
      </rPr>
      <t xml:space="preserve">SL Hit or Below SL </t>
    </r>
    <r>
      <rPr>
        <b/>
        <sz val="11"/>
        <color theme="1"/>
        <rFont val="Calibri"/>
        <family val="2"/>
      </rPr>
      <t>1</t>
    </r>
    <r>
      <rPr>
        <sz val="11"/>
        <color theme="1"/>
        <rFont val="Calibri"/>
        <family val="2"/>
      </rPr>
      <t xml:space="preserve"> Star</t>
    </r>
  </si>
  <si>
    <t>UNIQUE(SORT(FILTER(A2:A434,ISNUMBER(SEARCH(Trade!B1132,A2:A434)),"not found")))</t>
  </si>
  <si>
    <t>s#</t>
  </si>
  <si>
    <t>Market Cap</t>
  </si>
  <si>
    <t>Invest</t>
  </si>
  <si>
    <t>CMP</t>
  </si>
  <si>
    <t>No. of Shares</t>
  </si>
  <si>
    <t>approved</t>
  </si>
  <si>
    <t>Mid</t>
  </si>
  <si>
    <t>Large</t>
  </si>
  <si>
    <t>opp</t>
  </si>
  <si>
    <t>Small</t>
  </si>
  <si>
    <t>KARURVYSYA</t>
  </si>
  <si>
    <t>RSWM</t>
  </si>
  <si>
    <t>RVNL</t>
  </si>
  <si>
    <t>COALINDIA</t>
  </si>
  <si>
    <t>SBILIFE</t>
  </si>
  <si>
    <t>TTML</t>
  </si>
  <si>
    <t>MISHRA DHATU</t>
  </si>
  <si>
    <t>SCRIP</t>
  </si>
  <si>
    <t>NSE PRICE(Rs)</t>
  </si>
  <si>
    <t>ACC</t>
  </si>
  <si>
    <t>1,879.75 -13.20%</t>
  </si>
  <si>
    <t>ADANI ENTERPRISES</t>
  </si>
  <si>
    <t>2,761.45 -18.52%</t>
  </si>
  <si>
    <t>ADANI GREEN ENERGY</t>
  </si>
  <si>
    <t>1,486.25 -20.00%</t>
  </si>
  <si>
    <t>ADANI PORTS &amp; SEZ</t>
  </si>
  <si>
    <t>596.95 -16.29%</t>
  </si>
  <si>
    <t>ADANI POWER</t>
  </si>
  <si>
    <t>247.95 -5.00%</t>
  </si>
  <si>
    <t>ADANI TOTAL GAS</t>
  </si>
  <si>
    <t>2,928.00 -20.00%</t>
  </si>
  <si>
    <t>ADANI TRANSMISSION</t>
  </si>
  <si>
    <t>2,014.20 -20.00%</t>
  </si>
  <si>
    <t>ADANI WILMAR</t>
  </si>
  <si>
    <t>516.85 -5.00%</t>
  </si>
  <si>
    <t>AMBUJA CEMENT</t>
  </si>
  <si>
    <t>380.45 -17.33%</t>
  </si>
  <si>
    <t>F&amp;O Lot Size (Downloaded from StockeZee website)</t>
  </si>
  <si>
    <t>S#</t>
  </si>
  <si>
    <t>(Jan-23)</t>
  </si>
  <si>
    <t>(Nov-22)</t>
  </si>
  <si>
    <t>(Dec-22)</t>
  </si>
  <si>
    <t>NIFTY BANK</t>
  </si>
  <si>
    <t>NIFTY FINANCIAL SERVICES</t>
  </si>
  <si>
    <t>FINNIFTY</t>
  </si>
  <si>
    <t>NIFTY MID SELECT</t>
  </si>
  <si>
    <t>MIDCPNIFTY</t>
  </si>
  <si>
    <t>NIFTY 50</t>
  </si>
  <si>
    <t>AARTI INDUSTRIES</t>
  </si>
  <si>
    <t>ABB INDIA</t>
  </si>
  <si>
    <t>ABBOTT INDIA</t>
  </si>
  <si>
    <t>ABBOTINDIA</t>
  </si>
  <si>
    <t>ADITYA BIRLA CAPITAL</t>
  </si>
  <si>
    <t>ADITYA BIRLA FASHION &amp; RT</t>
  </si>
  <si>
    <t>ABFRL</t>
  </si>
  <si>
    <t>ADANI PORT &amp; SEZ</t>
  </si>
  <si>
    <t>ALKEM LABORATORIES.</t>
  </si>
  <si>
    <t>ALKEM</t>
  </si>
  <si>
    <t>AMARA RAJA BATTERIES</t>
  </si>
  <si>
    <t>AMARAJABAT</t>
  </si>
  <si>
    <t>AMBUJA CEMENTS</t>
  </si>
  <si>
    <t>AMBUJACEM</t>
  </si>
  <si>
    <t>APOLLO HOSPITALS ENTER</t>
  </si>
  <si>
    <t>APOLLO TYRES</t>
  </si>
  <si>
    <t>ASHOK LEYLAND</t>
  </si>
  <si>
    <t>ASIAN PAINTS</t>
  </si>
  <si>
    <t>ASTRAL</t>
  </si>
  <si>
    <t>ATUL</t>
  </si>
  <si>
    <t>AU SMALL FINANCE BANK</t>
  </si>
  <si>
    <t>AUROBINDO PHARMA</t>
  </si>
  <si>
    <t>AXIS BANK</t>
  </si>
  <si>
    <t>BAJAJ AUTO</t>
  </si>
  <si>
    <t>BAJAJ-AUTO</t>
  </si>
  <si>
    <t>BAJAJ FINSERV.</t>
  </si>
  <si>
    <t>BAJAJ FINANCE</t>
  </si>
  <si>
    <t>BALKRISHNA IND.</t>
  </si>
  <si>
    <t>BALKRISIND</t>
  </si>
  <si>
    <t>BALRAMPUR CHINI MILLS</t>
  </si>
  <si>
    <t>BANDHAN BANK</t>
  </si>
  <si>
    <t>BANK OF BARODA</t>
  </si>
  <si>
    <t>BATA INDIA</t>
  </si>
  <si>
    <t>BHARAT ELECTRONICS</t>
  </si>
  <si>
    <t>BERGER PAINTS (I)</t>
  </si>
  <si>
    <t>BHARAT FORGE</t>
  </si>
  <si>
    <t>BHARATFORG</t>
  </si>
  <si>
    <t>BHARTI AIRTEL</t>
  </si>
  <si>
    <t>BHARTIARTL</t>
  </si>
  <si>
    <t>BIOCON.</t>
  </si>
  <si>
    <t>BOSCH</t>
  </si>
  <si>
    <t>BOSCHLTD</t>
  </si>
  <si>
    <t>BHARAT PETROLEUM CORP</t>
  </si>
  <si>
    <t>BRITANNIA INDUSTRIES</t>
  </si>
  <si>
    <t>BIRLASOFT</t>
  </si>
  <si>
    <t>CANARA BANK</t>
  </si>
  <si>
    <t>CAN FIN HOMES</t>
  </si>
  <si>
    <t>CHAMBAL FERTILIZERS</t>
  </si>
  <si>
    <t>CHOLAMANDALAM IN &amp; FIN CO</t>
  </si>
  <si>
    <t>COAL INDIA</t>
  </si>
  <si>
    <t>COLGATE PALMOLIVE</t>
  </si>
  <si>
    <t>COLPAL</t>
  </si>
  <si>
    <t>CONTAINER CORP OF IND</t>
  </si>
  <si>
    <t>COROMANDEL INTERNTL.</t>
  </si>
  <si>
    <t>CROMPT GREA CON ELEC</t>
  </si>
  <si>
    <t>CITY UNION BANK</t>
  </si>
  <si>
    <t>CUB</t>
  </si>
  <si>
    <t>CUMMINS INDIA</t>
  </si>
  <si>
    <t>DABUR INDIA</t>
  </si>
  <si>
    <t>DALMIA BHARAT</t>
  </si>
  <si>
    <t>DALBHARAT</t>
  </si>
  <si>
    <t>DEEPAK NITRITE</t>
  </si>
  <si>
    <t>DEEPAKNTR</t>
  </si>
  <si>
    <t>DELTA CORP</t>
  </si>
  <si>
    <t>DELTACORP</t>
  </si>
  <si>
    <t>DIVI S LABORATORIES</t>
  </si>
  <si>
    <t>DIXON TECHNO (INDIA)</t>
  </si>
  <si>
    <t>DR. REDDY S LABORATORIES</t>
  </si>
  <si>
    <t>DRREDDY</t>
  </si>
  <si>
    <t>EICHER MOTORS</t>
  </si>
  <si>
    <t>ESCORTS KUBOTA</t>
  </si>
  <si>
    <t>EXIDE INDUSTRIES</t>
  </si>
  <si>
    <t>FEDERAL BANK</t>
  </si>
  <si>
    <t>FIRSTSOURCE SOLU..</t>
  </si>
  <si>
    <t>FSL</t>
  </si>
  <si>
    <t>GAIL (INDIA)</t>
  </si>
  <si>
    <t>GLENMARK PHARMACEUTICALS</t>
  </si>
  <si>
    <t>GMR AIRPORTS INFRA</t>
  </si>
  <si>
    <t>GUJ NAR VAL FER &amp; CHEM L</t>
  </si>
  <si>
    <t>GNFC</t>
  </si>
  <si>
    <t>GODREJ CONSUMER PRODUCTS</t>
  </si>
  <si>
    <t>GODREJ PROPERTIES</t>
  </si>
  <si>
    <t>GODREJPROP</t>
  </si>
  <si>
    <t>GRANULES INDIA</t>
  </si>
  <si>
    <t>GRASIM INDUSTRIES</t>
  </si>
  <si>
    <t>GUJARAT STATE PETRO</t>
  </si>
  <si>
    <t>GSPL</t>
  </si>
  <si>
    <t>GUJARAT GAS</t>
  </si>
  <si>
    <t>GUJGASLTD</t>
  </si>
  <si>
    <t>HINDUSTAN AERONAUTICS</t>
  </si>
  <si>
    <t>HAL</t>
  </si>
  <si>
    <t>HAVELLS INDIA</t>
  </si>
  <si>
    <t>HCL TECHNOLOGIES</t>
  </si>
  <si>
    <t>HDFC AMC</t>
  </si>
  <si>
    <t>HDFCAMC</t>
  </si>
  <si>
    <t>HDFC BANK</t>
  </si>
  <si>
    <t>HDFC LIFE INS CO</t>
  </si>
  <si>
    <t>HDFCLIFE</t>
  </si>
  <si>
    <t>HERO MOTOCORP</t>
  </si>
  <si>
    <t>HINDALCO INDUSTRIES</t>
  </si>
  <si>
    <t>HINDUSTAN COPPER</t>
  </si>
  <si>
    <t>HINDUSTAN PETROLEUM CORP</t>
  </si>
  <si>
    <t>HINDUSTAN UNILEVER.</t>
  </si>
  <si>
    <t>HONEYWELL AUTOMATION IND</t>
  </si>
  <si>
    <t>HONAUT</t>
  </si>
  <si>
    <t>INDIABULLS HSG FIN</t>
  </si>
  <si>
    <t>ICICI BANK.</t>
  </si>
  <si>
    <t>ICICI LOMBARD GIC</t>
  </si>
  <si>
    <t>ICICIGI</t>
  </si>
  <si>
    <t>ICICI PRU LIFE INS CO</t>
  </si>
  <si>
    <t>ICICIPRULI</t>
  </si>
  <si>
    <t>VODAFONE IDEA</t>
  </si>
  <si>
    <t>IDFC FIRST BANK</t>
  </si>
  <si>
    <t>INDIAN ENERGY EXC</t>
  </si>
  <si>
    <t>INDRAPRASTHA GAS</t>
  </si>
  <si>
    <t>THE INDIAN HOTELS CO</t>
  </si>
  <si>
    <t>THE INDIA CEMENTS</t>
  </si>
  <si>
    <t>INDIAMART INTERMESH</t>
  </si>
  <si>
    <t>INDIAMART</t>
  </si>
  <si>
    <t>INTERGLOBE AVIATION</t>
  </si>
  <si>
    <t>INDUSIND BANK</t>
  </si>
  <si>
    <t>INDUS TOWERS</t>
  </si>
  <si>
    <t>INDUSTOWER</t>
  </si>
  <si>
    <t>INFOSYS</t>
  </si>
  <si>
    <t>INTELLECT DESIGN ARENA</t>
  </si>
  <si>
    <t>INDIAN OIL CORP</t>
  </si>
  <si>
    <t>IPCA LABORATORIES</t>
  </si>
  <si>
    <t>INDIAN RAIL TOUR CORP</t>
  </si>
  <si>
    <t>JINDAL STEEL &amp; POWER</t>
  </si>
  <si>
    <t>JK CEMENT</t>
  </si>
  <si>
    <t>JKCEMENT</t>
  </si>
  <si>
    <t>JSW STEEL</t>
  </si>
  <si>
    <t>JUBILANT FOODWORKS</t>
  </si>
  <si>
    <t>KOTAK MAHINDRA BANK</t>
  </si>
  <si>
    <t>KOTAKBANK</t>
  </si>
  <si>
    <t>L&amp;T FINANCE HOLDINGS</t>
  </si>
  <si>
    <t>DR. LAL PATH LABS.</t>
  </si>
  <si>
    <t>LAURUS LABS</t>
  </si>
  <si>
    <t>LAURUSLABS</t>
  </si>
  <si>
    <t>LIC HOUSING FINANCE</t>
  </si>
  <si>
    <t>LARSEN &amp; TOUBRO</t>
  </si>
  <si>
    <t>L&amp;T INFOTECH</t>
  </si>
  <si>
    <t>L&amp;T TECHNOLOGY SER..</t>
  </si>
  <si>
    <t>MAHINDRA &amp; MAHINDRA</t>
  </si>
  <si>
    <t>M&amp;M FIN. SERVICES</t>
  </si>
  <si>
    <t>M&amp;MFIN</t>
  </si>
  <si>
    <t>MANAPPURAM FINANCE</t>
  </si>
  <si>
    <t>MANAPPURAM</t>
  </si>
  <si>
    <t>MARICO</t>
  </si>
  <si>
    <t>MARUTI SUZUKI INDIA.</t>
  </si>
  <si>
    <t>MARUTI</t>
  </si>
  <si>
    <t>UNITED SPIRITS</t>
  </si>
  <si>
    <t>MULTI COMMODITY EXCHANGE</t>
  </si>
  <si>
    <t>METROPOLIS HEALTHCARE</t>
  </si>
  <si>
    <t>METROPOLIS</t>
  </si>
  <si>
    <t>MAX FINANCIAL SERV</t>
  </si>
  <si>
    <t>MFSL</t>
  </si>
  <si>
    <t>MAHANAGAR GAS.</t>
  </si>
  <si>
    <t>MINDTREE</t>
  </si>
  <si>
    <t>SAMVRDHNA MTHRSN INTL</t>
  </si>
  <si>
    <t>MRF</t>
  </si>
  <si>
    <t>MUTHOOT FINANCE</t>
  </si>
  <si>
    <t>NATIONAL ALUMINIUM CO</t>
  </si>
  <si>
    <t>INFO EDGE (I)</t>
  </si>
  <si>
    <t>NAVIN FLUORINE INT.</t>
  </si>
  <si>
    <t>NESTLE INDIA</t>
  </si>
  <si>
    <t>NESTLEIND</t>
  </si>
  <si>
    <t>NMDC.</t>
  </si>
  <si>
    <t>OBEROI REALTY</t>
  </si>
  <si>
    <t>OBEROIRLTY</t>
  </si>
  <si>
    <t>ORACLE FIN SERV SOFT.</t>
  </si>
  <si>
    <t>OFSS</t>
  </si>
  <si>
    <t>OIL AND NATURAL GAS CORP.</t>
  </si>
  <si>
    <t>PAGE INDUSTRIES</t>
  </si>
  <si>
    <t>PAGEIND</t>
  </si>
  <si>
    <t>PIRAMAL ENTERPRISES</t>
  </si>
  <si>
    <t>PEL</t>
  </si>
  <si>
    <t>PERSISTENT SYSTEMS</t>
  </si>
  <si>
    <t>PERSISTENT</t>
  </si>
  <si>
    <t>PETRONET LNG</t>
  </si>
  <si>
    <t>PETRONET</t>
  </si>
  <si>
    <t>POWER FIN CORP.</t>
  </si>
  <si>
    <t>PIDILITE INDUSTRIES</t>
  </si>
  <si>
    <t>PI INDUSTRIES</t>
  </si>
  <si>
    <t>PIIND</t>
  </si>
  <si>
    <t>PUNJAB NATIONAL BANK</t>
  </si>
  <si>
    <t>POLYCAB INDIA</t>
  </si>
  <si>
    <t>POLYCAB</t>
  </si>
  <si>
    <t>POWER GRID CORP.</t>
  </si>
  <si>
    <t>RAIN INDUSTRIES</t>
  </si>
  <si>
    <t>THE RAMCO CEMENTS</t>
  </si>
  <si>
    <t>RAMCOCEM</t>
  </si>
  <si>
    <t>RBL BANK</t>
  </si>
  <si>
    <t>RELIANCE INDUSTRIES</t>
  </si>
  <si>
    <t>STEEL AUTHORITY OF INDIA</t>
  </si>
  <si>
    <t>SBI CARDS &amp; PAY SER</t>
  </si>
  <si>
    <t>SBI LIFE INSURANCE CO</t>
  </si>
  <si>
    <t>STATE BANK OF INDIA</t>
  </si>
  <si>
    <t>SHREE CEMENT</t>
  </si>
  <si>
    <t>SHREECEM</t>
  </si>
  <si>
    <t>SHRIRAM TRANSPORT FIN CO.</t>
  </si>
  <si>
    <t>SUN PHARMACEUTICAL IND L</t>
  </si>
  <si>
    <t>SUN TV NETWORK</t>
  </si>
  <si>
    <t>SYNGENE INTERNATIONAL</t>
  </si>
  <si>
    <t>SYNGENE</t>
  </si>
  <si>
    <t>TATA CHEMICALS</t>
  </si>
  <si>
    <t>TATA COMMUNICATIONS</t>
  </si>
  <si>
    <t>TATA CONSUMER PRODUCT</t>
  </si>
  <si>
    <t>TATA MOTORS</t>
  </si>
  <si>
    <t>TATA POWER CO</t>
  </si>
  <si>
    <t>TATA STEEL</t>
  </si>
  <si>
    <t>TATA CONSULTANCY SERV</t>
  </si>
  <si>
    <t>TECH MAHINDRA</t>
  </si>
  <si>
    <t>TECHM</t>
  </si>
  <si>
    <t>TITAN COMPANY</t>
  </si>
  <si>
    <t>TORRENT PHARMACEUTICALS</t>
  </si>
  <si>
    <t>TORRENT POWER</t>
  </si>
  <si>
    <t>TORNTPOWER</t>
  </si>
  <si>
    <t>TVS MOTOR COMPANY</t>
  </si>
  <si>
    <t>UNITED BREWERIES</t>
  </si>
  <si>
    <t>UBL</t>
  </si>
  <si>
    <t>ULTRATECH CEMENT</t>
  </si>
  <si>
    <t>ULTRACEMCO</t>
  </si>
  <si>
    <t>VEDANTA</t>
  </si>
  <si>
    <t>WHIRLPOOL OF INDIA</t>
  </si>
  <si>
    <t>WHIRLPOOL</t>
  </si>
  <si>
    <t>ZEE ENTERTAINMENT ENT</t>
  </si>
  <si>
    <t>ZYDUS LIFESCIENCES</t>
  </si>
  <si>
    <t>ZYDUSLIFE</t>
  </si>
  <si>
    <t>row</t>
  </si>
  <si>
    <t>value</t>
  </si>
  <si>
    <t>cell</t>
  </si>
  <si>
    <t>last</t>
  </si>
  <si>
    <t>2nd to last</t>
  </si>
  <si>
    <t>3rd to last</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</si>
</sst>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164" formatCode="d/m/yyyy"/>
    <numFmt numFmtId="165" formatCode="_ * #,##0_ ;_ * \-#,##0_ ;_ * &quot;-&quot;??_ ;_ @_ "/>
    <numFmt numFmtId="166" formatCode="[$£-809]#,##0.00"/>
    <numFmt numFmtId="167" formatCode="_ * #,##0.00_ ;_ * \-#,##0.00_ ;_ * &quot;-&quot;??.00_ ;_ @_ "/>
    <numFmt numFmtId="168" formatCode="[Blue]#,##0.00_);[Red]#,##0.00_);_(* &quot;-&quot;??_)"/>
    <numFmt numFmtId="169" formatCode="[Blue]0.00_);[Red]0.00_);_(* &quot;-&quot;??_)"/>
    <numFmt numFmtId="170" formatCode="_ * #,##0.00_ ;_ * \-#,##0.00_ ;_ * &quot;-&quot;??_ ;_ @_ "/>
    <numFmt numFmtId="171" formatCode="[Blue]#,##0_);[Red]#,##0_);_(* &quot;-&quot;??_)"/>
    <numFmt numFmtId="172" formatCode="0.0000"/>
    <numFmt numFmtId="173" formatCode="[Black]0.00"/>
    <numFmt numFmtId="174" formatCode="[Blue]0_);[Red]0_);_(* &quot;-&quot;??_)"/>
    <numFmt numFmtId="175" formatCode="[Blue]0.00_);[Red]\(0.00\)_);_(* &quot;-&quot;??_)"/>
    <numFmt numFmtId="176" formatCode="0.0000%"/>
    <numFmt numFmtId="177" formatCode="ddd"/>
    <numFmt numFmtId="178" formatCode="###0_);\(###0\);_(* &quot;-&quot;_)"/>
    <numFmt numFmtId="179" formatCode="d&quot;-&quot;mmm&quot;-&quot;yy"/>
    <numFmt numFmtId="180" formatCode="\(00.00\);00.00"/>
    <numFmt numFmtId="181" formatCode="ddmmm"/>
    <numFmt numFmtId="182" formatCode="dmmm"/>
    <numFmt numFmtId="183" formatCode="0.00_);[Red]\(0.00\)"/>
    <numFmt numFmtId="184" formatCode="[Blue]#,##0.00;[Red]#,##0.00;* &quot;-&quot;????"/>
    <numFmt numFmtId="185" formatCode="[Black]0.00_);[Red]0.00_);_(* &quot;-&quot;??_)"/>
    <numFmt numFmtId="186" formatCode="###0.00_);\(###0.00\);_(* &quot;-&quot;_)"/>
    <numFmt numFmtId="187" formatCode="0.00;[Red]0.00"/>
    <numFmt numFmtId="188" formatCode="0.000%"/>
    <numFmt numFmtId="189" formatCode="0.00000%"/>
    <numFmt numFmtId="190" formatCode="0.000000%"/>
    <numFmt numFmtId="191" formatCode="0\ &quot;Day(s)&quot;"/>
    <numFmt numFmtId="192" formatCode="0.00;[Magenta]____@"/>
    <numFmt numFmtId="193" formatCode="0.00%;[Red]\(0.00%\)"/>
    <numFmt numFmtId="194" formatCode="0.0%"/>
    <numFmt numFmtId="195" formatCode="&quot;Rs.&quot;#,##0"/>
    <numFmt numFmtId="196" formatCode="_(* ###0_);_(* \(###0\);_(* &quot;-&quot;??_);_(@_)"/>
    <numFmt numFmtId="197" formatCode="[Blue]0.00%;[Red]0.00%"/>
    <numFmt numFmtId="198" formatCode="00\ &quot;Y&quot;"/>
    <numFmt numFmtId="199" formatCode="00\ &quot;M&quot;"/>
    <numFmt numFmtId="200" formatCode="00\ &quot;D&quot;"/>
    <numFmt numFmtId="201" formatCode="[Blue]0.00;[Red]0.00;* &quot;-&quot;????"/>
    <numFmt numFmtId="202" formatCode="[Blue]0;[Red]0;* &quot;-&quot;?"/>
    <numFmt numFmtId="203" formatCode="0.00_);\(0.00\)"/>
    <numFmt numFmtId="204" formatCode="0_);\(0\)"/>
    <numFmt numFmtId="205" formatCode="_(* #,##0_);_(* \(#,##0\);_(* &quot;-&quot;_);_(@_)"/>
    <numFmt numFmtId="206" formatCode="mmmm\ d\,\ yyyy"/>
    <numFmt numFmtId="207" formatCode="d\-mmm\-yyyy"/>
    <numFmt numFmtId="208" formatCode="_(* #,##0.00_);_(* \(#,##0.00\);_(* &quot;-&quot;??_);_(@_)"/>
    <numFmt numFmtId="209" formatCode="###0.0000_);\(###0.0000\);_(* &quot;-&quot;_)"/>
    <numFmt numFmtId="210" formatCode="0.0%;[Red]0.0%"/>
  </numFmts>
  <fonts count="63">
    <font>
      <sz val="11"/>
      <color theme="1"/>
      <name val="Calibri"/>
      <scheme val="minor"/>
    </font>
    <font>
      <sz val="8"/>
      <color rgb="FFFFFFFF"/>
      <name val="Verdana"/>
      <family val="2"/>
    </font>
    <font>
      <sz val="11"/>
      <color theme="1"/>
      <name val="Arial"/>
      <family val="2"/>
    </font>
    <font>
      <sz val="8"/>
      <color theme="1"/>
      <name val="Verdana"/>
      <family val="2"/>
    </font>
    <font>
      <sz val="8"/>
      <color rgb="FFFF0000"/>
      <name val="Verdana"/>
      <family val="2"/>
    </font>
    <font>
      <sz val="11"/>
      <color theme="1"/>
      <name val="Calibri"/>
      <family val="2"/>
    </font>
    <font>
      <sz val="8"/>
      <color rgb="FFB6D7A8"/>
      <name val="Verdana"/>
      <family val="2"/>
    </font>
    <font>
      <sz val="8"/>
      <color rgb="FF000000"/>
      <name val="Verdana"/>
      <family val="2"/>
    </font>
    <font>
      <u/>
      <sz val="8"/>
      <color theme="1"/>
      <name val="Verdana"/>
      <family val="2"/>
    </font>
    <font>
      <sz val="8"/>
      <color rgb="FF85200C"/>
      <name val="Verdana"/>
      <family val="2"/>
    </font>
    <font>
      <i/>
      <u/>
      <sz val="8"/>
      <color theme="1"/>
      <name val="Verdana"/>
      <family val="2"/>
    </font>
    <font>
      <i/>
      <u/>
      <sz val="8"/>
      <color theme="1"/>
      <name val="Verdana"/>
      <family val="2"/>
    </font>
    <font>
      <i/>
      <u/>
      <sz val="8"/>
      <color theme="1"/>
      <name val="Verdana"/>
      <family val="2"/>
    </font>
    <font>
      <i/>
      <u/>
      <sz val="8"/>
      <color theme="1"/>
      <name val="Verdana"/>
      <family val="2"/>
    </font>
    <font>
      <i/>
      <u/>
      <sz val="8"/>
      <color rgb="FF008000"/>
      <name val="Verdana"/>
      <family val="2"/>
    </font>
    <font>
      <i/>
      <u/>
      <sz val="8"/>
      <color theme="1"/>
      <name val="Verdana"/>
      <family val="2"/>
    </font>
    <font>
      <sz val="8"/>
      <color rgb="FF0000FF"/>
      <name val="Verdana"/>
      <family val="2"/>
    </font>
    <font>
      <sz val="8"/>
      <color rgb="FF0000CC"/>
      <name val="Verdana"/>
      <family val="2"/>
    </font>
    <font>
      <sz val="11"/>
      <name val="Calibri"/>
      <family val="2"/>
    </font>
    <font>
      <sz val="8"/>
      <color rgb="FF008000"/>
      <name val="Verdana"/>
      <family val="2"/>
    </font>
    <font>
      <i/>
      <sz val="8"/>
      <color theme="1"/>
      <name val="Verdana"/>
      <family val="2"/>
    </font>
    <font>
      <u/>
      <sz val="8"/>
      <color rgb="FFFF6600"/>
      <name val="Verdana"/>
      <family val="2"/>
    </font>
    <font>
      <u/>
      <sz val="8"/>
      <color rgb="FFFF6600"/>
      <name val="Verdana"/>
      <family val="2"/>
    </font>
    <font>
      <sz val="8"/>
      <color rgb="FFFF6600"/>
      <name val="Verdana"/>
      <family val="2"/>
    </font>
    <font>
      <u/>
      <sz val="8"/>
      <color rgb="FF808000"/>
      <name val="Verdana"/>
      <family val="2"/>
    </font>
    <font>
      <u/>
      <sz val="8"/>
      <color rgb="FF808000"/>
      <name val="Verdana"/>
      <family val="2"/>
    </font>
    <font>
      <sz val="8"/>
      <color rgb="FF808000"/>
      <name val="Verdana"/>
      <family val="2"/>
    </font>
    <font>
      <u/>
      <sz val="8"/>
      <color rgb="FF008000"/>
      <name val="Verdana"/>
      <family val="2"/>
    </font>
    <font>
      <u/>
      <sz val="8"/>
      <color rgb="FF008000"/>
      <name val="Verdana"/>
      <family val="2"/>
    </font>
    <font>
      <u/>
      <sz val="8"/>
      <color rgb="FFFF0000"/>
      <name val="Verdana"/>
      <family val="2"/>
    </font>
    <font>
      <b/>
      <sz val="8"/>
      <color theme="1"/>
      <name val="Verdana"/>
      <family val="2"/>
    </font>
    <font>
      <u/>
      <sz val="8"/>
      <color rgb="FF0000FF"/>
      <name val="Verdana"/>
      <family val="2"/>
    </font>
    <font>
      <b/>
      <u/>
      <sz val="8"/>
      <color rgb="FFFF0000"/>
      <name val="Verdana"/>
      <family val="2"/>
    </font>
    <font>
      <u/>
      <sz val="8"/>
      <color rgb="FFFF00FF"/>
      <name val="Verdana"/>
      <family val="2"/>
    </font>
    <font>
      <sz val="8"/>
      <color rgb="FF741B47"/>
      <name val="Verdana"/>
      <family val="2"/>
    </font>
    <font>
      <sz val="8"/>
      <color rgb="FFC55A11"/>
      <name val="Verdana"/>
      <family val="2"/>
    </font>
    <font>
      <sz val="8"/>
      <color rgb="FFFF00FF"/>
      <name val="Verdana"/>
      <family val="2"/>
    </font>
    <font>
      <b/>
      <sz val="8"/>
      <color rgb="FF0000FF"/>
      <name val="Verdana"/>
      <family val="2"/>
    </font>
    <font>
      <b/>
      <sz val="8"/>
      <color rgb="FF000000"/>
      <name val="Verdana"/>
      <family val="2"/>
    </font>
    <font>
      <sz val="8"/>
      <color rgb="FFD9D9D9"/>
      <name val="Verdana"/>
      <family val="2"/>
    </font>
    <font>
      <sz val="8"/>
      <color rgb="FF4A4A4A"/>
      <name val="Verdana"/>
      <family val="2"/>
    </font>
    <font>
      <sz val="10"/>
      <color theme="1"/>
      <name val="Calibri"/>
      <family val="2"/>
    </font>
    <font>
      <b/>
      <sz val="8"/>
      <color rgb="FF3A2D7D"/>
      <name val="Verdana"/>
      <family val="2"/>
    </font>
    <font>
      <u/>
      <sz val="8"/>
      <color rgb="FFFFFFFF"/>
      <name val="Verdana"/>
      <family val="2"/>
    </font>
    <font>
      <sz val="8"/>
      <color rgb="FF383838"/>
      <name val="Verdana"/>
      <family val="2"/>
    </font>
    <font>
      <b/>
      <sz val="11"/>
      <color theme="1"/>
      <name val="Calibri"/>
      <family val="2"/>
    </font>
    <font>
      <b/>
      <sz val="11"/>
      <color rgb="FF9900FF"/>
      <name val="Calibri"/>
      <family val="2"/>
    </font>
    <font>
      <sz val="11"/>
      <color rgb="FF383838"/>
      <name val="Supreme-medium"/>
    </font>
    <font>
      <u/>
      <sz val="11"/>
      <color rgb="FF000000"/>
      <name val="Inherit"/>
    </font>
    <font>
      <u/>
      <sz val="11"/>
      <color rgb="FF000000"/>
      <name val="Inherit"/>
    </font>
    <font>
      <u/>
      <sz val="11"/>
      <color rgb="FF000000"/>
      <name val="Roboto"/>
    </font>
    <font>
      <sz val="11"/>
      <color rgb="FF000000"/>
      <name val="Roboto"/>
    </font>
    <font>
      <b/>
      <sz val="11"/>
      <color theme="1"/>
      <name val="Circularxxsub-bold"/>
    </font>
    <font>
      <sz val="11"/>
      <color rgb="FFFFFFFF"/>
      <name val="Calibri"/>
      <family val="2"/>
    </font>
    <font>
      <u/>
      <sz val="11"/>
      <color theme="1"/>
      <name val="Calibri"/>
      <family val="2"/>
    </font>
    <font>
      <i/>
      <u/>
      <sz val="8"/>
      <color rgb="FFFF0000"/>
      <name val="Verdana"/>
      <family val="2"/>
    </font>
    <font>
      <i/>
      <u/>
      <sz val="8"/>
      <color rgb="FF0000FF"/>
      <name val="Verdana"/>
      <family val="2"/>
    </font>
    <font>
      <i/>
      <u/>
      <sz val="8"/>
      <color rgb="FF0000CC"/>
      <name val="Verdana"/>
      <family val="2"/>
    </font>
    <font>
      <i/>
      <sz val="8"/>
      <color rgb="FFFF0000"/>
      <name val="Verdana"/>
      <family val="2"/>
    </font>
    <font>
      <i/>
      <sz val="8"/>
      <color rgb="FF0000FF"/>
      <name val="Verdana"/>
      <family val="2"/>
    </font>
    <font>
      <b/>
      <sz val="11"/>
      <color rgb="FFC00000"/>
      <name val="Calibri"/>
      <family val="2"/>
    </font>
    <font>
      <b/>
      <sz val="11"/>
      <color rgb="FFC55A11"/>
      <name val="Calibri"/>
      <family val="2"/>
    </font>
    <font>
      <b/>
      <sz val="11"/>
      <color rgb="FFFF0000"/>
      <name val="Calibri"/>
      <family val="2"/>
    </font>
  </fonts>
  <fills count="58">
    <fill>
      <patternFill patternType="none"/>
    </fill>
    <fill>
      <patternFill patternType="gray125"/>
    </fill>
    <fill>
      <patternFill patternType="solid">
        <fgColor rgb="FFA5A5A5"/>
        <bgColor rgb="FFA5A5A5"/>
      </patternFill>
    </fill>
    <fill>
      <patternFill patternType="solid">
        <fgColor rgb="FFE2EFD9"/>
        <bgColor rgb="FFE2EFD9"/>
      </patternFill>
    </fill>
    <fill>
      <patternFill patternType="solid">
        <fgColor rgb="FFFEF2CB"/>
        <bgColor rgb="FFFEF2CB"/>
      </patternFill>
    </fill>
    <fill>
      <patternFill patternType="solid">
        <fgColor rgb="FFECECEC"/>
        <bgColor rgb="FFECECEC"/>
      </patternFill>
    </fill>
    <fill>
      <patternFill patternType="solid">
        <fgColor rgb="FFF3F3F3"/>
        <bgColor rgb="FFF3F3F3"/>
      </patternFill>
    </fill>
    <fill>
      <patternFill patternType="solid">
        <fgColor rgb="FFC9DAF8"/>
        <bgColor rgb="FFC9DAF8"/>
      </patternFill>
    </fill>
    <fill>
      <patternFill patternType="solid">
        <fgColor rgb="FFEFEFEF"/>
        <bgColor rgb="FFEFEFEF"/>
      </patternFill>
    </fill>
    <fill>
      <patternFill patternType="solid">
        <fgColor rgb="FFFFFF00"/>
        <bgColor rgb="FFFFFF00"/>
      </patternFill>
    </fill>
    <fill>
      <patternFill patternType="solid">
        <fgColor rgb="FFF2F2F2"/>
        <bgColor rgb="FFF2F2F2"/>
      </patternFill>
    </fill>
    <fill>
      <patternFill patternType="solid">
        <fgColor rgb="FFDAF6FE"/>
        <bgColor rgb="FFDAF6FE"/>
      </patternFill>
    </fill>
    <fill>
      <patternFill patternType="solid">
        <fgColor rgb="FFFEF0F2"/>
        <bgColor rgb="FFFEF0F2"/>
      </patternFill>
    </fill>
    <fill>
      <patternFill patternType="solid">
        <fgColor rgb="FFFFE598"/>
        <bgColor rgb="FFFFE598"/>
      </patternFill>
    </fill>
    <fill>
      <patternFill patternType="solid">
        <fgColor rgb="FFE2E2E2"/>
        <bgColor rgb="FFE2E2E2"/>
      </patternFill>
    </fill>
    <fill>
      <patternFill patternType="solid">
        <fgColor rgb="FFFBE4D5"/>
        <bgColor rgb="FFFBE4D5"/>
      </patternFill>
    </fill>
    <fill>
      <patternFill patternType="solid">
        <fgColor rgb="FFE5DFEC"/>
        <bgColor rgb="FFE5DFEC"/>
      </patternFill>
    </fill>
    <fill>
      <patternFill patternType="solid">
        <fgColor rgb="FFD9E2F3"/>
        <bgColor rgb="FFD9E2F3"/>
      </patternFill>
    </fill>
    <fill>
      <patternFill patternType="solid">
        <fgColor rgb="FFE9EDF7"/>
        <bgColor rgb="FFE9EDF7"/>
      </patternFill>
    </fill>
    <fill>
      <patternFill patternType="solid">
        <fgColor rgb="FFDDD9C3"/>
        <bgColor rgb="FFDDD9C3"/>
      </patternFill>
    </fill>
    <fill>
      <patternFill patternType="solid">
        <fgColor rgb="FFC5E0B3"/>
        <bgColor rgb="FFC5E0B3"/>
      </patternFill>
    </fill>
    <fill>
      <patternFill patternType="solid">
        <fgColor rgb="FFFFFFCC"/>
        <bgColor rgb="FFFFFFCC"/>
      </patternFill>
    </fill>
    <fill>
      <patternFill patternType="solid">
        <fgColor rgb="FFFDE9D9"/>
        <bgColor rgb="FFFDE9D9"/>
      </patternFill>
    </fill>
    <fill>
      <patternFill patternType="solid">
        <fgColor rgb="FFDAEEF3"/>
        <bgColor rgb="FFDAEEF3"/>
      </patternFill>
    </fill>
    <fill>
      <patternFill patternType="solid">
        <fgColor rgb="FFEAF1DD"/>
        <bgColor rgb="FFEAF1DD"/>
      </patternFill>
    </fill>
    <fill>
      <patternFill patternType="solid">
        <fgColor rgb="FFF2DBDB"/>
        <bgColor rgb="FFF2DBDB"/>
      </patternFill>
    </fill>
    <fill>
      <patternFill patternType="solid">
        <fgColor rgb="FFD9D9D9"/>
        <bgColor rgb="FFD9D9D9"/>
      </patternFill>
    </fill>
    <fill>
      <patternFill patternType="solid">
        <fgColor rgb="FFFFD965"/>
        <bgColor rgb="FFFFD965"/>
      </patternFill>
    </fill>
    <fill>
      <patternFill patternType="solid">
        <fgColor rgb="FFFCE5CD"/>
        <bgColor rgb="FFFCE5CD"/>
      </patternFill>
    </fill>
    <fill>
      <patternFill patternType="solid">
        <fgColor rgb="FFD9EAD3"/>
        <bgColor rgb="FFD9EAD3"/>
      </patternFill>
    </fill>
    <fill>
      <patternFill patternType="solid">
        <fgColor rgb="FFFFFFFF"/>
        <bgColor rgb="FFFFFFFF"/>
      </patternFill>
    </fill>
    <fill>
      <patternFill patternType="solid">
        <fgColor rgb="FF3A2D7D"/>
        <bgColor rgb="FF3A2D7D"/>
      </patternFill>
    </fill>
    <fill>
      <patternFill patternType="solid">
        <fgColor rgb="FFF4B083"/>
        <bgColor rgb="FFF4B083"/>
      </patternFill>
    </fill>
    <fill>
      <patternFill patternType="solid">
        <fgColor rgb="FFD8D8D8"/>
        <bgColor rgb="FFD8D8D8"/>
      </patternFill>
    </fill>
    <fill>
      <patternFill patternType="solid">
        <fgColor rgb="FF99CC00"/>
        <bgColor rgb="FF99CC00"/>
      </patternFill>
    </fill>
    <fill>
      <patternFill patternType="solid">
        <fgColor rgb="FFE5B8B7"/>
        <bgColor rgb="FFE5B8B7"/>
      </patternFill>
    </fill>
    <fill>
      <patternFill patternType="solid">
        <fgColor rgb="FFCFE2F3"/>
        <bgColor rgb="FFCFE2F3"/>
      </patternFill>
    </fill>
    <fill>
      <patternFill patternType="solid">
        <fgColor rgb="FF00FFFF"/>
        <bgColor rgb="FF00FFFF"/>
      </patternFill>
    </fill>
    <fill>
      <patternFill patternType="solid">
        <fgColor rgb="FFFFF2CC"/>
        <bgColor rgb="FFFFF2CC"/>
      </patternFill>
    </fill>
    <fill>
      <patternFill patternType="solid">
        <fgColor rgb="FFF4CCCC"/>
        <bgColor rgb="FFF4CCCC"/>
      </patternFill>
    </fill>
    <fill>
      <patternFill patternType="solid">
        <fgColor rgb="FFE1F0DC"/>
        <bgColor rgb="FFE1F0DC"/>
      </patternFill>
    </fill>
    <fill>
      <patternFill patternType="solid">
        <fgColor rgb="FFFFF0C8"/>
        <bgColor rgb="FFFFF0C8"/>
      </patternFill>
    </fill>
    <fill>
      <patternFill patternType="solid">
        <fgColor rgb="FFD7D7D7"/>
        <bgColor rgb="FFD7D7D7"/>
      </patternFill>
    </fill>
    <fill>
      <patternFill patternType="solid">
        <fgColor rgb="FFE1FFCD"/>
        <bgColor rgb="FFE1FFCD"/>
      </patternFill>
    </fill>
    <fill>
      <patternFill patternType="solid">
        <fgColor rgb="FFCDEBFF"/>
        <bgColor rgb="FFCDEBFF"/>
      </patternFill>
    </fill>
    <fill>
      <patternFill patternType="solid">
        <fgColor rgb="FF9BBEE6"/>
        <bgColor rgb="FF9BBEE6"/>
      </patternFill>
    </fill>
    <fill>
      <patternFill patternType="solid">
        <fgColor rgb="FFCDDCB4"/>
        <bgColor rgb="FFCDDCB4"/>
      </patternFill>
    </fill>
    <fill>
      <patternFill patternType="solid">
        <fgColor rgb="FF96C864"/>
        <bgColor rgb="FF96C864"/>
      </patternFill>
    </fill>
    <fill>
      <patternFill patternType="solid">
        <fgColor rgb="FFFFC832"/>
        <bgColor rgb="FFFFC832"/>
      </patternFill>
    </fill>
    <fill>
      <patternFill patternType="solid">
        <fgColor rgb="FFFFDCBE"/>
        <bgColor rgb="FFFFDCBE"/>
      </patternFill>
    </fill>
    <fill>
      <patternFill patternType="solid">
        <fgColor rgb="FFC8C8FF"/>
        <bgColor rgb="FFC8C8FF"/>
      </patternFill>
    </fill>
    <fill>
      <patternFill patternType="solid">
        <fgColor rgb="FFFFFF78"/>
        <bgColor rgb="FFFFFF78"/>
      </patternFill>
    </fill>
    <fill>
      <patternFill patternType="solid">
        <fgColor rgb="FFFFC8C8"/>
        <bgColor rgb="FFFFC8C8"/>
      </patternFill>
    </fill>
    <fill>
      <patternFill patternType="solid">
        <fgColor rgb="FFC8AAE1"/>
        <bgColor rgb="FFC8AAE1"/>
      </patternFill>
    </fill>
    <fill>
      <patternFill patternType="solid">
        <fgColor rgb="FFB4E6F0"/>
        <bgColor rgb="FFB4E6F0"/>
      </patternFill>
    </fill>
    <fill>
      <patternFill patternType="solid">
        <fgColor rgb="FFFF7878"/>
        <bgColor rgb="FFFF7878"/>
      </patternFill>
    </fill>
    <fill>
      <patternFill patternType="solid">
        <fgColor rgb="FFEEEEEE"/>
        <bgColor rgb="FFEEEEEE"/>
      </patternFill>
    </fill>
    <fill>
      <patternFill patternType="solid">
        <fgColor rgb="FF2E4760"/>
        <bgColor rgb="FF2E4760"/>
      </patternFill>
    </fill>
  </fills>
  <borders count="87">
    <border>
      <left/>
      <right/>
      <top/>
      <bottom/>
      <diagonal/>
    </border>
    <border>
      <left style="thin">
        <color rgb="FFD8D8D8"/>
      </left>
      <right style="thin">
        <color rgb="FFD8D8D8"/>
      </right>
      <top style="thin">
        <color rgb="FFD8D8D8"/>
      </top>
      <bottom/>
      <diagonal/>
    </border>
    <border>
      <left style="thin">
        <color rgb="FFD8D8D8"/>
      </left>
      <right style="thin">
        <color rgb="FFCCCCCC"/>
      </right>
      <top style="thin">
        <color rgb="FFD8D8D8"/>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style="thin">
        <color rgb="FFD8D8D8"/>
      </left>
      <right style="thin">
        <color rgb="FFD8D8D8"/>
      </right>
      <top/>
      <bottom/>
      <diagonal/>
    </border>
    <border>
      <left style="thin">
        <color rgb="FFD8D8D8"/>
      </left>
      <right style="thin">
        <color rgb="FFD8D8D8"/>
      </right>
      <top style="thin">
        <color rgb="FF000000"/>
      </top>
      <bottom style="medium">
        <color rgb="FF000000"/>
      </bottom>
      <diagonal/>
    </border>
    <border>
      <left style="thin">
        <color rgb="FFD8D8D8"/>
      </left>
      <right style="thin">
        <color rgb="FFD8D8D8"/>
      </right>
      <top style="thin">
        <color rgb="FFD8D8D8"/>
      </top>
      <bottom style="thin">
        <color rgb="FFD8D8D8"/>
      </bottom>
      <diagonal/>
    </border>
    <border>
      <left style="thin">
        <color rgb="FFD8D8D8"/>
      </left>
      <right style="thin">
        <color rgb="FFCCCCCC"/>
      </right>
      <top style="thin">
        <color rgb="FFD8D8D8"/>
      </top>
      <bottom style="thin">
        <color rgb="FFD8D8D8"/>
      </bottom>
      <diagonal/>
    </border>
    <border>
      <left/>
      <right style="thin">
        <color rgb="FFD8D8D8"/>
      </right>
      <top style="thin">
        <color rgb="FFD8D8D8"/>
      </top>
      <bottom/>
      <diagonal/>
    </border>
    <border>
      <left style="thin">
        <color rgb="FFD9D9D9"/>
      </left>
      <right style="thin">
        <color rgb="FFD9D9D9"/>
      </right>
      <top style="thin">
        <color rgb="FFD9D9D9"/>
      </top>
      <bottom style="thin">
        <color rgb="FFD9D9D9"/>
      </bottom>
      <diagonal/>
    </border>
    <border>
      <left style="thin">
        <color rgb="FFD8D8D8"/>
      </left>
      <right/>
      <top style="thin">
        <color rgb="FFD8D8D8"/>
      </top>
      <bottom style="thin">
        <color rgb="FFD8D8D8"/>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000000"/>
      </top>
      <bottom style="medium">
        <color rgb="FF000000"/>
      </bottom>
      <diagonal/>
    </border>
    <border>
      <left style="thin">
        <color rgb="FFCCCCCC"/>
      </left>
      <right style="thin">
        <color rgb="FFCCCCCC"/>
      </right>
      <top style="thin">
        <color rgb="FFCCCCCC"/>
      </top>
      <bottom/>
      <diagonal/>
    </border>
    <border>
      <left style="thin">
        <color rgb="FFCCCCCC"/>
      </left>
      <right/>
      <top/>
      <bottom/>
      <diagonal/>
    </border>
    <border>
      <left style="thin">
        <color rgb="FFCCCCCC"/>
      </left>
      <right style="thin">
        <color rgb="FFCCCCCC"/>
      </right>
      <top/>
      <bottom style="thin">
        <color rgb="FFCCCCCC"/>
      </bottom>
      <diagonal/>
    </border>
    <border>
      <left style="thin">
        <color rgb="FFCCCCCC"/>
      </left>
      <right/>
      <top style="thin">
        <color rgb="FFCCCCCC"/>
      </top>
      <bottom style="thin">
        <color rgb="FFCCCCCC"/>
      </bottom>
      <diagonal/>
    </border>
    <border>
      <left style="thin">
        <color rgb="FFD9D9D9"/>
      </left>
      <right style="thin">
        <color rgb="FFD9D9D9"/>
      </right>
      <top style="thin">
        <color rgb="FFD9D9D9"/>
      </top>
      <bottom/>
      <diagonal/>
    </border>
    <border>
      <left/>
      <right style="thin">
        <color rgb="FFCCCCCC"/>
      </right>
      <top style="thin">
        <color rgb="FFCCCCCC"/>
      </top>
      <bottom/>
      <diagonal/>
    </border>
    <border>
      <left/>
      <right style="thin">
        <color rgb="FFCCCCCC"/>
      </right>
      <top style="thin">
        <color rgb="FF000000"/>
      </top>
      <bottom style="medium">
        <color rgb="FF000000"/>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top/>
      <bottom/>
      <diagonal/>
    </border>
    <border>
      <left style="thin">
        <color rgb="FFD9D9D9"/>
      </left>
      <right/>
      <top style="thin">
        <color rgb="FFD9D9D9"/>
      </top>
      <bottom style="thin">
        <color rgb="FFD9D9D9"/>
      </bottom>
      <diagonal/>
    </border>
    <border>
      <left/>
      <right/>
      <top/>
      <bottom/>
      <diagonal/>
    </border>
    <border>
      <left style="thin">
        <color rgb="FFD9D9D9"/>
      </left>
      <right/>
      <top style="thin">
        <color rgb="FFD9D9D9"/>
      </top>
      <bottom style="thin">
        <color rgb="FFD9D9D9"/>
      </bottom>
      <diagonal/>
    </border>
    <border>
      <left style="thin">
        <color rgb="FFCCCCCC"/>
      </left>
      <right/>
      <top style="thin">
        <color rgb="FFCCCCCC"/>
      </top>
      <bottom style="thin">
        <color rgb="FFCCCCCC"/>
      </bottom>
      <diagonal/>
    </border>
    <border>
      <left/>
      <right/>
      <top/>
      <bottom/>
      <diagonal/>
    </border>
    <border>
      <left/>
      <right/>
      <top/>
      <bottom/>
      <diagonal/>
    </border>
    <border>
      <left/>
      <right/>
      <top/>
      <bottom/>
      <diagonal/>
    </border>
    <border>
      <left style="thin">
        <color rgb="FFD9D9D9"/>
      </left>
      <right/>
      <top style="thin">
        <color rgb="FFD9D9D9"/>
      </top>
      <bottom/>
      <diagonal/>
    </border>
    <border>
      <left/>
      <right style="thin">
        <color rgb="FFD9D9D9"/>
      </right>
      <top style="thin">
        <color rgb="FFD9D9D9"/>
      </top>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rgb="FFD9D9D9"/>
      </right>
      <top/>
      <bottom/>
      <diagonal/>
    </border>
    <border>
      <left style="thin">
        <color rgb="FFD9D9D9"/>
      </left>
      <right style="thin">
        <color rgb="FFD9D9D9"/>
      </right>
      <top/>
      <bottom/>
      <diagonal/>
    </border>
    <border>
      <left style="thin">
        <color rgb="FFD9D9D9"/>
      </left>
      <right/>
      <top/>
      <bottom style="thin">
        <color rgb="FFD9D9D9"/>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
      <left/>
      <right/>
      <top style="thin">
        <color rgb="FFCCCCCC"/>
      </top>
      <bottom style="thin">
        <color rgb="FFCCCCCC"/>
      </bottom>
      <diagonal/>
    </border>
    <border>
      <left style="thin">
        <color rgb="FFD9D9D9"/>
      </left>
      <right style="thin">
        <color rgb="FFFF0000"/>
      </right>
      <top style="thin">
        <color rgb="FFD9D9D9"/>
      </top>
      <bottom/>
      <diagonal/>
    </border>
    <border>
      <left/>
      <right style="thin">
        <color rgb="FFD9D9D9"/>
      </right>
      <top style="thin">
        <color rgb="FFD9D9D9"/>
      </top>
      <bottom/>
      <diagonal/>
    </border>
    <border>
      <left style="thin">
        <color rgb="FFCCCCCC"/>
      </left>
      <right style="thin">
        <color rgb="FFCCCCCC"/>
      </right>
      <top/>
      <bottom/>
      <diagonal/>
    </border>
    <border>
      <left style="thin">
        <color rgb="FFCCCCCC"/>
      </left>
      <right/>
      <top/>
      <bottom/>
      <diagonal/>
    </border>
    <border>
      <left style="thin">
        <color rgb="FFCCCCCC"/>
      </left>
      <right/>
      <top style="thin">
        <color rgb="FFCCCCCC"/>
      </top>
      <bottom/>
      <diagonal/>
    </border>
    <border>
      <left style="thin">
        <color rgb="FFCCCCCC"/>
      </left>
      <right/>
      <top style="thin">
        <color rgb="FFCCCCCC"/>
      </top>
      <bottom/>
      <diagonal/>
    </border>
    <border>
      <left/>
      <right style="thin">
        <color rgb="FFCCCCCC"/>
      </right>
      <top style="thin">
        <color rgb="FFCCCCCC"/>
      </top>
      <bottom/>
      <diagonal/>
    </border>
    <border>
      <left style="thin">
        <color rgb="FFD9D9D9"/>
      </left>
      <right style="thin">
        <color rgb="FFFF0000"/>
      </right>
      <top/>
      <bottom/>
      <diagonal/>
    </border>
    <border>
      <left/>
      <right style="thin">
        <color rgb="FFD9D9D9"/>
      </right>
      <top/>
      <bottom/>
      <diagonal/>
    </border>
    <border>
      <left style="thin">
        <color rgb="FFCCCCCC"/>
      </left>
      <right style="thin">
        <color rgb="FFCCCCCC"/>
      </right>
      <top/>
      <bottom/>
      <diagonal/>
    </border>
    <border>
      <left style="thin">
        <color rgb="FFCCCCCC"/>
      </left>
      <right/>
      <top/>
      <bottom/>
      <diagonal/>
    </border>
    <border>
      <left style="thin">
        <color rgb="FFCCCCCC"/>
      </left>
      <right/>
      <top/>
      <bottom/>
      <diagonal/>
    </border>
    <border>
      <left style="thin">
        <color rgb="FFCCCCCC"/>
      </left>
      <right/>
      <top/>
      <bottom style="thin">
        <color rgb="FFCCCCCC"/>
      </bottom>
      <diagonal/>
    </border>
    <border>
      <left/>
      <right style="thin">
        <color rgb="FFCCCCCC"/>
      </right>
      <top/>
      <bottom style="thin">
        <color rgb="FFCCCCCC"/>
      </bottom>
      <diagonal/>
    </border>
    <border>
      <left style="thin">
        <color rgb="FFCCCCCC"/>
      </left>
      <right/>
      <top/>
      <bottom style="thin">
        <color rgb="FFCCCCCC"/>
      </bottom>
      <diagonal/>
    </border>
    <border>
      <left/>
      <right/>
      <top style="thin">
        <color rgb="FFCCCCCC"/>
      </top>
      <bottom style="thin">
        <color rgb="FFFF0000"/>
      </bottom>
      <diagonal/>
    </border>
    <border>
      <left/>
      <right style="thin">
        <color rgb="FFCCCCCC"/>
      </right>
      <top style="thin">
        <color rgb="FFCCCCCC"/>
      </top>
      <bottom style="thin">
        <color rgb="FFFF0000"/>
      </bottom>
      <diagonal/>
    </border>
    <border>
      <left style="thin">
        <color rgb="FFD9D9D9"/>
      </left>
      <right style="thin">
        <color rgb="FFD9D9D9"/>
      </right>
      <top style="thin">
        <color rgb="FFD9D9D9"/>
      </top>
      <bottom style="thin">
        <color rgb="FFFF0000"/>
      </bottom>
      <diagonal/>
    </border>
    <border>
      <left style="thin">
        <color rgb="FFCCCCCC"/>
      </left>
      <right/>
      <top style="thin">
        <color rgb="FF000000"/>
      </top>
      <bottom style="thin">
        <color rgb="FF000000"/>
      </bottom>
      <diagonal/>
    </border>
    <border>
      <left/>
      <right style="thin">
        <color rgb="FFD9D9D9"/>
      </right>
      <top/>
      <bottom style="thin">
        <color rgb="FFFF0000"/>
      </bottom>
      <diagonal/>
    </border>
    <border>
      <left/>
      <right/>
      <top/>
      <bottom style="thin">
        <color rgb="FFCCCCCC"/>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right style="thin">
        <color rgb="FFD9D9D9"/>
      </right>
      <top/>
      <bottom/>
      <diagonal/>
    </border>
    <border>
      <left style="thin">
        <color rgb="FFCCCCCC"/>
      </left>
      <right style="thin">
        <color rgb="FFCCCCCC"/>
      </right>
      <top/>
      <bottom/>
      <diagonal/>
    </border>
    <border>
      <left/>
      <right style="thin">
        <color rgb="FFCCCCCC"/>
      </right>
      <top/>
      <bottom style="thin">
        <color rgb="FFCCCCCC"/>
      </bottom>
      <diagonal/>
    </border>
    <border>
      <left style="thin">
        <color rgb="FFCCCCCC"/>
      </left>
      <right style="thin">
        <color rgb="FFCCCCCC"/>
      </right>
      <top style="thin">
        <color rgb="FF000000"/>
      </top>
      <bottom style="thin">
        <color rgb="FF000000"/>
      </bottom>
      <diagonal/>
    </border>
    <border>
      <left style="thin">
        <color rgb="FFD9D9D9"/>
      </left>
      <right style="thin">
        <color rgb="FFFF0000"/>
      </right>
      <top/>
      <bottom style="thin">
        <color rgb="FFD9D9D9"/>
      </bottom>
      <diagonal/>
    </border>
    <border>
      <left/>
      <right style="thin">
        <color rgb="FFD9D9D9"/>
      </right>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bottom/>
      <diagonal/>
    </border>
    <border>
      <left style="thin">
        <color rgb="FFCCCCCC"/>
      </left>
      <right style="thin">
        <color rgb="FFCCCCCC"/>
      </right>
      <top style="thin">
        <color rgb="FFD9D9D9"/>
      </top>
      <bottom style="thin">
        <color rgb="FFCCCCCC"/>
      </bottom>
      <diagonal/>
    </border>
    <border>
      <left style="thin">
        <color rgb="FFCCCCCC"/>
      </left>
      <right/>
      <top style="thin">
        <color rgb="FFD9D9D9"/>
      </top>
      <bottom/>
      <diagonal/>
    </border>
    <border>
      <left/>
      <right/>
      <top style="thin">
        <color rgb="FFD9D9D9"/>
      </top>
      <bottom/>
      <diagonal/>
    </border>
    <border>
      <left style="thin">
        <color rgb="FFD9D9D9"/>
      </left>
      <right style="thin">
        <color rgb="FFCCCCCC"/>
      </right>
      <top style="thin">
        <color rgb="FFD9D9D9"/>
      </top>
      <bottom style="thin">
        <color rgb="FFD9D9D9"/>
      </bottom>
      <diagonal/>
    </border>
    <border>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8D8D8"/>
      </left>
      <right style="thin">
        <color rgb="FFD8D8D8"/>
      </right>
      <top/>
      <bottom/>
      <diagonal/>
    </border>
    <border>
      <left style="thin">
        <color rgb="FFD8D8D8"/>
      </left>
      <right/>
      <top/>
      <bottom/>
      <diagonal/>
    </border>
    <border>
      <left/>
      <right/>
      <top style="thin">
        <color rgb="FF000000"/>
      </top>
      <bottom style="thin">
        <color rgb="FF000000"/>
      </bottom>
      <diagonal/>
    </border>
    <border>
      <left style="thin">
        <color rgb="FFCCCCCC"/>
      </left>
      <right/>
      <top/>
      <bottom style="thin">
        <color rgb="FFCCCCCC"/>
      </bottom>
      <diagonal/>
    </border>
    <border>
      <left/>
      <right/>
      <top/>
      <bottom style="thin">
        <color rgb="FFCCCCCC"/>
      </bottom>
      <diagonal/>
    </border>
    <border>
      <left style="thin">
        <color rgb="FFB7B7B7"/>
      </left>
      <right style="thin">
        <color rgb="FFB7B7B7"/>
      </right>
      <top style="thin">
        <color rgb="FFB7B7B7"/>
      </top>
      <bottom style="thin">
        <color rgb="FFB7B7B7"/>
      </bottom>
      <diagonal/>
    </border>
    <border>
      <left style="thin">
        <color rgb="FFDDDDDD"/>
      </left>
      <right/>
      <top style="thin">
        <color rgb="FFDDDDDD"/>
      </top>
      <bottom style="thin">
        <color rgb="FFDDDDDD"/>
      </bottom>
      <diagonal/>
    </border>
    <border>
      <left/>
      <right style="thin">
        <color rgb="FFDDDDDD"/>
      </right>
      <top style="medium">
        <color rgb="FFDDDDDD"/>
      </top>
      <bottom/>
      <diagonal/>
    </border>
  </borders>
  <cellStyleXfs count="1">
    <xf numFmtId="0" fontId="0" fillId="0" borderId="0"/>
  </cellStyleXfs>
  <cellXfs count="690">
    <xf numFmtId="0" fontId="0" fillId="0" borderId="0" xfId="0" applyFont="1" applyAlignment="1"/>
    <xf numFmtId="164" fontId="1" fillId="2" borderId="1" xfId="0" applyNumberFormat="1" applyFont="1" applyFill="1" applyBorder="1" applyAlignment="1">
      <alignment horizontal="left"/>
    </xf>
    <xf numFmtId="164" fontId="1" fillId="2" borderId="1" xfId="0" applyNumberFormat="1" applyFont="1" applyFill="1" applyBorder="1" applyAlignment="1">
      <alignment horizontal="center"/>
    </xf>
    <xf numFmtId="164" fontId="1" fillId="2" borderId="2" xfId="0" applyNumberFormat="1" applyFont="1" applyFill="1" applyBorder="1" applyAlignment="1">
      <alignment horizontal="left"/>
    </xf>
    <xf numFmtId="0" fontId="2" fillId="0" borderId="0" xfId="0" applyFont="1"/>
    <xf numFmtId="15" fontId="3" fillId="3" borderId="3" xfId="0" applyNumberFormat="1" applyFont="1" applyFill="1" applyBorder="1"/>
    <xf numFmtId="165" fontId="3" fillId="3" borderId="3" xfId="0" applyNumberFormat="1" applyFont="1" applyFill="1" applyBorder="1"/>
    <xf numFmtId="0" fontId="3" fillId="3" borderId="3" xfId="0" applyFont="1" applyFill="1" applyBorder="1"/>
    <xf numFmtId="165" fontId="3" fillId="3" borderId="4" xfId="0" applyNumberFormat="1" applyFont="1" applyFill="1" applyBorder="1"/>
    <xf numFmtId="166" fontId="3" fillId="3" borderId="3" xfId="0" applyNumberFormat="1" applyFont="1" applyFill="1" applyBorder="1"/>
    <xf numFmtId="164" fontId="3" fillId="3" borderId="5" xfId="0" applyNumberFormat="1" applyFont="1" applyFill="1" applyBorder="1"/>
    <xf numFmtId="165" fontId="3" fillId="3" borderId="6" xfId="0" applyNumberFormat="1" applyFont="1" applyFill="1" applyBorder="1"/>
    <xf numFmtId="167" fontId="3" fillId="3" borderId="5" xfId="0" applyNumberFormat="1" applyFont="1" applyFill="1" applyBorder="1"/>
    <xf numFmtId="10" fontId="4" fillId="4" borderId="7" xfId="0" applyNumberFormat="1" applyFont="1" applyFill="1" applyBorder="1" applyAlignment="1">
      <alignment horizontal="center"/>
    </xf>
    <xf numFmtId="164" fontId="1" fillId="2" borderId="7" xfId="0" applyNumberFormat="1" applyFont="1" applyFill="1" applyBorder="1" applyAlignment="1">
      <alignment horizontal="left"/>
    </xf>
    <xf numFmtId="164" fontId="1" fillId="2" borderId="7" xfId="0" applyNumberFormat="1"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4" xfId="0" applyFont="1" applyFill="1" applyBorder="1" applyAlignment="1">
      <alignment horizontal="left"/>
    </xf>
    <xf numFmtId="164" fontId="1" fillId="2" borderId="3" xfId="0" applyNumberFormat="1" applyFont="1" applyFill="1" applyBorder="1" applyAlignment="1">
      <alignment horizontal="left"/>
    </xf>
    <xf numFmtId="164" fontId="1" fillId="2" borderId="9" xfId="0" applyNumberFormat="1" applyFont="1" applyFill="1" applyBorder="1" applyAlignment="1">
      <alignment horizontal="center"/>
    </xf>
    <xf numFmtId="15" fontId="3" fillId="4" borderId="7" xfId="0" applyNumberFormat="1" applyFont="1" applyFill="1" applyBorder="1"/>
    <xf numFmtId="168" fontId="3" fillId="4" borderId="10" xfId="0" applyNumberFormat="1" applyFont="1" applyFill="1" applyBorder="1"/>
    <xf numFmtId="0" fontId="3" fillId="4" borderId="7" xfId="0" applyFont="1" applyFill="1" applyBorder="1"/>
    <xf numFmtId="39" fontId="3" fillId="4" borderId="7" xfId="0" applyNumberFormat="1" applyFont="1" applyFill="1" applyBorder="1"/>
    <xf numFmtId="37" fontId="3" fillId="4" borderId="7" xfId="0" applyNumberFormat="1" applyFont="1" applyFill="1" applyBorder="1"/>
    <xf numFmtId="37" fontId="3" fillId="4" borderId="11" xfId="0" applyNumberFormat="1" applyFont="1" applyFill="1" applyBorder="1"/>
    <xf numFmtId="0" fontId="3" fillId="4" borderId="8" xfId="0" applyFont="1" applyFill="1" applyBorder="1"/>
    <xf numFmtId="164" fontId="3" fillId="5" borderId="3" xfId="0" applyNumberFormat="1" applyFont="1" applyFill="1" applyBorder="1"/>
    <xf numFmtId="164" fontId="3" fillId="5" borderId="12" xfId="0" applyNumberFormat="1" applyFont="1" applyFill="1" applyBorder="1"/>
    <xf numFmtId="39" fontId="3" fillId="5" borderId="3" xfId="0" applyNumberFormat="1" applyFont="1" applyFill="1" applyBorder="1"/>
    <xf numFmtId="0" fontId="3" fillId="5" borderId="3" xfId="0" applyFont="1" applyFill="1" applyBorder="1"/>
    <xf numFmtId="15" fontId="3" fillId="4" borderId="1" xfId="0" applyNumberFormat="1" applyFont="1" applyFill="1" applyBorder="1"/>
    <xf numFmtId="39" fontId="3" fillId="5" borderId="4" xfId="0" applyNumberFormat="1" applyFont="1" applyFill="1" applyBorder="1"/>
    <xf numFmtId="169" fontId="3" fillId="4" borderId="7" xfId="0" applyNumberFormat="1" applyFont="1" applyFill="1" applyBorder="1"/>
    <xf numFmtId="0" fontId="3" fillId="4" borderId="1" xfId="0" applyFont="1" applyFill="1" applyBorder="1"/>
    <xf numFmtId="168" fontId="3" fillId="4" borderId="13" xfId="0" applyNumberFormat="1" applyFont="1" applyFill="1" applyBorder="1"/>
    <xf numFmtId="39" fontId="3" fillId="4" borderId="6" xfId="0" applyNumberFormat="1" applyFont="1" applyFill="1" applyBorder="1"/>
    <xf numFmtId="39" fontId="3" fillId="5" borderId="13" xfId="0" applyNumberFormat="1" applyFont="1" applyFill="1" applyBorder="1"/>
    <xf numFmtId="4" fontId="5" fillId="0" borderId="0" xfId="0" applyNumberFormat="1" applyFont="1"/>
    <xf numFmtId="0" fontId="5" fillId="0" borderId="0" xfId="0" applyFont="1"/>
    <xf numFmtId="0" fontId="3" fillId="0" borderId="0" xfId="0" applyFont="1" applyAlignment="1">
      <alignment horizontal="center"/>
    </xf>
    <xf numFmtId="168" fontId="3" fillId="0" borderId="0" xfId="0" applyNumberFormat="1" applyFont="1"/>
    <xf numFmtId="0" fontId="3" fillId="0" borderId="3" xfId="0" applyFont="1" applyBorder="1"/>
    <xf numFmtId="168" fontId="3" fillId="0" borderId="3" xfId="0" applyNumberFormat="1" applyFont="1" applyBorder="1"/>
    <xf numFmtId="39" fontId="3" fillId="6" borderId="7" xfId="0" applyNumberFormat="1" applyFont="1" applyFill="1" applyBorder="1"/>
    <xf numFmtId="168" fontId="3" fillId="0" borderId="10" xfId="0" applyNumberFormat="1" applyFont="1" applyBorder="1"/>
    <xf numFmtId="170" fontId="3" fillId="0" borderId="3" xfId="0" applyNumberFormat="1" applyFont="1" applyBorder="1"/>
    <xf numFmtId="168" fontId="3" fillId="0" borderId="14" xfId="0" applyNumberFormat="1" applyFont="1" applyBorder="1"/>
    <xf numFmtId="49" fontId="3" fillId="0" borderId="0" xfId="0" applyNumberFormat="1" applyFont="1"/>
    <xf numFmtId="0" fontId="3" fillId="7" borderId="10" xfId="0" applyFont="1" applyFill="1" applyBorder="1" applyAlignment="1">
      <alignment horizontal="right"/>
    </xf>
    <xf numFmtId="0" fontId="3" fillId="7" borderId="10" xfId="0" applyFont="1" applyFill="1" applyBorder="1" applyAlignment="1">
      <alignment horizontal="center"/>
    </xf>
    <xf numFmtId="17" fontId="3" fillId="8" borderId="10" xfId="0" applyNumberFormat="1" applyFont="1" applyFill="1" applyBorder="1"/>
    <xf numFmtId="168" fontId="3" fillId="8" borderId="10" xfId="0" applyNumberFormat="1" applyFont="1" applyFill="1" applyBorder="1"/>
    <xf numFmtId="169" fontId="3" fillId="0" borderId="14" xfId="0" applyNumberFormat="1" applyFont="1" applyBorder="1"/>
    <xf numFmtId="0" fontId="3" fillId="9" borderId="3" xfId="0" applyFont="1" applyFill="1" applyBorder="1"/>
    <xf numFmtId="168" fontId="3" fillId="9" borderId="10" xfId="0" applyNumberFormat="1" applyFont="1" applyFill="1" applyBorder="1"/>
    <xf numFmtId="17" fontId="3" fillId="0" borderId="10" xfId="0" applyNumberFormat="1" applyFont="1" applyBorder="1"/>
    <xf numFmtId="168" fontId="3" fillId="0" borderId="13" xfId="0" applyNumberFormat="1" applyFont="1" applyBorder="1"/>
    <xf numFmtId="170" fontId="3" fillId="0" borderId="15" xfId="0" applyNumberFormat="1" applyFont="1" applyBorder="1"/>
    <xf numFmtId="15" fontId="6" fillId="6" borderId="10" xfId="0" applyNumberFormat="1" applyFont="1" applyFill="1" applyBorder="1" applyAlignment="1">
      <alignment horizontal="center"/>
    </xf>
    <xf numFmtId="0" fontId="3" fillId="0" borderId="16" xfId="0" applyFont="1" applyBorder="1" applyAlignment="1">
      <alignment horizontal="right"/>
    </xf>
    <xf numFmtId="168" fontId="3" fillId="0" borderId="6" xfId="0" applyNumberFormat="1" applyFont="1" applyBorder="1"/>
    <xf numFmtId="0" fontId="3" fillId="6" borderId="10" xfId="0" applyFont="1" applyFill="1" applyBorder="1"/>
    <xf numFmtId="168" fontId="3" fillId="6" borderId="10" xfId="0" applyNumberFormat="1" applyFont="1" applyFill="1" applyBorder="1"/>
    <xf numFmtId="169" fontId="3" fillId="9" borderId="3" xfId="0" applyNumberFormat="1" applyFont="1" applyFill="1" applyBorder="1"/>
    <xf numFmtId="168" fontId="3" fillId="0" borderId="17" xfId="0" applyNumberFormat="1" applyFont="1" applyBorder="1"/>
    <xf numFmtId="168" fontId="3" fillId="6" borderId="18" xfId="0" applyNumberFormat="1" applyFont="1" applyFill="1" applyBorder="1"/>
    <xf numFmtId="168" fontId="3" fillId="6" borderId="13" xfId="0" applyNumberFormat="1" applyFont="1" applyFill="1" applyBorder="1"/>
    <xf numFmtId="0" fontId="5" fillId="0" borderId="10" xfId="0" applyFont="1" applyBorder="1"/>
    <xf numFmtId="0" fontId="3" fillId="0" borderId="10" xfId="0" applyFont="1" applyBorder="1"/>
    <xf numFmtId="0" fontId="7" fillId="3" borderId="3" xfId="0" applyFont="1" applyFill="1" applyBorder="1"/>
    <xf numFmtId="0" fontId="1" fillId="2" borderId="3" xfId="0" applyFont="1" applyFill="1" applyBorder="1" applyAlignment="1">
      <alignment horizontal="left"/>
    </xf>
    <xf numFmtId="15" fontId="3" fillId="5" borderId="3" xfId="0" applyNumberFormat="1" applyFont="1" applyFill="1" applyBorder="1"/>
    <xf numFmtId="39" fontId="3" fillId="5" borderId="12" xfId="0" applyNumberFormat="1" applyFont="1" applyFill="1" applyBorder="1"/>
    <xf numFmtId="0" fontId="3" fillId="10" borderId="3" xfId="0" applyFont="1" applyFill="1" applyBorder="1"/>
    <xf numFmtId="0" fontId="8" fillId="5" borderId="3" xfId="0" applyFont="1" applyFill="1" applyBorder="1"/>
    <xf numFmtId="169" fontId="3" fillId="5" borderId="3" xfId="0" applyNumberFormat="1" applyFont="1" applyFill="1" applyBorder="1"/>
    <xf numFmtId="39" fontId="3" fillId="5" borderId="19" xfId="0" applyNumberFormat="1" applyFont="1" applyFill="1" applyBorder="1"/>
    <xf numFmtId="170" fontId="3" fillId="4" borderId="7" xfId="0" applyNumberFormat="1" applyFont="1" applyFill="1" applyBorder="1"/>
    <xf numFmtId="15" fontId="3" fillId="4" borderId="1" xfId="0" applyNumberFormat="1" applyFont="1" applyFill="1" applyBorder="1" applyAlignment="1"/>
    <xf numFmtId="168" fontId="3" fillId="4" borderId="10" xfId="0" applyNumberFormat="1" applyFont="1" applyFill="1" applyBorder="1" applyAlignment="1"/>
    <xf numFmtId="39" fontId="3" fillId="4" borderId="7" xfId="0" applyNumberFormat="1" applyFont="1" applyFill="1" applyBorder="1" applyAlignment="1"/>
    <xf numFmtId="39" fontId="3" fillId="5" borderId="20" xfId="0" applyNumberFormat="1" applyFont="1" applyFill="1" applyBorder="1"/>
    <xf numFmtId="171" fontId="3" fillId="6" borderId="10" xfId="0" applyNumberFormat="1" applyFont="1" applyFill="1" applyBorder="1"/>
    <xf numFmtId="15" fontId="9" fillId="6" borderId="10" xfId="0" applyNumberFormat="1" applyFont="1" applyFill="1" applyBorder="1" applyAlignment="1">
      <alignment horizontal="center"/>
    </xf>
    <xf numFmtId="170" fontId="3" fillId="11" borderId="3" xfId="0" applyNumberFormat="1" applyFont="1" applyFill="1" applyBorder="1"/>
    <xf numFmtId="170" fontId="3" fillId="0" borderId="14" xfId="0" applyNumberFormat="1" applyFont="1" applyBorder="1"/>
    <xf numFmtId="170" fontId="3" fillId="12" borderId="3" xfId="0" applyNumberFormat="1" applyFont="1" applyFill="1" applyBorder="1"/>
    <xf numFmtId="168" fontId="3" fillId="9" borderId="3" xfId="0" applyNumberFormat="1" applyFont="1" applyFill="1" applyBorder="1"/>
    <xf numFmtId="170" fontId="3" fillId="11" borderId="4" xfId="0" applyNumberFormat="1" applyFont="1" applyFill="1" applyBorder="1"/>
    <xf numFmtId="170" fontId="3" fillId="12" borderId="4" xfId="0" applyNumberFormat="1" applyFont="1" applyFill="1" applyBorder="1"/>
    <xf numFmtId="168" fontId="3" fillId="0" borderId="10" xfId="0" applyNumberFormat="1" applyFont="1" applyBorder="1" applyAlignment="1">
      <alignment horizontal="right"/>
    </xf>
    <xf numFmtId="0" fontId="3" fillId="0" borderId="0" xfId="0" applyFont="1"/>
    <xf numFmtId="0" fontId="3" fillId="0" borderId="10" xfId="0" applyFont="1" applyBorder="1" applyAlignment="1">
      <alignment horizontal="center"/>
    </xf>
    <xf numFmtId="168" fontId="3" fillId="0" borderId="21" xfId="0" applyNumberFormat="1" applyFont="1" applyBorder="1"/>
    <xf numFmtId="165" fontId="3" fillId="3" borderId="4" xfId="0" applyNumberFormat="1" applyFont="1" applyFill="1" applyBorder="1" applyAlignment="1"/>
    <xf numFmtId="0" fontId="3" fillId="3" borderId="3" xfId="0" applyFont="1" applyFill="1" applyBorder="1" applyAlignment="1"/>
    <xf numFmtId="0" fontId="3" fillId="5" borderId="12" xfId="0" applyFont="1" applyFill="1" applyBorder="1"/>
    <xf numFmtId="15" fontId="3" fillId="5" borderId="12" xfId="0" applyNumberFormat="1" applyFont="1" applyFill="1" applyBorder="1"/>
    <xf numFmtId="0" fontId="10" fillId="13" borderId="10" xfId="0" applyFont="1" applyFill="1" applyBorder="1" applyAlignment="1">
      <alignment horizontal="center"/>
    </xf>
    <xf numFmtId="0" fontId="11" fillId="13" borderId="10" xfId="0" applyFont="1" applyFill="1" applyBorder="1" applyAlignment="1">
      <alignment horizontal="left"/>
    </xf>
    <xf numFmtId="0" fontId="12" fillId="13" borderId="10" xfId="0" applyFont="1" applyFill="1" applyBorder="1"/>
    <xf numFmtId="0" fontId="13" fillId="13" borderId="10" xfId="0" applyFont="1" applyFill="1" applyBorder="1" applyAlignment="1">
      <alignment horizontal="right"/>
    </xf>
    <xf numFmtId="0" fontId="14" fillId="13" borderId="10" xfId="0" applyFont="1" applyFill="1" applyBorder="1" applyAlignment="1">
      <alignment horizontal="center"/>
    </xf>
    <xf numFmtId="0" fontId="15" fillId="0" borderId="0" xfId="0" applyFont="1" applyAlignment="1">
      <alignment horizontal="center"/>
    </xf>
    <xf numFmtId="15" fontId="3" fillId="12" borderId="22" xfId="0" applyNumberFormat="1" applyFont="1" applyFill="1" applyBorder="1"/>
    <xf numFmtId="0" fontId="3" fillId="12" borderId="22" xfId="0" applyFont="1" applyFill="1" applyBorder="1"/>
    <xf numFmtId="0" fontId="4" fillId="12" borderId="22" xfId="0" applyFont="1" applyFill="1" applyBorder="1"/>
    <xf numFmtId="1" fontId="4" fillId="12" borderId="22" xfId="0" applyNumberFormat="1" applyFont="1" applyFill="1" applyBorder="1"/>
    <xf numFmtId="172" fontId="4" fillId="12" borderId="22" xfId="0" applyNumberFormat="1" applyFont="1" applyFill="1" applyBorder="1"/>
    <xf numFmtId="2" fontId="3" fillId="12" borderId="22" xfId="0" applyNumberFormat="1" applyFont="1" applyFill="1" applyBorder="1"/>
    <xf numFmtId="173" fontId="4" fillId="12" borderId="22" xfId="0" applyNumberFormat="1" applyFont="1" applyFill="1" applyBorder="1"/>
    <xf numFmtId="169" fontId="3" fillId="12" borderId="22" xfId="0" applyNumberFormat="1" applyFont="1" applyFill="1" applyBorder="1"/>
    <xf numFmtId="174" fontId="3" fillId="12" borderId="22" xfId="0" applyNumberFormat="1" applyFont="1" applyFill="1" applyBorder="1"/>
    <xf numFmtId="175" fontId="3" fillId="12" borderId="22" xfId="0" applyNumberFormat="1" applyFont="1" applyFill="1" applyBorder="1" applyAlignment="1">
      <alignment horizontal="right"/>
    </xf>
    <xf numFmtId="176" fontId="3" fillId="12" borderId="22" xfId="0" applyNumberFormat="1" applyFont="1" applyFill="1" applyBorder="1" applyAlignment="1">
      <alignment horizontal="center"/>
    </xf>
    <xf numFmtId="177" fontId="3" fillId="12" borderId="22" xfId="0" applyNumberFormat="1" applyFont="1" applyFill="1" applyBorder="1"/>
    <xf numFmtId="0" fontId="3" fillId="12" borderId="23" xfId="0" applyFont="1" applyFill="1" applyBorder="1" applyAlignment="1">
      <alignment horizontal="center"/>
    </xf>
    <xf numFmtId="0" fontId="3" fillId="0" borderId="24" xfId="0" applyFont="1" applyBorder="1" applyAlignment="1">
      <alignment horizontal="center"/>
    </xf>
    <xf numFmtId="15" fontId="3" fillId="12" borderId="10" xfId="0" applyNumberFormat="1" applyFont="1" applyFill="1" applyBorder="1"/>
    <xf numFmtId="0" fontId="3" fillId="12" borderId="10" xfId="0" applyFont="1" applyFill="1" applyBorder="1"/>
    <xf numFmtId="0" fontId="4" fillId="12" borderId="10" xfId="0" applyFont="1" applyFill="1" applyBorder="1"/>
    <xf numFmtId="1" fontId="4" fillId="12" borderId="10" xfId="0" applyNumberFormat="1" applyFont="1" applyFill="1" applyBorder="1"/>
    <xf numFmtId="172" fontId="4" fillId="12" borderId="10" xfId="0" applyNumberFormat="1" applyFont="1" applyFill="1" applyBorder="1"/>
    <xf numFmtId="2" fontId="3" fillId="12" borderId="10" xfId="0" applyNumberFormat="1" applyFont="1" applyFill="1" applyBorder="1"/>
    <xf numFmtId="173" fontId="4" fillId="12" borderId="10" xfId="0" applyNumberFormat="1" applyFont="1" applyFill="1" applyBorder="1"/>
    <xf numFmtId="169" fontId="3" fillId="12" borderId="10" xfId="0" applyNumberFormat="1" applyFont="1" applyFill="1" applyBorder="1"/>
    <xf numFmtId="174" fontId="3" fillId="12" borderId="10" xfId="0" applyNumberFormat="1" applyFont="1" applyFill="1" applyBorder="1"/>
    <xf numFmtId="175" fontId="3" fillId="12" borderId="10" xfId="0" applyNumberFormat="1" applyFont="1" applyFill="1" applyBorder="1" applyAlignment="1">
      <alignment horizontal="right"/>
    </xf>
    <xf numFmtId="176" fontId="3" fillId="12" borderId="10" xfId="0" applyNumberFormat="1" applyFont="1" applyFill="1" applyBorder="1" applyAlignment="1">
      <alignment horizontal="center"/>
    </xf>
    <xf numFmtId="177" fontId="3" fillId="12" borderId="10" xfId="0" applyNumberFormat="1" applyFont="1" applyFill="1" applyBorder="1"/>
    <xf numFmtId="0" fontId="3" fillId="12" borderId="25" xfId="0" applyFont="1" applyFill="1" applyBorder="1" applyAlignment="1">
      <alignment horizontal="center"/>
    </xf>
    <xf numFmtId="15" fontId="3" fillId="11" borderId="10" xfId="0" applyNumberFormat="1" applyFont="1" applyFill="1" applyBorder="1"/>
    <xf numFmtId="0" fontId="3" fillId="11" borderId="10" xfId="0" applyFont="1" applyFill="1" applyBorder="1"/>
    <xf numFmtId="0" fontId="16" fillId="11" borderId="10" xfId="0" applyFont="1" applyFill="1" applyBorder="1"/>
    <xf numFmtId="1" fontId="16" fillId="11" borderId="10" xfId="0" applyNumberFormat="1" applyFont="1" applyFill="1" applyBorder="1"/>
    <xf numFmtId="172" fontId="16" fillId="11" borderId="10" xfId="0" applyNumberFormat="1" applyFont="1" applyFill="1" applyBorder="1"/>
    <xf numFmtId="2" fontId="3" fillId="11" borderId="10" xfId="0" applyNumberFormat="1" applyFont="1" applyFill="1" applyBorder="1"/>
    <xf numFmtId="173" fontId="17" fillId="11" borderId="10" xfId="0" applyNumberFormat="1" applyFont="1" applyFill="1" applyBorder="1"/>
    <xf numFmtId="173" fontId="16" fillId="11" borderId="10" xfId="0" applyNumberFormat="1" applyFont="1" applyFill="1" applyBorder="1"/>
    <xf numFmtId="169" fontId="3" fillId="11" borderId="10" xfId="0" applyNumberFormat="1" applyFont="1" applyFill="1" applyBorder="1"/>
    <xf numFmtId="174" fontId="3" fillId="11" borderId="10" xfId="0" applyNumberFormat="1" applyFont="1" applyFill="1" applyBorder="1"/>
    <xf numFmtId="175" fontId="3" fillId="11" borderId="10" xfId="0" applyNumberFormat="1" applyFont="1" applyFill="1" applyBorder="1" applyAlignment="1">
      <alignment horizontal="right"/>
    </xf>
    <xf numFmtId="176" fontId="3" fillId="11" borderId="10" xfId="0" applyNumberFormat="1" applyFont="1" applyFill="1" applyBorder="1" applyAlignment="1">
      <alignment horizontal="center"/>
    </xf>
    <xf numFmtId="177" fontId="3" fillId="11" borderId="10" xfId="0" applyNumberFormat="1" applyFont="1" applyFill="1" applyBorder="1"/>
    <xf numFmtId="0" fontId="3" fillId="11" borderId="25" xfId="0" applyFont="1" applyFill="1" applyBorder="1" applyAlignment="1">
      <alignment horizontal="center"/>
    </xf>
    <xf numFmtId="169" fontId="3" fillId="11" borderId="10" xfId="0" applyNumberFormat="1" applyFont="1" applyFill="1" applyBorder="1" applyAlignment="1">
      <alignment horizontal="right" vertical="center"/>
    </xf>
    <xf numFmtId="15" fontId="7" fillId="11" borderId="10" xfId="0" applyNumberFormat="1" applyFont="1" applyFill="1" applyBorder="1"/>
    <xf numFmtId="0" fontId="7" fillId="11" borderId="10" xfId="0" applyFont="1" applyFill="1" applyBorder="1"/>
    <xf numFmtId="15" fontId="7" fillId="12" borderId="10" xfId="0" applyNumberFormat="1" applyFont="1" applyFill="1" applyBorder="1"/>
    <xf numFmtId="0" fontId="7" fillId="12" borderId="10" xfId="0" applyFont="1" applyFill="1" applyBorder="1"/>
    <xf numFmtId="0" fontId="3" fillId="3" borderId="10" xfId="0" applyFont="1" applyFill="1" applyBorder="1"/>
    <xf numFmtId="178" fontId="16" fillId="11" borderId="10" xfId="0" applyNumberFormat="1" applyFont="1" applyFill="1" applyBorder="1"/>
    <xf numFmtId="2" fontId="16" fillId="11" borderId="10" xfId="0" applyNumberFormat="1" applyFont="1" applyFill="1" applyBorder="1"/>
    <xf numFmtId="2" fontId="4" fillId="12" borderId="10" xfId="0" applyNumberFormat="1" applyFont="1" applyFill="1" applyBorder="1"/>
    <xf numFmtId="0" fontId="7" fillId="12" borderId="26" xfId="0" applyFont="1" applyFill="1" applyBorder="1"/>
    <xf numFmtId="179" fontId="7" fillId="11" borderId="10" xfId="0" applyNumberFormat="1" applyFont="1" applyFill="1" applyBorder="1"/>
    <xf numFmtId="179" fontId="7" fillId="11" borderId="10" xfId="0" applyNumberFormat="1" applyFont="1" applyFill="1" applyBorder="1" applyAlignment="1"/>
    <xf numFmtId="1" fontId="16" fillId="11" borderId="10" xfId="0" applyNumberFormat="1" applyFont="1" applyFill="1" applyBorder="1" applyAlignment="1"/>
    <xf numFmtId="172" fontId="16" fillId="11" borderId="10" xfId="0" applyNumberFormat="1" applyFont="1" applyFill="1" applyBorder="1" applyAlignment="1"/>
    <xf numFmtId="15" fontId="7" fillId="0" borderId="10" xfId="0" applyNumberFormat="1" applyFont="1" applyBorder="1"/>
    <xf numFmtId="0" fontId="7" fillId="0" borderId="10" xfId="0" applyFont="1" applyBorder="1"/>
    <xf numFmtId="0" fontId="16" fillId="0" borderId="10" xfId="0" applyFont="1" applyBorder="1"/>
    <xf numFmtId="1" fontId="16" fillId="0" borderId="10" xfId="0" applyNumberFormat="1" applyFont="1" applyBorder="1"/>
    <xf numFmtId="172" fontId="16" fillId="0" borderId="10" xfId="0" applyNumberFormat="1" applyFont="1" applyBorder="1"/>
    <xf numFmtId="2" fontId="3" fillId="0" borderId="10" xfId="0" applyNumberFormat="1" applyFont="1" applyBorder="1"/>
    <xf numFmtId="173" fontId="17" fillId="0" borderId="10" xfId="0" applyNumberFormat="1" applyFont="1" applyBorder="1"/>
    <xf numFmtId="173" fontId="16" fillId="0" borderId="10" xfId="0" applyNumberFormat="1" applyFont="1" applyBorder="1"/>
    <xf numFmtId="169" fontId="3" fillId="0" borderId="10" xfId="0" applyNumberFormat="1" applyFont="1" applyBorder="1"/>
    <xf numFmtId="174" fontId="3" fillId="0" borderId="10" xfId="0" applyNumberFormat="1" applyFont="1" applyBorder="1"/>
    <xf numFmtId="175" fontId="3" fillId="0" borderId="10" xfId="0" applyNumberFormat="1" applyFont="1" applyBorder="1" applyAlignment="1">
      <alignment horizontal="right"/>
    </xf>
    <xf numFmtId="15" fontId="3" fillId="0" borderId="10" xfId="0" applyNumberFormat="1" applyFont="1" applyBorder="1"/>
    <xf numFmtId="176" fontId="3" fillId="0" borderId="10" xfId="0" applyNumberFormat="1" applyFont="1" applyBorder="1" applyAlignment="1">
      <alignment horizontal="center"/>
    </xf>
    <xf numFmtId="177" fontId="3" fillId="0" borderId="10" xfId="0" applyNumberFormat="1" applyFont="1" applyBorder="1"/>
    <xf numFmtId="0" fontId="3" fillId="0" borderId="27" xfId="0" applyFont="1" applyBorder="1" applyAlignment="1">
      <alignment horizontal="center"/>
    </xf>
    <xf numFmtId="15" fontId="3" fillId="0" borderId="0" xfId="0" applyNumberFormat="1" applyFont="1"/>
    <xf numFmtId="2" fontId="3" fillId="0" borderId="0" xfId="0" applyNumberFormat="1" applyFont="1"/>
    <xf numFmtId="2" fontId="3" fillId="0" borderId="0" xfId="0" applyNumberFormat="1" applyFont="1" applyAlignment="1">
      <alignment horizontal="right"/>
    </xf>
    <xf numFmtId="180" fontId="3" fillId="0" borderId="0" xfId="0" applyNumberFormat="1" applyFont="1" applyAlignment="1">
      <alignment horizontal="center"/>
    </xf>
    <xf numFmtId="15" fontId="3" fillId="0" borderId="0" xfId="0" applyNumberFormat="1" applyFont="1" applyAlignment="1">
      <alignment horizontal="right"/>
    </xf>
    <xf numFmtId="176" fontId="3" fillId="0" borderId="0" xfId="0" applyNumberFormat="1" applyFont="1" applyAlignment="1">
      <alignment horizontal="center"/>
    </xf>
    <xf numFmtId="173" fontId="4" fillId="0" borderId="0" xfId="0" applyNumberFormat="1" applyFont="1"/>
    <xf numFmtId="15" fontId="3" fillId="14" borderId="3" xfId="0" applyNumberFormat="1" applyFont="1" applyFill="1" applyBorder="1"/>
    <xf numFmtId="0" fontId="3" fillId="14" borderId="3" xfId="0" applyFont="1" applyFill="1" applyBorder="1"/>
    <xf numFmtId="1" fontId="3" fillId="14" borderId="3" xfId="0" applyNumberFormat="1" applyFont="1" applyFill="1" applyBorder="1"/>
    <xf numFmtId="172" fontId="16" fillId="14" borderId="3" xfId="0" applyNumberFormat="1" applyFont="1" applyFill="1" applyBorder="1"/>
    <xf numFmtId="172" fontId="4" fillId="14" borderId="3" xfId="0" applyNumberFormat="1" applyFont="1" applyFill="1" applyBorder="1"/>
    <xf numFmtId="2" fontId="3" fillId="14" borderId="3" xfId="0" applyNumberFormat="1" applyFont="1" applyFill="1" applyBorder="1" applyAlignment="1">
      <alignment horizontal="right"/>
    </xf>
    <xf numFmtId="2" fontId="3" fillId="14" borderId="3" xfId="0" applyNumberFormat="1" applyFont="1" applyFill="1" applyBorder="1"/>
    <xf numFmtId="175" fontId="3" fillId="14" borderId="3" xfId="0" applyNumberFormat="1" applyFont="1" applyFill="1" applyBorder="1"/>
    <xf numFmtId="169" fontId="3" fillId="14" borderId="3" xfId="0" applyNumberFormat="1" applyFont="1" applyFill="1" applyBorder="1"/>
    <xf numFmtId="175" fontId="3" fillId="14" borderId="3" xfId="0" applyNumberFormat="1" applyFont="1" applyFill="1" applyBorder="1" applyAlignment="1">
      <alignment horizontal="right"/>
    </xf>
    <xf numFmtId="176" fontId="3" fillId="14" borderId="3" xfId="0" applyNumberFormat="1" applyFont="1" applyFill="1" applyBorder="1"/>
    <xf numFmtId="176" fontId="3" fillId="14" borderId="3" xfId="0" applyNumberFormat="1" applyFont="1" applyFill="1" applyBorder="1" applyAlignment="1">
      <alignment horizontal="center"/>
    </xf>
    <xf numFmtId="0" fontId="3" fillId="14" borderId="28" xfId="0" applyFont="1" applyFill="1" applyBorder="1" applyAlignment="1">
      <alignment horizontal="center"/>
    </xf>
    <xf numFmtId="15" fontId="3" fillId="0" borderId="3" xfId="0" applyNumberFormat="1" applyFont="1" applyBorder="1"/>
    <xf numFmtId="1" fontId="3" fillId="0" borderId="3" xfId="0" applyNumberFormat="1" applyFont="1" applyBorder="1"/>
    <xf numFmtId="172" fontId="16" fillId="0" borderId="3" xfId="0" applyNumberFormat="1" applyFont="1" applyBorder="1"/>
    <xf numFmtId="172" fontId="4" fillId="0" borderId="3" xfId="0" applyNumberFormat="1" applyFont="1" applyBorder="1"/>
    <xf numFmtId="2" fontId="3" fillId="0" borderId="3" xfId="0" applyNumberFormat="1" applyFont="1" applyBorder="1" applyAlignment="1">
      <alignment horizontal="right"/>
    </xf>
    <xf numFmtId="2" fontId="3" fillId="0" borderId="3" xfId="0" applyNumberFormat="1" applyFont="1" applyBorder="1"/>
    <xf numFmtId="175" fontId="3" fillId="0" borderId="3" xfId="0" applyNumberFormat="1" applyFont="1" applyBorder="1"/>
    <xf numFmtId="169" fontId="3" fillId="0" borderId="3" xfId="0" applyNumberFormat="1" applyFont="1" applyBorder="1"/>
    <xf numFmtId="175" fontId="3" fillId="0" borderId="3" xfId="0" applyNumberFormat="1" applyFont="1" applyBorder="1" applyAlignment="1">
      <alignment horizontal="right"/>
    </xf>
    <xf numFmtId="176" fontId="3" fillId="0" borderId="3" xfId="0" applyNumberFormat="1" applyFont="1" applyBorder="1"/>
    <xf numFmtId="176" fontId="3" fillId="0" borderId="3" xfId="0" applyNumberFormat="1" applyFont="1" applyBorder="1" applyAlignment="1">
      <alignment horizontal="center"/>
    </xf>
    <xf numFmtId="0" fontId="3" fillId="0" borderId="17" xfId="0" applyFont="1" applyBorder="1" applyAlignment="1">
      <alignment horizontal="center"/>
    </xf>
    <xf numFmtId="172" fontId="3" fillId="0" borderId="0" xfId="0" applyNumberFormat="1" applyFont="1"/>
    <xf numFmtId="15" fontId="3" fillId="3" borderId="10" xfId="0" applyNumberFormat="1" applyFont="1" applyFill="1" applyBorder="1"/>
    <xf numFmtId="181" fontId="3" fillId="3" borderId="10" xfId="0" applyNumberFormat="1" applyFont="1" applyFill="1" applyBorder="1"/>
    <xf numFmtId="0" fontId="3" fillId="3" borderId="10" xfId="0" applyFont="1" applyFill="1" applyBorder="1" applyAlignment="1">
      <alignment horizontal="right"/>
    </xf>
    <xf numFmtId="1" fontId="3" fillId="3" borderId="10" xfId="0" applyNumberFormat="1" applyFont="1" applyFill="1" applyBorder="1" applyAlignment="1">
      <alignment horizontal="center"/>
    </xf>
    <xf numFmtId="1" fontId="3" fillId="3" borderId="10" xfId="0" applyNumberFormat="1" applyFont="1" applyFill="1" applyBorder="1"/>
    <xf numFmtId="172" fontId="16" fillId="3" borderId="10" xfId="0" applyNumberFormat="1" applyFont="1" applyFill="1" applyBorder="1"/>
    <xf numFmtId="172" fontId="4" fillId="3" borderId="10" xfId="0" applyNumberFormat="1" applyFont="1" applyFill="1" applyBorder="1"/>
    <xf numFmtId="2" fontId="3" fillId="3" borderId="10" xfId="0" applyNumberFormat="1" applyFont="1" applyFill="1" applyBorder="1" applyAlignment="1">
      <alignment horizontal="right"/>
    </xf>
    <xf numFmtId="2" fontId="3" fillId="3" borderId="10" xfId="0" applyNumberFormat="1" applyFont="1" applyFill="1" applyBorder="1"/>
    <xf numFmtId="175" fontId="3" fillId="3" borderId="10" xfId="0" applyNumberFormat="1" applyFont="1" applyFill="1" applyBorder="1"/>
    <xf numFmtId="169" fontId="3" fillId="3" borderId="10" xfId="0" applyNumberFormat="1" applyFont="1" applyFill="1" applyBorder="1"/>
    <xf numFmtId="175" fontId="3" fillId="3" borderId="10" xfId="0" applyNumberFormat="1" applyFont="1" applyFill="1" applyBorder="1" applyAlignment="1">
      <alignment horizontal="right"/>
    </xf>
    <xf numFmtId="176" fontId="3" fillId="3" borderId="10" xfId="0" applyNumberFormat="1" applyFont="1" applyFill="1" applyBorder="1"/>
    <xf numFmtId="176" fontId="3" fillId="3" borderId="10" xfId="0" applyNumberFormat="1" applyFont="1" applyFill="1" applyBorder="1" applyAlignment="1">
      <alignment horizontal="center"/>
    </xf>
    <xf numFmtId="0" fontId="3" fillId="3" borderId="25" xfId="0" applyFont="1" applyFill="1" applyBorder="1" applyAlignment="1">
      <alignment horizontal="center"/>
    </xf>
    <xf numFmtId="182" fontId="3" fillId="3" borderId="10" xfId="0" applyNumberFormat="1" applyFont="1" applyFill="1" applyBorder="1"/>
    <xf numFmtId="15" fontId="3" fillId="3" borderId="10" xfId="0" applyNumberFormat="1" applyFont="1" applyFill="1" applyBorder="1" applyAlignment="1"/>
    <xf numFmtId="1" fontId="3" fillId="3" borderId="10" xfId="0" applyNumberFormat="1" applyFont="1" applyFill="1" applyBorder="1" applyAlignment="1">
      <alignment horizontal="center"/>
    </xf>
    <xf numFmtId="169" fontId="3" fillId="3" borderId="10" xfId="0" applyNumberFormat="1" applyFont="1" applyFill="1" applyBorder="1" applyAlignment="1"/>
    <xf numFmtId="172" fontId="16" fillId="3" borderId="10" xfId="0" applyNumberFormat="1" applyFont="1" applyFill="1" applyBorder="1" applyAlignment="1"/>
    <xf numFmtId="172" fontId="4" fillId="3" borderId="10" xfId="0" applyNumberFormat="1" applyFont="1" applyFill="1" applyBorder="1" applyAlignment="1"/>
    <xf numFmtId="15" fontId="7" fillId="12" borderId="10" xfId="0" applyNumberFormat="1" applyFont="1" applyFill="1" applyBorder="1" applyAlignment="1"/>
    <xf numFmtId="0" fontId="3" fillId="0" borderId="10" xfId="0" applyFont="1" applyBorder="1" applyAlignment="1">
      <alignment horizontal="right"/>
    </xf>
    <xf numFmtId="1" fontId="3" fillId="0" borderId="10" xfId="0" applyNumberFormat="1" applyFont="1" applyBorder="1" applyAlignment="1">
      <alignment horizontal="center"/>
    </xf>
    <xf numFmtId="1" fontId="3" fillId="0" borderId="10" xfId="0" applyNumberFormat="1" applyFont="1" applyBorder="1"/>
    <xf numFmtId="172" fontId="4" fillId="0" borderId="10" xfId="0" applyNumberFormat="1" applyFont="1" applyBorder="1"/>
    <xf numFmtId="2" fontId="3" fillId="0" borderId="10" xfId="0" applyNumberFormat="1" applyFont="1" applyBorder="1" applyAlignment="1">
      <alignment horizontal="right"/>
    </xf>
    <xf numFmtId="175" fontId="3" fillId="0" borderId="10" xfId="0" applyNumberFormat="1" applyFont="1" applyBorder="1"/>
    <xf numFmtId="176" fontId="3" fillId="0" borderId="10" xfId="0" applyNumberFormat="1" applyFont="1" applyBorder="1"/>
    <xf numFmtId="176" fontId="3" fillId="0" borderId="0" xfId="0" applyNumberFormat="1" applyFont="1"/>
    <xf numFmtId="0" fontId="19" fillId="0" borderId="0" xfId="0" applyFont="1"/>
    <xf numFmtId="0" fontId="3" fillId="17" borderId="3" xfId="0" applyFont="1" applyFill="1" applyBorder="1" applyAlignment="1">
      <alignment horizontal="left"/>
    </xf>
    <xf numFmtId="169" fontId="3" fillId="17" borderId="3" xfId="0" applyNumberFormat="1" applyFont="1" applyFill="1" applyBorder="1"/>
    <xf numFmtId="169" fontId="3" fillId="4" borderId="3" xfId="0" applyNumberFormat="1" applyFont="1" applyFill="1" applyBorder="1"/>
    <xf numFmtId="169" fontId="3" fillId="17" borderId="3" xfId="0" applyNumberFormat="1" applyFont="1" applyFill="1" applyBorder="1" applyAlignment="1">
      <alignment vertical="center"/>
    </xf>
    <xf numFmtId="169" fontId="3" fillId="0" borderId="0" xfId="0" applyNumberFormat="1" applyFont="1" applyAlignment="1">
      <alignment horizontal="center"/>
    </xf>
    <xf numFmtId="184" fontId="3" fillId="0" borderId="3" xfId="0" applyNumberFormat="1" applyFont="1" applyBorder="1"/>
    <xf numFmtId="169" fontId="3" fillId="4" borderId="3" xfId="0" applyNumberFormat="1" applyFont="1" applyFill="1" applyBorder="1" applyAlignment="1">
      <alignment vertical="center"/>
    </xf>
    <xf numFmtId="0" fontId="5" fillId="0" borderId="3" xfId="0" applyFont="1" applyBorder="1"/>
    <xf numFmtId="185" fontId="3" fillId="3" borderId="3" xfId="0" applyNumberFormat="1" applyFont="1" applyFill="1" applyBorder="1"/>
    <xf numFmtId="2" fontId="3" fillId="3" borderId="3" xfId="0" applyNumberFormat="1" applyFont="1" applyFill="1" applyBorder="1"/>
    <xf numFmtId="169" fontId="3" fillId="18" borderId="3" xfId="0" applyNumberFormat="1" applyFont="1" applyFill="1" applyBorder="1"/>
    <xf numFmtId="184" fontId="3" fillId="14" borderId="3" xfId="0" applyNumberFormat="1" applyFont="1" applyFill="1" applyBorder="1"/>
    <xf numFmtId="0" fontId="3" fillId="19" borderId="3" xfId="0" applyFont="1" applyFill="1" applyBorder="1" applyAlignment="1">
      <alignment horizontal="left"/>
    </xf>
    <xf numFmtId="169" fontId="3" fillId="19" borderId="3" xfId="0" applyNumberFormat="1" applyFont="1" applyFill="1" applyBorder="1"/>
    <xf numFmtId="2" fontId="3" fillId="19" borderId="3" xfId="0" applyNumberFormat="1" applyFont="1" applyFill="1" applyBorder="1"/>
    <xf numFmtId="186" fontId="3" fillId="10" borderId="12" xfId="0" applyNumberFormat="1" applyFont="1" applyFill="1" applyBorder="1"/>
    <xf numFmtId="169" fontId="3" fillId="0" borderId="0" xfId="0" applyNumberFormat="1" applyFont="1"/>
    <xf numFmtId="0" fontId="3" fillId="0" borderId="17" xfId="0" applyFont="1" applyBorder="1"/>
    <xf numFmtId="0" fontId="3" fillId="0" borderId="41" xfId="0" applyFont="1" applyBorder="1"/>
    <xf numFmtId="2" fontId="3" fillId="17" borderId="3" xfId="0" applyNumberFormat="1" applyFont="1" applyFill="1" applyBorder="1"/>
    <xf numFmtId="169" fontId="3" fillId="4" borderId="4" xfId="0" applyNumberFormat="1" applyFont="1" applyFill="1" applyBorder="1"/>
    <xf numFmtId="185" fontId="3" fillId="0" borderId="0" xfId="0" applyNumberFormat="1" applyFont="1"/>
    <xf numFmtId="187" fontId="3" fillId="0" borderId="0" xfId="0" applyNumberFormat="1" applyFont="1"/>
    <xf numFmtId="1" fontId="3" fillId="14" borderId="3" xfId="0" applyNumberFormat="1" applyFont="1" applyFill="1" applyBorder="1" applyAlignment="1">
      <alignment horizontal="center"/>
    </xf>
    <xf numFmtId="0" fontId="3" fillId="17" borderId="3" xfId="0" applyFont="1" applyFill="1" applyBorder="1" applyAlignment="1">
      <alignment horizontal="center"/>
    </xf>
    <xf numFmtId="185" fontId="3" fillId="17" borderId="3" xfId="0" applyNumberFormat="1" applyFont="1" applyFill="1" applyBorder="1" applyAlignment="1">
      <alignment horizontal="center"/>
    </xf>
    <xf numFmtId="0" fontId="2" fillId="0" borderId="3" xfId="0" applyFont="1" applyBorder="1"/>
    <xf numFmtId="169" fontId="3" fillId="3" borderId="25" xfId="0" applyNumberFormat="1" applyFont="1" applyFill="1" applyBorder="1"/>
    <xf numFmtId="169" fontId="3" fillId="3" borderId="3" xfId="0" applyNumberFormat="1" applyFont="1" applyFill="1" applyBorder="1"/>
    <xf numFmtId="184" fontId="3" fillId="3" borderId="3" xfId="0" applyNumberFormat="1" applyFont="1" applyFill="1" applyBorder="1"/>
    <xf numFmtId="0" fontId="3" fillId="3" borderId="28" xfId="0" applyFont="1" applyFill="1" applyBorder="1"/>
    <xf numFmtId="185" fontId="3" fillId="20" borderId="3" xfId="0" applyNumberFormat="1" applyFont="1" applyFill="1" applyBorder="1"/>
    <xf numFmtId="169" fontId="3" fillId="20" borderId="25" xfId="0" applyNumberFormat="1" applyFont="1" applyFill="1" applyBorder="1"/>
    <xf numFmtId="2" fontId="20" fillId="17" borderId="3" xfId="0" applyNumberFormat="1" applyFont="1" applyFill="1" applyBorder="1" applyAlignment="1">
      <alignment horizontal="center" vertical="center" wrapText="1"/>
    </xf>
    <xf numFmtId="169" fontId="3" fillId="21" borderId="59" xfId="0" applyNumberFormat="1" applyFont="1" applyFill="1" applyBorder="1"/>
    <xf numFmtId="169" fontId="3" fillId="3" borderId="60" xfId="0" applyNumberFormat="1" applyFont="1" applyFill="1" applyBorder="1"/>
    <xf numFmtId="0" fontId="3" fillId="9" borderId="0" xfId="0" applyFont="1" applyFill="1" applyAlignment="1"/>
    <xf numFmtId="0" fontId="3" fillId="17" borderId="64" xfId="0" applyFont="1" applyFill="1" applyBorder="1" applyAlignment="1">
      <alignment horizontal="center"/>
    </xf>
    <xf numFmtId="185" fontId="3" fillId="17" borderId="64" xfId="0" applyNumberFormat="1" applyFont="1" applyFill="1" applyBorder="1" applyAlignment="1">
      <alignment horizontal="center"/>
    </xf>
    <xf numFmtId="184" fontId="3" fillId="3" borderId="28" xfId="0" applyNumberFormat="1" applyFont="1" applyFill="1" applyBorder="1"/>
    <xf numFmtId="1" fontId="3" fillId="3" borderId="3" xfId="0" applyNumberFormat="1" applyFont="1" applyFill="1" applyBorder="1" applyAlignment="1">
      <alignment horizontal="center"/>
    </xf>
    <xf numFmtId="185" fontId="3" fillId="11" borderId="64" xfId="0" applyNumberFormat="1" applyFont="1" applyFill="1" applyBorder="1"/>
    <xf numFmtId="0" fontId="3" fillId="3" borderId="67" xfId="0" applyFont="1" applyFill="1" applyBorder="1" applyAlignment="1">
      <alignment horizontal="left"/>
    </xf>
    <xf numFmtId="184" fontId="3" fillId="3" borderId="68" xfId="0" applyNumberFormat="1" applyFont="1" applyFill="1" applyBorder="1"/>
    <xf numFmtId="185" fontId="3" fillId="12" borderId="3" xfId="0" applyNumberFormat="1" applyFont="1" applyFill="1" applyBorder="1"/>
    <xf numFmtId="185" fontId="3" fillId="14" borderId="3" xfId="0" applyNumberFormat="1" applyFont="1" applyFill="1" applyBorder="1"/>
    <xf numFmtId="185" fontId="3" fillId="19" borderId="3" xfId="0" applyNumberFormat="1" applyFont="1" applyFill="1" applyBorder="1"/>
    <xf numFmtId="0" fontId="19" fillId="0" borderId="3" xfId="0" applyFont="1" applyBorder="1"/>
    <xf numFmtId="169" fontId="3" fillId="20" borderId="3" xfId="0" applyNumberFormat="1" applyFont="1" applyFill="1" applyBorder="1" applyAlignment="1"/>
    <xf numFmtId="164" fontId="3" fillId="0" borderId="0" xfId="0" applyNumberFormat="1" applyFont="1"/>
    <xf numFmtId="0" fontId="3" fillId="22" borderId="10" xfId="0" applyFont="1" applyFill="1" applyBorder="1" applyAlignment="1">
      <alignment horizontal="left"/>
    </xf>
    <xf numFmtId="10" fontId="3" fillId="22" borderId="10" xfId="0" applyNumberFormat="1" applyFont="1" applyFill="1" applyBorder="1"/>
    <xf numFmtId="0" fontId="3" fillId="22" borderId="10" xfId="0" applyFont="1" applyFill="1" applyBorder="1"/>
    <xf numFmtId="188" fontId="3" fillId="22" borderId="10" xfId="0" applyNumberFormat="1" applyFont="1" applyFill="1" applyBorder="1"/>
    <xf numFmtId="10" fontId="3" fillId="0" borderId="0" xfId="0" applyNumberFormat="1" applyFont="1"/>
    <xf numFmtId="0" fontId="3" fillId="23" borderId="10" xfId="0" applyFont="1" applyFill="1" applyBorder="1" applyAlignment="1">
      <alignment horizontal="left"/>
    </xf>
    <xf numFmtId="10" fontId="3" fillId="23" borderId="10" xfId="0" applyNumberFormat="1" applyFont="1" applyFill="1" applyBorder="1"/>
    <xf numFmtId="1" fontId="3" fillId="0" borderId="0" xfId="0" applyNumberFormat="1" applyFont="1"/>
    <xf numFmtId="0" fontId="3" fillId="16" borderId="10" xfId="0" applyFont="1" applyFill="1" applyBorder="1" applyAlignment="1">
      <alignment horizontal="left"/>
    </xf>
    <xf numFmtId="188" fontId="3" fillId="16" borderId="10" xfId="0" applyNumberFormat="1" applyFont="1" applyFill="1" applyBorder="1"/>
    <xf numFmtId="0" fontId="3" fillId="16" borderId="10" xfId="0" applyFont="1" applyFill="1" applyBorder="1"/>
    <xf numFmtId="10" fontId="3" fillId="16" borderId="10" xfId="0" applyNumberFormat="1" applyFont="1" applyFill="1" applyBorder="1"/>
    <xf numFmtId="0" fontId="3" fillId="24" borderId="10" xfId="0" applyFont="1" applyFill="1" applyBorder="1" applyAlignment="1">
      <alignment horizontal="left"/>
    </xf>
    <xf numFmtId="10" fontId="3" fillId="24" borderId="10" xfId="0" applyNumberFormat="1" applyFont="1" applyFill="1" applyBorder="1"/>
    <xf numFmtId="189" fontId="3" fillId="24" borderId="10" xfId="0" applyNumberFormat="1" applyFont="1" applyFill="1" applyBorder="1"/>
    <xf numFmtId="189" fontId="3" fillId="24" borderId="26" xfId="0" applyNumberFormat="1" applyFont="1" applyFill="1" applyBorder="1"/>
    <xf numFmtId="0" fontId="3" fillId="25" borderId="10" xfId="0" applyFont="1" applyFill="1" applyBorder="1" applyAlignment="1">
      <alignment horizontal="left"/>
    </xf>
    <xf numFmtId="10" fontId="3" fillId="25" borderId="10" xfId="0" applyNumberFormat="1" applyFont="1" applyFill="1" applyBorder="1"/>
    <xf numFmtId="176" fontId="3" fillId="25" borderId="10" xfId="0" applyNumberFormat="1" applyFont="1" applyFill="1" applyBorder="1"/>
    <xf numFmtId="0" fontId="3" fillId="19" borderId="10" xfId="0" applyFont="1" applyFill="1" applyBorder="1" applyAlignment="1">
      <alignment horizontal="left"/>
    </xf>
    <xf numFmtId="10" fontId="3" fillId="19" borderId="10" xfId="0" applyNumberFormat="1" applyFont="1" applyFill="1" applyBorder="1"/>
    <xf numFmtId="190" fontId="3" fillId="19" borderId="10" xfId="0" applyNumberFormat="1" applyFont="1" applyFill="1" applyBorder="1"/>
    <xf numFmtId="176" fontId="3" fillId="19" borderId="10" xfId="0" applyNumberFormat="1" applyFont="1" applyFill="1" applyBorder="1"/>
    <xf numFmtId="0" fontId="21" fillId="0" borderId="0" xfId="0" applyFont="1"/>
    <xf numFmtId="0" fontId="22" fillId="0" borderId="0" xfId="0" applyFont="1" applyAlignment="1">
      <alignment horizontal="center"/>
    </xf>
    <xf numFmtId="0" fontId="23" fillId="0" borderId="0" xfId="0" applyFont="1"/>
    <xf numFmtId="2" fontId="3" fillId="0" borderId="0" xfId="0" applyNumberFormat="1" applyFont="1" applyAlignment="1">
      <alignment horizontal="center"/>
    </xf>
    <xf numFmtId="2" fontId="16" fillId="0" borderId="0" xfId="0" applyNumberFormat="1" applyFont="1" applyAlignment="1">
      <alignment horizontal="center"/>
    </xf>
    <xf numFmtId="191" fontId="3" fillId="0" borderId="0" xfId="0" applyNumberFormat="1" applyFont="1" applyAlignment="1">
      <alignment horizontal="center"/>
    </xf>
    <xf numFmtId="0" fontId="24" fillId="0" borderId="0" xfId="0" applyFont="1" applyAlignment="1">
      <alignment horizontal="left"/>
    </xf>
    <xf numFmtId="0" fontId="25" fillId="0" borderId="0" xfId="0" applyFont="1" applyAlignment="1">
      <alignment horizontal="center"/>
    </xf>
    <xf numFmtId="0" fontId="26" fillId="0" borderId="0" xfId="0" applyFont="1"/>
    <xf numFmtId="192" fontId="3" fillId="0" borderId="0" xfId="0" applyNumberFormat="1" applyFont="1"/>
    <xf numFmtId="183" fontId="3" fillId="0" borderId="0" xfId="0" applyNumberFormat="1" applyFont="1"/>
    <xf numFmtId="193" fontId="3" fillId="0" borderId="0" xfId="0" applyNumberFormat="1" applyFont="1"/>
    <xf numFmtId="1" fontId="16" fillId="0" borderId="0" xfId="0" applyNumberFormat="1" applyFont="1" applyAlignment="1">
      <alignment horizontal="center"/>
    </xf>
    <xf numFmtId="0" fontId="27" fillId="0" borderId="0" xfId="0" applyFont="1" applyAlignment="1">
      <alignment horizontal="left"/>
    </xf>
    <xf numFmtId="0" fontId="28" fillId="0" borderId="0" xfId="0" applyFont="1" applyAlignment="1">
      <alignment horizontal="center"/>
    </xf>
    <xf numFmtId="0" fontId="29" fillId="0" borderId="0" xfId="0" applyFont="1" applyAlignment="1">
      <alignment horizontal="center"/>
    </xf>
    <xf numFmtId="0" fontId="30" fillId="0" borderId="0" xfId="0" applyFont="1" applyAlignment="1">
      <alignment horizontal="left"/>
    </xf>
    <xf numFmtId="0" fontId="30" fillId="0" borderId="0" xfId="0" applyFont="1"/>
    <xf numFmtId="2" fontId="30" fillId="0" borderId="0" xfId="0" applyNumberFormat="1" applyFont="1"/>
    <xf numFmtId="0" fontId="3" fillId="0" borderId="0" xfId="0" applyFont="1" applyAlignment="1">
      <alignment horizontal="left"/>
    </xf>
    <xf numFmtId="3" fontId="3" fillId="0" borderId="0" xfId="0" applyNumberFormat="1" applyFont="1"/>
    <xf numFmtId="188" fontId="3" fillId="0" borderId="0" xfId="0" applyNumberFormat="1" applyFont="1"/>
    <xf numFmtId="194" fontId="3" fillId="0" borderId="0" xfId="0" applyNumberFormat="1" applyFont="1"/>
    <xf numFmtId="195" fontId="3" fillId="0" borderId="0" xfId="0" applyNumberFormat="1"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0" fillId="26" borderId="26" xfId="0" applyFont="1" applyFill="1" applyBorder="1" applyAlignment="1">
      <alignment vertical="center" wrapText="1"/>
    </xf>
    <xf numFmtId="0" fontId="30" fillId="26" borderId="26" xfId="0" applyFont="1" applyFill="1" applyBorder="1" applyAlignment="1">
      <alignment horizontal="center" vertical="center" wrapText="1"/>
    </xf>
    <xf numFmtId="15" fontId="30" fillId="26" borderId="26" xfId="0" applyNumberFormat="1" applyFont="1" applyFill="1" applyBorder="1" applyAlignment="1">
      <alignment vertical="center" wrapText="1"/>
    </xf>
    <xf numFmtId="49" fontId="3" fillId="12" borderId="10" xfId="0" applyNumberFormat="1" applyFont="1" applyFill="1" applyBorder="1" applyAlignment="1">
      <alignment horizontal="left"/>
    </xf>
    <xf numFmtId="49" fontId="3" fillId="12" borderId="10" xfId="0" applyNumberFormat="1" applyFont="1" applyFill="1" applyBorder="1" applyAlignment="1">
      <alignment horizontal="center"/>
    </xf>
    <xf numFmtId="10" fontId="3" fillId="12" borderId="10" xfId="0" applyNumberFormat="1" applyFont="1" applyFill="1" applyBorder="1" applyAlignment="1">
      <alignment horizontal="right"/>
    </xf>
    <xf numFmtId="2" fontId="16" fillId="12" borderId="10" xfId="0" applyNumberFormat="1" applyFont="1" applyFill="1" applyBorder="1"/>
    <xf numFmtId="196" fontId="4" fillId="12" borderId="10" xfId="0" applyNumberFormat="1" applyFont="1" applyFill="1" applyBorder="1"/>
    <xf numFmtId="15" fontId="4" fillId="12" borderId="10" xfId="0" applyNumberFormat="1" applyFont="1" applyFill="1" applyBorder="1"/>
    <xf numFmtId="169" fontId="3" fillId="12" borderId="25" xfId="0" applyNumberFormat="1" applyFont="1" applyFill="1" applyBorder="1"/>
    <xf numFmtId="197" fontId="3" fillId="12" borderId="10" xfId="0" applyNumberFormat="1" applyFont="1" applyFill="1" applyBorder="1"/>
    <xf numFmtId="198" fontId="34" fillId="12" borderId="71" xfId="0" applyNumberFormat="1" applyFont="1" applyFill="1" applyBorder="1"/>
    <xf numFmtId="199" fontId="35" fillId="12" borderId="10" xfId="0" applyNumberFormat="1" applyFont="1" applyFill="1" applyBorder="1"/>
    <xf numFmtId="200" fontId="36" fillId="12" borderId="10" xfId="0" applyNumberFormat="1" applyFont="1" applyFill="1" applyBorder="1"/>
    <xf numFmtId="1" fontId="3" fillId="11" borderId="10" xfId="0" applyNumberFormat="1" applyFont="1" applyFill="1" applyBorder="1" applyAlignment="1">
      <alignment horizontal="center"/>
    </xf>
    <xf numFmtId="10" fontId="3" fillId="11" borderId="10" xfId="0" applyNumberFormat="1" applyFont="1" applyFill="1" applyBorder="1" applyAlignment="1">
      <alignment horizontal="right"/>
    </xf>
    <xf numFmtId="1" fontId="3" fillId="11" borderId="10" xfId="0" applyNumberFormat="1" applyFont="1" applyFill="1" applyBorder="1"/>
    <xf numFmtId="172" fontId="4" fillId="11" borderId="10" xfId="0" applyNumberFormat="1" applyFont="1" applyFill="1" applyBorder="1"/>
    <xf numFmtId="2" fontId="4" fillId="11" borderId="10" xfId="0" applyNumberFormat="1" applyFont="1" applyFill="1" applyBorder="1"/>
    <xf numFmtId="196" fontId="4" fillId="11" borderId="10" xfId="0" applyNumberFormat="1" applyFont="1" applyFill="1" applyBorder="1"/>
    <xf numFmtId="15" fontId="4" fillId="11" borderId="10" xfId="0" applyNumberFormat="1" applyFont="1" applyFill="1" applyBorder="1"/>
    <xf numFmtId="169" fontId="3" fillId="11" borderId="25" xfId="0" applyNumberFormat="1" applyFont="1" applyFill="1" applyBorder="1"/>
    <xf numFmtId="197" fontId="3" fillId="11" borderId="10" xfId="0" applyNumberFormat="1" applyFont="1" applyFill="1" applyBorder="1"/>
    <xf numFmtId="198" fontId="34" fillId="11" borderId="71" xfId="0" applyNumberFormat="1" applyFont="1" applyFill="1" applyBorder="1"/>
    <xf numFmtId="199" fontId="35" fillId="11" borderId="10" xfId="0" applyNumberFormat="1" applyFont="1" applyFill="1" applyBorder="1"/>
    <xf numFmtId="200" fontId="36" fillId="11" borderId="10" xfId="0" applyNumberFormat="1" applyFont="1" applyFill="1" applyBorder="1"/>
    <xf numFmtId="0" fontId="3" fillId="27" borderId="10" xfId="0" applyFont="1" applyFill="1" applyBorder="1"/>
    <xf numFmtId="0" fontId="3" fillId="4" borderId="10" xfId="0" applyFont="1" applyFill="1" applyBorder="1"/>
    <xf numFmtId="2" fontId="16" fillId="11" borderId="10" xfId="0" applyNumberFormat="1" applyFont="1" applyFill="1" applyBorder="1" applyAlignment="1"/>
    <xf numFmtId="174" fontId="3" fillId="11" borderId="10" xfId="0" applyNumberFormat="1" applyFont="1" applyFill="1" applyBorder="1" applyAlignment="1"/>
    <xf numFmtId="197" fontId="3" fillId="11" borderId="72" xfId="0" applyNumberFormat="1" applyFont="1" applyFill="1" applyBorder="1"/>
    <xf numFmtId="15" fontId="3" fillId="27" borderId="10" xfId="0" applyNumberFormat="1" applyFont="1" applyFill="1" applyBorder="1"/>
    <xf numFmtId="10" fontId="3" fillId="0" borderId="10" xfId="0" applyNumberFormat="1" applyFont="1" applyBorder="1" applyAlignment="1">
      <alignment horizontal="right"/>
    </xf>
    <xf numFmtId="2" fontId="16" fillId="0" borderId="10" xfId="0" applyNumberFormat="1" applyFont="1" applyBorder="1"/>
    <xf numFmtId="2" fontId="4" fillId="0" borderId="10" xfId="0" applyNumberFormat="1" applyFont="1" applyBorder="1"/>
    <xf numFmtId="196" fontId="4" fillId="0" borderId="10" xfId="0" applyNumberFormat="1" applyFont="1" applyBorder="1"/>
    <xf numFmtId="15" fontId="4" fillId="0" borderId="10" xfId="0" applyNumberFormat="1" applyFont="1" applyBorder="1"/>
    <xf numFmtId="197" fontId="3" fillId="0" borderId="37" xfId="0" applyNumberFormat="1" applyFont="1" applyBorder="1"/>
    <xf numFmtId="198" fontId="34" fillId="0" borderId="10" xfId="0" applyNumberFormat="1" applyFont="1" applyBorder="1"/>
    <xf numFmtId="199" fontId="35" fillId="0" borderId="10" xfId="0" applyNumberFormat="1" applyFont="1" applyBorder="1"/>
    <xf numFmtId="200" fontId="36" fillId="0" borderId="10" xfId="0" applyNumberFormat="1" applyFont="1" applyBorder="1"/>
    <xf numFmtId="197" fontId="3" fillId="0" borderId="10" xfId="0" applyNumberFormat="1" applyFont="1" applyBorder="1"/>
    <xf numFmtId="1" fontId="37" fillId="4" borderId="73" xfId="0" applyNumberFormat="1" applyFont="1" applyFill="1" applyBorder="1" applyAlignment="1">
      <alignment horizontal="center"/>
    </xf>
    <xf numFmtId="0" fontId="38" fillId="4" borderId="73" xfId="0" applyFont="1" applyFill="1" applyBorder="1"/>
    <xf numFmtId="15" fontId="7" fillId="4" borderId="73" xfId="0" applyNumberFormat="1" applyFont="1" applyFill="1" applyBorder="1"/>
    <xf numFmtId="0" fontId="7" fillId="4" borderId="73" xfId="0" applyFont="1" applyFill="1" applyBorder="1"/>
    <xf numFmtId="174" fontId="3" fillId="0" borderId="74" xfId="0" applyNumberFormat="1" applyFont="1" applyBorder="1"/>
    <xf numFmtId="174" fontId="38" fillId="4" borderId="73" xfId="0" applyNumberFormat="1" applyFont="1" applyFill="1" applyBorder="1"/>
    <xf numFmtId="15" fontId="7" fillId="0" borderId="75" xfId="0" applyNumberFormat="1" applyFont="1" applyBorder="1"/>
    <xf numFmtId="172" fontId="3" fillId="0" borderId="75" xfId="0" applyNumberFormat="1" applyFont="1" applyBorder="1"/>
    <xf numFmtId="2" fontId="4" fillId="0" borderId="75" xfId="0" applyNumberFormat="1" applyFont="1" applyBorder="1"/>
    <xf numFmtId="169" fontId="3" fillId="0" borderId="75" xfId="0" applyNumberFormat="1" applyFont="1" applyBorder="1"/>
    <xf numFmtId="15" fontId="3" fillId="0" borderId="75" xfId="0" applyNumberFormat="1" applyFont="1" applyBorder="1"/>
    <xf numFmtId="2" fontId="3" fillId="0" borderId="75" xfId="0" applyNumberFormat="1" applyFont="1" applyBorder="1"/>
    <xf numFmtId="197" fontId="3" fillId="0" borderId="0" xfId="0" applyNumberFormat="1" applyFont="1"/>
    <xf numFmtId="0" fontId="3" fillId="0" borderId="75" xfId="0" applyFont="1" applyBorder="1"/>
    <xf numFmtId="197" fontId="3" fillId="0" borderId="75" xfId="0" applyNumberFormat="1" applyFont="1" applyBorder="1"/>
    <xf numFmtId="198" fontId="34" fillId="12" borderId="10" xfId="0" applyNumberFormat="1" applyFont="1" applyFill="1" applyBorder="1"/>
    <xf numFmtId="49" fontId="3" fillId="0" borderId="0" xfId="0" applyNumberFormat="1" applyFont="1" applyAlignment="1">
      <alignment horizontal="center"/>
    </xf>
    <xf numFmtId="172" fontId="16" fillId="0" borderId="0" xfId="0" applyNumberFormat="1" applyFont="1"/>
    <xf numFmtId="15" fontId="16" fillId="0" borderId="0" xfId="0" applyNumberFormat="1" applyFont="1"/>
    <xf numFmtId="172" fontId="4" fillId="0" borderId="0" xfId="0" applyNumberFormat="1" applyFont="1"/>
    <xf numFmtId="15" fontId="4" fillId="0" borderId="0" xfId="0" applyNumberFormat="1" applyFont="1"/>
    <xf numFmtId="198" fontId="34" fillId="0" borderId="0" xfId="0" applyNumberFormat="1" applyFont="1"/>
    <xf numFmtId="199" fontId="35" fillId="0" borderId="0" xfId="0" applyNumberFormat="1" applyFont="1"/>
    <xf numFmtId="200" fontId="36" fillId="0" borderId="0" xfId="0" applyNumberFormat="1" applyFont="1"/>
    <xf numFmtId="170" fontId="3" fillId="0" borderId="0" xfId="0" applyNumberFormat="1" applyFont="1"/>
    <xf numFmtId="0" fontId="3" fillId="12" borderId="76" xfId="0" applyFont="1" applyFill="1" applyBorder="1"/>
    <xf numFmtId="201" fontId="3" fillId="12" borderId="3" xfId="0" applyNumberFormat="1" applyFont="1" applyFill="1" applyBorder="1"/>
    <xf numFmtId="15" fontId="3" fillId="12" borderId="3" xfId="0" applyNumberFormat="1" applyFont="1" applyFill="1" applyBorder="1" applyAlignment="1">
      <alignment horizontal="center"/>
    </xf>
    <xf numFmtId="2" fontId="3" fillId="12" borderId="3" xfId="0" applyNumberFormat="1" applyFont="1" applyFill="1" applyBorder="1"/>
    <xf numFmtId="15" fontId="3" fillId="12" borderId="76" xfId="0" applyNumberFormat="1" applyFont="1" applyFill="1" applyBorder="1"/>
    <xf numFmtId="15" fontId="3" fillId="3" borderId="10" xfId="0" applyNumberFormat="1" applyFont="1" applyFill="1" applyBorder="1" applyAlignment="1">
      <alignment horizontal="center"/>
    </xf>
    <xf numFmtId="202" fontId="3" fillId="3" borderId="3" xfId="0" applyNumberFormat="1" applyFont="1" applyFill="1" applyBorder="1"/>
    <xf numFmtId="1" fontId="3" fillId="3" borderId="3" xfId="0" applyNumberFormat="1" applyFont="1" applyFill="1" applyBorder="1" applyAlignment="1">
      <alignment horizontal="right"/>
    </xf>
    <xf numFmtId="202" fontId="3" fillId="3" borderId="28" xfId="0" applyNumberFormat="1" applyFont="1" applyFill="1" applyBorder="1"/>
    <xf numFmtId="0" fontId="3" fillId="0" borderId="79" xfId="0" applyFont="1" applyBorder="1"/>
    <xf numFmtId="49" fontId="3" fillId="0" borderId="79" xfId="0" applyNumberFormat="1" applyFont="1" applyBorder="1" applyAlignment="1">
      <alignment horizontal="center"/>
    </xf>
    <xf numFmtId="0" fontId="3" fillId="0" borderId="80" xfId="0" applyFont="1" applyBorder="1"/>
    <xf numFmtId="0" fontId="30" fillId="26" borderId="26" xfId="0" applyFont="1" applyFill="1" applyBorder="1" applyAlignment="1">
      <alignment horizontal="right" vertical="center" wrapText="1"/>
    </xf>
    <xf numFmtId="0" fontId="5" fillId="11" borderId="10" xfId="0" applyFont="1" applyFill="1" applyBorder="1"/>
    <xf numFmtId="49" fontId="5" fillId="11" borderId="10" xfId="0" applyNumberFormat="1" applyFont="1" applyFill="1" applyBorder="1"/>
    <xf numFmtId="1" fontId="3" fillId="12" borderId="10" xfId="0" applyNumberFormat="1" applyFont="1" applyFill="1" applyBorder="1"/>
    <xf numFmtId="10" fontId="7" fillId="12" borderId="10" xfId="0" applyNumberFormat="1" applyFont="1" applyFill="1" applyBorder="1"/>
    <xf numFmtId="49" fontId="3" fillId="11" borderId="10" xfId="0" applyNumberFormat="1" applyFont="1" applyFill="1" applyBorder="1" applyAlignment="1">
      <alignment horizontal="center"/>
    </xf>
    <xf numFmtId="15" fontId="3" fillId="11" borderId="10" xfId="0" applyNumberFormat="1" applyFont="1" applyFill="1" applyBorder="1" applyAlignment="1">
      <alignment horizontal="right"/>
    </xf>
    <xf numFmtId="1" fontId="3" fillId="11" borderId="10" xfId="0" applyNumberFormat="1" applyFont="1" applyFill="1" applyBorder="1" applyAlignment="1">
      <alignment horizontal="right"/>
    </xf>
    <xf numFmtId="1" fontId="5" fillId="11" borderId="10" xfId="0" applyNumberFormat="1" applyFont="1" applyFill="1" applyBorder="1"/>
    <xf numFmtId="15" fontId="3" fillId="12" borderId="10" xfId="0" applyNumberFormat="1" applyFont="1" applyFill="1" applyBorder="1" applyAlignment="1">
      <alignment horizontal="right"/>
    </xf>
    <xf numFmtId="1" fontId="3" fillId="12" borderId="10" xfId="0" applyNumberFormat="1" applyFont="1" applyFill="1" applyBorder="1" applyAlignment="1">
      <alignment horizontal="right"/>
    </xf>
    <xf numFmtId="0" fontId="5" fillId="11" borderId="71" xfId="0" applyFont="1" applyFill="1" applyBorder="1"/>
    <xf numFmtId="49" fontId="5" fillId="11" borderId="71" xfId="0" applyNumberFormat="1" applyFont="1" applyFill="1" applyBorder="1"/>
    <xf numFmtId="49" fontId="3" fillId="11" borderId="71" xfId="0" applyNumberFormat="1" applyFont="1" applyFill="1" applyBorder="1" applyAlignment="1">
      <alignment horizontal="center"/>
    </xf>
    <xf numFmtId="170" fontId="3" fillId="9" borderId="3" xfId="0" applyNumberFormat="1" applyFont="1" applyFill="1" applyBorder="1"/>
    <xf numFmtId="2" fontId="39" fillId="0" borderId="0" xfId="0" applyNumberFormat="1" applyFont="1"/>
    <xf numFmtId="10" fontId="7" fillId="0" borderId="10" xfId="0" applyNumberFormat="1" applyFont="1" applyBorder="1"/>
    <xf numFmtId="0" fontId="3" fillId="26" borderId="3" xfId="0" applyFont="1" applyFill="1" applyBorder="1" applyAlignment="1">
      <alignment horizontal="center" vertical="center"/>
    </xf>
    <xf numFmtId="0" fontId="3" fillId="26" borderId="3" xfId="0" applyFont="1" applyFill="1" applyBorder="1" applyAlignment="1">
      <alignment vertical="center"/>
    </xf>
    <xf numFmtId="0" fontId="3" fillId="26" borderId="3" xfId="0" applyFont="1" applyFill="1" applyBorder="1" applyAlignment="1">
      <alignment horizontal="center" vertical="center" wrapText="1"/>
    </xf>
    <xf numFmtId="201" fontId="3" fillId="0" borderId="0" xfId="0" applyNumberFormat="1" applyFont="1"/>
    <xf numFmtId="15" fontId="3" fillId="12" borderId="3" xfId="0" applyNumberFormat="1" applyFont="1" applyFill="1" applyBorder="1"/>
    <xf numFmtId="177" fontId="3" fillId="12" borderId="22" xfId="0" applyNumberFormat="1" applyFont="1" applyFill="1" applyBorder="1" applyAlignment="1">
      <alignment horizontal="left"/>
    </xf>
    <xf numFmtId="177" fontId="3" fillId="12" borderId="10" xfId="0" applyNumberFormat="1" applyFont="1" applyFill="1" applyBorder="1" applyAlignment="1">
      <alignment horizontal="left"/>
    </xf>
    <xf numFmtId="201" fontId="3" fillId="12" borderId="12" xfId="0" applyNumberFormat="1" applyFont="1" applyFill="1" applyBorder="1"/>
    <xf numFmtId="15" fontId="3" fillId="12" borderId="28" xfId="0" applyNumberFormat="1" applyFont="1" applyFill="1" applyBorder="1"/>
    <xf numFmtId="177" fontId="3" fillId="12" borderId="3" xfId="0" applyNumberFormat="1" applyFont="1" applyFill="1" applyBorder="1" applyAlignment="1">
      <alignment horizontal="left"/>
    </xf>
    <xf numFmtId="0" fontId="3" fillId="12" borderId="28" xfId="0" applyFont="1" applyFill="1" applyBorder="1"/>
    <xf numFmtId="15" fontId="3" fillId="0" borderId="0" xfId="0" applyNumberFormat="1" applyFont="1" applyAlignment="1">
      <alignment horizontal="center"/>
    </xf>
    <xf numFmtId="201" fontId="3" fillId="0" borderId="3" xfId="0" applyNumberFormat="1" applyFont="1" applyBorder="1"/>
    <xf numFmtId="201" fontId="3" fillId="0" borderId="0" xfId="0" applyNumberFormat="1" applyFont="1" applyAlignment="1">
      <alignment horizontal="center"/>
    </xf>
    <xf numFmtId="201" fontId="3" fillId="0" borderId="0" xfId="0" applyNumberFormat="1" applyFont="1" applyAlignment="1">
      <alignment horizontal="left"/>
    </xf>
    <xf numFmtId="17" fontId="3" fillId="8" borderId="3" xfId="0" applyNumberFormat="1" applyFont="1" applyFill="1" applyBorder="1"/>
    <xf numFmtId="1" fontId="3" fillId="12" borderId="3" xfId="0" applyNumberFormat="1" applyFont="1" applyFill="1" applyBorder="1" applyAlignment="1">
      <alignment horizontal="center"/>
    </xf>
    <xf numFmtId="1" fontId="3" fillId="28" borderId="3" xfId="0" applyNumberFormat="1" applyFont="1" applyFill="1" applyBorder="1" applyAlignment="1">
      <alignment horizontal="right"/>
    </xf>
    <xf numFmtId="1" fontId="3" fillId="8" borderId="3" xfId="0" applyNumberFormat="1" applyFont="1" applyFill="1" applyBorder="1" applyAlignment="1">
      <alignment horizontal="center"/>
    </xf>
    <xf numFmtId="15" fontId="3" fillId="12" borderId="4" xfId="0" applyNumberFormat="1" applyFont="1" applyFill="1" applyBorder="1"/>
    <xf numFmtId="1" fontId="3" fillId="0" borderId="3" xfId="0" applyNumberFormat="1" applyFont="1" applyBorder="1" applyAlignment="1">
      <alignment horizontal="center"/>
    </xf>
    <xf numFmtId="203" fontId="3" fillId="0" borderId="3" xfId="0" applyNumberFormat="1" applyFont="1" applyBorder="1"/>
    <xf numFmtId="204" fontId="3" fillId="0" borderId="3" xfId="0" applyNumberFormat="1" applyFont="1" applyBorder="1"/>
    <xf numFmtId="0" fontId="7" fillId="0" borderId="3" xfId="0" applyFont="1" applyBorder="1"/>
    <xf numFmtId="203" fontId="7" fillId="29" borderId="3" xfId="0" applyNumberFormat="1" applyFont="1" applyFill="1" applyBorder="1" applyAlignment="1">
      <alignment horizontal="right"/>
    </xf>
    <xf numFmtId="204" fontId="7" fillId="0" borderId="3" xfId="0" applyNumberFormat="1" applyFont="1" applyBorder="1" applyAlignment="1">
      <alignment horizontal="right"/>
    </xf>
    <xf numFmtId="203" fontId="3" fillId="9" borderId="3" xfId="0" applyNumberFormat="1" applyFont="1" applyFill="1" applyBorder="1"/>
    <xf numFmtId="203" fontId="7" fillId="28" borderId="3" xfId="0" applyNumberFormat="1" applyFont="1" applyFill="1" applyBorder="1" applyAlignment="1">
      <alignment horizontal="right"/>
    </xf>
    <xf numFmtId="201" fontId="7" fillId="0" borderId="0" xfId="0" applyNumberFormat="1" applyFont="1"/>
    <xf numFmtId="204" fontId="7" fillId="0" borderId="0" xfId="0" applyNumberFormat="1" applyFont="1" applyAlignment="1">
      <alignment horizontal="right"/>
    </xf>
    <xf numFmtId="0" fontId="7" fillId="0" borderId="0" xfId="0" applyFont="1"/>
    <xf numFmtId="204" fontId="3" fillId="0" borderId="0" xfId="0" applyNumberFormat="1" applyFont="1"/>
    <xf numFmtId="204" fontId="7" fillId="0" borderId="0" xfId="0" applyNumberFormat="1" applyFont="1"/>
    <xf numFmtId="0" fontId="7" fillId="0" borderId="0" xfId="0" applyFont="1" applyAlignment="1">
      <alignment vertical="center"/>
    </xf>
    <xf numFmtId="0" fontId="40" fillId="30" borderId="26" xfId="0" applyFont="1" applyFill="1" applyBorder="1" applyAlignment="1">
      <alignment horizontal="left"/>
    </xf>
    <xf numFmtId="0" fontId="41" fillId="0" borderId="0" xfId="0" applyFont="1" applyAlignment="1">
      <alignment wrapText="1"/>
    </xf>
    <xf numFmtId="205" fontId="41" fillId="0" borderId="0" xfId="0" applyNumberFormat="1" applyFont="1"/>
    <xf numFmtId="205" fontId="3" fillId="0" borderId="0" xfId="0" applyNumberFormat="1" applyFont="1"/>
    <xf numFmtId="0" fontId="42" fillId="30" borderId="3" xfId="0" applyFont="1" applyFill="1" applyBorder="1" applyAlignment="1">
      <alignment horizontal="left"/>
    </xf>
    <xf numFmtId="0" fontId="43" fillId="31" borderId="3" xfId="0" applyFont="1" applyFill="1" applyBorder="1" applyAlignment="1">
      <alignment horizontal="center"/>
    </xf>
    <xf numFmtId="0" fontId="1" fillId="31" borderId="3" xfId="0" applyFont="1" applyFill="1" applyBorder="1" applyAlignment="1">
      <alignment horizontal="center"/>
    </xf>
    <xf numFmtId="0" fontId="1" fillId="31" borderId="3" xfId="0" applyFont="1" applyFill="1" applyBorder="1"/>
    <xf numFmtId="0" fontId="40" fillId="30" borderId="3" xfId="0" applyFont="1" applyFill="1" applyBorder="1" applyAlignment="1">
      <alignment horizontal="left"/>
    </xf>
    <xf numFmtId="0" fontId="40" fillId="0" borderId="3" xfId="0" applyFont="1" applyBorder="1" applyAlignment="1">
      <alignment horizontal="left"/>
    </xf>
    <xf numFmtId="0" fontId="7" fillId="30" borderId="3" xfId="0" applyFont="1" applyFill="1" applyBorder="1" applyAlignment="1">
      <alignment horizontal="left"/>
    </xf>
    <xf numFmtId="0" fontId="44" fillId="0" borderId="3" xfId="0" applyFont="1" applyBorder="1" applyAlignment="1">
      <alignment horizontal="left"/>
    </xf>
    <xf numFmtId="206" fontId="44" fillId="0" borderId="3" xfId="0" applyNumberFormat="1" applyFont="1" applyBorder="1" applyAlignment="1">
      <alignment horizontal="left"/>
    </xf>
    <xf numFmtId="207" fontId="40" fillId="30" borderId="3" xfId="0" applyNumberFormat="1" applyFont="1" applyFill="1" applyBorder="1" applyAlignment="1">
      <alignment horizontal="center"/>
    </xf>
    <xf numFmtId="0" fontId="3" fillId="33" borderId="26" xfId="0" applyFont="1" applyFill="1" applyBorder="1"/>
    <xf numFmtId="178" fontId="3" fillId="11" borderId="3" xfId="0" applyNumberFormat="1" applyFont="1" applyFill="1" applyBorder="1"/>
    <xf numFmtId="186" fontId="3" fillId="11" borderId="64" xfId="0" applyNumberFormat="1" applyFont="1" applyFill="1" applyBorder="1"/>
    <xf numFmtId="208" fontId="3" fillId="11" borderId="3" xfId="0" applyNumberFormat="1" applyFont="1" applyFill="1" applyBorder="1"/>
    <xf numFmtId="178" fontId="3" fillId="12" borderId="64" xfId="0" applyNumberFormat="1" applyFont="1" applyFill="1" applyBorder="1"/>
    <xf numFmtId="186" fontId="3" fillId="12" borderId="3" xfId="0" applyNumberFormat="1" applyFont="1" applyFill="1" applyBorder="1"/>
    <xf numFmtId="208" fontId="3" fillId="12" borderId="3" xfId="0" applyNumberFormat="1" applyFont="1" applyFill="1" applyBorder="1"/>
    <xf numFmtId="178" fontId="3" fillId="33" borderId="26" xfId="0" applyNumberFormat="1" applyFont="1" applyFill="1" applyBorder="1"/>
    <xf numFmtId="186" fontId="3" fillId="11" borderId="3" xfId="0" applyNumberFormat="1" applyFont="1" applyFill="1" applyBorder="1"/>
    <xf numFmtId="208" fontId="3" fillId="11" borderId="64" xfId="0" applyNumberFormat="1" applyFont="1" applyFill="1" applyBorder="1"/>
    <xf numFmtId="178" fontId="3" fillId="12" borderId="3" xfId="0" applyNumberFormat="1" applyFont="1" applyFill="1" applyBorder="1"/>
    <xf numFmtId="208" fontId="3" fillId="12" borderId="64" xfId="0" applyNumberFormat="1" applyFont="1" applyFill="1" applyBorder="1"/>
    <xf numFmtId="178" fontId="3" fillId="11" borderId="3" xfId="0" applyNumberFormat="1" applyFont="1" applyFill="1" applyBorder="1" applyAlignment="1">
      <alignment horizontal="right"/>
    </xf>
    <xf numFmtId="186" fontId="3" fillId="11" borderId="12" xfId="0" applyNumberFormat="1" applyFont="1" applyFill="1" applyBorder="1" applyAlignment="1">
      <alignment horizontal="right"/>
    </xf>
    <xf numFmtId="186" fontId="3" fillId="12" borderId="64" xfId="0" applyNumberFormat="1" applyFont="1" applyFill="1" applyBorder="1"/>
    <xf numFmtId="178" fontId="3" fillId="11" borderId="64" xfId="0" applyNumberFormat="1" applyFont="1" applyFill="1" applyBorder="1"/>
    <xf numFmtId="186" fontId="3" fillId="0" borderId="0" xfId="0" applyNumberFormat="1" applyFont="1"/>
    <xf numFmtId="186" fontId="7" fillId="11" borderId="64" xfId="0" applyNumberFormat="1" applyFont="1" applyFill="1" applyBorder="1"/>
    <xf numFmtId="186" fontId="7" fillId="11" borderId="3" xfId="0" applyNumberFormat="1" applyFont="1" applyFill="1" applyBorder="1"/>
    <xf numFmtId="178" fontId="3" fillId="11" borderId="64" xfId="0" applyNumberFormat="1" applyFont="1" applyFill="1" applyBorder="1" applyAlignment="1">
      <alignment horizontal="right"/>
    </xf>
    <xf numFmtId="186" fontId="3" fillId="11" borderId="67" xfId="0" applyNumberFormat="1" applyFont="1" applyFill="1" applyBorder="1" applyAlignment="1">
      <alignment horizontal="right"/>
    </xf>
    <xf numFmtId="178" fontId="3" fillId="11" borderId="68" xfId="0" applyNumberFormat="1" applyFont="1" applyFill="1" applyBorder="1"/>
    <xf numFmtId="172" fontId="3" fillId="11" borderId="68" xfId="0" applyNumberFormat="1" applyFont="1" applyFill="1" applyBorder="1"/>
    <xf numFmtId="208" fontId="3" fillId="11" borderId="68" xfId="0" applyNumberFormat="1" applyFont="1" applyFill="1" applyBorder="1"/>
    <xf numFmtId="178" fontId="3" fillId="12" borderId="68" xfId="0" applyNumberFormat="1" applyFont="1" applyFill="1" applyBorder="1"/>
    <xf numFmtId="172" fontId="3" fillId="12" borderId="68" xfId="0" applyNumberFormat="1" applyFont="1" applyFill="1" applyBorder="1"/>
    <xf numFmtId="208" fontId="3" fillId="12" borderId="68" xfId="0" applyNumberFormat="1" applyFont="1" applyFill="1" applyBorder="1"/>
    <xf numFmtId="186" fontId="3" fillId="0" borderId="81" xfId="0" applyNumberFormat="1" applyFont="1" applyBorder="1"/>
    <xf numFmtId="178" fontId="3" fillId="24" borderId="3" xfId="0" applyNumberFormat="1" applyFont="1" applyFill="1" applyBorder="1"/>
    <xf numFmtId="178" fontId="3" fillId="22" borderId="3" xfId="0" applyNumberFormat="1" applyFont="1" applyFill="1" applyBorder="1"/>
    <xf numFmtId="178" fontId="3" fillId="9" borderId="3" xfId="0" applyNumberFormat="1" applyFont="1" applyFill="1" applyBorder="1"/>
    <xf numFmtId="2" fontId="3" fillId="23" borderId="3" xfId="0" applyNumberFormat="1" applyFont="1" applyFill="1" applyBorder="1"/>
    <xf numFmtId="2" fontId="3" fillId="16" borderId="3" xfId="0" applyNumberFormat="1" applyFont="1" applyFill="1" applyBorder="1"/>
    <xf numFmtId="178" fontId="3" fillId="34" borderId="3" xfId="0" applyNumberFormat="1" applyFont="1" applyFill="1" applyBorder="1"/>
    <xf numFmtId="2" fontId="3" fillId="35" borderId="3" xfId="0" applyNumberFormat="1" applyFont="1" applyFill="1" applyBorder="1"/>
    <xf numFmtId="2" fontId="3" fillId="36" borderId="3" xfId="0" applyNumberFormat="1" applyFont="1" applyFill="1" applyBorder="1"/>
    <xf numFmtId="10" fontId="3" fillId="33" borderId="26" xfId="0" applyNumberFormat="1" applyFont="1" applyFill="1" applyBorder="1" applyAlignment="1">
      <alignment horizontal="center"/>
    </xf>
    <xf numFmtId="0" fontId="3" fillId="37" borderId="3" xfId="0" applyFont="1" applyFill="1" applyBorder="1"/>
    <xf numFmtId="2" fontId="3" fillId="38" borderId="3" xfId="0" applyNumberFormat="1" applyFont="1" applyFill="1" applyBorder="1"/>
    <xf numFmtId="186" fontId="7" fillId="11" borderId="64" xfId="0" applyNumberFormat="1" applyFont="1" applyFill="1" applyBorder="1" applyAlignment="1"/>
    <xf numFmtId="186" fontId="3" fillId="11" borderId="64" xfId="0" applyNumberFormat="1" applyFont="1" applyFill="1" applyBorder="1" applyAlignment="1"/>
    <xf numFmtId="178" fontId="3" fillId="11" borderId="64" xfId="0" applyNumberFormat="1" applyFont="1" applyFill="1" applyBorder="1" applyAlignment="1"/>
    <xf numFmtId="178" fontId="3" fillId="12" borderId="64" xfId="0" applyNumberFormat="1" applyFont="1" applyFill="1" applyBorder="1" applyAlignment="1"/>
    <xf numFmtId="186" fontId="3" fillId="12" borderId="3" xfId="0" applyNumberFormat="1" applyFont="1" applyFill="1" applyBorder="1" applyAlignment="1"/>
    <xf numFmtId="186" fontId="7" fillId="12" borderId="3" xfId="0" applyNumberFormat="1" applyFont="1" applyFill="1" applyBorder="1"/>
    <xf numFmtId="4" fontId="3" fillId="6" borderId="28" xfId="0" applyNumberFormat="1" applyFont="1" applyFill="1" applyBorder="1" applyAlignment="1">
      <alignment horizontal="right"/>
    </xf>
    <xf numFmtId="4" fontId="3" fillId="0" borderId="0" xfId="0" applyNumberFormat="1" applyFont="1"/>
    <xf numFmtId="0" fontId="3" fillId="23" borderId="26" xfId="0" applyFont="1" applyFill="1" applyBorder="1"/>
    <xf numFmtId="0" fontId="3" fillId="16" borderId="26" xfId="0" applyFont="1" applyFill="1" applyBorder="1"/>
    <xf numFmtId="0" fontId="3" fillId="35" borderId="26" xfId="0" applyFont="1" applyFill="1" applyBorder="1"/>
    <xf numFmtId="0" fontId="3" fillId="22" borderId="26" xfId="0" applyFont="1" applyFill="1" applyBorder="1"/>
    <xf numFmtId="188" fontId="3" fillId="22" borderId="26" xfId="0" applyNumberFormat="1" applyFont="1" applyFill="1" applyBorder="1"/>
    <xf numFmtId="188" fontId="3" fillId="16" borderId="26" xfId="0" applyNumberFormat="1" applyFont="1" applyFill="1" applyBorder="1"/>
    <xf numFmtId="0" fontId="3" fillId="24" borderId="26" xfId="0" applyFont="1" applyFill="1" applyBorder="1"/>
    <xf numFmtId="188" fontId="3" fillId="24" borderId="26" xfId="0" applyNumberFormat="1" applyFont="1" applyFill="1" applyBorder="1"/>
    <xf numFmtId="209" fontId="3" fillId="0" borderId="0" xfId="0" applyNumberFormat="1" applyFont="1"/>
    <xf numFmtId="208" fontId="3" fillId="0" borderId="0" xfId="0" applyNumberFormat="1" applyFont="1"/>
    <xf numFmtId="0" fontId="30" fillId="0" borderId="3" xfId="0" applyFont="1" applyBorder="1"/>
    <xf numFmtId="186" fontId="3" fillId="12" borderId="26" xfId="0" applyNumberFormat="1" applyFont="1" applyFill="1" applyBorder="1"/>
    <xf numFmtId="172" fontId="3" fillId="9" borderId="26" xfId="0" applyNumberFormat="1" applyFont="1" applyFill="1" applyBorder="1"/>
    <xf numFmtId="2" fontId="3" fillId="12" borderId="26" xfId="0" applyNumberFormat="1" applyFont="1" applyFill="1" applyBorder="1"/>
    <xf numFmtId="186" fontId="3" fillId="9" borderId="26" xfId="0" applyNumberFormat="1" applyFont="1" applyFill="1" applyBorder="1"/>
    <xf numFmtId="0" fontId="5" fillId="26" borderId="84" xfId="0" applyFont="1" applyFill="1" applyBorder="1" applyAlignment="1">
      <alignment wrapText="1"/>
    </xf>
    <xf numFmtId="0" fontId="5" fillId="29" borderId="84" xfId="0" applyFont="1" applyFill="1" applyBorder="1" applyAlignment="1">
      <alignment wrapText="1"/>
    </xf>
    <xf numFmtId="0" fontId="5" fillId="39" borderId="84" xfId="0" applyFont="1" applyFill="1" applyBorder="1" applyAlignment="1">
      <alignment wrapText="1"/>
    </xf>
    <xf numFmtId="0" fontId="46" fillId="8" borderId="84" xfId="0" applyFont="1" applyFill="1" applyBorder="1" applyAlignment="1">
      <alignment horizontal="center" wrapText="1"/>
    </xf>
    <xf numFmtId="0" fontId="5" fillId="26" borderId="84" xfId="0" quotePrefix="1" applyFont="1" applyFill="1" applyBorder="1" applyAlignment="1">
      <alignment wrapText="1"/>
    </xf>
    <xf numFmtId="0" fontId="5" fillId="40" borderId="71" xfId="0" applyFont="1" applyFill="1" applyBorder="1" applyAlignment="1">
      <alignment wrapText="1"/>
    </xf>
    <xf numFmtId="0" fontId="5" fillId="41" borderId="10" xfId="0" applyFont="1" applyFill="1" applyBorder="1" applyAlignment="1">
      <alignment wrapText="1"/>
    </xf>
    <xf numFmtId="0" fontId="5" fillId="36" borderId="10" xfId="0" applyFont="1" applyFill="1" applyBorder="1" applyAlignment="1">
      <alignment wrapText="1"/>
    </xf>
    <xf numFmtId="0" fontId="5" fillId="40" borderId="10" xfId="0" applyFont="1" applyFill="1" applyBorder="1" applyAlignment="1">
      <alignment wrapText="1"/>
    </xf>
    <xf numFmtId="0" fontId="5" fillId="3" borderId="3" xfId="0" applyFont="1" applyFill="1" applyBorder="1"/>
    <xf numFmtId="0" fontId="5" fillId="4" borderId="3" xfId="0" applyFont="1" applyFill="1" applyBorder="1"/>
    <xf numFmtId="194" fontId="5" fillId="0" borderId="3" xfId="0" applyNumberFormat="1" applyFont="1" applyBorder="1"/>
    <xf numFmtId="194" fontId="5" fillId="29" borderId="3" xfId="0" applyNumberFormat="1" applyFont="1" applyFill="1" applyBorder="1"/>
    <xf numFmtId="194" fontId="5" fillId="39" borderId="3" xfId="0" applyNumberFormat="1" applyFont="1" applyFill="1" applyBorder="1"/>
    <xf numFmtId="0" fontId="5" fillId="29" borderId="3" xfId="0" applyFont="1" applyFill="1" applyBorder="1"/>
    <xf numFmtId="0" fontId="5" fillId="39" borderId="3" xfId="0" applyFont="1" applyFill="1" applyBorder="1"/>
    <xf numFmtId="3" fontId="46" fillId="8" borderId="3" xfId="0" applyNumberFormat="1" applyFont="1" applyFill="1" applyBorder="1"/>
    <xf numFmtId="15" fontId="5" fillId="0" borderId="3" xfId="0" applyNumberFormat="1" applyFont="1" applyBorder="1"/>
    <xf numFmtId="0" fontId="5" fillId="40" borderId="3" xfId="0" applyFont="1" applyFill="1" applyBorder="1"/>
    <xf numFmtId="0" fontId="5" fillId="41" borderId="3" xfId="0" applyFont="1" applyFill="1" applyBorder="1"/>
    <xf numFmtId="0" fontId="5" fillId="36" borderId="3" xfId="0" applyFont="1" applyFill="1" applyBorder="1"/>
    <xf numFmtId="210" fontId="5" fillId="0" borderId="3" xfId="0" applyNumberFormat="1" applyFont="1" applyBorder="1"/>
    <xf numFmtId="0" fontId="5" fillId="39" borderId="26" xfId="0" applyFont="1" applyFill="1" applyBorder="1"/>
    <xf numFmtId="177" fontId="5" fillId="0" borderId="10" xfId="0" applyNumberFormat="1" applyFont="1" applyBorder="1" applyAlignment="1">
      <alignment horizontal="left"/>
    </xf>
    <xf numFmtId="0" fontId="5" fillId="9" borderId="3" xfId="0" applyFont="1" applyFill="1" applyBorder="1"/>
    <xf numFmtId="15" fontId="5" fillId="0" borderId="0" xfId="0" applyNumberFormat="1" applyFont="1"/>
    <xf numFmtId="9" fontId="5" fillId="29" borderId="26" xfId="0" applyNumberFormat="1" applyFont="1" applyFill="1" applyBorder="1"/>
    <xf numFmtId="9" fontId="5" fillId="39" borderId="26" xfId="0" applyNumberFormat="1" applyFont="1" applyFill="1" applyBorder="1"/>
    <xf numFmtId="9" fontId="5" fillId="8" borderId="26" xfId="0" applyNumberFormat="1" applyFont="1" applyFill="1" applyBorder="1"/>
    <xf numFmtId="0" fontId="5" fillId="8" borderId="26" xfId="0" applyFont="1" applyFill="1" applyBorder="1" applyAlignment="1">
      <alignment horizontal="center"/>
    </xf>
    <xf numFmtId="0" fontId="5" fillId="8" borderId="26" xfId="0" applyFont="1" applyFill="1" applyBorder="1"/>
    <xf numFmtId="0" fontId="5" fillId="9" borderId="26" xfId="0" applyFont="1" applyFill="1" applyBorder="1"/>
    <xf numFmtId="0" fontId="5" fillId="0" borderId="0" xfId="0" applyFont="1" applyAlignment="1">
      <alignment wrapText="1"/>
    </xf>
    <xf numFmtId="0" fontId="45" fillId="40" borderId="3" xfId="0" applyFont="1" applyFill="1" applyBorder="1"/>
    <xf numFmtId="0" fontId="5" fillId="42" borderId="3" xfId="0" applyFont="1" applyFill="1" applyBorder="1"/>
    <xf numFmtId="0" fontId="5" fillId="43" borderId="3" xfId="0" applyFont="1" applyFill="1" applyBorder="1"/>
    <xf numFmtId="0" fontId="5" fillId="44" borderId="3" xfId="0" applyFont="1" applyFill="1" applyBorder="1"/>
    <xf numFmtId="0" fontId="5" fillId="45" borderId="3" xfId="0" applyFont="1" applyFill="1" applyBorder="1"/>
    <xf numFmtId="0" fontId="5" fillId="46" borderId="3" xfId="0" applyFont="1" applyFill="1" applyBorder="1"/>
    <xf numFmtId="0" fontId="5" fillId="47" borderId="3" xfId="0" applyFont="1" applyFill="1" applyBorder="1"/>
    <xf numFmtId="0" fontId="5" fillId="48" borderId="3" xfId="0" applyFont="1" applyFill="1" applyBorder="1"/>
    <xf numFmtId="0" fontId="5" fillId="49" borderId="3" xfId="0" applyFont="1" applyFill="1" applyBorder="1"/>
    <xf numFmtId="0" fontId="5" fillId="50" borderId="3" xfId="0" applyFont="1" applyFill="1" applyBorder="1"/>
    <xf numFmtId="0" fontId="5" fillId="51" borderId="3" xfId="0" applyFont="1" applyFill="1" applyBorder="1"/>
    <xf numFmtId="0" fontId="45" fillId="41" borderId="3" xfId="0" applyFont="1" applyFill="1" applyBorder="1"/>
    <xf numFmtId="0" fontId="5" fillId="52" borderId="3" xfId="0" applyFont="1" applyFill="1" applyBorder="1"/>
    <xf numFmtId="0" fontId="5" fillId="53" borderId="3" xfId="0" applyFont="1" applyFill="1" applyBorder="1"/>
    <xf numFmtId="0" fontId="5" fillId="54" borderId="3" xfId="0" applyFont="1" applyFill="1" applyBorder="1"/>
    <xf numFmtId="0" fontId="5" fillId="55" borderId="3" xfId="0" applyFont="1" applyFill="1" applyBorder="1"/>
    <xf numFmtId="15" fontId="2" fillId="0" borderId="0" xfId="0" applyNumberFormat="1" applyFont="1"/>
    <xf numFmtId="49" fontId="2" fillId="0" borderId="0" xfId="0" applyNumberFormat="1" applyFont="1"/>
    <xf numFmtId="3" fontId="2" fillId="0" borderId="0" xfId="0" applyNumberFormat="1" applyFont="1"/>
    <xf numFmtId="0" fontId="47" fillId="0" borderId="0" xfId="0" applyFont="1" applyAlignment="1">
      <alignment horizontal="left"/>
    </xf>
    <xf numFmtId="0" fontId="48" fillId="56" borderId="85" xfId="0" applyFont="1" applyFill="1" applyBorder="1" applyAlignment="1">
      <alignment horizontal="left"/>
    </xf>
    <xf numFmtId="0" fontId="49" fillId="56" borderId="85" xfId="0" applyFont="1" applyFill="1" applyBorder="1" applyAlignment="1">
      <alignment horizontal="right"/>
    </xf>
    <xf numFmtId="0" fontId="50" fillId="30" borderId="86" xfId="0" applyFont="1" applyFill="1" applyBorder="1" applyAlignment="1">
      <alignment horizontal="left"/>
    </xf>
    <xf numFmtId="0" fontId="51" fillId="30" borderId="86" xfId="0" applyFont="1" applyFill="1" applyBorder="1" applyAlignment="1">
      <alignment horizontal="right"/>
    </xf>
    <xf numFmtId="0" fontId="51" fillId="30" borderId="26" xfId="0" applyFont="1" applyFill="1" applyBorder="1" applyAlignment="1">
      <alignment horizontal="left"/>
    </xf>
    <xf numFmtId="0" fontId="51" fillId="30" borderId="26" xfId="0" applyFont="1" applyFill="1" applyBorder="1" applyAlignment="1">
      <alignment horizontal="right"/>
    </xf>
    <xf numFmtId="0" fontId="52" fillId="0" borderId="0" xfId="0" applyFont="1"/>
    <xf numFmtId="0" fontId="53" fillId="57" borderId="26" xfId="0" applyFont="1" applyFill="1" applyBorder="1"/>
    <xf numFmtId="0" fontId="53" fillId="57" borderId="26" xfId="0" applyFont="1" applyFill="1" applyBorder="1" applyAlignment="1">
      <alignment horizontal="center"/>
    </xf>
    <xf numFmtId="17" fontId="53" fillId="57" borderId="26" xfId="0" applyNumberFormat="1" applyFont="1" applyFill="1" applyBorder="1" applyAlignment="1">
      <alignment horizontal="center"/>
    </xf>
    <xf numFmtId="0" fontId="54" fillId="0" borderId="0" xfId="0" applyFont="1"/>
    <xf numFmtId="3" fontId="5" fillId="0" borderId="10" xfId="0" applyNumberFormat="1" applyFont="1" applyBorder="1"/>
    <xf numFmtId="0" fontId="3" fillId="18" borderId="34" xfId="0" applyFont="1" applyFill="1" applyBorder="1" applyAlignment="1">
      <alignment horizontal="center" vertical="center"/>
    </xf>
    <xf numFmtId="0" fontId="18" fillId="0" borderId="35" xfId="0" applyFont="1" applyBorder="1"/>
    <xf numFmtId="2" fontId="20" fillId="17" borderId="44" xfId="0" applyNumberFormat="1" applyFont="1" applyFill="1" applyBorder="1" applyAlignment="1">
      <alignment horizontal="center" vertical="center" wrapText="1"/>
    </xf>
    <xf numFmtId="0" fontId="18" fillId="0" borderId="51" xfId="0" applyFont="1" applyBorder="1"/>
    <xf numFmtId="2" fontId="20" fillId="17" borderId="45" xfId="0" applyNumberFormat="1" applyFont="1" applyFill="1" applyBorder="1" applyAlignment="1">
      <alignment horizontal="center" vertical="center" wrapText="1"/>
    </xf>
    <xf numFmtId="0" fontId="18" fillId="0" borderId="52" xfId="0" applyFont="1" applyBorder="1"/>
    <xf numFmtId="2" fontId="20" fillId="17" borderId="14" xfId="0" applyNumberFormat="1" applyFont="1" applyFill="1" applyBorder="1" applyAlignment="1">
      <alignment horizontal="center" vertical="center" wrapText="1"/>
    </xf>
    <xf numFmtId="0" fontId="18" fillId="0" borderId="16" xfId="0" applyFont="1" applyBorder="1"/>
    <xf numFmtId="2" fontId="20" fillId="17" borderId="46" xfId="0" applyNumberFormat="1" applyFont="1" applyFill="1" applyBorder="1" applyAlignment="1">
      <alignment horizontal="center" vertical="center" wrapText="1"/>
    </xf>
    <xf numFmtId="0" fontId="18" fillId="0" borderId="53" xfId="0" applyFont="1" applyBorder="1"/>
    <xf numFmtId="0" fontId="18" fillId="0" borderId="56" xfId="0" applyFont="1" applyBorder="1"/>
    <xf numFmtId="2" fontId="20" fillId="17" borderId="47" xfId="0" applyNumberFormat="1" applyFont="1" applyFill="1" applyBorder="1" applyAlignment="1">
      <alignment horizontal="center" vertical="center" wrapText="1"/>
    </xf>
    <xf numFmtId="0" fontId="18" fillId="0" borderId="48" xfId="0" applyFont="1" applyBorder="1"/>
    <xf numFmtId="0" fontId="18" fillId="0" borderId="54" xfId="0" applyFont="1" applyBorder="1"/>
    <xf numFmtId="0" fontId="18" fillId="0" borderId="55" xfId="0" applyFont="1" applyBorder="1"/>
    <xf numFmtId="2" fontId="20" fillId="17" borderId="44" xfId="0" applyNumberFormat="1" applyFont="1" applyFill="1" applyBorder="1" applyAlignment="1">
      <alignment horizontal="center" vertical="top" wrapText="1"/>
    </xf>
    <xf numFmtId="0" fontId="18" fillId="0" borderId="66" xfId="0" applyFont="1" applyBorder="1"/>
    <xf numFmtId="183" fontId="3" fillId="15" borderId="29" xfId="0" applyNumberFormat="1" applyFont="1" applyFill="1" applyBorder="1" applyAlignment="1">
      <alignment horizontal="center" vertical="center"/>
    </xf>
    <xf numFmtId="0" fontId="18" fillId="0" borderId="30" xfId="0" applyFont="1" applyBorder="1"/>
    <xf numFmtId="0" fontId="18" fillId="0" borderId="31" xfId="0" applyFont="1" applyBorder="1"/>
    <xf numFmtId="0" fontId="3" fillId="15" borderId="29" xfId="0" applyFont="1" applyFill="1" applyBorder="1" applyAlignment="1">
      <alignment horizontal="center"/>
    </xf>
    <xf numFmtId="0" fontId="3" fillId="3" borderId="21" xfId="0" applyFont="1" applyFill="1" applyBorder="1" applyAlignment="1">
      <alignment horizontal="center" vertical="center"/>
    </xf>
    <xf numFmtId="0" fontId="18" fillId="0" borderId="37" xfId="0" applyFont="1" applyBorder="1"/>
    <xf numFmtId="0" fontId="18" fillId="0" borderId="40" xfId="0" applyFont="1" applyBorder="1"/>
    <xf numFmtId="15" fontId="3" fillId="16" borderId="32" xfId="0" applyNumberFormat="1" applyFont="1" applyFill="1" applyBorder="1" applyAlignment="1">
      <alignment horizontal="center" vertical="center"/>
    </xf>
    <xf numFmtId="0" fontId="18" fillId="0" borderId="33" xfId="0" applyFont="1" applyBorder="1"/>
    <xf numFmtId="0" fontId="18" fillId="0" borderId="24" xfId="0" applyFont="1" applyBorder="1"/>
    <xf numFmtId="0" fontId="18" fillId="0" borderId="36" xfId="0" applyFont="1" applyBorder="1"/>
    <xf numFmtId="0" fontId="18" fillId="0" borderId="38" xfId="0" applyFont="1" applyBorder="1"/>
    <xf numFmtId="0" fontId="18" fillId="0" borderId="39" xfId="0" applyFont="1" applyBorder="1"/>
    <xf numFmtId="0" fontId="3" fillId="17" borderId="34" xfId="0" applyFont="1" applyFill="1" applyBorder="1" applyAlignment="1">
      <alignment horizontal="center" vertical="center"/>
    </xf>
    <xf numFmtId="0" fontId="3" fillId="4" borderId="34" xfId="0" applyFont="1" applyFill="1" applyBorder="1" applyAlignment="1">
      <alignment horizontal="center" vertical="center"/>
    </xf>
    <xf numFmtId="183" fontId="3" fillId="13" borderId="29" xfId="0" applyNumberFormat="1" applyFont="1" applyFill="1" applyBorder="1" applyAlignment="1">
      <alignment horizontal="center" vertical="center"/>
    </xf>
    <xf numFmtId="0" fontId="3" fillId="16" borderId="43" xfId="0" applyFont="1" applyFill="1" applyBorder="1" applyAlignment="1">
      <alignment horizontal="center" vertical="center"/>
    </xf>
    <xf numFmtId="0" fontId="18" fillId="0" borderId="50" xfId="0" applyFont="1" applyBorder="1"/>
    <xf numFmtId="0" fontId="18" fillId="0" borderId="61" xfId="0" applyFont="1" applyBorder="1"/>
    <xf numFmtId="0" fontId="3" fillId="16" borderId="65" xfId="0" applyFont="1" applyFill="1" applyBorder="1" applyAlignment="1">
      <alignment horizontal="center" vertical="center"/>
    </xf>
    <xf numFmtId="0" fontId="18" fillId="0" borderId="70" xfId="0" applyFont="1" applyBorder="1"/>
    <xf numFmtId="0" fontId="3" fillId="11" borderId="62" xfId="0" applyFont="1" applyFill="1" applyBorder="1" applyAlignment="1">
      <alignment horizontal="center"/>
    </xf>
    <xf numFmtId="0" fontId="18" fillId="0" borderId="63" xfId="0" applyFont="1" applyBorder="1"/>
    <xf numFmtId="0" fontId="3" fillId="12" borderId="34" xfId="0" applyFont="1" applyFill="1" applyBorder="1" applyAlignment="1">
      <alignment horizontal="center"/>
    </xf>
    <xf numFmtId="0" fontId="3" fillId="14" borderId="34" xfId="0" applyFont="1" applyFill="1" applyBorder="1" applyAlignment="1">
      <alignment horizontal="center"/>
    </xf>
    <xf numFmtId="0" fontId="3" fillId="19" borderId="34" xfId="0" applyFont="1" applyFill="1" applyBorder="1" applyAlignment="1">
      <alignment horizontal="center"/>
    </xf>
    <xf numFmtId="0" fontId="3" fillId="20" borderId="34" xfId="0" applyFont="1" applyFill="1" applyBorder="1" applyAlignment="1">
      <alignment horizontal="center"/>
    </xf>
    <xf numFmtId="2" fontId="3" fillId="21" borderId="57" xfId="0" applyNumberFormat="1" applyFont="1" applyFill="1" applyBorder="1" applyAlignment="1">
      <alignment horizontal="center"/>
    </xf>
    <xf numFmtId="0" fontId="18" fillId="0" borderId="58" xfId="0" applyFont="1" applyBorder="1"/>
    <xf numFmtId="15" fontId="3" fillId="16" borderId="42" xfId="0" applyNumberFormat="1" applyFont="1" applyFill="1" applyBorder="1" applyAlignment="1">
      <alignment horizontal="center" vertical="center"/>
    </xf>
    <xf numFmtId="0" fontId="18" fillId="0" borderId="49" xfId="0" applyFont="1" applyBorder="1"/>
    <xf numFmtId="0" fontId="18" fillId="0" borderId="69" xfId="0" applyFont="1" applyBorder="1"/>
    <xf numFmtId="0" fontId="3" fillId="17" borderId="34" xfId="0" applyFont="1" applyFill="1" applyBorder="1" applyAlignment="1">
      <alignment horizontal="center"/>
    </xf>
    <xf numFmtId="0" fontId="3" fillId="3" borderId="34" xfId="0" applyFont="1" applyFill="1" applyBorder="1" applyAlignment="1">
      <alignment horizontal="center"/>
    </xf>
    <xf numFmtId="0" fontId="3" fillId="17" borderId="62" xfId="0" applyFont="1" applyFill="1" applyBorder="1" applyAlignment="1">
      <alignment horizontal="center"/>
    </xf>
    <xf numFmtId="0" fontId="3" fillId="0" borderId="27" xfId="0" applyFont="1" applyBorder="1" applyAlignment="1">
      <alignment horizontal="center"/>
    </xf>
    <xf numFmtId="0" fontId="18" fillId="0" borderId="77" xfId="0" applyFont="1" applyBorder="1"/>
    <xf numFmtId="0" fontId="18" fillId="0" borderId="78" xfId="0" applyFont="1" applyBorder="1"/>
    <xf numFmtId="15" fontId="3" fillId="28" borderId="17" xfId="0" applyNumberFormat="1" applyFont="1" applyFill="1" applyBorder="1" applyAlignment="1">
      <alignment horizontal="center"/>
    </xf>
    <xf numFmtId="204" fontId="3" fillId="0" borderId="0" xfId="0" applyNumberFormat="1" applyFont="1" applyAlignment="1">
      <alignment vertical="center"/>
    </xf>
    <xf numFmtId="0" fontId="0" fillId="0" borderId="0" xfId="0" applyFont="1" applyAlignment="1"/>
    <xf numFmtId="0" fontId="3" fillId="0" borderId="0" xfId="0" applyFont="1" applyAlignment="1">
      <alignment horizontal="center"/>
    </xf>
    <xf numFmtId="0" fontId="30" fillId="32" borderId="29" xfId="0" applyFont="1" applyFill="1" applyBorder="1" applyAlignment="1">
      <alignment horizontal="left"/>
    </xf>
    <xf numFmtId="0" fontId="30" fillId="32" borderId="29" xfId="0" applyFont="1" applyFill="1" applyBorder="1" applyAlignment="1">
      <alignment horizontal="center"/>
    </xf>
    <xf numFmtId="0" fontId="3" fillId="12" borderId="17" xfId="0" applyFont="1" applyFill="1" applyBorder="1" applyAlignment="1">
      <alignment horizontal="center"/>
    </xf>
    <xf numFmtId="0" fontId="18" fillId="0" borderId="41" xfId="0" applyFont="1" applyBorder="1"/>
    <xf numFmtId="0" fontId="3" fillId="11" borderId="17" xfId="0" applyFont="1" applyFill="1" applyBorder="1" applyAlignment="1">
      <alignment horizontal="center"/>
    </xf>
    <xf numFmtId="186" fontId="3" fillId="33" borderId="17" xfId="0" applyNumberFormat="1" applyFont="1" applyFill="1" applyBorder="1" applyAlignment="1">
      <alignment horizontal="center"/>
    </xf>
    <xf numFmtId="186" fontId="3" fillId="20" borderId="17" xfId="0" applyNumberFormat="1" applyFont="1" applyFill="1" applyBorder="1" applyAlignment="1">
      <alignment horizontal="center"/>
    </xf>
    <xf numFmtId="189" fontId="3" fillId="35" borderId="29" xfId="0" applyNumberFormat="1" applyFont="1" applyFill="1" applyBorder="1" applyAlignment="1">
      <alignment horizontal="right"/>
    </xf>
    <xf numFmtId="189" fontId="3" fillId="22" borderId="29" xfId="0" applyNumberFormat="1" applyFont="1" applyFill="1" applyBorder="1" applyAlignment="1">
      <alignment horizontal="right"/>
    </xf>
    <xf numFmtId="189" fontId="3" fillId="16" borderId="29" xfId="0" applyNumberFormat="1" applyFont="1" applyFill="1" applyBorder="1" applyAlignment="1">
      <alignment horizontal="right"/>
    </xf>
    <xf numFmtId="10" fontId="3" fillId="24" borderId="29" xfId="0" applyNumberFormat="1" applyFont="1" applyFill="1" applyBorder="1" applyAlignment="1">
      <alignment horizontal="right"/>
    </xf>
    <xf numFmtId="0" fontId="45" fillId="0" borderId="0" xfId="0" applyFont="1" applyAlignment="1">
      <alignment horizontal="center"/>
    </xf>
    <xf numFmtId="0" fontId="3" fillId="0" borderId="0" xfId="0" applyFont="1"/>
    <xf numFmtId="188" fontId="3" fillId="23" borderId="29" xfId="0" applyNumberFormat="1" applyFont="1" applyFill="1" applyBorder="1" applyAlignment="1">
      <alignment horizontal="right"/>
    </xf>
    <xf numFmtId="188" fontId="3" fillId="16" borderId="29" xfId="0" applyNumberFormat="1" applyFont="1" applyFill="1" applyBorder="1" applyAlignment="1">
      <alignment horizontal="right" wrapText="1"/>
    </xf>
    <xf numFmtId="0" fontId="30" fillId="27" borderId="29" xfId="0" applyFont="1" applyFill="1" applyBorder="1" applyAlignment="1">
      <alignment horizontal="left"/>
    </xf>
    <xf numFmtId="0" fontId="30" fillId="27" borderId="29" xfId="0" applyFont="1" applyFill="1" applyBorder="1" applyAlignment="1">
      <alignment horizontal="center"/>
    </xf>
    <xf numFmtId="0" fontId="3" fillId="12" borderId="82" xfId="0" applyFont="1" applyFill="1" applyBorder="1" applyAlignment="1">
      <alignment horizontal="center"/>
    </xf>
    <xf numFmtId="0" fontId="18" fillId="0" borderId="83" xfId="0" applyFont="1" applyBorder="1"/>
    <xf numFmtId="0" fontId="3" fillId="11" borderId="82" xfId="0" applyFont="1" applyFill="1" applyBorder="1" applyAlignment="1">
      <alignment horizontal="center"/>
    </xf>
  </cellXfs>
  <cellStyles count="1">
    <cellStyle name="Standard" xfId="0" builtinId="0"/>
  </cellStyles>
  <dxfs count="44">
    <dxf>
      <fill>
        <patternFill patternType="solid">
          <fgColor rgb="FFFFDCBE"/>
          <bgColor rgb="FFFFDCBE"/>
        </patternFill>
      </fill>
    </dxf>
    <dxf>
      <fill>
        <patternFill patternType="solid">
          <fgColor rgb="FFC8C8FF"/>
          <bgColor rgb="FFC8C8FF"/>
        </patternFill>
      </fill>
    </dxf>
    <dxf>
      <fill>
        <patternFill patternType="solid">
          <fgColor rgb="FFFFFF78"/>
          <bgColor rgb="FFFFFF78"/>
        </patternFill>
      </fill>
    </dxf>
    <dxf>
      <fill>
        <patternFill patternType="solid">
          <fgColor rgb="FFFFC8C8"/>
          <bgColor rgb="FFFFC8C8"/>
        </patternFill>
      </fill>
    </dxf>
    <dxf>
      <fill>
        <patternFill patternType="solid">
          <fgColor rgb="FFC8AAE1"/>
          <bgColor rgb="FFC8AAE1"/>
        </patternFill>
      </fill>
    </dxf>
    <dxf>
      <fill>
        <patternFill patternType="solid">
          <fgColor rgb="FFB4E6F0"/>
          <bgColor rgb="FFB4E6F0"/>
        </patternFill>
      </fill>
    </dxf>
    <dxf>
      <fill>
        <patternFill patternType="solid">
          <fgColor rgb="FFFF7878"/>
          <bgColor rgb="FFFF7878"/>
        </patternFill>
      </fill>
    </dxf>
    <dxf>
      <fill>
        <patternFill patternType="solid">
          <fgColor rgb="FFD7D7D7"/>
          <bgColor rgb="FFD7D7D7"/>
        </patternFill>
      </fill>
    </dxf>
    <dxf>
      <fill>
        <patternFill patternType="solid">
          <fgColor rgb="FFE1FFCD"/>
          <bgColor rgb="FFE1FFCD"/>
        </patternFill>
      </fill>
    </dxf>
    <dxf>
      <fill>
        <patternFill patternType="solid">
          <fgColor rgb="FFCDEBFF"/>
          <bgColor rgb="FFCDEBFF"/>
        </patternFill>
      </fill>
    </dxf>
    <dxf>
      <fill>
        <patternFill patternType="solid">
          <fgColor rgb="FF9BBEE6"/>
          <bgColor rgb="FF9BBEE6"/>
        </patternFill>
      </fill>
    </dxf>
    <dxf>
      <fill>
        <patternFill patternType="solid">
          <fgColor rgb="FFCDDCB4"/>
          <bgColor rgb="FFCDDCB4"/>
        </patternFill>
      </fill>
    </dxf>
    <dxf>
      <fill>
        <patternFill patternType="solid">
          <fgColor rgb="FF96C864"/>
          <bgColor rgb="FF96C864"/>
        </patternFill>
      </fill>
    </dxf>
    <dxf>
      <fill>
        <patternFill patternType="solid">
          <fgColor rgb="FFFFC832"/>
          <bgColor rgb="FFFFC832"/>
        </patternFill>
      </fill>
    </dxf>
    <dxf>
      <fill>
        <patternFill patternType="solid">
          <fgColor rgb="FFFFDCBE"/>
          <bgColor rgb="FFFFDCBE"/>
        </patternFill>
      </fill>
    </dxf>
    <dxf>
      <fill>
        <patternFill patternType="solid">
          <fgColor rgb="FFC8C8FF"/>
          <bgColor rgb="FFC8C8FF"/>
        </patternFill>
      </fill>
    </dxf>
    <dxf>
      <fill>
        <patternFill patternType="solid">
          <fgColor rgb="FFFFFF78"/>
          <bgColor rgb="FFFFFF78"/>
        </patternFill>
      </fill>
    </dxf>
    <dxf>
      <fill>
        <patternFill patternType="solid">
          <fgColor rgb="FFFFC8C8"/>
          <bgColor rgb="FFFFC8C8"/>
        </patternFill>
      </fill>
    </dxf>
    <dxf>
      <fill>
        <patternFill patternType="solid">
          <fgColor rgb="FFC8AAE1"/>
          <bgColor rgb="FFC8AAE1"/>
        </patternFill>
      </fill>
    </dxf>
    <dxf>
      <fill>
        <patternFill patternType="solid">
          <fgColor rgb="FFB4E6F0"/>
          <bgColor rgb="FFB4E6F0"/>
        </patternFill>
      </fill>
    </dxf>
    <dxf>
      <fill>
        <patternFill patternType="solid">
          <fgColor rgb="FFFF7878"/>
          <bgColor rgb="FFFF7878"/>
        </patternFill>
      </fill>
    </dxf>
    <dxf>
      <fill>
        <patternFill patternType="solid">
          <fgColor rgb="FFFFDCBE"/>
          <bgColor rgb="FFFFDCBE"/>
        </patternFill>
      </fill>
    </dxf>
    <dxf>
      <fill>
        <patternFill patternType="solid">
          <fgColor rgb="FFC8C8FF"/>
          <bgColor rgb="FFC8C8FF"/>
        </patternFill>
      </fill>
    </dxf>
    <dxf>
      <fill>
        <patternFill patternType="solid">
          <fgColor rgb="FFFFFF78"/>
          <bgColor rgb="FFFFFF78"/>
        </patternFill>
      </fill>
    </dxf>
    <dxf>
      <fill>
        <patternFill patternType="solid">
          <fgColor rgb="FFFFC8C8"/>
          <bgColor rgb="FFFFC8C8"/>
        </patternFill>
      </fill>
    </dxf>
    <dxf>
      <fill>
        <patternFill patternType="solid">
          <fgColor rgb="FFC8AAE1"/>
          <bgColor rgb="FFC8AAE1"/>
        </patternFill>
      </fill>
    </dxf>
    <dxf>
      <fill>
        <patternFill patternType="solid">
          <fgColor rgb="FFB4E6F0"/>
          <bgColor rgb="FFB4E6F0"/>
        </patternFill>
      </fill>
    </dxf>
    <dxf>
      <fill>
        <patternFill patternType="solid">
          <fgColor rgb="FFFF7878"/>
          <bgColor rgb="FFFF7878"/>
        </patternFill>
      </fill>
    </dxf>
    <dxf>
      <fill>
        <patternFill patternType="solid">
          <fgColor rgb="FFFFC832"/>
          <bgColor rgb="FFFFC832"/>
        </patternFill>
      </fill>
    </dxf>
    <dxf>
      <fill>
        <patternFill patternType="solid">
          <fgColor rgb="FFFFC832"/>
          <bgColor rgb="FFFFC832"/>
        </patternFill>
      </fill>
    </dxf>
    <dxf>
      <fill>
        <patternFill patternType="solid">
          <fgColor rgb="FF96C864"/>
          <bgColor rgb="FF96C864"/>
        </patternFill>
      </fill>
    </dxf>
    <dxf>
      <fill>
        <patternFill patternType="solid">
          <fgColor rgb="FFCDDCB4"/>
          <bgColor rgb="FFCDDCB4"/>
        </patternFill>
      </fill>
    </dxf>
    <dxf>
      <fill>
        <patternFill patternType="solid">
          <fgColor rgb="FF9BBEE6"/>
          <bgColor rgb="FF9BBEE6"/>
        </patternFill>
      </fill>
    </dxf>
    <dxf>
      <fill>
        <patternFill patternType="solid">
          <fgColor rgb="FFCDEBFF"/>
          <bgColor rgb="FFCDEBFF"/>
        </patternFill>
      </fill>
    </dxf>
    <dxf>
      <fill>
        <patternFill patternType="solid">
          <fgColor rgb="FFE1FFCD"/>
          <bgColor rgb="FFE1FFCD"/>
        </patternFill>
      </fill>
    </dxf>
    <dxf>
      <fill>
        <patternFill patternType="solid">
          <fgColor rgb="FFD7D7D7"/>
          <bgColor rgb="FFD7D7D7"/>
        </patternFill>
      </fill>
    </dxf>
    <dxf>
      <fill>
        <patternFill patternType="solid">
          <fgColor rgb="FF00FF00"/>
          <bgColor rgb="FF00FF00"/>
        </patternFill>
      </fill>
    </dxf>
    <dxf>
      <fill>
        <patternFill patternType="solid">
          <fgColor rgb="FFFFFF00"/>
          <bgColor rgb="FFFFFF00"/>
        </patternFill>
      </fill>
    </dxf>
    <dxf>
      <fill>
        <patternFill patternType="solid">
          <fgColor rgb="FF969696"/>
          <bgColor rgb="FF969696"/>
        </patternFill>
      </fill>
    </dxf>
    <dxf>
      <fill>
        <patternFill patternType="solid">
          <fgColor rgb="FFFFFFFF"/>
          <bgColor rgb="FFFFFFFF"/>
        </patternFill>
      </fill>
    </dxf>
    <dxf>
      <fill>
        <patternFill patternType="solid">
          <fgColor rgb="FFC0C0C0"/>
          <bgColor rgb="FFC0C0C0"/>
        </patternFill>
      </fill>
    </dxf>
    <dxf>
      <fill>
        <patternFill patternType="solid">
          <fgColor rgb="FF969696"/>
          <bgColor rgb="FF969696"/>
        </patternFill>
      </fill>
    </dxf>
    <dxf>
      <fill>
        <patternFill patternType="solid">
          <fgColor rgb="FFFFFFFF"/>
          <bgColor rgb="FFFFFFFF"/>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4.xml.rels><?xml version="1.0" encoding="UTF-8" standalone="yes"?>
<Relationships xmlns="http://schemas.openxmlformats.org/package/2006/relationships"><Relationship Id="rId1" Type="http://customschemas.google.com/relationships/workbookmetadata" Target="commentsmeta0"/></Relationships>
</file>

<file path=xl/_rels/comments5.xml.rels><?xml version="1.0" encoding="UTF-8" standalone="yes"?>
<Relationships xmlns="http://schemas.openxmlformats.org/package/2006/relationships"><Relationship Id="rId1" Type="http://customschemas.google.com/relationships/workbookmetadata" Target="commentsmeta1"/></Relationships>
</file>

<file path=xl/_rels/comments6.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equitymaster.com/result.asp?symbol=ADGL&amp;name=ADANI-TOTAL-GAS-Stock-Quote-Chart&amp;utm_source=key-sector-quote&amp;utm_medium=website&amp;utm_campaign=company-name&amp;utm_content=stockquote" TargetMode="External"/><Relationship Id="rId3" Type="http://schemas.openxmlformats.org/officeDocument/2006/relationships/hyperlink" Target="https://www.equitymaster.com/result.asp?symbol=ACC&amp;name=ACC-Stock-Quote-Chart&amp;utm_source=key-sector-quote&amp;utm_medium=website&amp;utm_campaign=company-name&amp;utm_content=stockquote" TargetMode="External"/><Relationship Id="rId7" Type="http://schemas.openxmlformats.org/officeDocument/2006/relationships/hyperlink" Target="https://www.equitymaster.com/result.asp?symbol=ADPL&amp;name=ADANI-POWER-Stock-Quote-Chart&amp;utm_source=key-sector-quote&amp;utm_medium=website&amp;utm_campaign=company-name&amp;utm_content=stockquote" TargetMode="External"/><Relationship Id="rId2" Type="http://schemas.openxmlformats.org/officeDocument/2006/relationships/hyperlink" Target="https://www.equitymaster.com/stockquotes/sector.asp?sector=0-ADANI&amp;order=nsechange%20desc" TargetMode="External"/><Relationship Id="rId1" Type="http://schemas.openxmlformats.org/officeDocument/2006/relationships/hyperlink" Target="https://www.equitymaster.com/stockquotes/sector.asp?sector=0-ADANI" TargetMode="External"/><Relationship Id="rId6" Type="http://schemas.openxmlformats.org/officeDocument/2006/relationships/hyperlink" Target="https://www.equitymaster.com/result.asp?symbol=MNDRA&amp;name=ADANI-PORTS--SEZ-Stock-Quote-Chart&amp;utm_source=key-sector-quote&amp;utm_medium=website&amp;utm_campaign=company-name&amp;utm_content=stockquote" TargetMode="External"/><Relationship Id="rId11" Type="http://schemas.openxmlformats.org/officeDocument/2006/relationships/hyperlink" Target="https://www.equitymaster.com/result.asp?symbol=GACM&amp;name=AMBUJA-CEMENT-Stock-Quote-Chart&amp;utm_source=key-sector-quote&amp;utm_medium=website&amp;utm_campaign=company-name&amp;utm_content=stockquote" TargetMode="External"/><Relationship Id="rId5" Type="http://schemas.openxmlformats.org/officeDocument/2006/relationships/hyperlink" Target="https://www.equitymaster.com/result.asp?symbol=ADGE&amp;name=ADANI-GREEN-ENERGY-Stock-Quote-Chart&amp;utm_source=key-sector-quote&amp;utm_medium=website&amp;utm_campaign=company-name&amp;utm_content=stockquote" TargetMode="External"/><Relationship Id="rId10" Type="http://schemas.openxmlformats.org/officeDocument/2006/relationships/hyperlink" Target="https://www.equitymaster.com/result.asp?symbol=ADWL&amp;name=ADANI-WILMAR-Stock-Quote-Chart&amp;utm_source=key-sector-quote&amp;utm_medium=website&amp;utm_campaign=company-name&amp;utm_content=stockquote" TargetMode="External"/><Relationship Id="rId4" Type="http://schemas.openxmlformats.org/officeDocument/2006/relationships/hyperlink" Target="https://www.equitymaster.com/result.asp?symbol=ADEX&amp;name=ADANI-ENTERPRISES-Stock-Quote-Chart&amp;utm_source=key-sector-quote&amp;utm_medium=website&amp;utm_campaign=company-name&amp;utm_content=stockquote" TargetMode="External"/><Relationship Id="rId9" Type="http://schemas.openxmlformats.org/officeDocument/2006/relationships/hyperlink" Target="https://www.equitymaster.com/result.asp?symbol=ADAT&amp;name=ADANI-TRANSMISSION-Stock-Quote-Chart&amp;utm_source=key-sector-quote&amp;utm_medium=website&amp;utm_campaign=company-name&amp;utm_content=stockquote"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stockezee.com/stock/kotakbank" TargetMode="External"/><Relationship Id="rId21" Type="http://schemas.openxmlformats.org/officeDocument/2006/relationships/hyperlink" Target="https://stockezee.com/stock/atul" TargetMode="External"/><Relationship Id="rId42" Type="http://schemas.openxmlformats.org/officeDocument/2006/relationships/hyperlink" Target="https://stockezee.com/stock/bsoft" TargetMode="External"/><Relationship Id="rId63" Type="http://schemas.openxmlformats.org/officeDocument/2006/relationships/hyperlink" Target="https://stockezee.com/stock/drreddy" TargetMode="External"/><Relationship Id="rId84" Type="http://schemas.openxmlformats.org/officeDocument/2006/relationships/hyperlink" Target="https://stockezee.com/stock/hdfcbank" TargetMode="External"/><Relationship Id="rId138" Type="http://schemas.openxmlformats.org/officeDocument/2006/relationships/hyperlink" Target="https://stockezee.com/stock/mphasis" TargetMode="External"/><Relationship Id="rId159" Type="http://schemas.openxmlformats.org/officeDocument/2006/relationships/hyperlink" Target="https://stockezee.com/stock/powergrid" TargetMode="External"/><Relationship Id="rId170" Type="http://schemas.openxmlformats.org/officeDocument/2006/relationships/hyperlink" Target="https://stockezee.com/stock/shreecem" TargetMode="External"/><Relationship Id="rId191" Type="http://schemas.openxmlformats.org/officeDocument/2006/relationships/hyperlink" Target="https://stockezee.com/stock/ultracemco" TargetMode="External"/><Relationship Id="rId107" Type="http://schemas.openxmlformats.org/officeDocument/2006/relationships/hyperlink" Target="https://stockezee.com/stock/infy" TargetMode="External"/><Relationship Id="rId11" Type="http://schemas.openxmlformats.org/officeDocument/2006/relationships/hyperlink" Target="https://stockezee.com/stock/adanient" TargetMode="External"/><Relationship Id="rId32" Type="http://schemas.openxmlformats.org/officeDocument/2006/relationships/hyperlink" Target="https://stockezee.com/stock/bataindia" TargetMode="External"/><Relationship Id="rId53" Type="http://schemas.openxmlformats.org/officeDocument/2006/relationships/hyperlink" Target="https://stockezee.com/stock/crompton" TargetMode="External"/><Relationship Id="rId74" Type="http://schemas.openxmlformats.org/officeDocument/2006/relationships/hyperlink" Target="https://stockezee.com/stock/godrejprop" TargetMode="External"/><Relationship Id="rId128" Type="http://schemas.openxmlformats.org/officeDocument/2006/relationships/hyperlink" Target="https://stockezee.com/stock/manappuram" TargetMode="External"/><Relationship Id="rId149" Type="http://schemas.openxmlformats.org/officeDocument/2006/relationships/hyperlink" Target="https://stockezee.com/stock/ongc" TargetMode="External"/><Relationship Id="rId5" Type="http://schemas.openxmlformats.org/officeDocument/2006/relationships/hyperlink" Target="https://stockezee.com/stock/aartiind" TargetMode="External"/><Relationship Id="rId95" Type="http://schemas.openxmlformats.org/officeDocument/2006/relationships/hyperlink" Target="https://stockezee.com/stock/icicipruli" TargetMode="External"/><Relationship Id="rId160" Type="http://schemas.openxmlformats.org/officeDocument/2006/relationships/hyperlink" Target="https://stockezee.com/stock/pvr" TargetMode="External"/><Relationship Id="rId181" Type="http://schemas.openxmlformats.org/officeDocument/2006/relationships/hyperlink" Target="https://stockezee.com/stock/tatapower" TargetMode="External"/><Relationship Id="rId22" Type="http://schemas.openxmlformats.org/officeDocument/2006/relationships/hyperlink" Target="https://stockezee.com/stock/aubank" TargetMode="External"/><Relationship Id="rId43" Type="http://schemas.openxmlformats.org/officeDocument/2006/relationships/hyperlink" Target="https://stockezee.com/stock/canbk" TargetMode="External"/><Relationship Id="rId64" Type="http://schemas.openxmlformats.org/officeDocument/2006/relationships/hyperlink" Target="https://stockezee.com/stock/eichermot" TargetMode="External"/><Relationship Id="rId118" Type="http://schemas.openxmlformats.org/officeDocument/2006/relationships/hyperlink" Target="https://stockezee.com/stock/l&amp;tfh" TargetMode="External"/><Relationship Id="rId139" Type="http://schemas.openxmlformats.org/officeDocument/2006/relationships/hyperlink" Target="https://stockezee.com/stock/mrf" TargetMode="External"/><Relationship Id="rId85" Type="http://schemas.openxmlformats.org/officeDocument/2006/relationships/hyperlink" Target="https://stockezee.com/stock/hdfclife" TargetMode="External"/><Relationship Id="rId150" Type="http://schemas.openxmlformats.org/officeDocument/2006/relationships/hyperlink" Target="https://stockezee.com/stock/pageind" TargetMode="External"/><Relationship Id="rId171" Type="http://schemas.openxmlformats.org/officeDocument/2006/relationships/hyperlink" Target="https://stockezee.com/stock/siemens" TargetMode="External"/><Relationship Id="rId192" Type="http://schemas.openxmlformats.org/officeDocument/2006/relationships/hyperlink" Target="https://stockezee.com/stock/upl" TargetMode="External"/><Relationship Id="rId12" Type="http://schemas.openxmlformats.org/officeDocument/2006/relationships/hyperlink" Target="https://stockezee.com/stock/adaniports" TargetMode="External"/><Relationship Id="rId33" Type="http://schemas.openxmlformats.org/officeDocument/2006/relationships/hyperlink" Target="https://stockezee.com/stock/bel" TargetMode="External"/><Relationship Id="rId108" Type="http://schemas.openxmlformats.org/officeDocument/2006/relationships/hyperlink" Target="https://stockezee.com/stock/intellect" TargetMode="External"/><Relationship Id="rId129" Type="http://schemas.openxmlformats.org/officeDocument/2006/relationships/hyperlink" Target="https://stockezee.com/stock/marico" TargetMode="External"/><Relationship Id="rId54" Type="http://schemas.openxmlformats.org/officeDocument/2006/relationships/hyperlink" Target="https://stockezee.com/stock/cub" TargetMode="External"/><Relationship Id="rId75" Type="http://schemas.openxmlformats.org/officeDocument/2006/relationships/hyperlink" Target="https://stockezee.com/stock/granules" TargetMode="External"/><Relationship Id="rId96" Type="http://schemas.openxmlformats.org/officeDocument/2006/relationships/hyperlink" Target="https://stockezee.com/stock/idea" TargetMode="External"/><Relationship Id="rId140" Type="http://schemas.openxmlformats.org/officeDocument/2006/relationships/hyperlink" Target="https://stockezee.com/stock/muthootfin" TargetMode="External"/><Relationship Id="rId161" Type="http://schemas.openxmlformats.org/officeDocument/2006/relationships/hyperlink" Target="https://stockezee.com/stock/rain" TargetMode="External"/><Relationship Id="rId182" Type="http://schemas.openxmlformats.org/officeDocument/2006/relationships/hyperlink" Target="https://stockezee.com/stock/tatasteel" TargetMode="External"/><Relationship Id="rId6" Type="http://schemas.openxmlformats.org/officeDocument/2006/relationships/hyperlink" Target="https://stockezee.com/stock/abb" TargetMode="External"/><Relationship Id="rId23" Type="http://schemas.openxmlformats.org/officeDocument/2006/relationships/hyperlink" Target="https://stockezee.com/stock/auropharma" TargetMode="External"/><Relationship Id="rId119" Type="http://schemas.openxmlformats.org/officeDocument/2006/relationships/hyperlink" Target="https://stockezee.com/stock/lalpathlab" TargetMode="External"/><Relationship Id="rId44" Type="http://schemas.openxmlformats.org/officeDocument/2006/relationships/hyperlink" Target="https://stockezee.com/stock/canfinhome" TargetMode="External"/><Relationship Id="rId65" Type="http://schemas.openxmlformats.org/officeDocument/2006/relationships/hyperlink" Target="https://stockezee.com/stock/escorts" TargetMode="External"/><Relationship Id="rId86" Type="http://schemas.openxmlformats.org/officeDocument/2006/relationships/hyperlink" Target="https://stockezee.com/stock/heromotoco" TargetMode="External"/><Relationship Id="rId130" Type="http://schemas.openxmlformats.org/officeDocument/2006/relationships/hyperlink" Target="https://stockezee.com/stock/maruti" TargetMode="External"/><Relationship Id="rId151" Type="http://schemas.openxmlformats.org/officeDocument/2006/relationships/hyperlink" Target="https://stockezee.com/stock/pel" TargetMode="External"/><Relationship Id="rId172" Type="http://schemas.openxmlformats.org/officeDocument/2006/relationships/hyperlink" Target="https://stockezee.com/stock/srf" TargetMode="External"/><Relationship Id="rId193" Type="http://schemas.openxmlformats.org/officeDocument/2006/relationships/hyperlink" Target="https://stockezee.com/stock/vedl" TargetMode="External"/><Relationship Id="rId13" Type="http://schemas.openxmlformats.org/officeDocument/2006/relationships/hyperlink" Target="https://stockezee.com/stock/alkem" TargetMode="External"/><Relationship Id="rId109" Type="http://schemas.openxmlformats.org/officeDocument/2006/relationships/hyperlink" Target="https://stockezee.com/stock/ioc" TargetMode="External"/><Relationship Id="rId34" Type="http://schemas.openxmlformats.org/officeDocument/2006/relationships/hyperlink" Target="https://stockezee.com/stock/bergepaint" TargetMode="External"/><Relationship Id="rId55" Type="http://schemas.openxmlformats.org/officeDocument/2006/relationships/hyperlink" Target="https://stockezee.com/stock/cumminsind" TargetMode="External"/><Relationship Id="rId76" Type="http://schemas.openxmlformats.org/officeDocument/2006/relationships/hyperlink" Target="https://stockezee.com/stock/grasim" TargetMode="External"/><Relationship Id="rId97" Type="http://schemas.openxmlformats.org/officeDocument/2006/relationships/hyperlink" Target="https://stockezee.com/stock/idfc" TargetMode="External"/><Relationship Id="rId120" Type="http://schemas.openxmlformats.org/officeDocument/2006/relationships/hyperlink" Target="https://stockezee.com/stock/lauruslabs" TargetMode="External"/><Relationship Id="rId141" Type="http://schemas.openxmlformats.org/officeDocument/2006/relationships/hyperlink" Target="https://stockezee.com/stock/nationalum" TargetMode="External"/><Relationship Id="rId7" Type="http://schemas.openxmlformats.org/officeDocument/2006/relationships/hyperlink" Target="https://stockezee.com/stock/abbotindia" TargetMode="External"/><Relationship Id="rId71" Type="http://schemas.openxmlformats.org/officeDocument/2006/relationships/hyperlink" Target="https://stockezee.com/stock/gmrinfra" TargetMode="External"/><Relationship Id="rId92" Type="http://schemas.openxmlformats.org/officeDocument/2006/relationships/hyperlink" Target="https://stockezee.com/stock/ibulhsgfin" TargetMode="External"/><Relationship Id="rId162" Type="http://schemas.openxmlformats.org/officeDocument/2006/relationships/hyperlink" Target="https://stockezee.com/stock/ramcocem" TargetMode="External"/><Relationship Id="rId183" Type="http://schemas.openxmlformats.org/officeDocument/2006/relationships/hyperlink" Target="https://stockezee.com/stock/tcs" TargetMode="External"/><Relationship Id="rId2" Type="http://schemas.openxmlformats.org/officeDocument/2006/relationships/hyperlink" Target="https://stockezee.com/stock/finnifty" TargetMode="External"/><Relationship Id="rId29" Type="http://schemas.openxmlformats.org/officeDocument/2006/relationships/hyperlink" Target="https://stockezee.com/stock/balramchin" TargetMode="External"/><Relationship Id="rId24" Type="http://schemas.openxmlformats.org/officeDocument/2006/relationships/hyperlink" Target="https://stockezee.com/stock/axisbank" TargetMode="External"/><Relationship Id="rId40" Type="http://schemas.openxmlformats.org/officeDocument/2006/relationships/hyperlink" Target="https://stockezee.com/stock/bpcl" TargetMode="External"/><Relationship Id="rId45" Type="http://schemas.openxmlformats.org/officeDocument/2006/relationships/hyperlink" Target="https://stockezee.com/stock/chamblfert" TargetMode="External"/><Relationship Id="rId66" Type="http://schemas.openxmlformats.org/officeDocument/2006/relationships/hyperlink" Target="https://stockezee.com/stock/exideind" TargetMode="External"/><Relationship Id="rId87" Type="http://schemas.openxmlformats.org/officeDocument/2006/relationships/hyperlink" Target="https://stockezee.com/stock/hindalco" TargetMode="External"/><Relationship Id="rId110" Type="http://schemas.openxmlformats.org/officeDocument/2006/relationships/hyperlink" Target="https://stockezee.com/stock/ipcalab" TargetMode="External"/><Relationship Id="rId115" Type="http://schemas.openxmlformats.org/officeDocument/2006/relationships/hyperlink" Target="https://stockezee.com/stock/jswsteel" TargetMode="External"/><Relationship Id="rId131" Type="http://schemas.openxmlformats.org/officeDocument/2006/relationships/hyperlink" Target="https://stockezee.com/stock/mcdowell-n" TargetMode="External"/><Relationship Id="rId136" Type="http://schemas.openxmlformats.org/officeDocument/2006/relationships/hyperlink" Target="https://stockezee.com/stock/mindtree" TargetMode="External"/><Relationship Id="rId157" Type="http://schemas.openxmlformats.org/officeDocument/2006/relationships/hyperlink" Target="https://stockezee.com/stock/pnb" TargetMode="External"/><Relationship Id="rId178" Type="http://schemas.openxmlformats.org/officeDocument/2006/relationships/hyperlink" Target="https://stockezee.com/stock/tatacomm" TargetMode="External"/><Relationship Id="rId61" Type="http://schemas.openxmlformats.org/officeDocument/2006/relationships/hyperlink" Target="https://stockezee.com/stock/dixon" TargetMode="External"/><Relationship Id="rId82" Type="http://schemas.openxmlformats.org/officeDocument/2006/relationships/hyperlink" Target="https://stockezee.com/stock/hdfc" TargetMode="External"/><Relationship Id="rId152" Type="http://schemas.openxmlformats.org/officeDocument/2006/relationships/hyperlink" Target="https://stockezee.com/stock/persistent" TargetMode="External"/><Relationship Id="rId173" Type="http://schemas.openxmlformats.org/officeDocument/2006/relationships/hyperlink" Target="https://stockezee.com/stock/srtransfin" TargetMode="External"/><Relationship Id="rId194" Type="http://schemas.openxmlformats.org/officeDocument/2006/relationships/hyperlink" Target="https://stockezee.com/stock/voltas" TargetMode="External"/><Relationship Id="rId19" Type="http://schemas.openxmlformats.org/officeDocument/2006/relationships/hyperlink" Target="https://stockezee.com/stock/asianpaint" TargetMode="External"/><Relationship Id="rId14" Type="http://schemas.openxmlformats.org/officeDocument/2006/relationships/hyperlink" Target="https://stockezee.com/stock/amarajabat" TargetMode="External"/><Relationship Id="rId30" Type="http://schemas.openxmlformats.org/officeDocument/2006/relationships/hyperlink" Target="https://stockezee.com/stock/bandhanbnk" TargetMode="External"/><Relationship Id="rId35" Type="http://schemas.openxmlformats.org/officeDocument/2006/relationships/hyperlink" Target="https://stockezee.com/stock/bharatforg" TargetMode="External"/><Relationship Id="rId56" Type="http://schemas.openxmlformats.org/officeDocument/2006/relationships/hyperlink" Target="https://stockezee.com/stock/dabur" TargetMode="External"/><Relationship Id="rId77" Type="http://schemas.openxmlformats.org/officeDocument/2006/relationships/hyperlink" Target="https://stockezee.com/stock/gspl" TargetMode="External"/><Relationship Id="rId100" Type="http://schemas.openxmlformats.org/officeDocument/2006/relationships/hyperlink" Target="https://stockezee.com/stock/igl" TargetMode="External"/><Relationship Id="rId105" Type="http://schemas.openxmlformats.org/officeDocument/2006/relationships/hyperlink" Target="https://stockezee.com/stock/indusindbk" TargetMode="External"/><Relationship Id="rId126" Type="http://schemas.openxmlformats.org/officeDocument/2006/relationships/hyperlink" Target="https://stockezee.com/stock/m&amp;m" TargetMode="External"/><Relationship Id="rId147" Type="http://schemas.openxmlformats.org/officeDocument/2006/relationships/hyperlink" Target="https://stockezee.com/stock/oberoirlty" TargetMode="External"/><Relationship Id="rId168" Type="http://schemas.openxmlformats.org/officeDocument/2006/relationships/hyperlink" Target="https://stockezee.com/stock/sbilife" TargetMode="External"/><Relationship Id="rId8" Type="http://schemas.openxmlformats.org/officeDocument/2006/relationships/hyperlink" Target="https://stockezee.com/stock/abcapital" TargetMode="External"/><Relationship Id="rId51" Type="http://schemas.openxmlformats.org/officeDocument/2006/relationships/hyperlink" Target="https://stockezee.com/stock/concor" TargetMode="External"/><Relationship Id="rId72" Type="http://schemas.openxmlformats.org/officeDocument/2006/relationships/hyperlink" Target="https://stockezee.com/stock/gnfc" TargetMode="External"/><Relationship Id="rId93" Type="http://schemas.openxmlformats.org/officeDocument/2006/relationships/hyperlink" Target="https://stockezee.com/stock/icicibank" TargetMode="External"/><Relationship Id="rId98" Type="http://schemas.openxmlformats.org/officeDocument/2006/relationships/hyperlink" Target="https://stockezee.com/stock/idfcfirstb" TargetMode="External"/><Relationship Id="rId121" Type="http://schemas.openxmlformats.org/officeDocument/2006/relationships/hyperlink" Target="https://stockezee.com/stock/lichsgfin" TargetMode="External"/><Relationship Id="rId142" Type="http://schemas.openxmlformats.org/officeDocument/2006/relationships/hyperlink" Target="https://stockezee.com/stock/naukri" TargetMode="External"/><Relationship Id="rId163" Type="http://schemas.openxmlformats.org/officeDocument/2006/relationships/hyperlink" Target="https://stockezee.com/stock/rblbank" TargetMode="External"/><Relationship Id="rId184" Type="http://schemas.openxmlformats.org/officeDocument/2006/relationships/hyperlink" Target="https://stockezee.com/stock/techm" TargetMode="External"/><Relationship Id="rId189" Type="http://schemas.openxmlformats.org/officeDocument/2006/relationships/hyperlink" Target="https://stockezee.com/stock/tvsmotor" TargetMode="External"/><Relationship Id="rId3" Type="http://schemas.openxmlformats.org/officeDocument/2006/relationships/hyperlink" Target="https://stockezee.com/stock/midcpnifty" TargetMode="External"/><Relationship Id="rId25" Type="http://schemas.openxmlformats.org/officeDocument/2006/relationships/hyperlink" Target="https://stockezee.com/stock/bajaj-auto" TargetMode="External"/><Relationship Id="rId46" Type="http://schemas.openxmlformats.org/officeDocument/2006/relationships/hyperlink" Target="https://stockezee.com/stock/cholafin" TargetMode="External"/><Relationship Id="rId67" Type="http://schemas.openxmlformats.org/officeDocument/2006/relationships/hyperlink" Target="https://stockezee.com/stock/federalbnk" TargetMode="External"/><Relationship Id="rId116" Type="http://schemas.openxmlformats.org/officeDocument/2006/relationships/hyperlink" Target="https://stockezee.com/stock/jublfood" TargetMode="External"/><Relationship Id="rId137" Type="http://schemas.openxmlformats.org/officeDocument/2006/relationships/hyperlink" Target="https://stockezee.com/stock/motherson" TargetMode="External"/><Relationship Id="rId158" Type="http://schemas.openxmlformats.org/officeDocument/2006/relationships/hyperlink" Target="https://stockezee.com/stock/polycab" TargetMode="External"/><Relationship Id="rId20" Type="http://schemas.openxmlformats.org/officeDocument/2006/relationships/hyperlink" Target="https://stockezee.com/stock/astral" TargetMode="External"/><Relationship Id="rId41" Type="http://schemas.openxmlformats.org/officeDocument/2006/relationships/hyperlink" Target="https://stockezee.com/stock/britannia" TargetMode="External"/><Relationship Id="rId62" Type="http://schemas.openxmlformats.org/officeDocument/2006/relationships/hyperlink" Target="https://stockezee.com/stock/dlf" TargetMode="External"/><Relationship Id="rId83" Type="http://schemas.openxmlformats.org/officeDocument/2006/relationships/hyperlink" Target="https://stockezee.com/stock/hdfcamc" TargetMode="External"/><Relationship Id="rId88" Type="http://schemas.openxmlformats.org/officeDocument/2006/relationships/hyperlink" Target="https://stockezee.com/stock/hindcopper" TargetMode="External"/><Relationship Id="rId111" Type="http://schemas.openxmlformats.org/officeDocument/2006/relationships/hyperlink" Target="https://stockezee.com/stock/irctc" TargetMode="External"/><Relationship Id="rId132" Type="http://schemas.openxmlformats.org/officeDocument/2006/relationships/hyperlink" Target="https://stockezee.com/stock/mcx" TargetMode="External"/><Relationship Id="rId153" Type="http://schemas.openxmlformats.org/officeDocument/2006/relationships/hyperlink" Target="https://stockezee.com/stock/petronet" TargetMode="External"/><Relationship Id="rId174" Type="http://schemas.openxmlformats.org/officeDocument/2006/relationships/hyperlink" Target="https://stockezee.com/stock/sunpharma" TargetMode="External"/><Relationship Id="rId179" Type="http://schemas.openxmlformats.org/officeDocument/2006/relationships/hyperlink" Target="https://stockezee.com/stock/tataconsum" TargetMode="External"/><Relationship Id="rId195" Type="http://schemas.openxmlformats.org/officeDocument/2006/relationships/hyperlink" Target="https://stockezee.com/stock/whirlpool" TargetMode="External"/><Relationship Id="rId190" Type="http://schemas.openxmlformats.org/officeDocument/2006/relationships/hyperlink" Target="https://stockezee.com/stock/ubl" TargetMode="External"/><Relationship Id="rId15" Type="http://schemas.openxmlformats.org/officeDocument/2006/relationships/hyperlink" Target="https://stockezee.com/stock/ambujacem" TargetMode="External"/><Relationship Id="rId36" Type="http://schemas.openxmlformats.org/officeDocument/2006/relationships/hyperlink" Target="https://stockezee.com/stock/bhartiartl" TargetMode="External"/><Relationship Id="rId57" Type="http://schemas.openxmlformats.org/officeDocument/2006/relationships/hyperlink" Target="https://stockezee.com/stock/dalbharat" TargetMode="External"/><Relationship Id="rId106" Type="http://schemas.openxmlformats.org/officeDocument/2006/relationships/hyperlink" Target="https://stockezee.com/stock/industower" TargetMode="External"/><Relationship Id="rId127" Type="http://schemas.openxmlformats.org/officeDocument/2006/relationships/hyperlink" Target="https://stockezee.com/stock/m&amp;mfin" TargetMode="External"/><Relationship Id="rId10" Type="http://schemas.openxmlformats.org/officeDocument/2006/relationships/hyperlink" Target="https://stockezee.com/stock/acc" TargetMode="External"/><Relationship Id="rId31" Type="http://schemas.openxmlformats.org/officeDocument/2006/relationships/hyperlink" Target="https://stockezee.com/stock/bankbaroda" TargetMode="External"/><Relationship Id="rId52" Type="http://schemas.openxmlformats.org/officeDocument/2006/relationships/hyperlink" Target="https://stockezee.com/stock/coromandel" TargetMode="External"/><Relationship Id="rId73" Type="http://schemas.openxmlformats.org/officeDocument/2006/relationships/hyperlink" Target="https://stockezee.com/stock/godrejcp" TargetMode="External"/><Relationship Id="rId78" Type="http://schemas.openxmlformats.org/officeDocument/2006/relationships/hyperlink" Target="https://stockezee.com/stock/gujgasltd" TargetMode="External"/><Relationship Id="rId94" Type="http://schemas.openxmlformats.org/officeDocument/2006/relationships/hyperlink" Target="https://stockezee.com/stock/icicigi" TargetMode="External"/><Relationship Id="rId99" Type="http://schemas.openxmlformats.org/officeDocument/2006/relationships/hyperlink" Target="https://stockezee.com/stock/iex" TargetMode="External"/><Relationship Id="rId101" Type="http://schemas.openxmlformats.org/officeDocument/2006/relationships/hyperlink" Target="https://stockezee.com/stock/indhotel" TargetMode="External"/><Relationship Id="rId122" Type="http://schemas.openxmlformats.org/officeDocument/2006/relationships/hyperlink" Target="https://stockezee.com/stock/lt" TargetMode="External"/><Relationship Id="rId143" Type="http://schemas.openxmlformats.org/officeDocument/2006/relationships/hyperlink" Target="https://stockezee.com/stock/navinfluor" TargetMode="External"/><Relationship Id="rId148" Type="http://schemas.openxmlformats.org/officeDocument/2006/relationships/hyperlink" Target="https://stockezee.com/stock/ofss" TargetMode="External"/><Relationship Id="rId164" Type="http://schemas.openxmlformats.org/officeDocument/2006/relationships/hyperlink" Target="https://stockezee.com/stock/recltd" TargetMode="External"/><Relationship Id="rId169" Type="http://schemas.openxmlformats.org/officeDocument/2006/relationships/hyperlink" Target="https://stockezee.com/stock/sbin" TargetMode="External"/><Relationship Id="rId185" Type="http://schemas.openxmlformats.org/officeDocument/2006/relationships/hyperlink" Target="https://stockezee.com/stock/titan" TargetMode="External"/><Relationship Id="rId4" Type="http://schemas.openxmlformats.org/officeDocument/2006/relationships/hyperlink" Target="https://stockezee.com/stock/nifty" TargetMode="External"/><Relationship Id="rId9" Type="http://schemas.openxmlformats.org/officeDocument/2006/relationships/hyperlink" Target="https://stockezee.com/stock/abfrl" TargetMode="External"/><Relationship Id="rId180" Type="http://schemas.openxmlformats.org/officeDocument/2006/relationships/hyperlink" Target="https://stockezee.com/stock/tatamotors" TargetMode="External"/><Relationship Id="rId26" Type="http://schemas.openxmlformats.org/officeDocument/2006/relationships/hyperlink" Target="https://stockezee.com/stock/bajajfinsv" TargetMode="External"/><Relationship Id="rId47" Type="http://schemas.openxmlformats.org/officeDocument/2006/relationships/hyperlink" Target="https://stockezee.com/stock/cipla" TargetMode="External"/><Relationship Id="rId68" Type="http://schemas.openxmlformats.org/officeDocument/2006/relationships/hyperlink" Target="https://stockezee.com/stock/fsl" TargetMode="External"/><Relationship Id="rId89" Type="http://schemas.openxmlformats.org/officeDocument/2006/relationships/hyperlink" Target="https://stockezee.com/stock/hindpetro" TargetMode="External"/><Relationship Id="rId112" Type="http://schemas.openxmlformats.org/officeDocument/2006/relationships/hyperlink" Target="https://stockezee.com/stock/itc" TargetMode="External"/><Relationship Id="rId133" Type="http://schemas.openxmlformats.org/officeDocument/2006/relationships/hyperlink" Target="https://stockezee.com/stock/metropolis" TargetMode="External"/><Relationship Id="rId154" Type="http://schemas.openxmlformats.org/officeDocument/2006/relationships/hyperlink" Target="https://stockezee.com/stock/pfc" TargetMode="External"/><Relationship Id="rId175" Type="http://schemas.openxmlformats.org/officeDocument/2006/relationships/hyperlink" Target="https://stockezee.com/stock/suntv" TargetMode="External"/><Relationship Id="rId196" Type="http://schemas.openxmlformats.org/officeDocument/2006/relationships/hyperlink" Target="https://stockezee.com/stock/wipro" TargetMode="External"/><Relationship Id="rId16" Type="http://schemas.openxmlformats.org/officeDocument/2006/relationships/hyperlink" Target="https://stockezee.com/stock/apollohosp" TargetMode="External"/><Relationship Id="rId37" Type="http://schemas.openxmlformats.org/officeDocument/2006/relationships/hyperlink" Target="https://stockezee.com/stock/bhel" TargetMode="External"/><Relationship Id="rId58" Type="http://schemas.openxmlformats.org/officeDocument/2006/relationships/hyperlink" Target="https://stockezee.com/stock/deepakntr" TargetMode="External"/><Relationship Id="rId79" Type="http://schemas.openxmlformats.org/officeDocument/2006/relationships/hyperlink" Target="https://stockezee.com/stock/hal" TargetMode="External"/><Relationship Id="rId102" Type="http://schemas.openxmlformats.org/officeDocument/2006/relationships/hyperlink" Target="https://stockezee.com/stock/indiacem" TargetMode="External"/><Relationship Id="rId123" Type="http://schemas.openxmlformats.org/officeDocument/2006/relationships/hyperlink" Target="https://stockezee.com/stock/lti" TargetMode="External"/><Relationship Id="rId144" Type="http://schemas.openxmlformats.org/officeDocument/2006/relationships/hyperlink" Target="https://stockezee.com/stock/nestleind" TargetMode="External"/><Relationship Id="rId90" Type="http://schemas.openxmlformats.org/officeDocument/2006/relationships/hyperlink" Target="https://stockezee.com/stock/hindunilvr" TargetMode="External"/><Relationship Id="rId165" Type="http://schemas.openxmlformats.org/officeDocument/2006/relationships/hyperlink" Target="https://stockezee.com/stock/reliance" TargetMode="External"/><Relationship Id="rId186" Type="http://schemas.openxmlformats.org/officeDocument/2006/relationships/hyperlink" Target="https://stockezee.com/stock/torntpharm" TargetMode="External"/><Relationship Id="rId27" Type="http://schemas.openxmlformats.org/officeDocument/2006/relationships/hyperlink" Target="https://stockezee.com/stock/bajfinance" TargetMode="External"/><Relationship Id="rId48" Type="http://schemas.openxmlformats.org/officeDocument/2006/relationships/hyperlink" Target="https://stockezee.com/stock/coalindia" TargetMode="External"/><Relationship Id="rId69" Type="http://schemas.openxmlformats.org/officeDocument/2006/relationships/hyperlink" Target="https://stockezee.com/stock/gail" TargetMode="External"/><Relationship Id="rId113" Type="http://schemas.openxmlformats.org/officeDocument/2006/relationships/hyperlink" Target="https://stockezee.com/stock/jindalstel" TargetMode="External"/><Relationship Id="rId134" Type="http://schemas.openxmlformats.org/officeDocument/2006/relationships/hyperlink" Target="https://stockezee.com/stock/mfsl" TargetMode="External"/><Relationship Id="rId80" Type="http://schemas.openxmlformats.org/officeDocument/2006/relationships/hyperlink" Target="https://stockezee.com/stock/havells" TargetMode="External"/><Relationship Id="rId155" Type="http://schemas.openxmlformats.org/officeDocument/2006/relationships/hyperlink" Target="https://stockezee.com/stock/pidilitind" TargetMode="External"/><Relationship Id="rId176" Type="http://schemas.openxmlformats.org/officeDocument/2006/relationships/hyperlink" Target="https://stockezee.com/stock/syngene" TargetMode="External"/><Relationship Id="rId197" Type="http://schemas.openxmlformats.org/officeDocument/2006/relationships/hyperlink" Target="https://stockezee.com/stock/zeel" TargetMode="External"/><Relationship Id="rId17" Type="http://schemas.openxmlformats.org/officeDocument/2006/relationships/hyperlink" Target="https://stockezee.com/stock/apollotyre" TargetMode="External"/><Relationship Id="rId38" Type="http://schemas.openxmlformats.org/officeDocument/2006/relationships/hyperlink" Target="https://stockezee.com/stock/biocon" TargetMode="External"/><Relationship Id="rId59" Type="http://schemas.openxmlformats.org/officeDocument/2006/relationships/hyperlink" Target="https://stockezee.com/stock/deltacorp" TargetMode="External"/><Relationship Id="rId103" Type="http://schemas.openxmlformats.org/officeDocument/2006/relationships/hyperlink" Target="https://stockezee.com/stock/indiamart" TargetMode="External"/><Relationship Id="rId124" Type="http://schemas.openxmlformats.org/officeDocument/2006/relationships/hyperlink" Target="https://stockezee.com/stock/ltts" TargetMode="External"/><Relationship Id="rId70" Type="http://schemas.openxmlformats.org/officeDocument/2006/relationships/hyperlink" Target="https://stockezee.com/stock/glenmark" TargetMode="External"/><Relationship Id="rId91" Type="http://schemas.openxmlformats.org/officeDocument/2006/relationships/hyperlink" Target="https://stockezee.com/stock/honaut" TargetMode="External"/><Relationship Id="rId145" Type="http://schemas.openxmlformats.org/officeDocument/2006/relationships/hyperlink" Target="https://stockezee.com/stock/nmdc" TargetMode="External"/><Relationship Id="rId166" Type="http://schemas.openxmlformats.org/officeDocument/2006/relationships/hyperlink" Target="https://stockezee.com/stock/sail" TargetMode="External"/><Relationship Id="rId187" Type="http://schemas.openxmlformats.org/officeDocument/2006/relationships/hyperlink" Target="https://stockezee.com/stock/torntpower" TargetMode="External"/><Relationship Id="rId1" Type="http://schemas.openxmlformats.org/officeDocument/2006/relationships/hyperlink" Target="https://stockezee.com/stock/banknifty" TargetMode="External"/><Relationship Id="rId28" Type="http://schemas.openxmlformats.org/officeDocument/2006/relationships/hyperlink" Target="https://stockezee.com/stock/balkrisind" TargetMode="External"/><Relationship Id="rId49" Type="http://schemas.openxmlformats.org/officeDocument/2006/relationships/hyperlink" Target="https://stockezee.com/stock/coforge" TargetMode="External"/><Relationship Id="rId114" Type="http://schemas.openxmlformats.org/officeDocument/2006/relationships/hyperlink" Target="https://stockezee.com/stock/jkcement" TargetMode="External"/><Relationship Id="rId60" Type="http://schemas.openxmlformats.org/officeDocument/2006/relationships/hyperlink" Target="https://stockezee.com/stock/divislab" TargetMode="External"/><Relationship Id="rId81" Type="http://schemas.openxmlformats.org/officeDocument/2006/relationships/hyperlink" Target="https://stockezee.com/stock/hcltech" TargetMode="External"/><Relationship Id="rId135" Type="http://schemas.openxmlformats.org/officeDocument/2006/relationships/hyperlink" Target="https://stockezee.com/stock/mgl" TargetMode="External"/><Relationship Id="rId156" Type="http://schemas.openxmlformats.org/officeDocument/2006/relationships/hyperlink" Target="https://stockezee.com/stock/piind" TargetMode="External"/><Relationship Id="rId177" Type="http://schemas.openxmlformats.org/officeDocument/2006/relationships/hyperlink" Target="https://stockezee.com/stock/tatachem" TargetMode="External"/><Relationship Id="rId198" Type="http://schemas.openxmlformats.org/officeDocument/2006/relationships/hyperlink" Target="https://stockezee.com/stock/zyduslife" TargetMode="External"/><Relationship Id="rId18" Type="http://schemas.openxmlformats.org/officeDocument/2006/relationships/hyperlink" Target="https://stockezee.com/stock/ashokley" TargetMode="External"/><Relationship Id="rId39" Type="http://schemas.openxmlformats.org/officeDocument/2006/relationships/hyperlink" Target="https://stockezee.com/stock/boschltd" TargetMode="External"/><Relationship Id="rId50" Type="http://schemas.openxmlformats.org/officeDocument/2006/relationships/hyperlink" Target="https://stockezee.com/stock/colpal" TargetMode="External"/><Relationship Id="rId104" Type="http://schemas.openxmlformats.org/officeDocument/2006/relationships/hyperlink" Target="https://stockezee.com/stock/indigo" TargetMode="External"/><Relationship Id="rId125" Type="http://schemas.openxmlformats.org/officeDocument/2006/relationships/hyperlink" Target="https://stockezee.com/stock/lupin" TargetMode="External"/><Relationship Id="rId146" Type="http://schemas.openxmlformats.org/officeDocument/2006/relationships/hyperlink" Target="https://stockezee.com/stock/ntpc" TargetMode="External"/><Relationship Id="rId167" Type="http://schemas.openxmlformats.org/officeDocument/2006/relationships/hyperlink" Target="https://stockezee.com/stock/sbicard" TargetMode="External"/><Relationship Id="rId188" Type="http://schemas.openxmlformats.org/officeDocument/2006/relationships/hyperlink" Target="https://stockezee.com/stock/trent"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matrimony.com/"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hyperlink" Target="http://sr.no/" TargetMode="External"/><Relationship Id="rId2" Type="http://schemas.openxmlformats.org/officeDocument/2006/relationships/hyperlink" Target="http://sr.no/" TargetMode="External"/><Relationship Id="rId1" Type="http://schemas.openxmlformats.org/officeDocument/2006/relationships/hyperlink" Target="http://sr.no/"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hyperlink" Target="http://sr.no/"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EAADB"/>
  </sheetPr>
  <dimension ref="A1:N53"/>
  <sheetViews>
    <sheetView topLeftCell="A1764" workbookViewId="0">
      <selection activeCell="J1793" sqref="J1793"/>
    </sheetView>
  </sheetViews>
  <sheetFormatPr baseColWidth="10" defaultColWidth="14.42578125" defaultRowHeight="15" customHeight="1"/>
  <cols>
    <col min="1" max="1" width="14.42578125" bestFit="1" customWidth="1"/>
    <col min="2" max="2" width="10.7109375" customWidth="1"/>
    <col min="3" max="3" width="11.42578125" customWidth="1"/>
    <col min="4" max="4" width="11.7109375" customWidth="1"/>
    <col min="5" max="5" width="7.140625" customWidth="1"/>
    <col min="6" max="6" width="9.5703125" customWidth="1"/>
    <col min="7" max="7" width="11.140625" customWidth="1"/>
    <col min="8" max="8" width="2.140625" customWidth="1"/>
    <col min="9" max="9" width="1.85546875" customWidth="1"/>
    <col min="10" max="11" width="11" customWidth="1"/>
    <col min="12" max="12" width="10" customWidth="1"/>
    <col min="13" max="13" width="10.7109375" customWidth="1"/>
    <col min="14" max="14" width="10" customWidth="1"/>
    <col min="15" max="15" width="10.28515625" customWidth="1"/>
    <col min="16" max="16" width="8.7109375" customWidth="1"/>
  </cols>
  <sheetData>
    <row r="1" spans="1:13" ht="15" customHeight="1">
      <c r="A1" s="1" t="s">
        <v>0</v>
      </c>
      <c r="B1" s="2" t="s">
        <v>1</v>
      </c>
      <c r="C1" s="3" t="s">
        <v>2</v>
      </c>
      <c r="H1" s="4"/>
    </row>
    <row r="2" spans="1:13" ht="14.25" customHeight="1">
      <c r="A2" s="5">
        <v>44792</v>
      </c>
      <c r="B2" s="6">
        <v>21000</v>
      </c>
      <c r="C2" s="7" t="s">
        <v>3</v>
      </c>
      <c r="D2" s="7"/>
      <c r="E2" s="7"/>
      <c r="H2" s="4"/>
    </row>
    <row r="3" spans="1:13" ht="14.25" customHeight="1">
      <c r="A3" s="5">
        <v>44792</v>
      </c>
      <c r="B3" s="6"/>
      <c r="C3" s="7" t="s">
        <v>4</v>
      </c>
      <c r="D3" s="7" t="s">
        <v>5</v>
      </c>
      <c r="E3" s="7"/>
      <c r="H3" s="4"/>
    </row>
    <row r="4" spans="1:13" ht="14.25" customHeight="1">
      <c r="A4" s="5">
        <v>44795</v>
      </c>
      <c r="B4" s="6">
        <v>1000</v>
      </c>
      <c r="C4" s="7" t="s">
        <v>3</v>
      </c>
      <c r="D4" s="7"/>
      <c r="E4" s="7"/>
      <c r="H4" s="4"/>
    </row>
    <row r="5" spans="1:13" ht="14.25" customHeight="1">
      <c r="A5" s="5">
        <v>44795</v>
      </c>
      <c r="B5" s="8"/>
      <c r="C5" s="7" t="s">
        <v>4</v>
      </c>
      <c r="D5" s="9" t="s">
        <v>6</v>
      </c>
      <c r="E5" s="7"/>
      <c r="H5" s="4"/>
    </row>
    <row r="6" spans="1:13" ht="14.25" customHeight="1">
      <c r="A6" s="5">
        <v>44798</v>
      </c>
      <c r="B6" s="8">
        <v>-1800</v>
      </c>
      <c r="C6" s="7" t="s">
        <v>7</v>
      </c>
      <c r="D6" s="9"/>
      <c r="E6" s="7"/>
      <c r="H6" s="4"/>
    </row>
    <row r="7" spans="1:13" ht="14.25" customHeight="1">
      <c r="A7" s="5">
        <v>44831</v>
      </c>
      <c r="B7" s="8">
        <v>-79.739999999999995</v>
      </c>
      <c r="C7" s="7" t="s">
        <v>7</v>
      </c>
      <c r="D7" s="9"/>
      <c r="E7" s="7"/>
      <c r="H7" s="4"/>
    </row>
    <row r="8" spans="1:13" ht="14.25" customHeight="1">
      <c r="A8" s="5"/>
      <c r="B8" s="8"/>
      <c r="C8" s="7"/>
      <c r="D8" s="7"/>
      <c r="E8" s="7"/>
      <c r="H8" s="4"/>
    </row>
    <row r="9" spans="1:13" ht="14.25" customHeight="1">
      <c r="A9" s="10" t="s">
        <v>8</v>
      </c>
      <c r="B9" s="11">
        <f>ROUND(SUM(B2:B8),2)</f>
        <v>20120.259999999998</v>
      </c>
      <c r="C9" s="12">
        <f>SUMIF(C2:C8,"F&amp;O",B2:B8)</f>
        <v>0</v>
      </c>
      <c r="H9" s="4"/>
    </row>
    <row r="10" spans="1:13" ht="3.75" customHeight="1"/>
    <row r="11" spans="1:13" ht="14.25" customHeight="1">
      <c r="F11" s="13">
        <f>5.4%+0.5%</f>
        <v>5.9000000000000004E-2</v>
      </c>
    </row>
    <row r="12" spans="1:13" ht="3.75" customHeight="1"/>
    <row r="13" spans="1:13" ht="14.25" customHeight="1">
      <c r="A13" s="14" t="s">
        <v>0</v>
      </c>
      <c r="B13" s="15" t="s">
        <v>9</v>
      </c>
      <c r="C13" s="14" t="s">
        <v>2</v>
      </c>
      <c r="D13" s="16" t="s">
        <v>10</v>
      </c>
      <c r="E13" s="16" t="s">
        <v>11</v>
      </c>
      <c r="F13" s="16" t="s">
        <v>12</v>
      </c>
      <c r="G13" s="16" t="s">
        <v>13</v>
      </c>
      <c r="H13" s="17"/>
      <c r="J13" s="18" t="s">
        <v>0</v>
      </c>
      <c r="K13" s="19" t="s">
        <v>14</v>
      </c>
      <c r="L13" s="20" t="s">
        <v>15</v>
      </c>
      <c r="M13" s="1" t="s">
        <v>2</v>
      </c>
    </row>
    <row r="14" spans="1:13" ht="14.25" customHeight="1">
      <c r="A14" s="21">
        <v>44792</v>
      </c>
      <c r="B14" s="22">
        <v>841.93</v>
      </c>
      <c r="C14" s="23" t="s">
        <v>4</v>
      </c>
      <c r="D14" s="24">
        <v>2734.93</v>
      </c>
      <c r="E14" s="25"/>
      <c r="F14" s="24">
        <f t="shared" ref="F14:F19" si="0">IF(G14="","", ROUND(G14*F$11/365,2))</f>
        <v>1.77</v>
      </c>
      <c r="G14" s="26">
        <f t="shared" ref="G14:G18" si="1">IF(AND(D14="",E14=""),"",(A15-A14)*(D14+E14))</f>
        <v>10939.72</v>
      </c>
      <c r="H14" s="27" t="str">
        <f t="shared" ref="H14:H19" si="2">IF(OR(C14="",C14="R/O Adjustment",C14="IntraDay",C14="F&amp;O"),"","Positional")</f>
        <v/>
      </c>
      <c r="J14" s="28"/>
      <c r="K14" s="29"/>
      <c r="L14" s="30"/>
      <c r="M14" s="31"/>
    </row>
    <row r="15" spans="1:13" ht="14.25" customHeight="1">
      <c r="A15" s="32">
        <v>44796</v>
      </c>
      <c r="B15" s="22">
        <v>252.11</v>
      </c>
      <c r="C15" s="23" t="s">
        <v>4</v>
      </c>
      <c r="D15" s="24">
        <v>564.14</v>
      </c>
      <c r="E15" s="25"/>
      <c r="F15" s="24">
        <f t="shared" si="0"/>
        <v>0.09</v>
      </c>
      <c r="G15" s="26">
        <f t="shared" si="1"/>
        <v>564.14</v>
      </c>
      <c r="H15" s="27" t="str">
        <f t="shared" si="2"/>
        <v/>
      </c>
      <c r="J15" s="28"/>
      <c r="K15" s="29"/>
      <c r="L15" s="33"/>
      <c r="M15" s="31"/>
    </row>
    <row r="16" spans="1:13" ht="14.25" customHeight="1">
      <c r="A16" s="32">
        <v>44797</v>
      </c>
      <c r="B16" s="22">
        <v>-21214.300000000003</v>
      </c>
      <c r="C16" s="23" t="s">
        <v>4</v>
      </c>
      <c r="D16" s="24">
        <v>1879.74</v>
      </c>
      <c r="E16" s="25"/>
      <c r="F16" s="24">
        <f t="shared" si="0"/>
        <v>0.3</v>
      </c>
      <c r="G16" s="26">
        <f t="shared" si="1"/>
        <v>1879.74</v>
      </c>
      <c r="H16" s="27" t="str">
        <f t="shared" si="2"/>
        <v/>
      </c>
      <c r="J16" s="28"/>
      <c r="K16" s="29"/>
      <c r="L16" s="33"/>
      <c r="M16" s="31"/>
    </row>
    <row r="17" spans="1:14" ht="14.25" customHeight="1">
      <c r="A17" s="32">
        <v>44798</v>
      </c>
      <c r="B17" s="22">
        <v>0</v>
      </c>
      <c r="C17" s="34" t="s">
        <v>16</v>
      </c>
      <c r="D17" s="24">
        <v>79.739999999999995</v>
      </c>
      <c r="E17" s="25"/>
      <c r="F17" s="24">
        <f t="shared" si="0"/>
        <v>0.43</v>
      </c>
      <c r="G17" s="26">
        <f t="shared" si="1"/>
        <v>2631.4199999999996</v>
      </c>
      <c r="H17" s="27" t="str">
        <f t="shared" si="2"/>
        <v/>
      </c>
      <c r="J17" s="28"/>
      <c r="K17" s="29"/>
      <c r="L17" s="33"/>
      <c r="M17" s="31"/>
    </row>
    <row r="18" spans="1:14" ht="14.25" customHeight="1">
      <c r="A18" s="32">
        <v>44831</v>
      </c>
      <c r="B18" s="22">
        <v>0</v>
      </c>
      <c r="C18" s="34" t="s">
        <v>16</v>
      </c>
      <c r="D18" s="24">
        <v>0</v>
      </c>
      <c r="E18" s="25"/>
      <c r="F18" s="24">
        <f t="shared" si="0"/>
        <v>0</v>
      </c>
      <c r="G18" s="26">
        <f t="shared" si="1"/>
        <v>0</v>
      </c>
      <c r="H18" s="27" t="str">
        <f t="shared" si="2"/>
        <v/>
      </c>
      <c r="J18" s="28"/>
      <c r="K18" s="29"/>
      <c r="L18" s="33"/>
      <c r="M18" s="31"/>
    </row>
    <row r="19" spans="1:14" ht="14.25" customHeight="1">
      <c r="A19" s="32">
        <v>44831</v>
      </c>
      <c r="B19" s="22"/>
      <c r="C19" s="23"/>
      <c r="D19" s="24"/>
      <c r="E19" s="25"/>
      <c r="F19" s="24" t="str">
        <f t="shared" si="0"/>
        <v/>
      </c>
      <c r="G19" s="26" t="str">
        <f>IF(AND(D19="",E19=""),"",(#REF!-A19)*(D19+E19))</f>
        <v/>
      </c>
      <c r="H19" s="27" t="str">
        <f t="shared" si="2"/>
        <v/>
      </c>
      <c r="J19" s="28"/>
      <c r="K19" s="29"/>
      <c r="L19" s="33"/>
      <c r="M19" s="31"/>
    </row>
    <row r="20" spans="1:14" ht="14.25" customHeight="1">
      <c r="A20" s="35" t="s">
        <v>17</v>
      </c>
      <c r="B20" s="36">
        <f>ROUND(SUM(B14:B19),2)</f>
        <v>-20120.259999999998</v>
      </c>
      <c r="C20" s="23"/>
      <c r="D20" s="24"/>
      <c r="E20" s="25"/>
      <c r="F20" s="37">
        <f>ROUND(SUM(F14:F19),2)</f>
        <v>2.59</v>
      </c>
      <c r="G20" s="26"/>
      <c r="H20" s="27" t="str">
        <f>IF(AND(C20&lt;&gt;"",C20&lt;&gt;"R/O Adjustment",C20&lt;&gt;"IntraDay",C20&lt;&gt;"F&amp;O"),"Positional","")</f>
        <v/>
      </c>
      <c r="J20" s="28"/>
      <c r="K20" s="31" t="s">
        <v>18</v>
      </c>
      <c r="L20" s="38">
        <f>ROUND(SUM(L14:L19),2)</f>
        <v>0</v>
      </c>
      <c r="M20" s="31"/>
    </row>
    <row r="21" spans="1:14" ht="3.75" customHeight="1">
      <c r="B21" s="39"/>
      <c r="C21" s="40"/>
      <c r="D21" s="39"/>
      <c r="E21" s="41"/>
      <c r="G21" s="42"/>
      <c r="H21" s="40"/>
    </row>
    <row r="22" spans="1:14" ht="15.75" customHeight="1">
      <c r="A22" s="43" t="s">
        <v>19</v>
      </c>
      <c r="B22" s="44">
        <f>ROUND(SUMIF(H14:H19,A22,B14:B19),2)</f>
        <v>0</v>
      </c>
      <c r="D22" s="45">
        <f>D24-C9</f>
        <v>0</v>
      </c>
      <c r="E22" s="25">
        <f>B$35</f>
        <v>0</v>
      </c>
      <c r="J22" s="42"/>
      <c r="K22" s="46"/>
    </row>
    <row r="23" spans="1:14" ht="15" customHeight="1">
      <c r="A23" s="43" t="s">
        <v>20</v>
      </c>
      <c r="B23" s="44">
        <f>ROUND(SUMIF(C14:C19,A23,B14:B19),2)</f>
        <v>0</v>
      </c>
      <c r="C23" s="43" t="s">
        <v>21</v>
      </c>
      <c r="D23" s="47">
        <f>B9+B20-L20</f>
        <v>0</v>
      </c>
      <c r="F23" s="43" t="s">
        <v>22</v>
      </c>
      <c r="G23" s="48">
        <f>ROUND(SUMIFS(B14:B19,C14:C19,A24,B14:B19, "&gt;0"),2)</f>
        <v>1094.04</v>
      </c>
      <c r="H23" s="49">
        <f>COUNTIFS(B14:B19,"&gt;0",C14:C19,A24)</f>
        <v>2</v>
      </c>
      <c r="J23" s="50" t="s">
        <v>23</v>
      </c>
      <c r="K23" s="51" t="s">
        <v>20</v>
      </c>
      <c r="L23" s="51" t="s">
        <v>4</v>
      </c>
      <c r="M23" s="51" t="s">
        <v>19</v>
      </c>
      <c r="N23" s="51" t="s">
        <v>24</v>
      </c>
    </row>
    <row r="24" spans="1:14" ht="15" customHeight="1">
      <c r="A24" s="43" t="s">
        <v>4</v>
      </c>
      <c r="B24" s="48">
        <f>ROUND(SUMIF(C14:C19,A24,B14:B19),2)</f>
        <v>-20120.259999999998</v>
      </c>
      <c r="C24" s="43" t="s">
        <v>25</v>
      </c>
      <c r="D24" s="24">
        <v>0</v>
      </c>
      <c r="F24" s="43" t="s">
        <v>26</v>
      </c>
      <c r="G24" s="48">
        <f>ROUND(SUMIFS(B14:B19,C14:C19,A24,B14:B19, "&lt;0"),2)</f>
        <v>-21214.3</v>
      </c>
      <c r="H24" s="49">
        <f>COUNTIFS(B14:B19,"&lt;0",C14:C19,A24)</f>
        <v>1</v>
      </c>
      <c r="J24" s="52">
        <v>44774</v>
      </c>
      <c r="K24" s="53">
        <v>0</v>
      </c>
      <c r="L24" s="53">
        <v>-20120.259999999998</v>
      </c>
      <c r="M24" s="53">
        <v>0</v>
      </c>
      <c r="N24" s="53">
        <f t="shared" ref="N24:N26" si="3">SUM(K24:M24)</f>
        <v>-20120.259999999998</v>
      </c>
    </row>
    <row r="25" spans="1:14" ht="15" customHeight="1">
      <c r="A25" s="43" t="s">
        <v>16</v>
      </c>
      <c r="B25" s="54">
        <f>ROUND(SUMIF(C14:C19,A25,B14:B19),2)</f>
        <v>0</v>
      </c>
      <c r="C25" s="55" t="s">
        <v>27</v>
      </c>
      <c r="D25" s="56">
        <f>D24-D23</f>
        <v>0</v>
      </c>
      <c r="J25" s="57">
        <v>44805</v>
      </c>
      <c r="K25" s="46">
        <v>0</v>
      </c>
      <c r="L25" s="46">
        <v>0</v>
      </c>
      <c r="M25" s="46">
        <v>0</v>
      </c>
      <c r="N25" s="46">
        <f t="shared" si="3"/>
        <v>0</v>
      </c>
    </row>
    <row r="26" spans="1:14" ht="15.75" customHeight="1">
      <c r="A26" s="43" t="s">
        <v>28</v>
      </c>
      <c r="B26" s="58">
        <f>SUM(B22:B25)</f>
        <v>-20120.259999999998</v>
      </c>
      <c r="J26" s="52">
        <v>44835</v>
      </c>
      <c r="K26" s="53">
        <v>0</v>
      </c>
      <c r="L26" s="53">
        <v>0</v>
      </c>
      <c r="M26" s="53">
        <v>0</v>
      </c>
      <c r="N26" s="53">
        <f t="shared" si="3"/>
        <v>0</v>
      </c>
    </row>
    <row r="27" spans="1:14" ht="15.75" customHeight="1">
      <c r="A27" s="43"/>
      <c r="B27" s="59"/>
      <c r="J27" s="42"/>
      <c r="K27" s="46"/>
    </row>
    <row r="28" spans="1:14" ht="15.75" customHeight="1">
      <c r="A28" s="60">
        <f>Zerodha!A991</f>
        <v>44986</v>
      </c>
      <c r="B28" s="60">
        <f>Zerodha!B991</f>
        <v>45016</v>
      </c>
      <c r="C28" s="43" t="s">
        <v>29</v>
      </c>
      <c r="D28" s="44"/>
      <c r="J28" s="61" t="s">
        <v>18</v>
      </c>
      <c r="K28" s="62">
        <f t="shared" ref="K28:N28" si="4">SUM(K24:K27)</f>
        <v>0</v>
      </c>
      <c r="L28" s="62">
        <f t="shared" si="4"/>
        <v>-20120.259999999998</v>
      </c>
      <c r="M28" s="62">
        <f t="shared" si="4"/>
        <v>0</v>
      </c>
      <c r="N28" s="62">
        <f t="shared" si="4"/>
        <v>-20120.259999999998</v>
      </c>
    </row>
    <row r="29" spans="1:14" ht="15.75" customHeight="1">
      <c r="A29" s="63" t="s">
        <v>20</v>
      </c>
      <c r="B29" s="64">
        <f>ROUND(SUMIFS(B14:B19,C14:C19,A29,A14:A19,"&gt;="&amp;A28,A14:A19,"&lt;="&amp;B28)+B32,2)</f>
        <v>0</v>
      </c>
      <c r="C29" s="55" t="s">
        <v>30</v>
      </c>
      <c r="D29" s="65">
        <f>D28-B22</f>
        <v>0</v>
      </c>
      <c r="J29" s="42"/>
      <c r="K29" s="46"/>
    </row>
    <row r="30" spans="1:14" ht="15.75" customHeight="1">
      <c r="A30" s="63" t="s">
        <v>19</v>
      </c>
      <c r="B30" s="64">
        <f>ROUND(SUMIFS(B14:B19,H14:H19,A30,A14:A19,"&gt;="&amp;A28,A14:A19,"&lt;="&amp;B28),2)</f>
        <v>0</v>
      </c>
      <c r="C30" s="43" t="s">
        <v>31</v>
      </c>
      <c r="D30" s="66"/>
      <c r="J30" s="42"/>
      <c r="K30" s="46"/>
    </row>
    <row r="31" spans="1:14" ht="15.75" customHeight="1">
      <c r="A31" s="63" t="s">
        <v>4</v>
      </c>
      <c r="B31" s="67">
        <f>ROUND(SUMIFS(B14:B19,C14:C19,A31,A14:A19,"&gt;="&amp;A28,A14:A19,"&lt;="&amp;B28),2)</f>
        <v>0</v>
      </c>
      <c r="C31" s="55" t="s">
        <v>30</v>
      </c>
      <c r="D31" s="65">
        <f>D30-B23</f>
        <v>0</v>
      </c>
      <c r="E31" s="49">
        <f>ROUND(COUNTIFS(B14:B19,"&gt;0",C14:C19,A31,A14:A19,"&gt;="&amp;A28,A14:A19,"&lt;="&amp;B28),2)</f>
        <v>0</v>
      </c>
      <c r="F31" s="48">
        <f>ROUND(SUMIFS(B14:B19,C14:C19,A24,B14:B19, "&gt;0",A14:A19,"&gt;="&amp;A28,A14:A19,"&lt;="&amp;B28),2)</f>
        <v>0</v>
      </c>
      <c r="G31" s="48" t="e">
        <f t="shared" ref="G31:G32" si="5">F31/E31</f>
        <v>#DIV/0!</v>
      </c>
      <c r="J31" s="42"/>
      <c r="K31" s="46"/>
    </row>
    <row r="32" spans="1:14" ht="15.75" customHeight="1">
      <c r="A32" s="63" t="s">
        <v>16</v>
      </c>
      <c r="B32" s="64">
        <f>ROUND(SUMIFS(B14:B19,C14:C19,A32,A14:A19,"&gt;="&amp;A28,A14:A19,"&lt;="&amp;B28),2)</f>
        <v>0</v>
      </c>
      <c r="C32" s="43" t="s">
        <v>4</v>
      </c>
      <c r="D32" s="44">
        <f>Trade!X1785</f>
        <v>-20120.259999999998</v>
      </c>
      <c r="E32" s="49">
        <f>ROUND(COUNTIFS(B14:B19,"&lt;0",C14:C19,A31,A14:A19,"&gt;="&amp;A28,A14:A19,"&lt;="&amp;B28),2)</f>
        <v>0</v>
      </c>
      <c r="F32" s="48">
        <f>ROUND(SUMIFS(B14:B19,C14:C19,A24,B14:B19,"&lt;0",A14:A19,"&gt;="&amp;A28,A14:A19,"&lt;="&amp;B28),2)</f>
        <v>0</v>
      </c>
      <c r="G32" s="48" t="e">
        <f t="shared" si="5"/>
        <v>#DIV/0!</v>
      </c>
      <c r="J32" s="42"/>
      <c r="K32" s="46"/>
    </row>
    <row r="33" spans="1:11" ht="15.75" customHeight="1">
      <c r="A33" s="63" t="s">
        <v>32</v>
      </c>
      <c r="B33" s="68">
        <f>SUM(B29:B31)</f>
        <v>0</v>
      </c>
      <c r="C33" s="55" t="s">
        <v>30</v>
      </c>
      <c r="D33" s="65">
        <f>D32-B24</f>
        <v>0</v>
      </c>
      <c r="J33" s="42"/>
      <c r="K33" s="46"/>
    </row>
    <row r="34" spans="1:11" ht="15.75" customHeight="1">
      <c r="J34" s="42"/>
      <c r="K34" s="46"/>
    </row>
    <row r="35" spans="1:11" ht="15.75" customHeight="1">
      <c r="J35" s="42"/>
      <c r="K35" s="46"/>
    </row>
    <row r="36" spans="1:11" ht="15.75" customHeight="1">
      <c r="J36" s="42"/>
      <c r="K36" s="46"/>
    </row>
    <row r="37" spans="1:11" ht="15.75" customHeight="1">
      <c r="J37" s="42"/>
      <c r="K37" s="46"/>
    </row>
    <row r="38" spans="1:11" ht="15.75" customHeight="1">
      <c r="J38" s="42"/>
      <c r="K38" s="46"/>
    </row>
    <row r="39" spans="1:11" ht="15.75" customHeight="1">
      <c r="J39" s="42"/>
      <c r="K39" s="46"/>
    </row>
    <row r="40" spans="1:11" ht="15.75" customHeight="1">
      <c r="J40" s="42"/>
      <c r="K40" s="46"/>
    </row>
    <row r="41" spans="1:11" ht="15.75" customHeight="1">
      <c r="J41" s="42"/>
      <c r="K41" s="46"/>
    </row>
    <row r="42" spans="1:11" ht="15.75" customHeight="1">
      <c r="J42" s="42"/>
      <c r="K42" s="46"/>
    </row>
    <row r="43" spans="1:11" ht="15.75" customHeight="1">
      <c r="J43" s="42"/>
      <c r="K43" s="46"/>
    </row>
    <row r="44" spans="1:11" ht="15.75" customHeight="1">
      <c r="J44" s="42"/>
      <c r="K44" s="46"/>
    </row>
    <row r="45" spans="1:11" ht="15.75" customHeight="1">
      <c r="J45" s="42"/>
      <c r="K45" s="46"/>
    </row>
    <row r="46" spans="1:11" ht="15.75" customHeight="1">
      <c r="B46" s="39"/>
      <c r="J46" s="42"/>
      <c r="K46" s="46"/>
    </row>
    <row r="47" spans="1:11" ht="15.75" customHeight="1">
      <c r="B47" s="39"/>
      <c r="J47" s="42"/>
      <c r="K47" s="46"/>
    </row>
    <row r="48" spans="1:11" ht="15.75" customHeight="1">
      <c r="B48" s="39"/>
      <c r="C48" s="40"/>
      <c r="D48" s="39"/>
      <c r="J48" s="42"/>
      <c r="K48" s="46"/>
    </row>
    <row r="49" spans="2:11" ht="15.75" customHeight="1">
      <c r="B49" s="39"/>
      <c r="C49" s="40"/>
      <c r="D49" s="39"/>
      <c r="F49" s="69"/>
      <c r="G49" s="70"/>
      <c r="I49" s="69"/>
      <c r="J49" s="46"/>
      <c r="K49" s="46"/>
    </row>
    <row r="50" spans="2:11" ht="15.75" customHeight="1">
      <c r="B50" s="39"/>
      <c r="C50" s="40"/>
      <c r="D50" s="39"/>
      <c r="F50" s="69"/>
      <c r="G50" s="70"/>
      <c r="I50" s="46"/>
      <c r="J50" s="46"/>
      <c r="K50" s="46"/>
    </row>
    <row r="51" spans="2:11" ht="15.75" customHeight="1">
      <c r="B51" s="39"/>
      <c r="C51" s="40"/>
      <c r="D51" s="39"/>
    </row>
    <row r="52" spans="2:11" ht="15.75" customHeight="1">
      <c r="B52" s="39"/>
      <c r="C52" s="40"/>
      <c r="D52" s="39"/>
      <c r="F52" s="69"/>
      <c r="G52" s="70"/>
      <c r="I52" s="69"/>
      <c r="J52" s="46"/>
      <c r="K52" s="46"/>
    </row>
    <row r="53" spans="2:11" ht="15.75" customHeight="1">
      <c r="B53" s="39"/>
      <c r="C53" s="40"/>
      <c r="D53" s="39"/>
      <c r="F53" s="69"/>
      <c r="G53" s="70"/>
      <c r="I53" s="46"/>
      <c r="J53" s="46"/>
      <c r="K53" s="46"/>
    </row>
  </sheetData>
  <dataValidations count="1">
    <dataValidation type="custom" allowBlank="1" showDropDown="1" sqref="A2:A8 A15:A19">
      <formula1>OR(NOT(ISERROR(DATEVALUE(A2))), AND(ISNUMBER(A2), LEFT(CELL("format", A2))="D"))</formula1>
    </dataValidation>
  </dataValidations>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1" width="13.5703125" customWidth="1"/>
    <col min="2" max="26" width="8.7109375" customWidth="1"/>
  </cols>
  <sheetData>
    <row r="1" spans="1:3" ht="14.25" customHeight="1">
      <c r="A1" s="40" t="s">
        <v>422</v>
      </c>
      <c r="C1" s="40" t="s">
        <v>2385</v>
      </c>
    </row>
    <row r="2" spans="1:3" ht="14.25" customHeight="1">
      <c r="A2" s="40" t="str">
        <f t="array" ref="A2:A434">Trade!B834:B1410</f>
        <v>ZEEL</v>
      </c>
      <c r="C2" s="40" t="str">
        <f ca="1">IFERROR(__xludf.DUMMYFUNCTION("ARRAY_CONSTRAIN(ARRAYFORMULA(UNIQUE(_xlws.SORT(_xlws.FILTER(A2:A434,ISNUMBER(SEARCH(Trade!B1666,A2:A434)),""not found"")))), 1, 1)"),"#NAME?")</f>
        <v>#NAME?</v>
      </c>
    </row>
    <row r="3" spans="1:3" ht="14.25" customHeight="1">
      <c r="A3" s="40" t="str">
        <v>UPL</v>
      </c>
    </row>
    <row r="4" spans="1:3" ht="14.25" customHeight="1">
      <c r="A4" s="40" t="str">
        <v>INFY</v>
      </c>
    </row>
    <row r="5" spans="1:3" ht="14.25" customHeight="1">
      <c r="A5" s="40" t="str">
        <v>SAIL</v>
      </c>
    </row>
    <row r="6" spans="1:3" ht="14.25" customHeight="1">
      <c r="A6" s="40" t="str">
        <v>ELDERPHARM</v>
      </c>
    </row>
    <row r="7" spans="1:3" ht="14.25" customHeight="1">
      <c r="A7" s="40" t="str">
        <v>RPOWER</v>
      </c>
    </row>
    <row r="8" spans="1:3" ht="14.25" customHeight="1">
      <c r="A8" s="40" t="str">
        <v>PATELENG</v>
      </c>
    </row>
    <row r="9" spans="1:3" ht="14.25" customHeight="1">
      <c r="A9" s="40" t="str">
        <v>PATELENG</v>
      </c>
    </row>
    <row r="10" spans="1:3" ht="14.25" customHeight="1">
      <c r="A10" s="40" t="str">
        <v>PATELENG</v>
      </c>
    </row>
    <row r="11" spans="1:3" ht="14.25" customHeight="1">
      <c r="A11" s="40" t="str">
        <v>CUMMINSIND</v>
      </c>
    </row>
    <row r="12" spans="1:3" ht="14.25" customHeight="1">
      <c r="A12" s="40" t="str">
        <v>ROLTA</v>
      </c>
    </row>
    <row r="13" spans="1:3" ht="14.25" customHeight="1">
      <c r="A13" s="40" t="str">
        <v>PATELENG</v>
      </c>
    </row>
    <row r="14" spans="1:3" ht="14.25" customHeight="1">
      <c r="A14" s="40" t="str">
        <v>POWERGRID</v>
      </c>
    </row>
    <row r="15" spans="1:3" ht="14.25" customHeight="1">
      <c r="A15" s="40" t="str">
        <v>NMDC</v>
      </c>
    </row>
    <row r="16" spans="1:3" ht="14.25" customHeight="1">
      <c r="A16" s="40" t="str">
        <v>NMDC</v>
      </c>
    </row>
    <row r="17" spans="1:1" ht="14.25" customHeight="1">
      <c r="A17" s="40" t="str">
        <v>ROLTA</v>
      </c>
    </row>
    <row r="18" spans="1:1" ht="14.25" customHeight="1">
      <c r="A18" s="40" t="str">
        <v>AUROPHARMA</v>
      </c>
    </row>
    <row r="19" spans="1:1" ht="14.25" customHeight="1">
      <c r="A19" s="40" t="str">
        <v>CIPLA</v>
      </c>
    </row>
    <row r="20" spans="1:1" ht="14.25" customHeight="1">
      <c r="A20" s="40" t="str">
        <v>SAIL</v>
      </c>
    </row>
    <row r="21" spans="1:1" ht="14.25" customHeight="1">
      <c r="A21" s="40" t="str">
        <v>CIPLA</v>
      </c>
    </row>
    <row r="22" spans="1:1" ht="14.25" customHeight="1">
      <c r="A22" s="40" t="str">
        <v>ORIENTBANK</v>
      </c>
    </row>
    <row r="23" spans="1:1" ht="14.25" customHeight="1">
      <c r="A23" s="40" t="str">
        <v>CROMPTON</v>
      </c>
    </row>
    <row r="24" spans="1:1" ht="14.25" customHeight="1">
      <c r="A24" s="40" t="str">
        <v>JSWSTEEL</v>
      </c>
    </row>
    <row r="25" spans="1:1" ht="14.25" customHeight="1">
      <c r="A25" s="40" t="str">
        <v>CROMPTON</v>
      </c>
    </row>
    <row r="26" spans="1:1" ht="14.25" customHeight="1">
      <c r="A26" s="40" t="str">
        <v>ADANIENT</v>
      </c>
    </row>
    <row r="27" spans="1:1" ht="14.25" customHeight="1">
      <c r="A27" s="40" t="str">
        <v>ORIENTBANK</v>
      </c>
    </row>
    <row r="28" spans="1:1" ht="14.25" customHeight="1">
      <c r="A28" s="40" t="str">
        <v>ITC</v>
      </c>
    </row>
    <row r="29" spans="1:1" ht="14.25" customHeight="1">
      <c r="A29" s="40" t="str">
        <v>RAYMOND</v>
      </c>
    </row>
    <row r="30" spans="1:1" ht="14.25" customHeight="1">
      <c r="A30" s="40" t="str">
        <v>DISHTV</v>
      </c>
    </row>
    <row r="31" spans="1:1" ht="14.25" customHeight="1">
      <c r="A31" s="40" t="str">
        <v>ADANIENT</v>
      </c>
    </row>
    <row r="32" spans="1:1" ht="14.25" customHeight="1">
      <c r="A32" s="40" t="str">
        <v>ADANIENT</v>
      </c>
    </row>
    <row r="33" spans="1:1" ht="14.25" customHeight="1">
      <c r="A33" s="40" t="str">
        <v>ORIENTBANK</v>
      </c>
    </row>
    <row r="34" spans="1:1" ht="14.25" customHeight="1">
      <c r="A34" s="40" t="str">
        <v>DABUR</v>
      </c>
    </row>
    <row r="35" spans="1:1" ht="14.25" customHeight="1">
      <c r="A35" s="40" t="str">
        <v>BHEL</v>
      </c>
    </row>
    <row r="36" spans="1:1" ht="14.25" customHeight="1">
      <c r="A36" s="40" t="str">
        <v>NTPC</v>
      </c>
    </row>
    <row r="37" spans="1:1" ht="14.25" customHeight="1">
      <c r="A37" s="40" t="str">
        <v>BHEL</v>
      </c>
    </row>
    <row r="38" spans="1:1" ht="14.25" customHeight="1">
      <c r="A38" s="40" t="str">
        <v>ADANIENT</v>
      </c>
    </row>
    <row r="39" spans="1:1" ht="14.25" customHeight="1">
      <c r="A39" s="40" t="str">
        <v>BIOCON</v>
      </c>
    </row>
    <row r="40" spans="1:1" ht="14.25" customHeight="1">
      <c r="A40" s="40" t="str">
        <v>DABUR</v>
      </c>
    </row>
    <row r="41" spans="1:1" ht="14.25" customHeight="1">
      <c r="A41" s="40" t="str">
        <v>GVKPIL</v>
      </c>
    </row>
    <row r="42" spans="1:1" ht="14.25" customHeight="1">
      <c r="A42" s="40" t="str">
        <v>JPASSOCIAT</v>
      </c>
    </row>
    <row r="43" spans="1:1" ht="14.25" customHeight="1">
      <c r="A43" s="40" t="str">
        <v>CROMPTON</v>
      </c>
    </row>
    <row r="44" spans="1:1" ht="14.25" customHeight="1">
      <c r="A44" s="40" t="str">
        <v>AXISBANK</v>
      </c>
    </row>
    <row r="45" spans="1:1" ht="14.25" customHeight="1">
      <c r="A45" s="40" t="str">
        <v>AXISBANK</v>
      </c>
    </row>
    <row r="46" spans="1:1" ht="14.25" customHeight="1">
      <c r="A46" s="40" t="str">
        <v>CGPOWER</v>
      </c>
    </row>
    <row r="47" spans="1:1" ht="14.25" customHeight="1">
      <c r="A47" s="40" t="str">
        <v>CROMPTON</v>
      </c>
    </row>
    <row r="48" spans="1:1" ht="14.25" customHeight="1">
      <c r="A48" s="40" t="str">
        <v>CROMPTON</v>
      </c>
    </row>
    <row r="49" spans="1:1" ht="14.25" customHeight="1">
      <c r="A49" s="40" t="str">
        <v>ROLTA</v>
      </c>
    </row>
    <row r="50" spans="1:1" ht="14.25" customHeight="1">
      <c r="A50" s="40" t="str">
        <v>RELIANCE PP</v>
      </c>
    </row>
    <row r="51" spans="1:1" ht="14.25" customHeight="1">
      <c r="A51" s="40" t="str">
        <v>RELIANCE PP</v>
      </c>
    </row>
    <row r="52" spans="1:1" ht="14.25" customHeight="1">
      <c r="A52" s="40" t="str">
        <v>INDUSINDBK</v>
      </c>
    </row>
    <row r="53" spans="1:1" ht="14.25" customHeight="1">
      <c r="A53" s="40" t="str">
        <v>POWERGRID</v>
      </c>
    </row>
    <row r="54" spans="1:1" ht="14.25" customHeight="1">
      <c r="A54" s="40" t="str">
        <v>RELIANCE</v>
      </c>
    </row>
    <row r="55" spans="1:1" ht="14.25" customHeight="1">
      <c r="A55" s="40" t="str">
        <v>JUBLFOOD</v>
      </c>
    </row>
    <row r="56" spans="1:1" ht="14.25" customHeight="1">
      <c r="A56" s="40" t="str">
        <v>APOLLOTYRE</v>
      </c>
    </row>
    <row r="57" spans="1:1" ht="14.25" customHeight="1">
      <c r="A57" s="40" t="str">
        <v>SBIN</v>
      </c>
    </row>
    <row r="58" spans="1:1" ht="14.25" customHeight="1">
      <c r="A58" s="40" t="str">
        <v>INDUSINDBK</v>
      </c>
    </row>
    <row r="59" spans="1:1" ht="14.25" customHeight="1">
      <c r="A59" s="40" t="str">
        <v>CONCOR</v>
      </c>
    </row>
    <row r="60" spans="1:1" ht="14.25" customHeight="1">
      <c r="A60" s="40" t="str">
        <v>INDUSINDBK</v>
      </c>
    </row>
    <row r="61" spans="1:1" ht="14.25" customHeight="1">
      <c r="A61" s="40" t="str">
        <v>RELIANCE</v>
      </c>
    </row>
    <row r="62" spans="1:1" ht="14.25" customHeight="1">
      <c r="A62" s="40" t="str">
        <v>TATASTEEL</v>
      </c>
    </row>
    <row r="63" spans="1:1" ht="14.25" customHeight="1">
      <c r="A63" s="40" t="str">
        <v>HINDALCO</v>
      </c>
    </row>
    <row r="64" spans="1:1" ht="14.25" customHeight="1">
      <c r="A64" s="40" t="str">
        <v>PNB</v>
      </c>
    </row>
    <row r="65" spans="1:1" ht="14.25" customHeight="1">
      <c r="A65" s="40" t="str">
        <v>IDEA</v>
      </c>
    </row>
    <row r="66" spans="1:1" ht="14.25" customHeight="1">
      <c r="A66" s="40" t="str">
        <v>INDIGO</v>
      </c>
    </row>
    <row r="67" spans="1:1" ht="14.25" customHeight="1">
      <c r="A67" s="40" t="str">
        <v>IBULHSGFIN</v>
      </c>
    </row>
    <row r="68" spans="1:1" ht="14.25" customHeight="1">
      <c r="A68" s="40" t="str">
        <v>INDUSINDBK</v>
      </c>
    </row>
    <row r="69" spans="1:1" ht="14.25" customHeight="1">
      <c r="A69" s="40" t="str">
        <v>PNB</v>
      </c>
    </row>
    <row r="70" spans="1:1" ht="14.25" customHeight="1">
      <c r="A70" s="40" t="str">
        <v>GAIL</v>
      </c>
    </row>
    <row r="71" spans="1:1" ht="14.25" customHeight="1">
      <c r="A71" s="40" t="str">
        <v>ADANIENT</v>
      </c>
    </row>
    <row r="72" spans="1:1" ht="14.25" customHeight="1">
      <c r="A72" s="40" t="str">
        <v>PNB</v>
      </c>
    </row>
    <row r="73" spans="1:1" ht="14.25" customHeight="1">
      <c r="A73" s="40" t="str">
        <v>NMDC</v>
      </c>
    </row>
    <row r="74" spans="1:1" ht="14.25" customHeight="1">
      <c r="A74" s="40" t="str">
        <v>NMDC</v>
      </c>
    </row>
    <row r="75" spans="1:1" ht="14.25" customHeight="1">
      <c r="A75" s="40" t="str">
        <v>NMDC</v>
      </c>
    </row>
    <row r="76" spans="1:1" ht="14.25" customHeight="1">
      <c r="A76" s="40" t="str">
        <v>SAIL</v>
      </c>
    </row>
    <row r="77" spans="1:1" ht="14.25" customHeight="1">
      <c r="A77" s="40" t="str">
        <v>TVSMOTOR</v>
      </c>
    </row>
    <row r="78" spans="1:1" ht="14.25" customHeight="1">
      <c r="A78" s="40" t="str">
        <v>SAIL</v>
      </c>
    </row>
    <row r="79" spans="1:1" ht="14.25" customHeight="1">
      <c r="A79" s="40" t="str">
        <v>AXISBANK</v>
      </c>
    </row>
    <row r="80" spans="1:1" ht="14.25" customHeight="1">
      <c r="A80" s="40" t="str">
        <v>TATAMOTORS</v>
      </c>
    </row>
    <row r="81" spans="1:1" ht="14.25" customHeight="1">
      <c r="A81" s="40" t="str">
        <v>M&amp;M</v>
      </c>
    </row>
    <row r="82" spans="1:1" ht="14.25" customHeight="1">
      <c r="A82" s="40" t="str">
        <v>ESCORTS</v>
      </c>
    </row>
    <row r="83" spans="1:1" ht="14.25" customHeight="1">
      <c r="A83" s="40" t="str">
        <v>INDIGO</v>
      </c>
    </row>
    <row r="84" spans="1:1" ht="14.25" customHeight="1">
      <c r="A84" s="40" t="str">
        <v>COROMANDEL</v>
      </c>
    </row>
    <row r="85" spans="1:1" ht="14.25" customHeight="1">
      <c r="A85" s="40" t="str">
        <v>PVR</v>
      </c>
    </row>
    <row r="86" spans="1:1" ht="14.25" customHeight="1">
      <c r="A86" s="40" t="str">
        <v>MGL</v>
      </c>
    </row>
    <row r="87" spans="1:1" ht="14.25" customHeight="1">
      <c r="A87" s="40" t="str">
        <v>MGL</v>
      </c>
    </row>
    <row r="88" spans="1:1" ht="14.25" customHeight="1">
      <c r="A88" s="40" t="str">
        <v>JSWSTEEL</v>
      </c>
    </row>
    <row r="89" spans="1:1" ht="14.25" customHeight="1">
      <c r="A89" s="40" t="str">
        <v>AXISBANK</v>
      </c>
    </row>
    <row r="90" spans="1:1" ht="14.25" customHeight="1">
      <c r="A90" s="40" t="str">
        <v>MGL</v>
      </c>
    </row>
    <row r="91" spans="1:1" ht="14.25" customHeight="1">
      <c r="A91" s="40" t="str">
        <v>MGL</v>
      </c>
    </row>
    <row r="92" spans="1:1" ht="14.25" customHeight="1">
      <c r="A92" s="40" t="str">
        <v>MGL</v>
      </c>
    </row>
    <row r="93" spans="1:1" ht="14.25" customHeight="1">
      <c r="A93" s="40" t="str">
        <v>IGL</v>
      </c>
    </row>
    <row r="94" spans="1:1" ht="14.25" customHeight="1">
      <c r="A94" s="40" t="str">
        <v>AUROPHARMA</v>
      </c>
    </row>
    <row r="95" spans="1:1" ht="14.25" customHeight="1">
      <c r="A95" s="40" t="str">
        <v>INDIGO</v>
      </c>
    </row>
    <row r="96" spans="1:1" ht="14.25" customHeight="1">
      <c r="A96" s="40" t="str">
        <v>MGL</v>
      </c>
    </row>
    <row r="97" spans="1:1" ht="14.25" customHeight="1">
      <c r="A97" s="40" t="str">
        <v>LT</v>
      </c>
    </row>
    <row r="98" spans="1:1" ht="14.25" customHeight="1">
      <c r="A98" s="40" t="str">
        <v>MGL</v>
      </c>
    </row>
    <row r="99" spans="1:1" ht="14.25" customHeight="1">
      <c r="A99" s="40" t="str">
        <v>INDUSINDBK</v>
      </c>
    </row>
    <row r="100" spans="1:1" ht="14.25" customHeight="1">
      <c r="A100" s="40" t="str">
        <v>INDIGO</v>
      </c>
    </row>
    <row r="101" spans="1:1" ht="14.25" customHeight="1">
      <c r="A101" s="40" t="str">
        <v>MGL</v>
      </c>
    </row>
    <row r="102" spans="1:1" ht="14.25" customHeight="1">
      <c r="A102" s="40" t="str">
        <v>HINDPETRO</v>
      </c>
    </row>
    <row r="103" spans="1:1" ht="14.25" customHeight="1">
      <c r="A103" s="40" t="str">
        <v>HDFCBANK</v>
      </c>
    </row>
    <row r="104" spans="1:1" ht="14.25" customHeight="1">
      <c r="A104" s="40" t="str">
        <v>SAIL</v>
      </c>
    </row>
    <row r="105" spans="1:1" ht="14.25" customHeight="1">
      <c r="A105" s="40" t="str">
        <v>ASHOKLEY</v>
      </c>
    </row>
    <row r="106" spans="1:1" ht="14.25" customHeight="1">
      <c r="A106" s="40" t="str">
        <v>MGL</v>
      </c>
    </row>
    <row r="107" spans="1:1" ht="14.25" customHeight="1">
      <c r="A107" s="40" t="str">
        <v>INDIGO</v>
      </c>
    </row>
    <row r="108" spans="1:1" ht="14.25" customHeight="1">
      <c r="A108" s="40" t="str">
        <v>TATACHEM</v>
      </c>
    </row>
    <row r="109" spans="1:1" ht="14.25" customHeight="1">
      <c r="A109" s="40" t="str">
        <v>TITAN</v>
      </c>
    </row>
    <row r="110" spans="1:1" ht="14.25" customHeight="1">
      <c r="A110" s="40" t="str">
        <v>MGL</v>
      </c>
    </row>
    <row r="111" spans="1:1" ht="14.25" customHeight="1">
      <c r="A111" s="40" t="str">
        <v>TATASTEEL</v>
      </c>
    </row>
    <row r="112" spans="1:1" ht="14.25" customHeight="1">
      <c r="A112" s="40" t="str">
        <v>TATAMOTORS</v>
      </c>
    </row>
    <row r="113" spans="1:1" ht="14.25" customHeight="1">
      <c r="A113" s="40" t="str">
        <v>GRAPHITE</v>
      </c>
    </row>
    <row r="114" spans="1:1" ht="14.25" customHeight="1">
      <c r="A114" s="40" t="str">
        <v>TITAN</v>
      </c>
    </row>
    <row r="115" spans="1:1" ht="14.25" customHeight="1">
      <c r="A115" s="40" t="str">
        <v>TATACHEM</v>
      </c>
    </row>
    <row r="116" spans="1:1" ht="14.25" customHeight="1">
      <c r="A116" s="40" t="str">
        <v>INDIGO</v>
      </c>
    </row>
    <row r="117" spans="1:1" ht="14.25" customHeight="1">
      <c r="A117" s="40" t="str">
        <v>GRASIM</v>
      </c>
    </row>
    <row r="118" spans="1:1" ht="14.25" customHeight="1">
      <c r="A118" s="40" t="str">
        <v>JSWSTEEL</v>
      </c>
    </row>
    <row r="119" spans="1:1" ht="14.25" customHeight="1">
      <c r="A119" s="40" t="str">
        <v>JSWSTEEL</v>
      </c>
    </row>
    <row r="120" spans="1:1" ht="14.25" customHeight="1">
      <c r="A120" s="40" t="str">
        <v>CADILAHC</v>
      </c>
    </row>
    <row r="121" spans="1:1" ht="14.25" customHeight="1">
      <c r="A121" s="40" t="str">
        <v>TORNTPHARM</v>
      </c>
    </row>
    <row r="122" spans="1:1" ht="14.25" customHeight="1">
      <c r="A122" s="40" t="str">
        <v>CIPLA</v>
      </c>
    </row>
    <row r="123" spans="1:1" ht="14.25" customHeight="1">
      <c r="A123" s="40" t="str">
        <v>BAJAJCON</v>
      </c>
    </row>
    <row r="124" spans="1:1" ht="14.25" customHeight="1">
      <c r="A124" s="40" t="str">
        <v>ASHOKLEY</v>
      </c>
    </row>
    <row r="125" spans="1:1" ht="14.25" customHeight="1">
      <c r="A125" s="40" t="str">
        <v>BSOFT</v>
      </c>
    </row>
    <row r="126" spans="1:1" ht="14.25" customHeight="1">
      <c r="A126" s="40" t="str">
        <v>HEG</v>
      </c>
    </row>
    <row r="127" spans="1:1" ht="14.25" customHeight="1">
      <c r="A127" s="40" t="str">
        <v>PRAJIND</v>
      </c>
    </row>
    <row r="128" spans="1:1" ht="14.25" customHeight="1">
      <c r="A128" s="40" t="str">
        <v>IRFC</v>
      </c>
    </row>
    <row r="129" spans="1:1" ht="14.25" customHeight="1">
      <c r="A129" s="40" t="str">
        <v>CHOLAFIN</v>
      </c>
    </row>
    <row r="130" spans="1:1" ht="14.25" customHeight="1">
      <c r="A130" s="40" t="str">
        <v>DLF</v>
      </c>
    </row>
    <row r="131" spans="1:1" ht="14.25" customHeight="1">
      <c r="A131" s="40" t="str">
        <v>MPHASIS</v>
      </c>
    </row>
    <row r="132" spans="1:1" ht="14.25" customHeight="1">
      <c r="A132" s="40" t="str">
        <v>IRFC</v>
      </c>
    </row>
    <row r="133" spans="1:1" ht="14.25" customHeight="1">
      <c r="A133" s="40" t="str">
        <v>BAJFINANCE</v>
      </c>
    </row>
    <row r="134" spans="1:1" ht="14.25" customHeight="1">
      <c r="A134" s="40" t="str">
        <v>BSOFT</v>
      </c>
    </row>
    <row r="135" spans="1:1" ht="14.25" customHeight="1">
      <c r="A135" s="40" t="str">
        <v>IRFC</v>
      </c>
    </row>
    <row r="136" spans="1:1" ht="14.25" customHeight="1">
      <c r="A136" s="40" t="str">
        <v>PIDILITIND</v>
      </c>
    </row>
    <row r="137" spans="1:1" ht="14.25" customHeight="1">
      <c r="A137" s="40" t="str">
        <v>NATIONALUM</v>
      </c>
    </row>
    <row r="138" spans="1:1" ht="14.25" customHeight="1">
      <c r="A138" s="40" t="str">
        <v>IRFC</v>
      </c>
    </row>
    <row r="139" spans="1:1" ht="14.25" customHeight="1">
      <c r="A139" s="40" t="str">
        <v>TINPLATE</v>
      </c>
    </row>
    <row r="140" spans="1:1" ht="14.25" customHeight="1">
      <c r="A140" s="40" t="str">
        <v>BAJFINANCE</v>
      </c>
    </row>
    <row r="141" spans="1:1" ht="14.25" customHeight="1">
      <c r="A141" s="40" t="str">
        <v>HINDUNILVR</v>
      </c>
    </row>
    <row r="142" spans="1:1" ht="14.25" customHeight="1">
      <c r="A142" s="40" t="str">
        <v>NMDC</v>
      </c>
    </row>
    <row r="143" spans="1:1" ht="14.25" customHeight="1">
      <c r="A143" s="40" t="str">
        <v>IRFC</v>
      </c>
    </row>
    <row r="144" spans="1:1" ht="14.25" customHeight="1">
      <c r="A144" s="40" t="str">
        <v>BEL</v>
      </c>
    </row>
    <row r="145" spans="1:1" ht="14.25" customHeight="1">
      <c r="A145" s="40" t="str">
        <v>SAIL</v>
      </c>
    </row>
    <row r="146" spans="1:1" ht="14.25" customHeight="1">
      <c r="A146" s="40" t="str">
        <v>CARBORUNIV</v>
      </c>
    </row>
    <row r="147" spans="1:1" ht="14.25" customHeight="1">
      <c r="A147" s="40" t="str">
        <v>JINDALSTEL</v>
      </c>
    </row>
    <row r="148" spans="1:1" ht="14.25" customHeight="1">
      <c r="A148" s="40" t="str">
        <v>IRFC</v>
      </c>
    </row>
    <row r="149" spans="1:1" ht="14.25" customHeight="1">
      <c r="A149" s="40" t="str">
        <v>GHCL</v>
      </c>
    </row>
    <row r="150" spans="1:1" ht="14.25" customHeight="1">
      <c r="A150" s="40" t="str">
        <v>ASIANPAINT</v>
      </c>
    </row>
    <row r="151" spans="1:1" ht="14.25" customHeight="1">
      <c r="A151" s="40" t="str">
        <v>BAJAJFINSV</v>
      </c>
    </row>
    <row r="152" spans="1:1" ht="14.25" customHeight="1">
      <c r="A152" s="40" t="str">
        <v>GDL</v>
      </c>
    </row>
    <row r="153" spans="1:1" ht="14.25" customHeight="1">
      <c r="A153" s="40" t="str">
        <v>CARBORUNIV</v>
      </c>
    </row>
    <row r="154" spans="1:1" ht="14.25" customHeight="1">
      <c r="A154" s="40" t="str">
        <v>BEL</v>
      </c>
    </row>
    <row r="155" spans="1:1" ht="14.25" customHeight="1">
      <c r="A155" s="40" t="str">
        <v>BSOFT</v>
      </c>
    </row>
    <row r="156" spans="1:1" ht="14.25" customHeight="1">
      <c r="A156" s="40" t="str">
        <v>BEL</v>
      </c>
    </row>
    <row r="157" spans="1:1" ht="14.25" customHeight="1">
      <c r="A157" s="40" t="str">
        <v>IRFC</v>
      </c>
    </row>
    <row r="158" spans="1:1" ht="14.25" customHeight="1">
      <c r="A158" s="40" t="str">
        <v>SBIN</v>
      </c>
    </row>
    <row r="159" spans="1:1" ht="14.25" customHeight="1">
      <c r="A159" s="40" t="str">
        <v>FINEORG</v>
      </c>
    </row>
    <row r="160" spans="1:1" ht="14.25" customHeight="1">
      <c r="A160" s="40" t="str">
        <v>NATCOPHARM</v>
      </c>
    </row>
    <row r="161" spans="1:1" ht="14.25" customHeight="1">
      <c r="A161" s="40" t="str">
        <v>WOCKPHARMA</v>
      </c>
    </row>
    <row r="162" spans="1:1" ht="14.25" customHeight="1">
      <c r="A162" s="40" t="str">
        <v>IOLCP</v>
      </c>
    </row>
    <row r="163" spans="1:1" ht="14.25" customHeight="1">
      <c r="A163" s="40" t="str">
        <v>IRFC</v>
      </c>
    </row>
    <row r="164" spans="1:1" ht="14.25" customHeight="1">
      <c r="A164" s="40" t="str">
        <v>HDFC</v>
      </c>
    </row>
    <row r="165" spans="1:1" ht="14.25" customHeight="1">
      <c r="A165" s="40" t="str">
        <v>SAIL</v>
      </c>
    </row>
    <row r="166" spans="1:1" ht="14.25" customHeight="1">
      <c r="A166" s="40" t="str">
        <v>HINDUNILVR</v>
      </c>
    </row>
    <row r="167" spans="1:1" ht="14.25" customHeight="1">
      <c r="A167" s="40" t="str">
        <v>DWARKESH</v>
      </c>
    </row>
    <row r="168" spans="1:1" ht="14.25" customHeight="1">
      <c r="A168" s="40" t="str">
        <v>IRFC</v>
      </c>
    </row>
    <row r="169" spans="1:1" ht="14.25" customHeight="1">
      <c r="A169" s="40" t="str">
        <v>ADVENZYMES</v>
      </c>
    </row>
    <row r="170" spans="1:1" ht="14.25" customHeight="1">
      <c r="A170" s="40" t="str">
        <v>DWARKESH</v>
      </c>
    </row>
    <row r="171" spans="1:1" ht="14.25" customHeight="1">
      <c r="A171" s="40" t="str">
        <v>SAIL</v>
      </c>
    </row>
    <row r="172" spans="1:1" ht="14.25" customHeight="1">
      <c r="A172" s="40" t="str">
        <v>BHEL</v>
      </c>
    </row>
    <row r="173" spans="1:1" ht="14.25" customHeight="1">
      <c r="A173" s="40" t="str">
        <v>ANGELBRKG</v>
      </c>
    </row>
    <row r="174" spans="1:1" ht="14.25" customHeight="1">
      <c r="A174" s="40" t="str">
        <v>PRSMJOHNSN</v>
      </c>
    </row>
    <row r="175" spans="1:1" ht="14.25" customHeight="1">
      <c r="A175" s="40" t="str">
        <v>CHOLAFIN</v>
      </c>
    </row>
    <row r="176" spans="1:1" ht="14.25" customHeight="1">
      <c r="A176" s="40" t="str">
        <v>APOLLOHOSP</v>
      </c>
    </row>
    <row r="177" spans="1:1" ht="14.25" customHeight="1">
      <c r="A177" s="40" t="str">
        <v>APOLLOHOSP</v>
      </c>
    </row>
    <row r="178" spans="1:1" ht="14.25" customHeight="1">
      <c r="A178" s="40" t="str">
        <v>IRCTC</v>
      </c>
    </row>
    <row r="179" spans="1:1" ht="14.25" customHeight="1">
      <c r="A179" s="40" t="str">
        <v>PFC</v>
      </c>
    </row>
    <row r="180" spans="1:1" ht="14.25" customHeight="1">
      <c r="A180" s="40" t="str">
        <v>IOC</v>
      </c>
    </row>
    <row r="181" spans="1:1" ht="14.25" customHeight="1">
      <c r="A181" s="40" t="str">
        <v>BAJAJCON</v>
      </c>
    </row>
    <row r="182" spans="1:1" ht="14.25" customHeight="1">
      <c r="A182" s="40" t="str">
        <v>JUSTDIAL</v>
      </c>
    </row>
    <row r="183" spans="1:1" ht="14.25" customHeight="1">
      <c r="A183" s="40" t="str">
        <v>ZEEL</v>
      </c>
    </row>
    <row r="184" spans="1:1" ht="14.25" customHeight="1">
      <c r="A184" s="40" t="str">
        <v>ASHOKA</v>
      </c>
    </row>
    <row r="185" spans="1:1" ht="14.25" customHeight="1">
      <c r="A185" s="40" t="str">
        <v>MAXHEALTH</v>
      </c>
    </row>
    <row r="186" spans="1:1" ht="14.25" customHeight="1">
      <c r="A186" s="40" t="str">
        <v>QUESS</v>
      </c>
    </row>
    <row r="187" spans="1:1" ht="14.25" customHeight="1">
      <c r="A187" s="40" t="str">
        <v>GPIL</v>
      </c>
    </row>
    <row r="188" spans="1:1" ht="14.25" customHeight="1">
      <c r="A188" s="40" t="str">
        <v>CREDITACC</v>
      </c>
    </row>
    <row r="189" spans="1:1" ht="14.25" customHeight="1">
      <c r="A189" s="40" t="str">
        <v>GICHSGFIN</v>
      </c>
    </row>
    <row r="190" spans="1:1" ht="14.25" customHeight="1">
      <c r="A190" s="40" t="str">
        <v>IDEA</v>
      </c>
    </row>
    <row r="191" spans="1:1" ht="14.25" customHeight="1">
      <c r="A191" s="40" t="str">
        <v>NCC</v>
      </c>
    </row>
    <row r="192" spans="1:1" ht="14.25" customHeight="1">
      <c r="A192" s="40" t="str">
        <v>WOCKPHARMA</v>
      </c>
    </row>
    <row r="193" spans="1:1" ht="14.25" customHeight="1">
      <c r="A193" s="40" t="str">
        <v>NCC</v>
      </c>
    </row>
    <row r="194" spans="1:1" ht="14.25" customHeight="1">
      <c r="A194" s="40" t="str">
        <v>RENUKA</v>
      </c>
    </row>
    <row r="195" spans="1:1" ht="14.25" customHeight="1">
      <c r="A195" s="40" t="str">
        <v>CREDITACC</v>
      </c>
    </row>
    <row r="196" spans="1:1" ht="14.25" customHeight="1">
      <c r="A196" s="40" t="str">
        <v>GICHSGFIN</v>
      </c>
    </row>
    <row r="197" spans="1:1" ht="14.25" customHeight="1">
      <c r="A197" s="40" t="str">
        <v>JSL</v>
      </c>
    </row>
    <row r="198" spans="1:1" ht="14.25" customHeight="1">
      <c r="A198" s="40" t="str">
        <v>NCC</v>
      </c>
    </row>
    <row r="199" spans="1:1" ht="14.25" customHeight="1">
      <c r="A199" s="40" t="str">
        <v>SHYMMETAL</v>
      </c>
    </row>
    <row r="200" spans="1:1" ht="14.25" customHeight="1">
      <c r="A200" s="40" t="str">
        <v>SAIL</v>
      </c>
    </row>
    <row r="201" spans="1:1" ht="14.25" customHeight="1">
      <c r="A201" s="40" t="str">
        <v>JSL</v>
      </c>
    </row>
    <row r="202" spans="1:1" ht="14.25" customHeight="1">
      <c r="A202" s="40" t="str">
        <v>SAIL</v>
      </c>
    </row>
    <row r="203" spans="1:1" ht="14.25" customHeight="1">
      <c r="A203" s="40" t="str">
        <v>JSL</v>
      </c>
    </row>
    <row r="204" spans="1:1" ht="14.25" customHeight="1">
      <c r="A204" s="40" t="str">
        <v>NCC</v>
      </c>
    </row>
    <row r="205" spans="1:1" ht="14.25" customHeight="1">
      <c r="A205" s="40" t="str">
        <v>SAIL</v>
      </c>
    </row>
    <row r="206" spans="1:1" ht="14.25" customHeight="1">
      <c r="A206" s="40" t="str">
        <v>JSL</v>
      </c>
    </row>
    <row r="207" spans="1:1" ht="14.25" customHeight="1">
      <c r="A207" s="40" t="str">
        <v>SKIPPER</v>
      </c>
    </row>
    <row r="208" spans="1:1" ht="14.25" customHeight="1">
      <c r="A208" s="40" t="str">
        <v>CARBORUNIV</v>
      </c>
    </row>
    <row r="209" spans="1:1" ht="14.25" customHeight="1">
      <c r="A209" s="40" t="str">
        <v>SONACOMS</v>
      </c>
    </row>
    <row r="210" spans="1:1" ht="14.25" customHeight="1">
      <c r="A210" s="40" t="str">
        <v>SONACOMS</v>
      </c>
    </row>
    <row r="211" spans="1:1" ht="14.25" customHeight="1">
      <c r="A211" s="40" t="str">
        <v>TATAPOWER</v>
      </c>
    </row>
    <row r="212" spans="1:1" ht="14.25" customHeight="1">
      <c r="A212" s="40" t="str">
        <v>SHAKTIPUMP</v>
      </c>
    </row>
    <row r="213" spans="1:1" ht="14.25" customHeight="1">
      <c r="A213" s="40" t="str">
        <v>SAIL</v>
      </c>
    </row>
    <row r="214" spans="1:1" ht="14.25" customHeight="1">
      <c r="A214" s="40" t="str">
        <v>SAIL</v>
      </c>
    </row>
    <row r="215" spans="1:1" ht="14.25" customHeight="1">
      <c r="A215" s="40" t="str">
        <v>IDEA</v>
      </c>
    </row>
    <row r="216" spans="1:1" ht="14.25" customHeight="1">
      <c r="A216" s="40" t="str">
        <v>PNCINFRA</v>
      </c>
    </row>
    <row r="217" spans="1:1" ht="14.25" customHeight="1">
      <c r="A217" s="40" t="str">
        <v>PNCINFRA</v>
      </c>
    </row>
    <row r="218" spans="1:1" ht="14.25" customHeight="1">
      <c r="A218" s="40" t="str">
        <v>IDEA</v>
      </c>
    </row>
    <row r="219" spans="1:1" ht="14.25" customHeight="1">
      <c r="A219" s="40" t="str">
        <v>CHOLAFIN</v>
      </c>
    </row>
    <row r="220" spans="1:1" ht="14.25" customHeight="1">
      <c r="A220" s="40" t="str">
        <v>IDEA</v>
      </c>
    </row>
    <row r="221" spans="1:1" ht="14.25" customHeight="1">
      <c r="A221" s="40" t="str">
        <v>YESBANK</v>
      </c>
    </row>
    <row r="222" spans="1:1" ht="14.25" customHeight="1">
      <c r="A222" s="40" t="str">
        <v>IDEA</v>
      </c>
    </row>
    <row r="223" spans="1:1" ht="14.25" customHeight="1">
      <c r="A223" s="40" t="str">
        <v>YESBANK</v>
      </c>
    </row>
    <row r="224" spans="1:1" ht="14.25" customHeight="1">
      <c r="A224" s="40" t="str">
        <v>KTKBANK</v>
      </c>
    </row>
    <row r="225" spans="1:1" ht="14.25" customHeight="1">
      <c r="A225" s="40" t="str">
        <v>IDEA</v>
      </c>
    </row>
    <row r="226" spans="1:1" ht="14.25" customHeight="1">
      <c r="A226" s="40" t="str">
        <v>PNB</v>
      </c>
    </row>
    <row r="227" spans="1:1" ht="14.25" customHeight="1">
      <c r="A227" s="40" t="str">
        <v>YESBANK</v>
      </c>
    </row>
    <row r="228" spans="1:1" ht="14.25" customHeight="1">
      <c r="A228" s="40" t="str">
        <v>CDSL</v>
      </c>
    </row>
    <row r="229" spans="1:1" ht="14.25" customHeight="1">
      <c r="A229" s="40" t="str">
        <v>JSWSTEEL</v>
      </c>
    </row>
    <row r="230" spans="1:1" ht="14.25" customHeight="1">
      <c r="A230" s="40" t="str">
        <v>SAIL</v>
      </c>
    </row>
    <row r="231" spans="1:1" ht="14.25" customHeight="1">
      <c r="A231" s="40" t="str">
        <v>INDIGO</v>
      </c>
    </row>
    <row r="232" spans="1:1" ht="14.25" customHeight="1">
      <c r="A232" s="40" t="str">
        <v>MUTHOOTFIN</v>
      </c>
    </row>
    <row r="233" spans="1:1" ht="14.25" customHeight="1">
      <c r="A233" s="40" t="str">
        <v>GODREJCP</v>
      </c>
    </row>
    <row r="234" spans="1:1" ht="14.25" customHeight="1">
      <c r="A234" s="40" t="str">
        <v>CANFINHOME</v>
      </c>
    </row>
    <row r="235" spans="1:1" ht="14.25" customHeight="1">
      <c r="A235" s="40" t="str">
        <v>INDIGO</v>
      </c>
    </row>
    <row r="236" spans="1:1" ht="14.25" customHeight="1">
      <c r="A236" s="40" t="str">
        <v>MUTHOOTFIN</v>
      </c>
    </row>
    <row r="237" spans="1:1" ht="14.25" customHeight="1">
      <c r="A237" s="40" t="str">
        <v>RELIANCE</v>
      </c>
    </row>
    <row r="238" spans="1:1" ht="14.25" customHeight="1">
      <c r="A238" s="40" t="str">
        <v>JINDALSTEL</v>
      </c>
    </row>
    <row r="239" spans="1:1" ht="14.25" customHeight="1">
      <c r="A239" s="40" t="str">
        <v>DCMSHRIRAM</v>
      </c>
    </row>
    <row r="240" spans="1:1" ht="14.25" customHeight="1">
      <c r="A240" s="40" t="str">
        <v>DCMSHRIRAM</v>
      </c>
    </row>
    <row r="241" spans="1:1" ht="14.25" customHeight="1">
      <c r="A241" s="40" t="str">
        <v>DCMSHRIRAM</v>
      </c>
    </row>
    <row r="242" spans="1:1" ht="14.25" customHeight="1">
      <c r="A242" s="40" t="str">
        <v>BAJFINANCE</v>
      </c>
    </row>
    <row r="243" spans="1:1" ht="14.25" customHeight="1">
      <c r="A243" s="40" t="str">
        <v>DCMSHRIRAM</v>
      </c>
    </row>
    <row r="244" spans="1:1" ht="14.25" customHeight="1">
      <c r="A244" s="40" t="str">
        <v>TATAPOWER</v>
      </c>
    </row>
    <row r="245" spans="1:1" ht="14.25" customHeight="1">
      <c r="A245" s="40" t="str">
        <v>DCMSHRIRAM</v>
      </c>
    </row>
    <row r="246" spans="1:1" ht="14.25" customHeight="1">
      <c r="A246" s="40" t="str">
        <v>BAJFINANCE</v>
      </c>
    </row>
    <row r="247" spans="1:1" ht="14.25" customHeight="1">
      <c r="A247" s="40" t="str">
        <v>TATAPOWER</v>
      </c>
    </row>
    <row r="248" spans="1:1" ht="14.25" customHeight="1">
      <c r="A248" s="40" t="str">
        <v>DCMSHRIRAM</v>
      </c>
    </row>
    <row r="249" spans="1:1" ht="14.25" customHeight="1">
      <c r="A249" s="40" t="str">
        <v>BAJFINANCE</v>
      </c>
    </row>
    <row r="250" spans="1:1" ht="14.25" customHeight="1">
      <c r="A250" s="40" t="str">
        <v>CDSL</v>
      </c>
    </row>
    <row r="251" spans="1:1" ht="14.25" customHeight="1">
      <c r="A251" s="40" t="str">
        <v>DCMSHRIRAM</v>
      </c>
    </row>
    <row r="252" spans="1:1" ht="14.25" customHeight="1">
      <c r="A252" s="40" t="str">
        <v>DCMSRMIND</v>
      </c>
    </row>
    <row r="253" spans="1:1" ht="14.25" customHeight="1">
      <c r="A253" s="40" t="str">
        <v>SBIN</v>
      </c>
    </row>
    <row r="254" spans="1:1" ht="14.25" customHeight="1">
      <c r="A254" s="40" t="str">
        <v>IBREALEST</v>
      </c>
    </row>
    <row r="255" spans="1:1" ht="14.25" customHeight="1">
      <c r="A255" s="40" t="str">
        <v>PNB</v>
      </c>
    </row>
    <row r="256" spans="1:1" ht="14.25" customHeight="1">
      <c r="A256" s="40" t="str">
        <v>DCMSHRIRAM</v>
      </c>
    </row>
    <row r="257" spans="1:1" ht="14.25" customHeight="1">
      <c r="A257" s="40" t="str">
        <v>ZENTEC</v>
      </c>
    </row>
    <row r="258" spans="1:1" ht="14.25" customHeight="1">
      <c r="A258" s="40" t="str">
        <v>DCMSHRIRAM</v>
      </c>
    </row>
    <row r="259" spans="1:1" ht="14.25" customHeight="1">
      <c r="A259" s="40" t="str">
        <v>SBIN</v>
      </c>
    </row>
    <row r="260" spans="1:1" ht="14.25" customHeight="1">
      <c r="A260" s="40" t="str">
        <v>IEX</v>
      </c>
    </row>
    <row r="261" spans="1:1" ht="14.25" customHeight="1">
      <c r="A261" s="40" t="str">
        <v>SBIN</v>
      </c>
    </row>
    <row r="262" spans="1:1" ht="14.25" customHeight="1">
      <c r="A262" s="40" t="str">
        <v>TCS</v>
      </c>
    </row>
    <row r="263" spans="1:1" ht="14.25" customHeight="1">
      <c r="A263" s="40" t="str">
        <v>IBREALEST</v>
      </c>
    </row>
    <row r="264" spans="1:1" ht="14.25" customHeight="1">
      <c r="A264" s="40" t="str">
        <v>BAJFINANCE</v>
      </c>
    </row>
    <row r="265" spans="1:1" ht="14.25" customHeight="1">
      <c r="A265" s="40" t="str">
        <v>SBIN</v>
      </c>
    </row>
    <row r="266" spans="1:1" ht="14.25" customHeight="1">
      <c r="A266" s="40" t="str">
        <v>DCMSHRIRAM</v>
      </c>
    </row>
    <row r="267" spans="1:1" ht="14.25" customHeight="1">
      <c r="A267" s="40" t="str">
        <v>BAJFINANCE</v>
      </c>
    </row>
    <row r="268" spans="1:1" ht="14.25" customHeight="1">
      <c r="A268" s="40" t="str">
        <v>LXCHEM</v>
      </c>
    </row>
    <row r="269" spans="1:1" ht="14.25" customHeight="1">
      <c r="A269" s="40" t="str">
        <v>ARVIND</v>
      </c>
    </row>
    <row r="270" spans="1:1" ht="14.25" customHeight="1">
      <c r="A270" s="40" t="str">
        <v>DCMSHRIRAM</v>
      </c>
    </row>
    <row r="271" spans="1:1" ht="14.25" customHeight="1">
      <c r="A271" s="40" t="str">
        <v>ARVIND</v>
      </c>
    </row>
    <row r="272" spans="1:1" ht="14.25" customHeight="1">
      <c r="A272" s="40" t="str">
        <v>IBREALEST</v>
      </c>
    </row>
    <row r="273" spans="1:1" ht="14.25" customHeight="1">
      <c r="A273" s="40" t="str">
        <v>DCMSHRIRAM</v>
      </c>
    </row>
    <row r="274" spans="1:1" ht="14.25" customHeight="1">
      <c r="A274" s="40" t="str">
        <v>CDSL</v>
      </c>
    </row>
    <row r="275" spans="1:1" ht="14.25" customHeight="1">
      <c r="A275" s="40" t="str">
        <v>BAJFINANCE</v>
      </c>
    </row>
    <row r="276" spans="1:1" ht="14.25" customHeight="1">
      <c r="A276" s="40" t="str">
        <v>VSSL</v>
      </c>
    </row>
    <row r="277" spans="1:1" ht="14.25" customHeight="1">
      <c r="A277" s="40" t="str">
        <v>CDSL</v>
      </c>
    </row>
    <row r="278" spans="1:1" ht="14.25" customHeight="1">
      <c r="A278" s="40" t="str">
        <v>DCMSHRIRAM</v>
      </c>
    </row>
    <row r="279" spans="1:1" ht="14.25" customHeight="1">
      <c r="A279" s="40" t="str">
        <v>INDIGO</v>
      </c>
    </row>
    <row r="280" spans="1:1" ht="14.25" customHeight="1">
      <c r="A280" s="40" t="str">
        <v>DCMSHRIRAM</v>
      </c>
    </row>
    <row r="281" spans="1:1" ht="14.25" customHeight="1">
      <c r="A281" s="40" t="str">
        <v>BAJFINANCE</v>
      </c>
    </row>
    <row r="282" spans="1:1" ht="14.25" customHeight="1">
      <c r="A282" s="40" t="str">
        <v>ITC</v>
      </c>
    </row>
    <row r="283" spans="1:1" ht="14.25" customHeight="1">
      <c r="A283" s="40" t="str">
        <v>TATAPOWER</v>
      </c>
    </row>
    <row r="284" spans="1:1" ht="14.25" customHeight="1">
      <c r="A284" s="40" t="str">
        <v>BAJFINANCE</v>
      </c>
    </row>
    <row r="285" spans="1:1" ht="14.25" customHeight="1">
      <c r="A285" s="40" t="str">
        <v>CAMS</v>
      </c>
    </row>
    <row r="286" spans="1:1" ht="14.25" customHeight="1">
      <c r="A286" s="40" t="str">
        <v>TVSMOTOR</v>
      </c>
    </row>
    <row r="287" spans="1:1" ht="14.25" customHeight="1">
      <c r="A287" s="40" t="str">
        <v>BAJFINANCE</v>
      </c>
    </row>
    <row r="288" spans="1:1" ht="14.25" customHeight="1">
      <c r="A288" s="40" t="str">
        <v>TATAPOWER</v>
      </c>
    </row>
    <row r="289" spans="1:1" ht="14.25" customHeight="1">
      <c r="A289" s="40" t="str">
        <v>TATAPOWER</v>
      </c>
    </row>
    <row r="290" spans="1:1" ht="14.25" customHeight="1">
      <c r="A290" s="40" t="str">
        <v>DCMSHRIRAM</v>
      </c>
    </row>
    <row r="291" spans="1:1" ht="14.25" customHeight="1">
      <c r="A291" s="40" t="str">
        <v>DCMSHRIRAM</v>
      </c>
    </row>
    <row r="292" spans="1:1" ht="14.25" customHeight="1">
      <c r="A292" s="40" t="str">
        <v>DCMSHRIRAM</v>
      </c>
    </row>
    <row r="293" spans="1:1" ht="14.25" customHeight="1">
      <c r="A293" s="40" t="str">
        <v>TCS</v>
      </c>
    </row>
    <row r="294" spans="1:1" ht="14.25" customHeight="1">
      <c r="A294" s="40" t="str">
        <v>DCMSHRIRAM</v>
      </c>
    </row>
    <row r="295" spans="1:1" ht="14.25" customHeight="1">
      <c r="A295" s="40" t="str">
        <v>DCMSHRIRAM</v>
      </c>
    </row>
    <row r="296" spans="1:1" ht="14.25" customHeight="1">
      <c r="A296" s="40" t="str">
        <v>DCMSHRIRAM</v>
      </c>
    </row>
    <row r="297" spans="1:1" ht="14.25" customHeight="1">
      <c r="A297" s="40" t="str">
        <v>BAJAJHIND</v>
      </c>
    </row>
    <row r="298" spans="1:1" ht="14.25" customHeight="1">
      <c r="A298" s="40" t="str">
        <v>HAVELLS</v>
      </c>
    </row>
    <row r="299" spans="1:1" ht="14.25" customHeight="1">
      <c r="A299" s="40" t="str">
        <v>DCMSHRIRAM</v>
      </c>
    </row>
    <row r="300" spans="1:1" ht="14.25" customHeight="1">
      <c r="A300" s="40" t="str">
        <v>RENUKA</v>
      </c>
    </row>
    <row r="301" spans="1:1" ht="14.25" customHeight="1">
      <c r="A301" s="40" t="str">
        <v>AVADHSUGAR</v>
      </c>
    </row>
    <row r="302" spans="1:1" ht="14.25" customHeight="1">
      <c r="A302" s="40" t="str">
        <v>INDSUCR</v>
      </c>
    </row>
    <row r="303" spans="1:1" ht="14.25" customHeight="1">
      <c r="A303" s="40" t="str">
        <v>TATAPOWER</v>
      </c>
    </row>
    <row r="304" spans="1:1" ht="14.25" customHeight="1">
      <c r="A304" s="40" t="str">
        <v>NATIONALUM</v>
      </c>
    </row>
    <row r="305" spans="1:1" ht="14.25" customHeight="1">
      <c r="A305" s="40" t="str">
        <v>DCMSHRIRAM</v>
      </c>
    </row>
    <row r="306" spans="1:1" ht="14.25" customHeight="1">
      <c r="A306" s="40" t="str">
        <v>DCMSHRIRAM</v>
      </c>
    </row>
    <row r="307" spans="1:1" ht="14.25" customHeight="1">
      <c r="A307" s="40" t="str">
        <v>DCMSHRIRAM</v>
      </c>
    </row>
    <row r="308" spans="1:1" ht="14.25" customHeight="1">
      <c r="A308" s="40" t="str">
        <v>DCMSHRIRAM</v>
      </c>
    </row>
    <row r="309" spans="1:1" ht="14.25" customHeight="1">
      <c r="A309" s="40" t="str">
        <v>DCMSHRIRAM</v>
      </c>
    </row>
    <row r="310" spans="1:1" ht="14.25" customHeight="1">
      <c r="A310" s="40" t="str">
        <v>DCMSHRIRAM</v>
      </c>
    </row>
    <row r="311" spans="1:1" ht="14.25" customHeight="1">
      <c r="A311" s="40" t="str">
        <v>SHALPAINTS</v>
      </c>
    </row>
    <row r="312" spans="1:1" ht="14.25" customHeight="1">
      <c r="A312" s="40" t="str">
        <v>NATIONALUM</v>
      </c>
    </row>
    <row r="313" spans="1:1" ht="14.25" customHeight="1">
      <c r="A313" s="40" t="str">
        <v>BAJFINANCE</v>
      </c>
    </row>
    <row r="314" spans="1:1" ht="14.25" customHeight="1">
      <c r="A314" s="40" t="str">
        <v>RENUKA</v>
      </c>
    </row>
    <row r="315" spans="1:1" ht="14.25" customHeight="1">
      <c r="A315" s="40" t="str">
        <v>DCMSHRIRAM</v>
      </c>
    </row>
    <row r="316" spans="1:1" ht="14.25" customHeight="1">
      <c r="A316" s="40" t="str">
        <v>INDSUCR</v>
      </c>
    </row>
    <row r="317" spans="1:1" ht="14.25" customHeight="1">
      <c r="A317" s="40" t="str">
        <v>DCMSHRIRAM</v>
      </c>
    </row>
    <row r="318" spans="1:1" ht="14.25" customHeight="1">
      <c r="A318" s="40" t="str">
        <v>SHALPAINTS</v>
      </c>
    </row>
    <row r="319" spans="1:1" ht="14.25" customHeight="1">
      <c r="A319" s="40" t="str">
        <v>BAJAJHIND</v>
      </c>
    </row>
    <row r="320" spans="1:1" ht="14.25" customHeight="1">
      <c r="A320" s="40" t="str">
        <v>VSSL</v>
      </c>
    </row>
    <row r="321" spans="1:1" ht="14.25" customHeight="1">
      <c r="A321" s="40" t="str">
        <v>VSSL</v>
      </c>
    </row>
    <row r="322" spans="1:1" ht="14.25" customHeight="1">
      <c r="A322" s="40" t="str">
        <v>NOCIL</v>
      </c>
    </row>
    <row r="323" spans="1:1" ht="14.25" customHeight="1">
      <c r="A323" s="40" t="str">
        <v>GREAVESCOT</v>
      </c>
    </row>
    <row r="324" spans="1:1" ht="14.25" customHeight="1">
      <c r="A324" s="40" t="str">
        <v>DCMSHRIRAM</v>
      </c>
    </row>
    <row r="325" spans="1:1" ht="14.25" customHeight="1">
      <c r="A325" s="40" t="str">
        <v>BAJFINANCE</v>
      </c>
    </row>
    <row r="326" spans="1:1" ht="14.25" customHeight="1">
      <c r="A326" s="40" t="str">
        <v>DCMSHRIRAM</v>
      </c>
    </row>
    <row r="327" spans="1:1" ht="14.25" customHeight="1">
      <c r="A327" s="40" t="str">
        <v>NATIONALUM</v>
      </c>
    </row>
    <row r="328" spans="1:1" ht="14.25" customHeight="1">
      <c r="A328" s="40" t="str">
        <v>DCMSHRIRAM</v>
      </c>
    </row>
    <row r="329" spans="1:1" ht="14.25" customHeight="1">
      <c r="A329" s="40" t="str">
        <v>NATIONALUM</v>
      </c>
    </row>
    <row r="330" spans="1:1" ht="14.25" customHeight="1">
      <c r="A330" s="40" t="str">
        <v>AARTIIND</v>
      </c>
    </row>
    <row r="331" spans="1:1" ht="14.25" customHeight="1">
      <c r="A331" s="40" t="str">
        <v>NOCIL</v>
      </c>
    </row>
    <row r="332" spans="1:1" ht="14.25" customHeight="1">
      <c r="A332" s="40" t="str">
        <v>DCMSHRIRAM</v>
      </c>
    </row>
    <row r="333" spans="1:1" ht="14.25" customHeight="1">
      <c r="A333" s="40" t="str">
        <v>IBREALEST</v>
      </c>
    </row>
    <row r="334" spans="1:1" ht="14.25" customHeight="1">
      <c r="A334" s="40" t="str">
        <v>ISEC</v>
      </c>
    </row>
    <row r="335" spans="1:1" ht="14.25" customHeight="1">
      <c r="A335" s="40" t="str">
        <v>DCMSHRIRAM</v>
      </c>
    </row>
    <row r="336" spans="1:1" ht="14.25" customHeight="1">
      <c r="A336" s="40" t="str">
        <v>IDEA</v>
      </c>
    </row>
    <row r="337" spans="1:1" ht="14.25" customHeight="1">
      <c r="A337" s="40" t="str">
        <v>VSSL</v>
      </c>
    </row>
    <row r="338" spans="1:1" ht="14.25" customHeight="1">
      <c r="A338" s="40" t="str">
        <v>ABCAPITAL</v>
      </c>
    </row>
    <row r="339" spans="1:1" ht="14.25" customHeight="1">
      <c r="A339" s="40" t="str">
        <v>DCMSHRIRAM</v>
      </c>
    </row>
    <row r="340" spans="1:1" ht="14.25" customHeight="1">
      <c r="A340" s="40" t="str">
        <v>IDEA</v>
      </c>
    </row>
    <row r="341" spans="1:1" ht="14.25" customHeight="1">
      <c r="A341" s="40" t="str">
        <v>PNBGILTS</v>
      </c>
    </row>
    <row r="342" spans="1:1" ht="14.25" customHeight="1">
      <c r="A342" s="40" t="str">
        <v>RENUKA</v>
      </c>
    </row>
    <row r="343" spans="1:1" ht="14.25" customHeight="1">
      <c r="A343" s="40" t="str">
        <v>IBREALEST</v>
      </c>
    </row>
    <row r="344" spans="1:1" ht="14.25" customHeight="1">
      <c r="A344" s="40" t="str">
        <v>DCMSHRIRAM</v>
      </c>
    </row>
    <row r="345" spans="1:1" ht="14.25" customHeight="1">
      <c r="A345" s="40" t="str">
        <v>CIPLA</v>
      </c>
    </row>
    <row r="346" spans="1:1" ht="14.25" customHeight="1">
      <c r="A346" s="40" t="str">
        <v>MCDOWELL</v>
      </c>
    </row>
    <row r="347" spans="1:1" ht="14.25" customHeight="1">
      <c r="A347" s="40" t="str">
        <v>SEQUENT</v>
      </c>
    </row>
    <row r="348" spans="1:1" ht="14.25" customHeight="1">
      <c r="A348" s="40" t="str">
        <v>YESBANK</v>
      </c>
    </row>
    <row r="349" spans="1:1" ht="14.25" customHeight="1">
      <c r="A349" s="40" t="str">
        <v>DCMSHRIRAM</v>
      </c>
    </row>
    <row r="350" spans="1:1" ht="14.25" customHeight="1">
      <c r="A350" s="40" t="str">
        <v>VSSL</v>
      </c>
    </row>
    <row r="351" spans="1:1" ht="14.25" customHeight="1">
      <c r="A351" s="40" t="str">
        <v>AARTIIND</v>
      </c>
    </row>
    <row r="352" spans="1:1" ht="14.25" customHeight="1">
      <c r="A352" s="40" t="str">
        <v>BANKBARODA</v>
      </c>
    </row>
    <row r="353" spans="1:1" ht="14.25" customHeight="1">
      <c r="A353" s="40" t="str">
        <v>TATAPOWER</v>
      </c>
    </row>
    <row r="354" spans="1:1" ht="14.25" customHeight="1">
      <c r="A354" s="40" t="str">
        <v>MCX</v>
      </c>
    </row>
    <row r="355" spans="1:1" ht="14.25" customHeight="1">
      <c r="A355" s="40" t="str">
        <v>DCMSHRIRAM</v>
      </c>
    </row>
    <row r="356" spans="1:1" ht="14.25" customHeight="1">
      <c r="A356" s="40" t="str">
        <v>AARTIIND</v>
      </c>
    </row>
    <row r="357" spans="1:1" ht="14.25" customHeight="1">
      <c r="A357" s="40" t="str">
        <v>VSSL</v>
      </c>
    </row>
    <row r="358" spans="1:1" ht="14.25" customHeight="1">
      <c r="A358" s="40" t="str">
        <v>DCMSHRIRAM</v>
      </c>
    </row>
    <row r="359" spans="1:1" ht="14.25" customHeight="1">
      <c r="A359" s="40" t="str">
        <v>A2ZINFRA</v>
      </c>
    </row>
    <row r="360" spans="1:1" ht="14.25" customHeight="1">
      <c r="A360" s="40" t="str">
        <v>TATAPOWER</v>
      </c>
    </row>
    <row r="361" spans="1:1" ht="14.25" customHeight="1">
      <c r="A361" s="40" t="str">
        <v>TATAPOWER</v>
      </c>
    </row>
    <row r="362" spans="1:1" ht="14.25" customHeight="1">
      <c r="A362" s="40" t="str">
        <v>DCMSHRIRAM</v>
      </c>
    </row>
    <row r="363" spans="1:1" ht="14.25" customHeight="1">
      <c r="A363" s="40" t="str">
        <v>DCMSHRIRAM</v>
      </c>
    </row>
    <row r="364" spans="1:1" ht="14.25" customHeight="1">
      <c r="A364" s="40" t="str">
        <v>PNBGILTS</v>
      </c>
    </row>
    <row r="365" spans="1:1" ht="14.25" customHeight="1">
      <c r="A365" s="40" t="str">
        <v>BAJFINANCE</v>
      </c>
    </row>
    <row r="366" spans="1:1" ht="14.25" customHeight="1">
      <c r="A366" s="40" t="str">
        <v>MCLEODRUSS</v>
      </c>
    </row>
    <row r="367" spans="1:1" ht="14.25" customHeight="1">
      <c r="A367" s="40" t="str">
        <v>TATAPOWER</v>
      </c>
    </row>
    <row r="368" spans="1:1" ht="14.25" customHeight="1">
      <c r="A368" s="40" t="str">
        <v>DCMSHRIRAM</v>
      </c>
    </row>
    <row r="369" spans="1:1" ht="14.25" customHeight="1">
      <c r="A369" s="40" t="str">
        <v>MCLEODRUSS</v>
      </c>
    </row>
    <row r="370" spans="1:1" ht="14.25" customHeight="1">
      <c r="A370" s="40" t="str">
        <v>LICHSGFIN</v>
      </c>
    </row>
    <row r="371" spans="1:1" ht="14.25" customHeight="1">
      <c r="A371" s="40" t="str">
        <v>TATAPOWER</v>
      </c>
    </row>
    <row r="372" spans="1:1" ht="14.25" customHeight="1">
      <c r="A372" s="40" t="str">
        <v>CDSL</v>
      </c>
    </row>
    <row r="373" spans="1:1" ht="14.25" customHeight="1">
      <c r="A373" s="40" t="str">
        <v>DCMSHRIRAM</v>
      </c>
    </row>
    <row r="374" spans="1:1" ht="14.25" customHeight="1">
      <c r="A374" s="40" t="str">
        <v>BAJFINANCE</v>
      </c>
    </row>
    <row r="375" spans="1:1" ht="14.25" customHeight="1">
      <c r="A375" s="40" t="str">
        <v>DCMSHRIRAM</v>
      </c>
    </row>
    <row r="376" spans="1:1" ht="14.25" customHeight="1">
      <c r="A376" s="40" t="str">
        <v>BAJFINANCE</v>
      </c>
    </row>
    <row r="377" spans="1:1" ht="14.25" customHeight="1">
      <c r="A377" s="40" t="str">
        <v>DCMSHRIRAM</v>
      </c>
    </row>
    <row r="378" spans="1:1" ht="14.25" customHeight="1">
      <c r="A378" s="40" t="str">
        <v>NATIONALUM</v>
      </c>
    </row>
    <row r="379" spans="1:1" ht="14.25" customHeight="1">
      <c r="A379" s="40" t="str">
        <v>DCMSHRIRAM</v>
      </c>
    </row>
    <row r="380" spans="1:1" ht="14.25" customHeight="1">
      <c r="A380" s="40" t="str">
        <v>LICHSGFIN</v>
      </c>
    </row>
    <row r="381" spans="1:1" ht="14.25" customHeight="1">
      <c r="A381" s="40" t="str">
        <v>DCMSHRIRAM</v>
      </c>
    </row>
    <row r="382" spans="1:1" ht="14.25" customHeight="1">
      <c r="A382" s="40" t="str">
        <v>A2ZINFRA</v>
      </c>
    </row>
    <row r="383" spans="1:1" ht="14.25" customHeight="1">
      <c r="A383" s="40" t="str">
        <v>DCMSHRIRAM</v>
      </c>
    </row>
    <row r="384" spans="1:1" ht="14.25" customHeight="1">
      <c r="A384" s="40" t="str">
        <v>DCMSHRIRAM</v>
      </c>
    </row>
    <row r="385" spans="1:1" ht="14.25" customHeight="1">
      <c r="A385" s="40" t="str">
        <v>DCMSHRIRAM</v>
      </c>
    </row>
    <row r="386" spans="1:1" ht="14.25" customHeight="1">
      <c r="A386" s="40" t="str">
        <v>DCMSHRIRAM</v>
      </c>
    </row>
    <row r="387" spans="1:1" ht="14.25" customHeight="1">
      <c r="A387" s="40" t="str">
        <v>DCMSHRIRAM</v>
      </c>
    </row>
    <row r="388" spans="1:1" ht="14.25" customHeight="1">
      <c r="A388" s="40" t="str">
        <v>DCMSHRIRAM</v>
      </c>
    </row>
    <row r="389" spans="1:1" ht="14.25" customHeight="1">
      <c r="A389" s="40" t="str">
        <v>SAIL</v>
      </c>
    </row>
    <row r="390" spans="1:1" ht="14.25" customHeight="1">
      <c r="A390" s="40" t="str">
        <v>DCMSHRIRAM</v>
      </c>
    </row>
    <row r="391" spans="1:1" ht="14.25" customHeight="1">
      <c r="A391" s="40" t="str">
        <v>DCMSHRIRAM</v>
      </c>
    </row>
    <row r="392" spans="1:1" ht="14.25" customHeight="1">
      <c r="A392" s="40" t="str">
        <v>JPPOWER</v>
      </c>
    </row>
    <row r="393" spans="1:1" ht="14.25" customHeight="1">
      <c r="A393" s="40" t="str">
        <v>DCMSHRIRAM</v>
      </c>
    </row>
    <row r="394" spans="1:1" ht="14.25" customHeight="1">
      <c r="A394" s="40" t="str">
        <v>DCMSHRIRAM</v>
      </c>
    </row>
    <row r="395" spans="1:1" ht="14.25" customHeight="1">
      <c r="A395" s="40" t="str">
        <v>DCMSHRIRAM</v>
      </c>
    </row>
    <row r="396" spans="1:1" ht="14.25" customHeight="1">
      <c r="A396" s="40" t="str">
        <v>DCMSHRIRAM</v>
      </c>
    </row>
    <row r="397" spans="1:1" ht="14.25" customHeight="1">
      <c r="A397" s="40" t="str">
        <v>DCMSHRIRAM</v>
      </c>
    </row>
    <row r="398" spans="1:1" ht="14.25" customHeight="1">
      <c r="A398" s="40" t="str">
        <v>DCMSHRIRAM</v>
      </c>
    </row>
    <row r="399" spans="1:1" ht="14.25" customHeight="1">
      <c r="A399" s="40" t="str">
        <v>SETFGOLD</v>
      </c>
    </row>
    <row r="400" spans="1:1" ht="14.25" customHeight="1">
      <c r="A400" s="40" t="str">
        <v>DCMSHRIRAM</v>
      </c>
    </row>
    <row r="401" spans="1:1" ht="14.25" customHeight="1">
      <c r="A401" s="40" t="str">
        <v>SETFGOLD</v>
      </c>
    </row>
    <row r="402" spans="1:1" ht="14.25" customHeight="1">
      <c r="A402" s="40" t="str">
        <v>DCMSHRIRAM</v>
      </c>
    </row>
    <row r="403" spans="1:1" ht="14.25" customHeight="1">
      <c r="A403" s="40" t="str">
        <v>SETFGOLD</v>
      </c>
    </row>
    <row r="404" spans="1:1" ht="14.25" customHeight="1">
      <c r="A404" s="40" t="str">
        <v>TATASTEEL</v>
      </c>
    </row>
    <row r="405" spans="1:1" ht="14.25" customHeight="1">
      <c r="A405" s="40" t="str">
        <v>DCMSHRIRAM</v>
      </c>
    </row>
    <row r="406" spans="1:1" ht="14.25" customHeight="1">
      <c r="A406" s="40" t="str">
        <v>DCMSHRIRAM</v>
      </c>
    </row>
    <row r="407" spans="1:1" ht="14.25" customHeight="1">
      <c r="A407" s="40" t="str">
        <v>DCMSHRIRAM</v>
      </c>
    </row>
    <row r="408" spans="1:1" ht="14.25" customHeight="1">
      <c r="A408" s="40" t="str">
        <v>DCMSHRIRAM</v>
      </c>
    </row>
    <row r="409" spans="1:1" ht="14.25" customHeight="1">
      <c r="A409" s="40" t="str">
        <v>SBIN</v>
      </c>
    </row>
    <row r="410" spans="1:1" ht="14.25" customHeight="1">
      <c r="A410" s="40" t="str">
        <v>DCMSHRIRAM</v>
      </c>
    </row>
    <row r="411" spans="1:1" ht="14.25" customHeight="1">
      <c r="A411" s="40" t="str">
        <v>SETFGOLD</v>
      </c>
    </row>
    <row r="412" spans="1:1" ht="14.25" customHeight="1">
      <c r="A412" s="40" t="str">
        <v>DCMSHRIRAM</v>
      </c>
    </row>
    <row r="413" spans="1:1" ht="14.25" customHeight="1">
      <c r="A413" s="40" t="str">
        <v>DCMSHRIRAM</v>
      </c>
    </row>
    <row r="414" spans="1:1" ht="14.25" customHeight="1">
      <c r="A414" s="40" t="str">
        <v>DCMSHRIRAM</v>
      </c>
    </row>
    <row r="415" spans="1:1" ht="14.25" customHeight="1">
      <c r="A415" s="40" t="str">
        <v>DCMSHRIRAM</v>
      </c>
    </row>
    <row r="416" spans="1:1" ht="14.25" customHeight="1">
      <c r="A416" s="40" t="str">
        <v>DCMSHRIRAM</v>
      </c>
    </row>
    <row r="417" spans="1:1" ht="14.25" customHeight="1">
      <c r="A417" s="40" t="str">
        <v>DCMSHRIRAM</v>
      </c>
    </row>
    <row r="418" spans="1:1" ht="14.25" customHeight="1">
      <c r="A418" s="40" t="str">
        <v>DCMSHRIRAM</v>
      </c>
    </row>
    <row r="419" spans="1:1" ht="14.25" customHeight="1">
      <c r="A419" s="40" t="str">
        <v>DCMSHRIRAM</v>
      </c>
    </row>
    <row r="420" spans="1:1" ht="14.25" customHeight="1">
      <c r="A420" s="40" t="str">
        <v>DCMSHRIRAM</v>
      </c>
    </row>
    <row r="421" spans="1:1" ht="14.25" customHeight="1">
      <c r="A421" s="40" t="str">
        <v>DCMSHRIRAM</v>
      </c>
    </row>
    <row r="422" spans="1:1" ht="14.25" customHeight="1">
      <c r="A422" s="40" t="str">
        <v>DCMSHRIRAM</v>
      </c>
    </row>
    <row r="423" spans="1:1" ht="14.25" customHeight="1">
      <c r="A423" s="40" t="str">
        <v>ADANIPOWER</v>
      </c>
    </row>
    <row r="424" spans="1:1" ht="14.25" customHeight="1">
      <c r="A424" s="40" t="str">
        <v>DCMSHRIRAM</v>
      </c>
    </row>
    <row r="425" spans="1:1" ht="14.25" customHeight="1">
      <c r="A425" s="40" t="str">
        <v>DCMSHRIRAM</v>
      </c>
    </row>
    <row r="426" spans="1:1" ht="14.25" customHeight="1">
      <c r="A426" s="40" t="str">
        <v>DCMSHRIRAM</v>
      </c>
    </row>
    <row r="427" spans="1:1" ht="14.25" customHeight="1">
      <c r="A427" s="40" t="str">
        <v>ONGC</v>
      </c>
    </row>
    <row r="428" spans="1:1" ht="14.25" customHeight="1">
      <c r="A428" s="40" t="str">
        <v>SAIL</v>
      </c>
    </row>
    <row r="429" spans="1:1" ht="14.25" customHeight="1">
      <c r="A429" s="40" t="str">
        <v>DCMSHRIRAM</v>
      </c>
    </row>
    <row r="430" spans="1:1" ht="14.25" customHeight="1">
      <c r="A430" s="40" t="str">
        <v>DCMSHRIRAM</v>
      </c>
    </row>
    <row r="431" spans="1:1" ht="14.25" customHeight="1">
      <c r="A431" s="40" t="str">
        <v>DCMSHRIRAM</v>
      </c>
    </row>
    <row r="432" spans="1:1" ht="14.25" customHeight="1">
      <c r="A432" s="40" t="str">
        <v>DCMSHRIRAM</v>
      </c>
    </row>
    <row r="433" spans="1:1" ht="14.25" customHeight="1">
      <c r="A433" s="40" t="str">
        <v>DCMSHRIRAM</v>
      </c>
    </row>
    <row r="434" spans="1:1" ht="14.25" customHeight="1">
      <c r="A434" s="40" t="str">
        <v>DCMSHRIRAM</v>
      </c>
    </row>
    <row r="435" spans="1:1" ht="14.25" customHeight="1"/>
    <row r="436" spans="1:1" ht="14.25" customHeight="1"/>
    <row r="437" spans="1:1" ht="14.25" customHeight="1"/>
    <row r="438" spans="1:1" ht="14.25" customHeight="1"/>
    <row r="439" spans="1:1" ht="14.25" customHeight="1"/>
    <row r="440" spans="1:1" ht="14.25" customHeight="1"/>
    <row r="441" spans="1:1" ht="14.25" customHeight="1"/>
    <row r="442" spans="1:1" ht="14.25" customHeight="1"/>
    <row r="443" spans="1:1" ht="14.25" customHeight="1"/>
    <row r="444" spans="1:1" ht="14.25" customHeight="1"/>
    <row r="445" spans="1:1" ht="14.25" customHeight="1"/>
    <row r="446" spans="1:1" ht="14.25" customHeight="1"/>
    <row r="447" spans="1:1" ht="14.25" customHeight="1"/>
    <row r="448" spans="1:1"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workbookViewId="0"/>
  </sheetViews>
  <sheetFormatPr baseColWidth="10" defaultColWidth="14.42578125" defaultRowHeight="15" customHeight="1"/>
  <cols>
    <col min="1" max="1" width="3.140625" customWidth="1"/>
    <col min="2" max="2" width="16.140625" customWidth="1"/>
    <col min="3" max="3" width="16" customWidth="1"/>
    <col min="4" max="5" width="11.5703125" customWidth="1"/>
    <col min="6" max="6" width="6.5703125" hidden="1" customWidth="1"/>
    <col min="7" max="7" width="9.85546875" customWidth="1"/>
    <col min="8" max="8" width="9.85546875" hidden="1" customWidth="1"/>
    <col min="9" max="26" width="9.85546875" customWidth="1"/>
  </cols>
  <sheetData>
    <row r="1" spans="1:26" ht="13.5" customHeight="1">
      <c r="A1" s="4" t="s">
        <v>2386</v>
      </c>
      <c r="B1" s="4" t="s">
        <v>949</v>
      </c>
      <c r="C1" s="4" t="s">
        <v>1079</v>
      </c>
      <c r="D1" s="4" t="s">
        <v>2387</v>
      </c>
      <c r="E1" s="4" t="s">
        <v>2388</v>
      </c>
      <c r="F1" s="4" t="s">
        <v>2388</v>
      </c>
      <c r="G1" s="4" t="s">
        <v>2389</v>
      </c>
      <c r="H1" s="4" t="s">
        <v>2390</v>
      </c>
      <c r="I1" s="4" t="s">
        <v>2390</v>
      </c>
      <c r="J1" s="4" t="s">
        <v>2391</v>
      </c>
      <c r="K1" s="4"/>
      <c r="L1" s="4"/>
      <c r="M1" s="4"/>
      <c r="N1" s="4"/>
      <c r="O1" s="4"/>
      <c r="P1" s="4"/>
      <c r="Q1" s="4"/>
      <c r="R1" s="4"/>
      <c r="S1" s="4"/>
      <c r="T1" s="4"/>
      <c r="U1" s="4"/>
      <c r="V1" s="4"/>
      <c r="W1" s="4"/>
      <c r="X1" s="4"/>
      <c r="Y1" s="4"/>
      <c r="Z1" s="4"/>
    </row>
    <row r="2" spans="1:26" ht="13.5" customHeight="1">
      <c r="A2" s="4">
        <v>8</v>
      </c>
      <c r="B2" s="4" t="s">
        <v>593</v>
      </c>
      <c r="C2" s="595" t="s">
        <v>1130</v>
      </c>
      <c r="D2" s="596" t="s">
        <v>2392</v>
      </c>
      <c r="E2" s="4">
        <f t="shared" ref="E2:E14" si="0">G2*I2</f>
        <v>10650</v>
      </c>
      <c r="F2" s="4">
        <v>10000</v>
      </c>
      <c r="G2" s="4">
        <v>710</v>
      </c>
      <c r="H2" s="4">
        <f t="shared" ref="H2:H14" si="1">F2/G2</f>
        <v>14.084507042253522</v>
      </c>
      <c r="I2" s="4">
        <v>15</v>
      </c>
      <c r="J2" s="4"/>
      <c r="K2" s="4"/>
      <c r="L2" s="4"/>
      <c r="M2" s="4"/>
      <c r="N2" s="4"/>
      <c r="O2" s="4"/>
      <c r="P2" s="4"/>
      <c r="Q2" s="4"/>
      <c r="R2" s="4"/>
      <c r="S2" s="4"/>
      <c r="T2" s="4"/>
      <c r="U2" s="4"/>
      <c r="V2" s="4"/>
      <c r="W2" s="4"/>
      <c r="X2" s="4"/>
      <c r="Y2" s="4"/>
      <c r="Z2" s="4"/>
    </row>
    <row r="3" spans="1:26" ht="13.5" customHeight="1">
      <c r="A3" s="4">
        <v>9</v>
      </c>
      <c r="B3" s="4" t="s">
        <v>513</v>
      </c>
      <c r="C3" s="595" t="s">
        <v>1333</v>
      </c>
      <c r="D3" s="596" t="s">
        <v>2393</v>
      </c>
      <c r="E3" s="4">
        <f t="shared" si="0"/>
        <v>9900</v>
      </c>
      <c r="F3" s="4">
        <v>10000</v>
      </c>
      <c r="G3" s="4">
        <v>396</v>
      </c>
      <c r="H3" s="4">
        <f t="shared" si="1"/>
        <v>25.252525252525253</v>
      </c>
      <c r="I3" s="4">
        <v>25</v>
      </c>
      <c r="J3" s="4" t="s">
        <v>2394</v>
      </c>
      <c r="K3" s="4"/>
      <c r="L3" s="4"/>
      <c r="M3" s="4"/>
      <c r="N3" s="4"/>
      <c r="O3" s="4"/>
      <c r="P3" s="4"/>
      <c r="Q3" s="4"/>
      <c r="R3" s="4"/>
      <c r="S3" s="4"/>
      <c r="T3" s="4"/>
      <c r="U3" s="4"/>
      <c r="V3" s="4"/>
      <c r="W3" s="4"/>
      <c r="X3" s="4"/>
      <c r="Y3" s="4"/>
      <c r="Z3" s="4"/>
    </row>
    <row r="4" spans="1:26" ht="13.5" customHeight="1">
      <c r="A4" s="4">
        <v>10</v>
      </c>
      <c r="B4" s="4" t="s">
        <v>707</v>
      </c>
      <c r="C4" s="595" t="s">
        <v>1120</v>
      </c>
      <c r="D4" s="596" t="s">
        <v>2395</v>
      </c>
      <c r="E4" s="4">
        <f t="shared" si="0"/>
        <v>11680</v>
      </c>
      <c r="F4" s="4">
        <v>10000</v>
      </c>
      <c r="G4" s="4">
        <v>584</v>
      </c>
      <c r="H4" s="4">
        <f t="shared" si="1"/>
        <v>17.123287671232877</v>
      </c>
      <c r="I4" s="4">
        <v>20</v>
      </c>
      <c r="J4" s="4" t="s">
        <v>2394</v>
      </c>
      <c r="K4" s="4"/>
      <c r="L4" s="4"/>
      <c r="M4" s="4"/>
      <c r="N4" s="4"/>
      <c r="O4" s="4"/>
      <c r="P4" s="4"/>
      <c r="Q4" s="4"/>
      <c r="R4" s="4"/>
      <c r="S4" s="4"/>
      <c r="T4" s="4"/>
      <c r="U4" s="4"/>
      <c r="V4" s="4"/>
      <c r="W4" s="4"/>
      <c r="X4" s="4"/>
      <c r="Y4" s="4"/>
      <c r="Z4" s="4"/>
    </row>
    <row r="5" spans="1:26" ht="13.5" customHeight="1">
      <c r="A5" s="4">
        <v>11</v>
      </c>
      <c r="B5" s="4" t="s">
        <v>587</v>
      </c>
      <c r="C5" s="595" t="s">
        <v>1290</v>
      </c>
      <c r="D5" s="596" t="s">
        <v>2392</v>
      </c>
      <c r="E5" s="4">
        <f t="shared" si="0"/>
        <v>9140</v>
      </c>
      <c r="F5" s="4">
        <v>10000</v>
      </c>
      <c r="G5" s="4">
        <v>91.4</v>
      </c>
      <c r="H5" s="4">
        <f t="shared" si="1"/>
        <v>109.40919037199124</v>
      </c>
      <c r="I5" s="4">
        <v>100</v>
      </c>
      <c r="J5" s="4" t="s">
        <v>2394</v>
      </c>
      <c r="K5" s="4"/>
      <c r="L5" s="4"/>
      <c r="M5" s="4"/>
      <c r="N5" s="4"/>
      <c r="O5" s="4"/>
      <c r="P5" s="4"/>
      <c r="Q5" s="4"/>
      <c r="R5" s="4"/>
      <c r="S5" s="4"/>
      <c r="T5" s="4"/>
      <c r="U5" s="4"/>
      <c r="V5" s="4"/>
      <c r="W5" s="4"/>
      <c r="X5" s="4"/>
      <c r="Y5" s="4"/>
      <c r="Z5" s="4"/>
    </row>
    <row r="6" spans="1:26" ht="13.5" customHeight="1">
      <c r="A6" s="4">
        <v>12</v>
      </c>
      <c r="B6" s="4" t="s">
        <v>675</v>
      </c>
      <c r="C6" s="595" t="s">
        <v>1333</v>
      </c>
      <c r="D6" s="596" t="s">
        <v>2392</v>
      </c>
      <c r="E6" s="4">
        <f t="shared" si="0"/>
        <v>9600</v>
      </c>
      <c r="F6" s="4">
        <v>10000</v>
      </c>
      <c r="G6" s="4">
        <v>320</v>
      </c>
      <c r="H6" s="4">
        <f t="shared" si="1"/>
        <v>31.25</v>
      </c>
      <c r="I6" s="4">
        <v>30</v>
      </c>
      <c r="J6" s="4"/>
      <c r="K6" s="4"/>
      <c r="L6" s="4"/>
      <c r="M6" s="4"/>
      <c r="N6" s="4"/>
      <c r="O6" s="4"/>
      <c r="P6" s="4"/>
      <c r="Q6" s="4"/>
      <c r="R6" s="4"/>
      <c r="S6" s="4"/>
      <c r="T6" s="4"/>
      <c r="U6" s="4"/>
      <c r="V6" s="4"/>
      <c r="W6" s="4"/>
      <c r="X6" s="4"/>
      <c r="Y6" s="4"/>
      <c r="Z6" s="4"/>
    </row>
    <row r="7" spans="1:26" ht="13.5" customHeight="1">
      <c r="A7" s="4">
        <v>7</v>
      </c>
      <c r="B7" s="4" t="s">
        <v>458</v>
      </c>
      <c r="C7" s="595" t="s">
        <v>1363</v>
      </c>
      <c r="D7" s="596" t="s">
        <v>2393</v>
      </c>
      <c r="E7" s="4">
        <f t="shared" si="0"/>
        <v>9070</v>
      </c>
      <c r="F7" s="4">
        <v>10000</v>
      </c>
      <c r="G7" s="597">
        <v>1814</v>
      </c>
      <c r="H7" s="4">
        <f t="shared" si="1"/>
        <v>5.5126791620727671</v>
      </c>
      <c r="I7" s="4">
        <v>5</v>
      </c>
      <c r="J7" s="4" t="s">
        <v>2394</v>
      </c>
      <c r="K7" s="4"/>
      <c r="L7" s="4"/>
      <c r="M7" s="4"/>
      <c r="N7" s="4"/>
      <c r="O7" s="4"/>
      <c r="P7" s="4"/>
      <c r="Q7" s="4"/>
      <c r="R7" s="4"/>
      <c r="S7" s="4"/>
      <c r="T7" s="4"/>
      <c r="U7" s="4"/>
      <c r="V7" s="4"/>
      <c r="W7" s="4"/>
      <c r="X7" s="4"/>
      <c r="Y7" s="4"/>
      <c r="Z7" s="4"/>
    </row>
    <row r="8" spans="1:26" ht="13.5" customHeight="1">
      <c r="A8" s="4">
        <v>13</v>
      </c>
      <c r="B8" s="4" t="s">
        <v>2396</v>
      </c>
      <c r="C8" s="595" t="s">
        <v>1290</v>
      </c>
      <c r="D8" s="596" t="s">
        <v>2395</v>
      </c>
      <c r="E8" s="4">
        <f t="shared" si="0"/>
        <v>9300</v>
      </c>
      <c r="F8" s="4">
        <v>10000</v>
      </c>
      <c r="G8" s="4">
        <v>46.5</v>
      </c>
      <c r="H8" s="4">
        <f t="shared" si="1"/>
        <v>215.05376344086022</v>
      </c>
      <c r="I8" s="4">
        <v>200</v>
      </c>
      <c r="J8" s="4"/>
      <c r="K8" s="4"/>
      <c r="L8" s="4"/>
      <c r="M8" s="4"/>
      <c r="N8" s="4"/>
      <c r="O8" s="4"/>
      <c r="P8" s="4"/>
      <c r="Q8" s="4"/>
      <c r="R8" s="4"/>
      <c r="S8" s="4"/>
      <c r="T8" s="4"/>
      <c r="U8" s="4"/>
      <c r="V8" s="4"/>
      <c r="W8" s="4"/>
      <c r="X8" s="4"/>
      <c r="Y8" s="4"/>
      <c r="Z8" s="4"/>
    </row>
    <row r="9" spans="1:26" ht="13.5" customHeight="1">
      <c r="A9" s="4">
        <v>1</v>
      </c>
      <c r="B9" s="4" t="s">
        <v>591</v>
      </c>
      <c r="C9" s="595" t="s">
        <v>1120</v>
      </c>
      <c r="D9" s="596" t="s">
        <v>2392</v>
      </c>
      <c r="E9" s="4">
        <f t="shared" si="0"/>
        <v>9400</v>
      </c>
      <c r="F9" s="4">
        <v>10000</v>
      </c>
      <c r="G9" s="4">
        <v>376</v>
      </c>
      <c r="H9" s="4">
        <f t="shared" si="1"/>
        <v>26.595744680851062</v>
      </c>
      <c r="I9" s="4">
        <v>25</v>
      </c>
      <c r="J9" s="4"/>
      <c r="K9" s="4"/>
      <c r="L9" s="4"/>
      <c r="M9" s="4"/>
      <c r="N9" s="4"/>
      <c r="O9" s="4"/>
      <c r="P9" s="4"/>
      <c r="Q9" s="4"/>
      <c r="R9" s="4"/>
      <c r="S9" s="4"/>
      <c r="T9" s="4"/>
      <c r="U9" s="4"/>
      <c r="V9" s="4"/>
      <c r="W9" s="4"/>
      <c r="X9" s="4"/>
      <c r="Y9" s="4"/>
      <c r="Z9" s="4"/>
    </row>
    <row r="10" spans="1:26" ht="13.5" customHeight="1">
      <c r="A10" s="4">
        <v>2</v>
      </c>
      <c r="B10" s="4" t="s">
        <v>2397</v>
      </c>
      <c r="C10" s="595" t="s">
        <v>1172</v>
      </c>
      <c r="D10" s="596" t="s">
        <v>2395</v>
      </c>
      <c r="E10" s="4">
        <f t="shared" si="0"/>
        <v>10320</v>
      </c>
      <c r="F10" s="4">
        <v>10000</v>
      </c>
      <c r="G10" s="4">
        <v>516</v>
      </c>
      <c r="H10" s="4">
        <f t="shared" si="1"/>
        <v>19.379844961240309</v>
      </c>
      <c r="I10" s="4">
        <v>20</v>
      </c>
      <c r="J10" s="4"/>
      <c r="K10" s="4"/>
      <c r="L10" s="4"/>
      <c r="M10" s="4"/>
      <c r="N10" s="4"/>
      <c r="O10" s="4"/>
      <c r="P10" s="4"/>
      <c r="Q10" s="4"/>
      <c r="R10" s="4"/>
      <c r="S10" s="4"/>
      <c r="T10" s="4"/>
      <c r="U10" s="4"/>
      <c r="V10" s="4"/>
      <c r="W10" s="4"/>
      <c r="X10" s="4"/>
      <c r="Y10" s="4"/>
      <c r="Z10" s="4"/>
    </row>
    <row r="11" spans="1:26" ht="13.5" customHeight="1">
      <c r="A11" s="4">
        <v>3</v>
      </c>
      <c r="B11" s="4" t="s">
        <v>2398</v>
      </c>
      <c r="C11" s="595" t="s">
        <v>1188</v>
      </c>
      <c r="D11" s="596" t="s">
        <v>2395</v>
      </c>
      <c r="E11" s="4">
        <f t="shared" si="0"/>
        <v>10680</v>
      </c>
      <c r="F11" s="4">
        <v>10000</v>
      </c>
      <c r="G11" s="4">
        <v>35.6</v>
      </c>
      <c r="H11" s="4">
        <f t="shared" si="1"/>
        <v>280.89887640449439</v>
      </c>
      <c r="I11" s="4">
        <v>300</v>
      </c>
      <c r="J11" s="4"/>
      <c r="K11" s="4"/>
      <c r="L11" s="4"/>
      <c r="M11" s="4"/>
      <c r="N11" s="4"/>
      <c r="O11" s="4"/>
      <c r="P11" s="4"/>
      <c r="Q11" s="4"/>
      <c r="R11" s="4"/>
      <c r="S11" s="4"/>
      <c r="T11" s="4"/>
      <c r="U11" s="4"/>
      <c r="V11" s="4"/>
      <c r="W11" s="4"/>
      <c r="X11" s="4"/>
      <c r="Y11" s="4"/>
      <c r="Z11" s="4"/>
    </row>
    <row r="12" spans="1:26" ht="13.5" customHeight="1">
      <c r="A12" s="4">
        <v>4</v>
      </c>
      <c r="B12" s="4" t="s">
        <v>481</v>
      </c>
      <c r="C12" s="595" t="s">
        <v>1155</v>
      </c>
      <c r="D12" s="596" t="s">
        <v>2393</v>
      </c>
      <c r="E12" s="4">
        <f t="shared" si="0"/>
        <v>10080</v>
      </c>
      <c r="F12" s="4">
        <v>10000</v>
      </c>
      <c r="G12" s="4">
        <v>112</v>
      </c>
      <c r="H12" s="4">
        <f t="shared" si="1"/>
        <v>89.285714285714292</v>
      </c>
      <c r="I12" s="4">
        <v>90</v>
      </c>
      <c r="J12" s="4" t="s">
        <v>2394</v>
      </c>
      <c r="K12" s="4"/>
      <c r="L12" s="4"/>
      <c r="M12" s="4"/>
      <c r="N12" s="4"/>
      <c r="O12" s="4"/>
      <c r="P12" s="4"/>
      <c r="Q12" s="4"/>
      <c r="R12" s="4"/>
      <c r="S12" s="4"/>
      <c r="T12" s="4"/>
      <c r="U12" s="4"/>
      <c r="V12" s="4"/>
      <c r="W12" s="4"/>
      <c r="X12" s="4"/>
      <c r="Y12" s="4"/>
      <c r="Z12" s="4"/>
    </row>
    <row r="13" spans="1:26" ht="13.5" customHeight="1">
      <c r="A13" s="4">
        <v>6</v>
      </c>
      <c r="B13" s="4" t="s">
        <v>590</v>
      </c>
      <c r="C13" s="595" t="s">
        <v>1155</v>
      </c>
      <c r="D13" s="596" t="s">
        <v>2393</v>
      </c>
      <c r="E13" s="4">
        <f t="shared" si="0"/>
        <v>11600</v>
      </c>
      <c r="F13" s="4">
        <v>10000</v>
      </c>
      <c r="G13" s="4">
        <v>1160</v>
      </c>
      <c r="H13" s="4">
        <f t="shared" si="1"/>
        <v>8.6206896551724146</v>
      </c>
      <c r="I13" s="4">
        <v>10</v>
      </c>
      <c r="J13" s="4" t="s">
        <v>2394</v>
      </c>
      <c r="K13" s="4"/>
      <c r="L13" s="4"/>
      <c r="M13" s="4"/>
      <c r="N13" s="4"/>
      <c r="O13" s="4"/>
      <c r="P13" s="4"/>
      <c r="Q13" s="4"/>
      <c r="R13" s="4"/>
      <c r="S13" s="4"/>
      <c r="T13" s="4"/>
      <c r="U13" s="4"/>
      <c r="V13" s="4"/>
      <c r="W13" s="4"/>
      <c r="X13" s="4"/>
      <c r="Y13" s="4"/>
      <c r="Z13" s="4"/>
    </row>
    <row r="14" spans="1:26" ht="13.5" customHeight="1">
      <c r="A14" s="4">
        <v>5</v>
      </c>
      <c r="B14" s="4" t="s">
        <v>577</v>
      </c>
      <c r="C14" s="595" t="s">
        <v>1155</v>
      </c>
      <c r="D14" s="596" t="s">
        <v>2395</v>
      </c>
      <c r="E14" s="4">
        <f t="shared" si="0"/>
        <v>10640</v>
      </c>
      <c r="F14" s="4">
        <v>10000</v>
      </c>
      <c r="G14" s="4">
        <v>266</v>
      </c>
      <c r="H14" s="4">
        <f t="shared" si="1"/>
        <v>37.593984962406012</v>
      </c>
      <c r="I14" s="4">
        <v>40</v>
      </c>
      <c r="J14" s="4"/>
      <c r="K14" s="4"/>
      <c r="L14" s="4"/>
      <c r="M14" s="4"/>
      <c r="N14" s="4"/>
      <c r="O14" s="4"/>
      <c r="P14" s="4"/>
      <c r="Q14" s="4"/>
      <c r="R14" s="4"/>
      <c r="S14" s="4"/>
      <c r="T14" s="4"/>
      <c r="U14" s="4"/>
      <c r="V14" s="4"/>
      <c r="W14" s="4"/>
      <c r="X14" s="4"/>
      <c r="Y14" s="4"/>
      <c r="Z14" s="4"/>
    </row>
    <row r="15" spans="1:26" ht="13.5" customHeight="1">
      <c r="A15" s="4">
        <v>15</v>
      </c>
      <c r="B15" s="4" t="s">
        <v>667</v>
      </c>
      <c r="C15" s="595" t="s">
        <v>1365</v>
      </c>
      <c r="D15" s="596" t="s">
        <v>2392</v>
      </c>
      <c r="E15" s="4"/>
      <c r="F15" s="4"/>
      <c r="G15" s="4"/>
      <c r="H15" s="4"/>
      <c r="I15" s="4"/>
      <c r="J15" s="4"/>
      <c r="K15" s="4"/>
      <c r="L15" s="4"/>
      <c r="M15" s="4"/>
      <c r="N15" s="4"/>
      <c r="O15" s="4"/>
      <c r="P15" s="4"/>
      <c r="Q15" s="4"/>
      <c r="R15" s="4"/>
      <c r="S15" s="4"/>
      <c r="T15" s="4"/>
      <c r="U15" s="4"/>
      <c r="V15" s="4"/>
      <c r="W15" s="4"/>
      <c r="X15" s="4"/>
      <c r="Y15" s="4"/>
      <c r="Z15" s="4"/>
    </row>
    <row r="16" spans="1:26" ht="13.5" customHeight="1">
      <c r="A16" s="4"/>
      <c r="B16" s="4" t="s">
        <v>479</v>
      </c>
      <c r="C16" s="595" t="s">
        <v>1342</v>
      </c>
      <c r="D16" s="596" t="s">
        <v>2393</v>
      </c>
      <c r="E16" s="4"/>
      <c r="F16" s="4"/>
      <c r="G16" s="4"/>
      <c r="H16" s="4"/>
      <c r="I16" s="4"/>
      <c r="J16" s="4"/>
      <c r="K16" s="4"/>
      <c r="L16" s="4"/>
      <c r="M16" s="4"/>
      <c r="N16" s="4"/>
      <c r="O16" s="4"/>
      <c r="P16" s="4"/>
      <c r="Q16" s="4"/>
      <c r="R16" s="4"/>
      <c r="S16" s="4"/>
      <c r="T16" s="4"/>
      <c r="U16" s="4"/>
      <c r="V16" s="4"/>
      <c r="W16" s="4"/>
      <c r="X16" s="4"/>
      <c r="Y16" s="4"/>
      <c r="Z16" s="4"/>
    </row>
    <row r="17" spans="1:26" ht="13.5" customHeight="1">
      <c r="A17" s="4"/>
      <c r="B17" s="4"/>
      <c r="C17" s="595"/>
      <c r="D17" s="596"/>
      <c r="E17" s="4"/>
      <c r="F17" s="4"/>
      <c r="G17" s="4"/>
      <c r="H17" s="4"/>
      <c r="I17" s="4"/>
      <c r="J17" s="4"/>
      <c r="K17" s="4"/>
      <c r="L17" s="4"/>
      <c r="M17" s="4"/>
      <c r="N17" s="4"/>
      <c r="O17" s="4"/>
      <c r="P17" s="4"/>
      <c r="Q17" s="4"/>
      <c r="R17" s="4"/>
      <c r="S17" s="4"/>
      <c r="T17" s="4"/>
      <c r="U17" s="4"/>
      <c r="V17" s="4"/>
      <c r="W17" s="4"/>
      <c r="X17" s="4"/>
      <c r="Y17" s="4"/>
      <c r="Z17" s="4"/>
    </row>
    <row r="18" spans="1:26" ht="13.5" customHeight="1">
      <c r="A18" s="4"/>
      <c r="B18" s="4"/>
      <c r="C18" s="595"/>
      <c r="D18" s="596"/>
      <c r="E18" s="4"/>
      <c r="F18" s="4"/>
      <c r="G18" s="4"/>
      <c r="H18" s="4"/>
      <c r="I18" s="4"/>
      <c r="J18" s="4"/>
      <c r="K18" s="4"/>
      <c r="L18" s="4"/>
      <c r="M18" s="4"/>
      <c r="N18" s="4"/>
      <c r="O18" s="4"/>
      <c r="P18" s="4"/>
      <c r="Q18" s="4"/>
      <c r="R18" s="4"/>
      <c r="S18" s="4"/>
      <c r="T18" s="4"/>
      <c r="U18" s="4"/>
      <c r="V18" s="4"/>
      <c r="W18" s="4"/>
      <c r="X18" s="4"/>
      <c r="Y18" s="4"/>
      <c r="Z18" s="4"/>
    </row>
    <row r="19" spans="1:26" ht="13.5" customHeight="1">
      <c r="A19" s="4"/>
      <c r="B19" s="4"/>
      <c r="C19" s="595"/>
      <c r="D19" s="596"/>
      <c r="E19" s="4"/>
      <c r="F19" s="4"/>
      <c r="G19" s="4"/>
      <c r="H19" s="4"/>
      <c r="I19" s="4"/>
      <c r="J19" s="4"/>
      <c r="K19" s="4"/>
      <c r="L19" s="4"/>
      <c r="M19" s="4"/>
      <c r="N19" s="4"/>
      <c r="O19" s="4"/>
      <c r="P19" s="4"/>
      <c r="Q19" s="4"/>
      <c r="R19" s="4"/>
      <c r="S19" s="4"/>
      <c r="T19" s="4"/>
      <c r="U19" s="4"/>
      <c r="V19" s="4"/>
      <c r="W19" s="4"/>
      <c r="X19" s="4"/>
      <c r="Y19" s="4"/>
      <c r="Z19" s="4"/>
    </row>
    <row r="20" spans="1:26" ht="13.5" customHeight="1">
      <c r="A20" s="4"/>
      <c r="B20" s="4"/>
      <c r="C20" s="595"/>
      <c r="D20" s="596"/>
      <c r="E20" s="4">
        <f>SUM(E2:E19)</f>
        <v>132060</v>
      </c>
      <c r="F20" s="4"/>
      <c r="G20" s="4"/>
      <c r="H20" s="4"/>
      <c r="I20" s="4"/>
      <c r="J20" s="4"/>
      <c r="K20" s="4"/>
      <c r="L20" s="4"/>
      <c r="M20" s="4"/>
      <c r="N20" s="4"/>
      <c r="O20" s="4"/>
      <c r="P20" s="4"/>
      <c r="Q20" s="4"/>
      <c r="R20" s="4"/>
      <c r="S20" s="4"/>
      <c r="T20" s="4"/>
      <c r="U20" s="4"/>
      <c r="V20" s="4"/>
      <c r="W20" s="4"/>
      <c r="X20" s="4"/>
      <c r="Y20" s="4"/>
      <c r="Z20" s="4"/>
    </row>
    <row r="21" spans="1:26" ht="13.5" customHeight="1">
      <c r="A21" s="4"/>
      <c r="B21" s="4"/>
      <c r="C21" s="595"/>
      <c r="D21" s="596"/>
      <c r="E21" s="4"/>
      <c r="F21" s="4"/>
      <c r="G21" s="4"/>
      <c r="H21" s="4"/>
      <c r="I21" s="4"/>
      <c r="J21" s="4"/>
      <c r="K21" s="4"/>
      <c r="L21" s="4"/>
      <c r="M21" s="4"/>
      <c r="N21" s="4"/>
      <c r="O21" s="4"/>
      <c r="P21" s="4"/>
      <c r="Q21" s="4"/>
      <c r="R21" s="4"/>
      <c r="S21" s="4"/>
      <c r="T21" s="4"/>
      <c r="U21" s="4"/>
      <c r="V21" s="4"/>
      <c r="W21" s="4"/>
      <c r="X21" s="4"/>
      <c r="Y21" s="4"/>
      <c r="Z21" s="4"/>
    </row>
    <row r="22" spans="1:26" ht="13.5" customHeight="1">
      <c r="A22" s="4"/>
      <c r="B22" s="4" t="s">
        <v>622</v>
      </c>
      <c r="C22" s="595"/>
      <c r="D22" s="596"/>
      <c r="E22" s="4"/>
      <c r="F22" s="4"/>
      <c r="G22" s="4"/>
      <c r="H22" s="4"/>
      <c r="I22" s="4"/>
      <c r="J22" s="4"/>
      <c r="K22" s="4"/>
      <c r="L22" s="4"/>
      <c r="M22" s="4"/>
      <c r="N22" s="4"/>
      <c r="O22" s="4"/>
      <c r="P22" s="4"/>
      <c r="Q22" s="4"/>
      <c r="R22" s="4"/>
      <c r="S22" s="4"/>
      <c r="T22" s="4"/>
      <c r="U22" s="4"/>
      <c r="V22" s="4"/>
      <c r="W22" s="4"/>
      <c r="X22" s="4"/>
      <c r="Y22" s="4"/>
      <c r="Z22" s="4"/>
    </row>
    <row r="23" spans="1:26" ht="13.5" customHeight="1">
      <c r="A23" s="4"/>
      <c r="B23" s="4" t="s">
        <v>2399</v>
      </c>
      <c r="C23" s="595"/>
      <c r="D23" s="596"/>
      <c r="E23" s="4"/>
      <c r="F23" s="4"/>
      <c r="G23" s="4"/>
      <c r="H23" s="4"/>
      <c r="I23" s="4"/>
      <c r="J23" s="4"/>
      <c r="K23" s="4"/>
      <c r="L23" s="4"/>
      <c r="M23" s="4"/>
      <c r="N23" s="4"/>
      <c r="O23" s="4"/>
      <c r="P23" s="4"/>
      <c r="Q23" s="4"/>
      <c r="R23" s="4"/>
      <c r="S23" s="4"/>
      <c r="T23" s="4"/>
      <c r="U23" s="4"/>
      <c r="V23" s="4"/>
      <c r="W23" s="4"/>
      <c r="X23" s="4"/>
      <c r="Y23" s="4"/>
      <c r="Z23" s="4"/>
    </row>
    <row r="24" spans="1:26" ht="13.5" customHeight="1">
      <c r="A24" s="4"/>
      <c r="B24" s="4" t="s">
        <v>2400</v>
      </c>
      <c r="C24" s="595"/>
      <c r="D24" s="596"/>
      <c r="E24" s="4"/>
      <c r="F24" s="4"/>
      <c r="G24" s="4"/>
      <c r="H24" s="4"/>
      <c r="I24" s="4"/>
      <c r="J24" s="4"/>
      <c r="K24" s="4"/>
      <c r="L24" s="4"/>
      <c r="M24" s="4"/>
      <c r="N24" s="4"/>
      <c r="O24" s="4"/>
      <c r="P24" s="4"/>
      <c r="Q24" s="4"/>
      <c r="R24" s="4"/>
      <c r="S24" s="4"/>
      <c r="T24" s="4"/>
      <c r="U24" s="4"/>
      <c r="V24" s="4"/>
      <c r="W24" s="4"/>
      <c r="X24" s="4"/>
      <c r="Y24" s="4"/>
      <c r="Z24" s="4"/>
    </row>
    <row r="25" spans="1:26" ht="13.5" customHeight="1">
      <c r="A25" s="4"/>
      <c r="B25" s="4" t="s">
        <v>490</v>
      </c>
      <c r="C25" s="595"/>
      <c r="D25" s="596"/>
      <c r="E25" s="4"/>
      <c r="F25" s="4"/>
      <c r="G25" s="4"/>
      <c r="H25" s="4"/>
      <c r="I25" s="4"/>
      <c r="J25" s="4"/>
      <c r="K25" s="4"/>
      <c r="L25" s="4"/>
      <c r="M25" s="4"/>
      <c r="N25" s="4"/>
      <c r="O25" s="4"/>
      <c r="P25" s="4"/>
      <c r="Q25" s="4"/>
      <c r="R25" s="4"/>
      <c r="S25" s="4"/>
      <c r="T25" s="4"/>
      <c r="U25" s="4"/>
      <c r="V25" s="4"/>
      <c r="W25" s="4"/>
      <c r="X25" s="4"/>
      <c r="Y25" s="4"/>
      <c r="Z25" s="4"/>
    </row>
    <row r="26" spans="1:26" ht="13.5" customHeight="1">
      <c r="A26" s="4"/>
      <c r="B26" s="4" t="s">
        <v>562</v>
      </c>
      <c r="C26" s="595"/>
      <c r="D26" s="596"/>
      <c r="E26" s="4"/>
      <c r="F26" s="4"/>
      <c r="G26" s="4"/>
      <c r="H26" s="4"/>
      <c r="I26" s="4"/>
      <c r="J26" s="4"/>
      <c r="K26" s="4"/>
      <c r="L26" s="4"/>
      <c r="M26" s="4"/>
      <c r="N26" s="4"/>
      <c r="O26" s="4"/>
      <c r="P26" s="4"/>
      <c r="Q26" s="4"/>
      <c r="R26" s="4"/>
      <c r="S26" s="4"/>
      <c r="T26" s="4"/>
      <c r="U26" s="4"/>
      <c r="V26" s="4"/>
      <c r="W26" s="4"/>
      <c r="X26" s="4"/>
      <c r="Y26" s="4"/>
      <c r="Z26" s="4"/>
    </row>
    <row r="27" spans="1:26" ht="13.5" customHeight="1">
      <c r="A27" s="4"/>
      <c r="B27" s="4" t="s">
        <v>2401</v>
      </c>
      <c r="C27" s="595"/>
      <c r="D27" s="596"/>
      <c r="E27" s="4"/>
      <c r="F27" s="4"/>
      <c r="G27" s="4"/>
      <c r="H27" s="4"/>
      <c r="I27" s="4"/>
      <c r="J27" s="4"/>
      <c r="K27" s="4"/>
      <c r="L27" s="4"/>
      <c r="M27" s="4"/>
      <c r="N27" s="4"/>
      <c r="O27" s="4"/>
      <c r="P27" s="4"/>
      <c r="Q27" s="4"/>
      <c r="R27" s="4"/>
      <c r="S27" s="4"/>
      <c r="T27" s="4"/>
      <c r="U27" s="4"/>
      <c r="V27" s="4"/>
      <c r="W27" s="4"/>
      <c r="X27" s="4"/>
      <c r="Y27" s="4"/>
      <c r="Z27" s="4"/>
    </row>
    <row r="28" spans="1:26" ht="13.5" customHeight="1">
      <c r="A28" s="4"/>
      <c r="B28" s="4" t="s">
        <v>634</v>
      </c>
      <c r="C28" s="595"/>
      <c r="D28" s="596"/>
      <c r="E28" s="4"/>
      <c r="F28" s="4"/>
      <c r="G28" s="4"/>
      <c r="H28" s="4"/>
      <c r="I28" s="4"/>
      <c r="J28" s="4"/>
      <c r="K28" s="4"/>
      <c r="L28" s="4"/>
      <c r="M28" s="4"/>
      <c r="N28" s="4"/>
      <c r="O28" s="4"/>
      <c r="P28" s="4"/>
      <c r="Q28" s="4"/>
      <c r="R28" s="4"/>
      <c r="S28" s="4"/>
      <c r="T28" s="4"/>
      <c r="U28" s="4"/>
      <c r="V28" s="4"/>
      <c r="W28" s="4"/>
      <c r="X28" s="4"/>
      <c r="Y28" s="4"/>
      <c r="Z28" s="4"/>
    </row>
    <row r="29" spans="1:26" ht="13.5" customHeight="1">
      <c r="A29" s="4"/>
      <c r="B29" s="4" t="s">
        <v>623</v>
      </c>
      <c r="C29" s="595"/>
      <c r="D29" s="596"/>
      <c r="E29" s="4"/>
      <c r="F29" s="4"/>
      <c r="G29" s="4"/>
      <c r="H29" s="4"/>
      <c r="I29" s="4"/>
      <c r="J29" s="4"/>
      <c r="K29" s="4"/>
      <c r="L29" s="4"/>
      <c r="M29" s="4"/>
      <c r="N29" s="4"/>
      <c r="O29" s="4"/>
      <c r="P29" s="4"/>
      <c r="Q29" s="4"/>
      <c r="R29" s="4"/>
      <c r="S29" s="4"/>
      <c r="T29" s="4"/>
      <c r="U29" s="4"/>
      <c r="V29" s="4"/>
      <c r="W29" s="4"/>
      <c r="X29" s="4"/>
      <c r="Y29" s="4"/>
      <c r="Z29" s="4"/>
    </row>
    <row r="30" spans="1:26" ht="13.5" customHeight="1">
      <c r="A30" s="4"/>
      <c r="B30" s="4" t="s">
        <v>515</v>
      </c>
      <c r="C30" s="595"/>
      <c r="D30" s="596"/>
      <c r="E30" s="4"/>
      <c r="F30" s="4"/>
      <c r="G30" s="4"/>
      <c r="H30" s="4"/>
      <c r="I30" s="4"/>
      <c r="J30" s="4"/>
      <c r="K30" s="4"/>
      <c r="L30" s="4"/>
      <c r="M30" s="4"/>
      <c r="N30" s="4"/>
      <c r="O30" s="4"/>
      <c r="P30" s="4"/>
      <c r="Q30" s="4"/>
      <c r="R30" s="4"/>
      <c r="S30" s="4"/>
      <c r="T30" s="4"/>
      <c r="U30" s="4"/>
      <c r="V30" s="4"/>
      <c r="W30" s="4"/>
      <c r="X30" s="4"/>
      <c r="Y30" s="4"/>
      <c r="Z30" s="4"/>
    </row>
    <row r="31" spans="1:26" ht="13.5" customHeight="1">
      <c r="A31" s="4"/>
      <c r="B31" s="4" t="s">
        <v>2402</v>
      </c>
      <c r="C31" s="595"/>
      <c r="D31" s="596"/>
      <c r="E31" s="4"/>
      <c r="F31" s="4"/>
      <c r="G31" s="4"/>
      <c r="H31" s="4"/>
      <c r="I31" s="4"/>
      <c r="J31" s="4"/>
      <c r="K31" s="4"/>
      <c r="L31" s="4"/>
      <c r="M31" s="4"/>
      <c r="N31" s="4"/>
      <c r="O31" s="4"/>
      <c r="P31" s="4"/>
      <c r="Q31" s="4"/>
      <c r="R31" s="4"/>
      <c r="S31" s="4"/>
      <c r="T31" s="4"/>
      <c r="U31" s="4"/>
      <c r="V31" s="4"/>
      <c r="W31" s="4"/>
      <c r="X31" s="4"/>
      <c r="Y31" s="4"/>
      <c r="Z31" s="4"/>
    </row>
    <row r="32" spans="1:26" ht="13.5" customHeight="1">
      <c r="A32" s="4"/>
      <c r="B32" s="4"/>
      <c r="C32" s="595"/>
      <c r="D32" s="596"/>
      <c r="E32" s="4"/>
      <c r="F32" s="4"/>
      <c r="G32" s="4"/>
      <c r="H32" s="4"/>
      <c r="I32" s="4"/>
      <c r="J32" s="4"/>
      <c r="K32" s="4"/>
      <c r="L32" s="4"/>
      <c r="M32" s="4"/>
      <c r="N32" s="4"/>
      <c r="O32" s="4"/>
      <c r="P32" s="4"/>
      <c r="Q32" s="4"/>
      <c r="R32" s="4"/>
      <c r="S32" s="4"/>
      <c r="T32" s="4"/>
      <c r="U32" s="4"/>
      <c r="V32" s="4"/>
      <c r="W32" s="4"/>
      <c r="X32" s="4"/>
      <c r="Y32" s="4"/>
      <c r="Z32" s="4"/>
    </row>
    <row r="33" spans="1:26" ht="13.5" customHeight="1">
      <c r="A33" s="598"/>
      <c r="B33" s="599" t="s">
        <v>2403</v>
      </c>
      <c r="C33" s="600" t="s">
        <v>2404</v>
      </c>
      <c r="D33" s="598"/>
      <c r="E33" s="4"/>
      <c r="F33" s="4"/>
      <c r="G33" s="4"/>
      <c r="H33" s="4"/>
      <c r="I33" s="4"/>
      <c r="J33" s="4"/>
      <c r="K33" s="4"/>
      <c r="L33" s="4"/>
      <c r="M33" s="4"/>
      <c r="N33" s="4"/>
      <c r="O33" s="4"/>
      <c r="P33" s="4"/>
      <c r="Q33" s="4"/>
      <c r="R33" s="4"/>
      <c r="S33" s="4"/>
      <c r="T33" s="4"/>
      <c r="U33" s="4"/>
      <c r="V33" s="4"/>
      <c r="W33" s="4"/>
      <c r="X33" s="4"/>
      <c r="Y33" s="4"/>
      <c r="Z33" s="4"/>
    </row>
    <row r="34" spans="1:26" ht="13.5" customHeight="1">
      <c r="A34" s="598"/>
      <c r="B34" s="601" t="s">
        <v>2405</v>
      </c>
      <c r="C34" s="602" t="s">
        <v>2406</v>
      </c>
      <c r="D34" s="598">
        <v>1</v>
      </c>
      <c r="E34" s="4"/>
      <c r="F34" s="4"/>
      <c r="G34" s="4"/>
      <c r="H34" s="4"/>
      <c r="I34" s="4"/>
      <c r="J34" s="4"/>
      <c r="K34" s="4"/>
      <c r="L34" s="4"/>
      <c r="M34" s="4"/>
      <c r="N34" s="4"/>
      <c r="O34" s="4"/>
      <c r="P34" s="4"/>
      <c r="Q34" s="4"/>
      <c r="R34" s="4"/>
      <c r="S34" s="4"/>
      <c r="T34" s="4"/>
      <c r="U34" s="4"/>
      <c r="V34" s="4"/>
      <c r="W34" s="4"/>
      <c r="X34" s="4"/>
      <c r="Y34" s="4"/>
      <c r="Z34" s="4"/>
    </row>
    <row r="35" spans="1:26" ht="13.5" customHeight="1">
      <c r="A35" s="598"/>
      <c r="B35" s="601" t="s">
        <v>2407</v>
      </c>
      <c r="C35" s="602" t="s">
        <v>2408</v>
      </c>
      <c r="D35" s="598"/>
      <c r="E35" s="4"/>
      <c r="F35" s="4"/>
      <c r="G35" s="4"/>
      <c r="H35" s="4"/>
      <c r="I35" s="4"/>
      <c r="J35" s="4"/>
      <c r="K35" s="4"/>
      <c r="L35" s="4"/>
      <c r="M35" s="4"/>
      <c r="N35" s="4"/>
      <c r="O35" s="4"/>
      <c r="P35" s="4"/>
      <c r="Q35" s="4"/>
      <c r="R35" s="4"/>
      <c r="S35" s="4"/>
      <c r="T35" s="4"/>
      <c r="U35" s="4"/>
      <c r="V35" s="4"/>
      <c r="W35" s="4"/>
      <c r="X35" s="4"/>
      <c r="Y35" s="4"/>
      <c r="Z35" s="4"/>
    </row>
    <row r="36" spans="1:26" ht="13.5" customHeight="1">
      <c r="A36" s="598"/>
      <c r="B36" s="601" t="s">
        <v>2409</v>
      </c>
      <c r="C36" s="602" t="s">
        <v>2410</v>
      </c>
      <c r="D36" s="598"/>
      <c r="E36" s="4"/>
      <c r="F36" s="4"/>
      <c r="G36" s="4"/>
      <c r="H36" s="4"/>
      <c r="I36" s="4"/>
      <c r="J36" s="4"/>
      <c r="K36" s="4"/>
      <c r="L36" s="4"/>
      <c r="M36" s="4"/>
      <c r="N36" s="4"/>
      <c r="O36" s="4"/>
      <c r="P36" s="4"/>
      <c r="Q36" s="4"/>
      <c r="R36" s="4"/>
      <c r="S36" s="4"/>
      <c r="T36" s="4"/>
      <c r="U36" s="4"/>
      <c r="V36" s="4"/>
      <c r="W36" s="4"/>
      <c r="X36" s="4"/>
      <c r="Y36" s="4"/>
      <c r="Z36" s="4"/>
    </row>
    <row r="37" spans="1:26" ht="13.5" customHeight="1">
      <c r="A37" s="598"/>
      <c r="B37" s="601" t="s">
        <v>2411</v>
      </c>
      <c r="C37" s="602" t="s">
        <v>2412</v>
      </c>
      <c r="D37" s="598"/>
      <c r="E37" s="4"/>
      <c r="F37" s="4"/>
      <c r="G37" s="4"/>
      <c r="H37" s="4"/>
      <c r="I37" s="4"/>
      <c r="J37" s="4"/>
      <c r="K37" s="4"/>
      <c r="L37" s="4"/>
      <c r="M37" s="4"/>
      <c r="N37" s="4"/>
      <c r="O37" s="4"/>
      <c r="P37" s="4"/>
      <c r="Q37" s="4"/>
      <c r="R37" s="4"/>
      <c r="S37" s="4"/>
      <c r="T37" s="4"/>
      <c r="U37" s="4"/>
      <c r="V37" s="4"/>
      <c r="W37" s="4"/>
      <c r="X37" s="4"/>
      <c r="Y37" s="4"/>
      <c r="Z37" s="4"/>
    </row>
    <row r="38" spans="1:26" ht="13.5" customHeight="1">
      <c r="A38" s="598"/>
      <c r="B38" s="601" t="s">
        <v>2413</v>
      </c>
      <c r="C38" s="602" t="s">
        <v>2414</v>
      </c>
      <c r="D38" s="598"/>
      <c r="E38" s="4"/>
      <c r="F38" s="4"/>
      <c r="G38" s="4"/>
      <c r="H38" s="4"/>
      <c r="I38" s="4"/>
      <c r="J38" s="4"/>
      <c r="K38" s="4"/>
      <c r="L38" s="4"/>
      <c r="M38" s="4"/>
      <c r="N38" s="4"/>
      <c r="O38" s="4"/>
      <c r="P38" s="4"/>
      <c r="Q38" s="4"/>
      <c r="R38" s="4"/>
      <c r="S38" s="4"/>
      <c r="T38" s="4"/>
      <c r="U38" s="4"/>
      <c r="V38" s="4"/>
      <c r="W38" s="4"/>
      <c r="X38" s="4"/>
      <c r="Y38" s="4"/>
      <c r="Z38" s="4"/>
    </row>
    <row r="39" spans="1:26" ht="13.5" customHeight="1">
      <c r="A39" s="598"/>
      <c r="B39" s="601" t="s">
        <v>2415</v>
      </c>
      <c r="C39" s="602" t="s">
        <v>2416</v>
      </c>
      <c r="D39" s="598"/>
      <c r="E39" s="4"/>
      <c r="F39" s="4"/>
      <c r="G39" s="4"/>
      <c r="H39" s="4"/>
      <c r="I39" s="4"/>
      <c r="J39" s="4"/>
      <c r="K39" s="4"/>
      <c r="L39" s="4"/>
      <c r="M39" s="4"/>
      <c r="N39" s="4"/>
      <c r="O39" s="4"/>
      <c r="P39" s="4"/>
      <c r="Q39" s="4"/>
      <c r="R39" s="4"/>
      <c r="S39" s="4"/>
      <c r="T39" s="4"/>
      <c r="U39" s="4"/>
      <c r="V39" s="4"/>
      <c r="W39" s="4"/>
      <c r="X39" s="4"/>
      <c r="Y39" s="4"/>
      <c r="Z39" s="4"/>
    </row>
    <row r="40" spans="1:26" ht="13.5" customHeight="1">
      <c r="A40" s="598"/>
      <c r="B40" s="601" t="s">
        <v>2417</v>
      </c>
      <c r="C40" s="602" t="s">
        <v>2418</v>
      </c>
      <c r="D40" s="598"/>
      <c r="E40" s="4"/>
      <c r="F40" s="4"/>
      <c r="G40" s="4"/>
      <c r="H40" s="4"/>
      <c r="I40" s="4"/>
      <c r="J40" s="4"/>
      <c r="K40" s="4"/>
      <c r="L40" s="4"/>
      <c r="M40" s="4"/>
      <c r="N40" s="4"/>
      <c r="O40" s="4"/>
      <c r="P40" s="4"/>
      <c r="Q40" s="4"/>
      <c r="R40" s="4"/>
      <c r="S40" s="4"/>
      <c r="T40" s="4"/>
      <c r="U40" s="4"/>
      <c r="V40" s="4"/>
      <c r="W40" s="4"/>
      <c r="X40" s="4"/>
      <c r="Y40" s="4"/>
      <c r="Z40" s="4"/>
    </row>
    <row r="41" spans="1:26" ht="13.5" customHeight="1">
      <c r="A41" s="598"/>
      <c r="B41" s="601" t="s">
        <v>2419</v>
      </c>
      <c r="C41" s="602" t="s">
        <v>2420</v>
      </c>
      <c r="D41" s="598"/>
      <c r="E41" s="4"/>
      <c r="F41" s="4"/>
      <c r="G41" s="4"/>
      <c r="H41" s="4"/>
      <c r="I41" s="4"/>
      <c r="J41" s="4"/>
      <c r="K41" s="4"/>
      <c r="L41" s="4"/>
      <c r="M41" s="4"/>
      <c r="N41" s="4"/>
      <c r="O41" s="4"/>
      <c r="P41" s="4"/>
      <c r="Q41" s="4"/>
      <c r="R41" s="4"/>
      <c r="S41" s="4"/>
      <c r="T41" s="4"/>
      <c r="U41" s="4"/>
      <c r="V41" s="4"/>
      <c r="W41" s="4"/>
      <c r="X41" s="4"/>
      <c r="Y41" s="4"/>
      <c r="Z41" s="4"/>
    </row>
    <row r="42" spans="1:26" ht="13.5" customHeight="1">
      <c r="A42" s="598"/>
      <c r="B42" s="601" t="s">
        <v>2421</v>
      </c>
      <c r="C42" s="602" t="s">
        <v>2422</v>
      </c>
      <c r="D42" s="598"/>
      <c r="E42" s="4"/>
      <c r="F42" s="4"/>
      <c r="G42" s="4"/>
      <c r="H42" s="4"/>
      <c r="I42" s="4"/>
      <c r="J42" s="4"/>
      <c r="K42" s="4"/>
      <c r="L42" s="4"/>
      <c r="M42" s="4"/>
      <c r="N42" s="4"/>
      <c r="O42" s="4"/>
      <c r="P42" s="4"/>
      <c r="Q42" s="4"/>
      <c r="R42" s="4"/>
      <c r="S42" s="4"/>
      <c r="T42" s="4"/>
      <c r="U42" s="4"/>
      <c r="V42" s="4"/>
      <c r="W42" s="4"/>
      <c r="X42" s="4"/>
      <c r="Y42" s="4"/>
      <c r="Z42" s="4"/>
    </row>
    <row r="43" spans="1:26" ht="13.5" customHeight="1">
      <c r="A43" s="598"/>
      <c r="B43" s="603"/>
      <c r="C43" s="604"/>
      <c r="D43" s="598"/>
      <c r="E43" s="4"/>
      <c r="F43" s="4"/>
      <c r="G43" s="4"/>
      <c r="H43" s="4"/>
      <c r="I43" s="4"/>
      <c r="J43" s="4"/>
      <c r="K43" s="4"/>
      <c r="L43" s="4"/>
      <c r="M43" s="4"/>
      <c r="N43" s="4"/>
      <c r="O43" s="4"/>
      <c r="P43" s="4"/>
      <c r="Q43" s="4"/>
      <c r="R43" s="4"/>
      <c r="S43" s="4"/>
      <c r="T43" s="4"/>
      <c r="U43" s="4"/>
      <c r="V43" s="4"/>
      <c r="W43" s="4"/>
      <c r="X43" s="4"/>
      <c r="Y43" s="4"/>
      <c r="Z43" s="4"/>
    </row>
    <row r="44" spans="1:26" ht="13.5" customHeight="1">
      <c r="A44" s="598"/>
      <c r="B44" s="603"/>
      <c r="C44" s="604"/>
      <c r="D44" s="604"/>
      <c r="E44" s="603"/>
      <c r="F44" s="4"/>
      <c r="G44" s="4"/>
      <c r="H44" s="4"/>
      <c r="I44" s="4"/>
      <c r="J44" s="4"/>
      <c r="K44" s="4"/>
      <c r="L44" s="4"/>
      <c r="M44" s="4"/>
      <c r="N44" s="4"/>
      <c r="O44" s="4"/>
      <c r="P44" s="4"/>
      <c r="Q44" s="4"/>
      <c r="R44" s="4"/>
      <c r="S44" s="4"/>
      <c r="T44" s="4"/>
      <c r="U44" s="4"/>
      <c r="V44" s="4"/>
      <c r="W44" s="4"/>
      <c r="X44" s="4"/>
      <c r="Y44" s="4"/>
      <c r="Z44" s="4"/>
    </row>
    <row r="45" spans="1:26" ht="13.5" customHeight="1">
      <c r="A45" s="598"/>
      <c r="B45" s="603"/>
      <c r="C45" s="604"/>
      <c r="D45" s="604"/>
      <c r="E45" s="603"/>
      <c r="F45" s="4"/>
      <c r="G45" s="4"/>
      <c r="H45" s="4"/>
      <c r="I45" s="4"/>
      <c r="J45" s="4"/>
      <c r="K45" s="4"/>
      <c r="L45" s="4"/>
      <c r="M45" s="4"/>
      <c r="N45" s="4"/>
      <c r="O45" s="4"/>
      <c r="P45" s="4"/>
      <c r="Q45" s="4"/>
      <c r="R45" s="4"/>
      <c r="S45" s="4"/>
      <c r="T45" s="4"/>
      <c r="U45" s="4"/>
      <c r="V45" s="4"/>
      <c r="W45" s="4"/>
      <c r="X45" s="4"/>
      <c r="Y45" s="4"/>
      <c r="Z45" s="4"/>
    </row>
    <row r="46" spans="1:26" ht="13.5" customHeight="1">
      <c r="A46" s="598"/>
      <c r="B46" s="603"/>
      <c r="C46" s="604"/>
      <c r="D46" s="604"/>
      <c r="E46" s="603"/>
      <c r="F46" s="4"/>
      <c r="G46" s="4"/>
      <c r="H46" s="4"/>
      <c r="I46" s="4"/>
      <c r="J46" s="4"/>
      <c r="K46" s="4"/>
      <c r="L46" s="4"/>
      <c r="M46" s="4"/>
      <c r="N46" s="4"/>
      <c r="O46" s="4"/>
      <c r="P46" s="4"/>
      <c r="Q46" s="4"/>
      <c r="R46" s="4"/>
      <c r="S46" s="4"/>
      <c r="T46" s="4"/>
      <c r="U46" s="4"/>
      <c r="V46" s="4"/>
      <c r="W46" s="4"/>
      <c r="X46" s="4"/>
      <c r="Y46" s="4"/>
      <c r="Z46" s="4"/>
    </row>
  </sheetData>
  <hyperlinks>
    <hyperlink ref="B33" r:id="rId1"/>
    <hyperlink ref="C33" r:id="rId2"/>
    <hyperlink ref="B34" r:id="rId3"/>
    <hyperlink ref="B35" r:id="rId4"/>
    <hyperlink ref="B36" r:id="rId5"/>
    <hyperlink ref="B37" r:id="rId6"/>
    <hyperlink ref="B38" r:id="rId7"/>
    <hyperlink ref="B39" r:id="rId8"/>
    <hyperlink ref="B40" r:id="rId9"/>
    <hyperlink ref="B41" r:id="rId10"/>
    <hyperlink ref="B42" r:id="rId11"/>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368"/>
  <sheetViews>
    <sheetView workbookViewId="0"/>
  </sheetViews>
  <sheetFormatPr baseColWidth="10" defaultColWidth="14.42578125" defaultRowHeight="15" customHeight="1"/>
  <cols>
    <col min="1" max="1" width="3.5703125" customWidth="1"/>
    <col min="2" max="2" width="26.28515625" customWidth="1"/>
    <col min="3" max="3" width="12.85546875" customWidth="1"/>
    <col min="4" max="4" width="7.42578125" customWidth="1"/>
    <col min="5" max="6" width="8" customWidth="1"/>
  </cols>
  <sheetData>
    <row r="1" spans="1:23" ht="15" customHeight="1">
      <c r="A1" s="605" t="s">
        <v>2423</v>
      </c>
      <c r="C1" s="93"/>
      <c r="D1" s="93"/>
      <c r="E1" s="93"/>
      <c r="F1" s="93"/>
      <c r="G1" s="93"/>
      <c r="H1" s="93"/>
      <c r="I1" s="93"/>
      <c r="J1" s="93"/>
      <c r="K1" s="93"/>
      <c r="L1" s="93"/>
      <c r="M1" s="93"/>
      <c r="N1" s="93"/>
      <c r="O1" s="93"/>
      <c r="P1" s="93"/>
      <c r="Q1" s="93"/>
      <c r="R1" s="93"/>
      <c r="S1" s="93"/>
      <c r="T1" s="93"/>
      <c r="U1" s="93"/>
      <c r="V1" s="93"/>
      <c r="W1" s="93"/>
    </row>
    <row r="2" spans="1:23" ht="15" customHeight="1">
      <c r="A2" s="606" t="s">
        <v>2424</v>
      </c>
      <c r="B2" s="606" t="s">
        <v>949</v>
      </c>
      <c r="C2" s="606" t="s">
        <v>422</v>
      </c>
      <c r="D2" s="607" t="s">
        <v>2425</v>
      </c>
      <c r="E2" s="608" t="s">
        <v>2426</v>
      </c>
      <c r="F2" s="608" t="s">
        <v>2427</v>
      </c>
      <c r="G2" s="93"/>
      <c r="H2" s="93"/>
      <c r="I2" s="93"/>
      <c r="J2" s="93"/>
      <c r="K2" s="93"/>
      <c r="L2" s="93"/>
      <c r="M2" s="93"/>
      <c r="N2" s="93"/>
      <c r="O2" s="93"/>
      <c r="P2" s="93"/>
      <c r="Q2" s="93"/>
      <c r="R2" s="93"/>
      <c r="S2" s="93"/>
      <c r="T2" s="93"/>
      <c r="U2" s="93"/>
      <c r="V2" s="93"/>
      <c r="W2" s="93"/>
    </row>
    <row r="3" spans="1:23" ht="15" customHeight="1">
      <c r="A3" s="40">
        <v>1</v>
      </c>
      <c r="B3" s="40" t="s">
        <v>2428</v>
      </c>
      <c r="C3" s="609" t="s">
        <v>932</v>
      </c>
      <c r="D3" s="610">
        <v>25</v>
      </c>
      <c r="E3" s="610">
        <v>25</v>
      </c>
      <c r="F3" s="610">
        <v>25</v>
      </c>
      <c r="G3" s="93"/>
      <c r="H3" s="93"/>
      <c r="I3" s="93"/>
      <c r="J3" s="93"/>
      <c r="K3" s="93"/>
      <c r="L3" s="93"/>
      <c r="M3" s="93"/>
      <c r="N3" s="93"/>
      <c r="O3" s="93"/>
      <c r="P3" s="93"/>
      <c r="Q3" s="93"/>
      <c r="R3" s="93"/>
      <c r="S3" s="93"/>
      <c r="T3" s="93"/>
      <c r="U3" s="93"/>
      <c r="V3" s="93"/>
      <c r="W3" s="93"/>
    </row>
    <row r="4" spans="1:23" ht="15" customHeight="1">
      <c r="A4" s="40">
        <v>2</v>
      </c>
      <c r="B4" s="40" t="s">
        <v>2429</v>
      </c>
      <c r="C4" s="609" t="s">
        <v>2430</v>
      </c>
      <c r="D4" s="610">
        <v>40</v>
      </c>
      <c r="E4" s="610">
        <v>40</v>
      </c>
      <c r="F4" s="610">
        <v>40</v>
      </c>
      <c r="G4" s="93"/>
      <c r="H4" s="93"/>
      <c r="I4" s="93"/>
      <c r="J4" s="93"/>
      <c r="K4" s="93"/>
      <c r="L4" s="93"/>
      <c r="M4" s="93"/>
      <c r="N4" s="93"/>
      <c r="O4" s="93"/>
      <c r="P4" s="93"/>
      <c r="Q4" s="93"/>
      <c r="R4" s="93"/>
      <c r="S4" s="93"/>
      <c r="T4" s="93"/>
      <c r="U4" s="93"/>
      <c r="V4" s="93"/>
      <c r="W4" s="93"/>
    </row>
    <row r="5" spans="1:23" ht="15" customHeight="1">
      <c r="A5" s="40">
        <v>3</v>
      </c>
      <c r="B5" s="40" t="s">
        <v>2431</v>
      </c>
      <c r="C5" s="609" t="s">
        <v>2432</v>
      </c>
      <c r="D5" s="610">
        <v>75</v>
      </c>
      <c r="E5" s="610">
        <v>75</v>
      </c>
      <c r="F5" s="610">
        <v>75</v>
      </c>
      <c r="G5" s="93"/>
      <c r="H5" s="93"/>
      <c r="I5" s="93"/>
      <c r="J5" s="93"/>
      <c r="K5" s="93"/>
      <c r="L5" s="93"/>
      <c r="M5" s="93"/>
      <c r="N5" s="93"/>
      <c r="O5" s="93"/>
      <c r="P5" s="93"/>
      <c r="Q5" s="93"/>
      <c r="R5" s="93"/>
      <c r="S5" s="93"/>
      <c r="T5" s="93"/>
      <c r="U5" s="93"/>
      <c r="V5" s="93"/>
      <c r="W5" s="93"/>
    </row>
    <row r="6" spans="1:23" ht="15" customHeight="1">
      <c r="A6" s="40">
        <v>4</v>
      </c>
      <c r="B6" s="40" t="s">
        <v>2433</v>
      </c>
      <c r="C6" s="609" t="s">
        <v>931</v>
      </c>
      <c r="D6" s="610">
        <v>50</v>
      </c>
      <c r="E6" s="610">
        <v>50</v>
      </c>
      <c r="F6" s="610">
        <v>50</v>
      </c>
      <c r="G6" s="93"/>
      <c r="H6" s="93"/>
      <c r="I6" s="93"/>
      <c r="J6" s="93"/>
      <c r="K6" s="93"/>
      <c r="L6" s="93"/>
      <c r="M6" s="93"/>
      <c r="N6" s="93"/>
      <c r="O6" s="93"/>
      <c r="P6" s="93"/>
      <c r="Q6" s="93"/>
      <c r="R6" s="93"/>
      <c r="S6" s="93"/>
      <c r="T6" s="93"/>
      <c r="U6" s="93"/>
      <c r="V6" s="93"/>
      <c r="W6" s="93"/>
    </row>
    <row r="7" spans="1:23" ht="15" customHeight="1">
      <c r="A7" s="40"/>
      <c r="B7" s="40"/>
      <c r="C7" s="40"/>
      <c r="D7" s="610"/>
      <c r="E7" s="610"/>
      <c r="F7" s="610"/>
      <c r="G7" s="93"/>
      <c r="H7" s="93"/>
      <c r="I7" s="93"/>
      <c r="J7" s="93"/>
      <c r="K7" s="93"/>
      <c r="L7" s="93"/>
      <c r="M7" s="93"/>
      <c r="N7" s="93"/>
      <c r="O7" s="93"/>
      <c r="P7" s="93"/>
      <c r="Q7" s="93"/>
      <c r="R7" s="93"/>
      <c r="S7" s="93"/>
      <c r="T7" s="93"/>
      <c r="U7" s="93"/>
      <c r="V7" s="93"/>
      <c r="W7" s="93"/>
    </row>
    <row r="8" spans="1:23" ht="15" customHeight="1">
      <c r="A8" s="40">
        <v>1</v>
      </c>
      <c r="B8" s="40" t="s">
        <v>2434</v>
      </c>
      <c r="C8" s="609" t="s">
        <v>573</v>
      </c>
      <c r="D8" s="610">
        <v>850</v>
      </c>
      <c r="E8" s="610">
        <v>850</v>
      </c>
      <c r="F8" s="610">
        <v>850</v>
      </c>
      <c r="G8" s="93"/>
      <c r="H8" s="93"/>
      <c r="I8" s="93"/>
      <c r="J8" s="93"/>
      <c r="K8" s="93"/>
      <c r="L8" s="93"/>
      <c r="M8" s="93"/>
      <c r="N8" s="93"/>
      <c r="O8" s="93"/>
      <c r="P8" s="93"/>
      <c r="Q8" s="93"/>
      <c r="R8" s="93"/>
      <c r="S8" s="93"/>
      <c r="T8" s="93"/>
      <c r="U8" s="93"/>
      <c r="V8" s="93"/>
      <c r="W8" s="93"/>
    </row>
    <row r="9" spans="1:23" ht="15" customHeight="1">
      <c r="A9" s="40">
        <v>2</v>
      </c>
      <c r="B9" s="40" t="s">
        <v>2435</v>
      </c>
      <c r="C9" s="609" t="s">
        <v>505</v>
      </c>
      <c r="D9" s="610">
        <v>250</v>
      </c>
      <c r="E9" s="610">
        <v>250</v>
      </c>
      <c r="F9" s="610">
        <v>250</v>
      </c>
      <c r="G9" s="93"/>
      <c r="H9" s="93"/>
      <c r="I9" s="93"/>
      <c r="J9" s="93"/>
      <c r="K9" s="93"/>
      <c r="L9" s="93"/>
      <c r="M9" s="93"/>
      <c r="N9" s="93"/>
      <c r="O9" s="93"/>
      <c r="P9" s="93"/>
      <c r="Q9" s="93"/>
      <c r="R9" s="93"/>
      <c r="S9" s="93"/>
      <c r="T9" s="93"/>
      <c r="U9" s="93"/>
      <c r="V9" s="93"/>
      <c r="W9" s="93"/>
    </row>
    <row r="10" spans="1:23" ht="15" customHeight="1">
      <c r="A10" s="40">
        <v>3</v>
      </c>
      <c r="B10" s="40" t="s">
        <v>2436</v>
      </c>
      <c r="C10" s="609" t="s">
        <v>2437</v>
      </c>
      <c r="D10" s="610">
        <v>40</v>
      </c>
      <c r="E10" s="610">
        <v>40</v>
      </c>
      <c r="F10" s="610">
        <v>40</v>
      </c>
      <c r="G10" s="93"/>
      <c r="H10" s="93"/>
      <c r="I10" s="93"/>
      <c r="J10" s="93"/>
      <c r="K10" s="93"/>
      <c r="L10" s="93"/>
      <c r="M10" s="93"/>
      <c r="N10" s="93"/>
      <c r="O10" s="93"/>
      <c r="P10" s="93"/>
      <c r="Q10" s="93"/>
      <c r="R10" s="93"/>
      <c r="S10" s="93"/>
      <c r="T10" s="93"/>
      <c r="U10" s="93"/>
      <c r="V10" s="93"/>
      <c r="W10" s="93"/>
    </row>
    <row r="11" spans="1:23" ht="15" customHeight="1">
      <c r="A11" s="40">
        <v>4</v>
      </c>
      <c r="B11" s="40" t="s">
        <v>2438</v>
      </c>
      <c r="C11" s="609" t="s">
        <v>710</v>
      </c>
      <c r="D11" s="610">
        <v>5400</v>
      </c>
      <c r="E11" s="610">
        <v>5400</v>
      </c>
      <c r="F11" s="610">
        <v>5400</v>
      </c>
      <c r="G11" s="93"/>
      <c r="H11" s="93"/>
      <c r="I11" s="93"/>
      <c r="J11" s="93"/>
      <c r="K11" s="93"/>
      <c r="L11" s="93"/>
      <c r="M11" s="93"/>
      <c r="N11" s="93"/>
      <c r="O11" s="93"/>
      <c r="P11" s="93"/>
      <c r="Q11" s="93"/>
      <c r="R11" s="93"/>
      <c r="S11" s="93"/>
      <c r="T11" s="93"/>
      <c r="U11" s="93"/>
      <c r="V11" s="93"/>
      <c r="W11" s="93"/>
    </row>
    <row r="12" spans="1:23" ht="15" customHeight="1">
      <c r="A12" s="40">
        <v>5</v>
      </c>
      <c r="B12" s="40" t="s">
        <v>2439</v>
      </c>
      <c r="C12" s="609" t="s">
        <v>2440</v>
      </c>
      <c r="D12" s="610">
        <v>2600</v>
      </c>
      <c r="E12" s="610">
        <v>2600</v>
      </c>
      <c r="F12" s="610">
        <v>2600</v>
      </c>
      <c r="G12" s="93"/>
      <c r="H12" s="93"/>
      <c r="I12" s="93"/>
      <c r="J12" s="93"/>
      <c r="K12" s="93"/>
      <c r="L12" s="93"/>
      <c r="M12" s="93"/>
      <c r="N12" s="93"/>
      <c r="O12" s="93"/>
      <c r="P12" s="93"/>
      <c r="Q12" s="93"/>
      <c r="R12" s="93"/>
      <c r="S12" s="93"/>
      <c r="T12" s="93"/>
      <c r="U12" s="93"/>
      <c r="V12" s="93"/>
      <c r="W12" s="93"/>
    </row>
    <row r="13" spans="1:23" ht="15" customHeight="1">
      <c r="A13" s="40">
        <v>6</v>
      </c>
      <c r="B13" s="40" t="s">
        <v>2405</v>
      </c>
      <c r="C13" s="609" t="s">
        <v>2405</v>
      </c>
      <c r="D13" s="610">
        <v>250</v>
      </c>
      <c r="E13" s="610">
        <v>250</v>
      </c>
      <c r="F13" s="610">
        <v>250</v>
      </c>
      <c r="G13" s="93"/>
      <c r="H13" s="93"/>
      <c r="I13" s="93"/>
      <c r="J13" s="93"/>
      <c r="K13" s="93"/>
      <c r="L13" s="93"/>
      <c r="M13" s="93"/>
      <c r="N13" s="93"/>
      <c r="O13" s="93"/>
      <c r="P13" s="93"/>
      <c r="Q13" s="93"/>
      <c r="R13" s="93"/>
      <c r="S13" s="93"/>
      <c r="T13" s="93"/>
      <c r="U13" s="93"/>
      <c r="V13" s="93"/>
      <c r="W13" s="93"/>
    </row>
    <row r="14" spans="1:23" ht="15" customHeight="1">
      <c r="A14" s="40">
        <v>7</v>
      </c>
      <c r="B14" s="40" t="s">
        <v>2407</v>
      </c>
      <c r="C14" s="609" t="s">
        <v>466</v>
      </c>
      <c r="D14" s="610">
        <v>250</v>
      </c>
      <c r="E14" s="610">
        <v>250</v>
      </c>
      <c r="F14" s="610">
        <v>250</v>
      </c>
      <c r="G14" s="93"/>
      <c r="H14" s="93"/>
      <c r="I14" s="93"/>
      <c r="J14" s="93"/>
      <c r="K14" s="93"/>
      <c r="L14" s="93"/>
      <c r="M14" s="93"/>
      <c r="N14" s="93"/>
      <c r="O14" s="93"/>
      <c r="P14" s="93"/>
      <c r="Q14" s="93"/>
      <c r="R14" s="93"/>
      <c r="S14" s="93"/>
      <c r="T14" s="93"/>
      <c r="U14" s="93"/>
      <c r="V14" s="93"/>
      <c r="W14" s="93"/>
    </row>
    <row r="15" spans="1:23" ht="15" customHeight="1">
      <c r="A15" s="40">
        <v>8</v>
      </c>
      <c r="B15" s="40" t="s">
        <v>2441</v>
      </c>
      <c r="C15" s="609" t="s">
        <v>532</v>
      </c>
      <c r="D15" s="610">
        <v>625</v>
      </c>
      <c r="E15" s="610">
        <v>625</v>
      </c>
      <c r="F15" s="610">
        <v>625</v>
      </c>
      <c r="G15" s="93"/>
      <c r="H15" s="93"/>
      <c r="I15" s="93"/>
      <c r="J15" s="93"/>
      <c r="K15" s="93"/>
      <c r="L15" s="93"/>
      <c r="M15" s="93"/>
      <c r="N15" s="93"/>
      <c r="O15" s="93"/>
      <c r="P15" s="93"/>
      <c r="Q15" s="93"/>
      <c r="R15" s="93"/>
      <c r="S15" s="93"/>
      <c r="T15" s="93"/>
      <c r="U15" s="93"/>
      <c r="V15" s="93"/>
      <c r="W15" s="93"/>
    </row>
    <row r="16" spans="1:23" ht="15" customHeight="1">
      <c r="A16" s="40">
        <v>9</v>
      </c>
      <c r="B16" s="40" t="s">
        <v>2442</v>
      </c>
      <c r="C16" s="609" t="s">
        <v>2443</v>
      </c>
      <c r="D16" s="610">
        <v>200</v>
      </c>
      <c r="E16" s="610">
        <v>200</v>
      </c>
      <c r="F16" s="610">
        <v>200</v>
      </c>
      <c r="G16" s="93"/>
      <c r="H16" s="93"/>
      <c r="I16" s="93"/>
      <c r="J16" s="93"/>
      <c r="K16" s="93"/>
      <c r="L16" s="93"/>
      <c r="M16" s="93"/>
      <c r="N16" s="93"/>
      <c r="O16" s="93"/>
      <c r="P16" s="93"/>
      <c r="Q16" s="93"/>
      <c r="R16" s="93"/>
      <c r="S16" s="93"/>
      <c r="T16" s="93"/>
      <c r="U16" s="93"/>
      <c r="V16" s="93"/>
      <c r="W16" s="93"/>
    </row>
    <row r="17" spans="1:23" ht="15" customHeight="1">
      <c r="A17" s="40">
        <v>10</v>
      </c>
      <c r="B17" s="40" t="s">
        <v>2444</v>
      </c>
      <c r="C17" s="609" t="s">
        <v>2445</v>
      </c>
      <c r="D17" s="610"/>
      <c r="E17" s="610">
        <v>1000</v>
      </c>
      <c r="F17" s="610">
        <v>1000</v>
      </c>
      <c r="G17" s="93"/>
      <c r="H17" s="93"/>
      <c r="I17" s="93"/>
      <c r="J17" s="93"/>
      <c r="K17" s="93"/>
      <c r="L17" s="93"/>
      <c r="M17" s="93"/>
      <c r="N17" s="93"/>
      <c r="O17" s="93"/>
      <c r="P17" s="93"/>
      <c r="Q17" s="93"/>
      <c r="R17" s="93"/>
      <c r="S17" s="93"/>
      <c r="T17" s="93"/>
      <c r="U17" s="93"/>
      <c r="V17" s="93"/>
      <c r="W17" s="93"/>
    </row>
    <row r="18" spans="1:23" ht="15" customHeight="1">
      <c r="A18" s="40">
        <v>11</v>
      </c>
      <c r="B18" s="40" t="s">
        <v>2446</v>
      </c>
      <c r="C18" s="609" t="s">
        <v>2447</v>
      </c>
      <c r="D18" s="610">
        <v>1800</v>
      </c>
      <c r="E18" s="610">
        <v>1800</v>
      </c>
      <c r="F18" s="610">
        <v>1800</v>
      </c>
      <c r="G18" s="93"/>
      <c r="H18" s="93"/>
      <c r="I18" s="93"/>
      <c r="J18" s="93"/>
      <c r="K18" s="93"/>
      <c r="L18" s="93"/>
      <c r="M18" s="93"/>
      <c r="N18" s="93"/>
      <c r="O18" s="93"/>
      <c r="P18" s="93"/>
      <c r="Q18" s="93"/>
      <c r="R18" s="93"/>
      <c r="S18" s="93"/>
      <c r="T18" s="93"/>
      <c r="U18" s="93"/>
      <c r="V18" s="93"/>
      <c r="W18" s="93"/>
    </row>
    <row r="19" spans="1:23" ht="15" customHeight="1">
      <c r="A19" s="40">
        <v>12</v>
      </c>
      <c r="B19" s="40" t="s">
        <v>2448</v>
      </c>
      <c r="C19" s="609" t="s">
        <v>700</v>
      </c>
      <c r="D19" s="610">
        <v>125</v>
      </c>
      <c r="E19" s="610">
        <v>125</v>
      </c>
      <c r="F19" s="610">
        <v>125</v>
      </c>
      <c r="G19" s="93"/>
      <c r="H19" s="93"/>
      <c r="I19" s="93"/>
      <c r="J19" s="93"/>
      <c r="K19" s="93"/>
      <c r="L19" s="93"/>
      <c r="M19" s="93"/>
      <c r="N19" s="93"/>
      <c r="O19" s="93"/>
      <c r="P19" s="93"/>
      <c r="Q19" s="93"/>
      <c r="R19" s="93"/>
      <c r="S19" s="93"/>
      <c r="T19" s="93"/>
      <c r="U19" s="93"/>
      <c r="V19" s="93"/>
      <c r="W19" s="93"/>
    </row>
    <row r="20" spans="1:23" ht="15" customHeight="1">
      <c r="A20" s="40">
        <v>13</v>
      </c>
      <c r="B20" s="40" t="s">
        <v>2449</v>
      </c>
      <c r="C20" s="609" t="s">
        <v>666</v>
      </c>
      <c r="D20" s="610">
        <v>3500</v>
      </c>
      <c r="E20" s="610">
        <v>3500</v>
      </c>
      <c r="F20" s="610">
        <v>3500</v>
      </c>
      <c r="G20" s="93"/>
      <c r="H20" s="93"/>
      <c r="I20" s="93"/>
      <c r="J20" s="93"/>
      <c r="K20" s="93"/>
      <c r="L20" s="93"/>
      <c r="M20" s="93"/>
      <c r="N20" s="93"/>
      <c r="O20" s="93"/>
      <c r="P20" s="93"/>
      <c r="Q20" s="93"/>
      <c r="R20" s="93"/>
      <c r="S20" s="93"/>
      <c r="T20" s="93"/>
      <c r="U20" s="93"/>
      <c r="V20" s="93"/>
      <c r="W20" s="93"/>
    </row>
    <row r="21" spans="1:23" ht="15" customHeight="1">
      <c r="A21" s="40">
        <v>14</v>
      </c>
      <c r="B21" s="40" t="s">
        <v>2450</v>
      </c>
      <c r="C21" s="609" t="s">
        <v>676</v>
      </c>
      <c r="D21" s="610">
        <v>5000</v>
      </c>
      <c r="E21" s="610">
        <v>5000</v>
      </c>
      <c r="F21" s="610">
        <v>5000</v>
      </c>
      <c r="G21" s="93"/>
      <c r="H21" s="93"/>
      <c r="I21" s="93"/>
      <c r="J21" s="93"/>
      <c r="K21" s="93"/>
      <c r="L21" s="93"/>
      <c r="M21" s="93"/>
      <c r="N21" s="93"/>
      <c r="O21" s="93"/>
      <c r="P21" s="93"/>
      <c r="Q21" s="93"/>
      <c r="R21" s="93"/>
      <c r="S21" s="93"/>
      <c r="T21" s="93"/>
      <c r="U21" s="93"/>
      <c r="V21" s="93"/>
      <c r="W21" s="93"/>
    </row>
    <row r="22" spans="1:23" ht="15" customHeight="1">
      <c r="A22" s="40">
        <v>15</v>
      </c>
      <c r="B22" s="40" t="s">
        <v>2451</v>
      </c>
      <c r="C22" s="609" t="s">
        <v>691</v>
      </c>
      <c r="D22" s="610">
        <v>200</v>
      </c>
      <c r="E22" s="610">
        <v>200</v>
      </c>
      <c r="F22" s="610">
        <v>200</v>
      </c>
      <c r="G22" s="93"/>
      <c r="H22" s="93"/>
      <c r="I22" s="93"/>
      <c r="J22" s="93"/>
      <c r="K22" s="93"/>
      <c r="L22" s="93"/>
      <c r="M22" s="93"/>
      <c r="N22" s="93"/>
      <c r="O22" s="93"/>
      <c r="P22" s="93"/>
      <c r="Q22" s="93"/>
      <c r="R22" s="93"/>
      <c r="S22" s="93"/>
      <c r="T22" s="93"/>
      <c r="U22" s="93"/>
      <c r="V22" s="93"/>
      <c r="W22" s="93"/>
    </row>
    <row r="23" spans="1:23" ht="15" customHeight="1">
      <c r="A23" s="40">
        <v>16</v>
      </c>
      <c r="B23" s="40" t="s">
        <v>2452</v>
      </c>
      <c r="C23" s="609" t="s">
        <v>2452</v>
      </c>
      <c r="D23" s="610">
        <v>275</v>
      </c>
      <c r="E23" s="610">
        <v>275</v>
      </c>
      <c r="F23" s="610">
        <v>275</v>
      </c>
      <c r="G23" s="93"/>
      <c r="H23" s="93"/>
      <c r="I23" s="93"/>
      <c r="J23" s="93"/>
      <c r="K23" s="93"/>
      <c r="L23" s="93"/>
      <c r="M23" s="93"/>
      <c r="N23" s="93"/>
      <c r="O23" s="93"/>
      <c r="P23" s="93"/>
      <c r="Q23" s="93"/>
      <c r="R23" s="93"/>
      <c r="S23" s="93"/>
      <c r="T23" s="93"/>
      <c r="U23" s="93"/>
      <c r="V23" s="93"/>
      <c r="W23" s="93"/>
    </row>
    <row r="24" spans="1:23" ht="15" customHeight="1">
      <c r="A24" s="40">
        <v>17</v>
      </c>
      <c r="B24" s="40" t="s">
        <v>2453</v>
      </c>
      <c r="C24" s="609" t="s">
        <v>2453</v>
      </c>
      <c r="D24" s="610">
        <v>75</v>
      </c>
      <c r="E24" s="610">
        <v>75</v>
      </c>
      <c r="F24" s="610">
        <v>75</v>
      </c>
      <c r="G24" s="93"/>
      <c r="H24" s="93"/>
      <c r="I24" s="93"/>
      <c r="J24" s="93"/>
      <c r="K24" s="93"/>
      <c r="L24" s="93"/>
      <c r="M24" s="93"/>
      <c r="N24" s="93"/>
      <c r="O24" s="93"/>
      <c r="P24" s="93"/>
      <c r="Q24" s="93"/>
      <c r="R24" s="93"/>
      <c r="S24" s="93"/>
      <c r="T24" s="93"/>
      <c r="U24" s="93"/>
      <c r="V24" s="93"/>
      <c r="W24" s="93"/>
    </row>
    <row r="25" spans="1:23" ht="15" customHeight="1">
      <c r="A25" s="40">
        <v>18</v>
      </c>
      <c r="B25" s="40" t="s">
        <v>2454</v>
      </c>
      <c r="C25" s="609" t="s">
        <v>594</v>
      </c>
      <c r="D25" s="610">
        <v>1000</v>
      </c>
      <c r="E25" s="610">
        <v>1000</v>
      </c>
      <c r="F25" s="610">
        <v>1000</v>
      </c>
      <c r="G25" s="93"/>
      <c r="H25" s="93"/>
      <c r="I25" s="93"/>
      <c r="J25" s="93"/>
      <c r="K25" s="93"/>
      <c r="L25" s="93"/>
      <c r="M25" s="93"/>
      <c r="N25" s="93"/>
      <c r="O25" s="93"/>
      <c r="P25" s="93"/>
      <c r="Q25" s="93"/>
      <c r="R25" s="93"/>
      <c r="S25" s="93"/>
      <c r="T25" s="93"/>
      <c r="U25" s="93"/>
      <c r="V25" s="93"/>
      <c r="W25" s="93"/>
    </row>
    <row r="26" spans="1:23" ht="15" customHeight="1">
      <c r="A26" s="40">
        <v>19</v>
      </c>
      <c r="B26" s="40" t="s">
        <v>2455</v>
      </c>
      <c r="C26" s="609" t="s">
        <v>593</v>
      </c>
      <c r="D26" s="610">
        <v>1000</v>
      </c>
      <c r="E26" s="610">
        <v>1000</v>
      </c>
      <c r="F26" s="610">
        <v>1000</v>
      </c>
      <c r="G26" s="93"/>
      <c r="H26" s="93"/>
      <c r="I26" s="93"/>
      <c r="J26" s="93"/>
      <c r="K26" s="93"/>
      <c r="L26" s="93"/>
      <c r="M26" s="93"/>
      <c r="N26" s="93"/>
      <c r="O26" s="93"/>
      <c r="P26" s="93"/>
      <c r="Q26" s="93"/>
      <c r="R26" s="93"/>
      <c r="S26" s="93"/>
      <c r="T26" s="93"/>
      <c r="U26" s="93"/>
      <c r="V26" s="93"/>
      <c r="W26" s="93"/>
    </row>
    <row r="27" spans="1:23" ht="15" customHeight="1">
      <c r="A27" s="40">
        <v>20</v>
      </c>
      <c r="B27" s="40" t="s">
        <v>2456</v>
      </c>
      <c r="C27" s="609" t="s">
        <v>663</v>
      </c>
      <c r="D27" s="610">
        <v>1200</v>
      </c>
      <c r="E27" s="610">
        <v>1200</v>
      </c>
      <c r="F27" s="610">
        <v>1200</v>
      </c>
      <c r="G27" s="93"/>
      <c r="H27" s="93"/>
      <c r="I27" s="93"/>
      <c r="J27" s="93"/>
      <c r="K27" s="93"/>
      <c r="L27" s="93"/>
      <c r="M27" s="93"/>
      <c r="N27" s="93"/>
      <c r="O27" s="93"/>
      <c r="P27" s="93"/>
      <c r="Q27" s="93"/>
      <c r="R27" s="93"/>
      <c r="S27" s="93"/>
      <c r="T27" s="93"/>
      <c r="U27" s="93"/>
      <c r="V27" s="93"/>
      <c r="W27" s="93"/>
    </row>
    <row r="28" spans="1:23" ht="15" customHeight="1">
      <c r="A28" s="40">
        <v>21</v>
      </c>
      <c r="B28" s="40" t="s">
        <v>2457</v>
      </c>
      <c r="C28" s="609" t="s">
        <v>2458</v>
      </c>
      <c r="D28" s="610">
        <v>250</v>
      </c>
      <c r="E28" s="610">
        <v>250</v>
      </c>
      <c r="F28" s="610">
        <v>250</v>
      </c>
      <c r="G28" s="93"/>
      <c r="H28" s="93"/>
      <c r="I28" s="93"/>
      <c r="J28" s="93"/>
      <c r="K28" s="93"/>
      <c r="L28" s="93"/>
      <c r="M28" s="93"/>
      <c r="N28" s="93"/>
      <c r="O28" s="93"/>
      <c r="P28" s="93"/>
      <c r="Q28" s="93"/>
      <c r="R28" s="93"/>
      <c r="S28" s="93"/>
      <c r="T28" s="93"/>
      <c r="U28" s="93"/>
      <c r="V28" s="93"/>
      <c r="W28" s="93"/>
    </row>
    <row r="29" spans="1:23" ht="15" customHeight="1">
      <c r="A29" s="40">
        <v>22</v>
      </c>
      <c r="B29" s="40" t="s">
        <v>2459</v>
      </c>
      <c r="C29" s="609" t="s">
        <v>692</v>
      </c>
      <c r="D29" s="610">
        <v>500</v>
      </c>
      <c r="E29" s="610">
        <v>500</v>
      </c>
      <c r="F29" s="610">
        <v>500</v>
      </c>
      <c r="G29" s="93"/>
      <c r="H29" s="93"/>
      <c r="I29" s="93"/>
      <c r="J29" s="93"/>
      <c r="K29" s="93"/>
      <c r="L29" s="93"/>
      <c r="M29" s="93"/>
      <c r="N29" s="93"/>
      <c r="O29" s="93"/>
      <c r="P29" s="93"/>
      <c r="Q29" s="93"/>
      <c r="R29" s="93"/>
      <c r="S29" s="93"/>
      <c r="T29" s="93"/>
      <c r="U29" s="93"/>
      <c r="V29" s="93"/>
      <c r="W29" s="93"/>
    </row>
    <row r="30" spans="1:23" ht="15" customHeight="1">
      <c r="A30" s="40">
        <v>23</v>
      </c>
      <c r="B30" s="40" t="s">
        <v>2460</v>
      </c>
      <c r="C30" s="609" t="s">
        <v>484</v>
      </c>
      <c r="D30" s="610">
        <v>125</v>
      </c>
      <c r="E30" s="610">
        <v>125</v>
      </c>
      <c r="F30" s="610">
        <v>125</v>
      </c>
      <c r="G30" s="93"/>
      <c r="H30" s="93"/>
      <c r="I30" s="93"/>
      <c r="J30" s="93"/>
      <c r="K30" s="93"/>
      <c r="L30" s="93"/>
      <c r="M30" s="93"/>
      <c r="N30" s="93"/>
      <c r="O30" s="93"/>
      <c r="P30" s="93"/>
      <c r="Q30" s="93"/>
      <c r="R30" s="93"/>
      <c r="S30" s="93"/>
      <c r="T30" s="93"/>
      <c r="U30" s="93"/>
      <c r="V30" s="93"/>
      <c r="W30" s="93"/>
    </row>
    <row r="31" spans="1:23" ht="15" customHeight="1">
      <c r="A31" s="40">
        <v>24</v>
      </c>
      <c r="B31" s="40" t="s">
        <v>2461</v>
      </c>
      <c r="C31" s="609" t="s">
        <v>2462</v>
      </c>
      <c r="D31" s="610">
        <v>300</v>
      </c>
      <c r="E31" s="610">
        <v>300</v>
      </c>
      <c r="F31" s="610">
        <v>300</v>
      </c>
      <c r="G31" s="93"/>
      <c r="H31" s="93"/>
      <c r="I31" s="93"/>
      <c r="J31" s="93"/>
      <c r="K31" s="93"/>
      <c r="L31" s="93"/>
      <c r="M31" s="93"/>
      <c r="N31" s="93"/>
      <c r="O31" s="93"/>
      <c r="P31" s="93"/>
      <c r="Q31" s="93"/>
      <c r="R31" s="93"/>
      <c r="S31" s="93"/>
      <c r="T31" s="93"/>
      <c r="U31" s="93"/>
      <c r="V31" s="93"/>
      <c r="W31" s="93"/>
    </row>
    <row r="32" spans="1:23" ht="15" customHeight="1">
      <c r="A32" s="40">
        <v>25</v>
      </c>
      <c r="B32" s="40" t="s">
        <v>2463</v>
      </c>
      <c r="C32" s="609" t="s">
        <v>1887</v>
      </c>
      <c r="D32" s="610">
        <v>1600</v>
      </c>
      <c r="E32" s="610">
        <v>1600</v>
      </c>
      <c r="F32" s="610">
        <v>1600</v>
      </c>
      <c r="G32" s="93"/>
      <c r="H32" s="93"/>
      <c r="I32" s="93"/>
      <c r="J32" s="93"/>
      <c r="K32" s="93"/>
      <c r="L32" s="93"/>
      <c r="M32" s="93"/>
      <c r="N32" s="93"/>
      <c r="O32" s="93"/>
      <c r="P32" s="93"/>
      <c r="Q32" s="93"/>
      <c r="R32" s="93"/>
      <c r="S32" s="93"/>
      <c r="T32" s="93"/>
      <c r="U32" s="93"/>
      <c r="V32" s="93"/>
      <c r="W32" s="93"/>
    </row>
    <row r="33" spans="1:23" ht="15" customHeight="1">
      <c r="A33" s="40">
        <v>26</v>
      </c>
      <c r="B33" s="40" t="s">
        <v>2464</v>
      </c>
      <c r="C33" s="609" t="s">
        <v>1931</v>
      </c>
      <c r="D33" s="610">
        <v>1800</v>
      </c>
      <c r="E33" s="610">
        <v>1800</v>
      </c>
      <c r="F33" s="610">
        <v>1800</v>
      </c>
      <c r="G33" s="93"/>
      <c r="H33" s="93"/>
      <c r="I33" s="93"/>
      <c r="J33" s="93"/>
      <c r="K33" s="93"/>
      <c r="L33" s="93"/>
      <c r="M33" s="93"/>
      <c r="N33" s="93"/>
      <c r="O33" s="93"/>
      <c r="P33" s="93"/>
      <c r="Q33" s="93"/>
      <c r="R33" s="93"/>
      <c r="S33" s="93"/>
      <c r="T33" s="93"/>
      <c r="U33" s="93"/>
      <c r="V33" s="93"/>
      <c r="W33" s="93"/>
    </row>
    <row r="34" spans="1:23" ht="15" customHeight="1">
      <c r="A34" s="40">
        <v>27</v>
      </c>
      <c r="B34" s="40" t="s">
        <v>2465</v>
      </c>
      <c r="C34" s="609" t="s">
        <v>623</v>
      </c>
      <c r="D34" s="610">
        <v>5850</v>
      </c>
      <c r="E34" s="610">
        <v>5850</v>
      </c>
      <c r="F34" s="610">
        <v>5850</v>
      </c>
      <c r="G34" s="93"/>
      <c r="H34" s="93"/>
      <c r="I34" s="93"/>
      <c r="J34" s="93"/>
      <c r="K34" s="93"/>
      <c r="L34" s="93"/>
      <c r="M34" s="93"/>
      <c r="N34" s="93"/>
      <c r="O34" s="93"/>
      <c r="P34" s="93"/>
      <c r="Q34" s="93"/>
      <c r="R34" s="93"/>
      <c r="S34" s="93"/>
      <c r="T34" s="93"/>
      <c r="U34" s="93"/>
      <c r="V34" s="93"/>
      <c r="W34" s="93"/>
    </row>
    <row r="35" spans="1:23" ht="15" customHeight="1">
      <c r="A35" s="40">
        <v>28</v>
      </c>
      <c r="B35" s="40" t="s">
        <v>2466</v>
      </c>
      <c r="C35" s="609" t="s">
        <v>1665</v>
      </c>
      <c r="D35" s="610">
        <v>275</v>
      </c>
      <c r="E35" s="610">
        <v>275</v>
      </c>
      <c r="F35" s="610">
        <v>275</v>
      </c>
      <c r="G35" s="93"/>
      <c r="H35" s="93"/>
      <c r="I35" s="93"/>
      <c r="J35" s="93"/>
      <c r="K35" s="93"/>
      <c r="L35" s="93"/>
      <c r="M35" s="93"/>
      <c r="N35" s="93"/>
      <c r="O35" s="93"/>
      <c r="P35" s="93"/>
      <c r="Q35" s="93"/>
      <c r="R35" s="93"/>
      <c r="S35" s="93"/>
      <c r="T35" s="93"/>
      <c r="U35" s="93"/>
      <c r="V35" s="93"/>
      <c r="W35" s="93"/>
    </row>
    <row r="36" spans="1:23" ht="15" customHeight="1">
      <c r="A36" s="40">
        <v>29</v>
      </c>
      <c r="B36" s="40" t="s">
        <v>2467</v>
      </c>
      <c r="C36" s="609" t="s">
        <v>480</v>
      </c>
      <c r="D36" s="610">
        <v>5700</v>
      </c>
      <c r="E36" s="610">
        <v>5700</v>
      </c>
      <c r="F36" s="610">
        <v>5700</v>
      </c>
      <c r="G36" s="93"/>
      <c r="H36" s="93"/>
      <c r="I36" s="93"/>
      <c r="J36" s="93"/>
      <c r="K36" s="93"/>
      <c r="L36" s="93"/>
      <c r="M36" s="93"/>
      <c r="N36" s="93"/>
      <c r="O36" s="93"/>
      <c r="P36" s="93"/>
      <c r="Q36" s="93"/>
      <c r="R36" s="93"/>
      <c r="S36" s="93"/>
      <c r="T36" s="93"/>
      <c r="U36" s="93"/>
      <c r="V36" s="93"/>
      <c r="W36" s="93"/>
    </row>
    <row r="37" spans="1:23" ht="15" customHeight="1">
      <c r="A37" s="40">
        <v>30</v>
      </c>
      <c r="B37" s="40" t="s">
        <v>2468</v>
      </c>
      <c r="C37" s="609" t="s">
        <v>1593</v>
      </c>
      <c r="D37" s="610">
        <v>1100</v>
      </c>
      <c r="E37" s="610">
        <v>1100</v>
      </c>
      <c r="F37" s="610">
        <v>1100</v>
      </c>
      <c r="G37" s="93"/>
      <c r="H37" s="93"/>
      <c r="I37" s="93"/>
      <c r="J37" s="93"/>
      <c r="K37" s="93"/>
      <c r="L37" s="93"/>
      <c r="M37" s="93"/>
      <c r="N37" s="93"/>
      <c r="O37" s="93"/>
      <c r="P37" s="93"/>
      <c r="Q37" s="93"/>
      <c r="R37" s="93"/>
      <c r="S37" s="93"/>
      <c r="T37" s="93"/>
      <c r="U37" s="93"/>
      <c r="V37" s="93"/>
      <c r="W37" s="93"/>
    </row>
    <row r="38" spans="1:23" ht="15" customHeight="1">
      <c r="A38" s="40">
        <v>31</v>
      </c>
      <c r="B38" s="40" t="s">
        <v>2469</v>
      </c>
      <c r="C38" s="609" t="s">
        <v>2470</v>
      </c>
      <c r="D38" s="610">
        <v>1000</v>
      </c>
      <c r="E38" s="610">
        <v>1000</v>
      </c>
      <c r="F38" s="610">
        <v>1000</v>
      </c>
      <c r="G38" s="93"/>
      <c r="H38" s="93"/>
      <c r="I38" s="93"/>
      <c r="J38" s="93"/>
      <c r="K38" s="93"/>
      <c r="L38" s="93"/>
      <c r="M38" s="93"/>
      <c r="N38" s="93"/>
      <c r="O38" s="93"/>
      <c r="P38" s="93"/>
      <c r="Q38" s="93"/>
      <c r="R38" s="93"/>
      <c r="S38" s="93"/>
      <c r="T38" s="93"/>
      <c r="U38" s="93"/>
      <c r="V38" s="93"/>
      <c r="W38" s="93"/>
    </row>
    <row r="39" spans="1:23" ht="15" customHeight="1">
      <c r="A39" s="40">
        <v>32</v>
      </c>
      <c r="B39" s="40" t="s">
        <v>2471</v>
      </c>
      <c r="C39" s="609" t="s">
        <v>2472</v>
      </c>
      <c r="D39" s="610">
        <v>950</v>
      </c>
      <c r="E39" s="610">
        <v>950</v>
      </c>
      <c r="F39" s="610">
        <v>950</v>
      </c>
      <c r="G39" s="93"/>
      <c r="H39" s="93"/>
      <c r="I39" s="93"/>
      <c r="J39" s="93"/>
      <c r="K39" s="93"/>
      <c r="L39" s="93"/>
      <c r="M39" s="93"/>
      <c r="N39" s="93"/>
      <c r="O39" s="93"/>
      <c r="P39" s="93"/>
      <c r="Q39" s="93"/>
      <c r="R39" s="93"/>
      <c r="S39" s="93"/>
      <c r="T39" s="93"/>
      <c r="U39" s="93"/>
      <c r="V39" s="93"/>
      <c r="W39" s="93"/>
    </row>
    <row r="40" spans="1:23" ht="15" customHeight="1">
      <c r="A40" s="40">
        <v>33</v>
      </c>
      <c r="B40" s="40" t="s">
        <v>457</v>
      </c>
      <c r="C40" s="609" t="s">
        <v>457</v>
      </c>
      <c r="D40" s="610">
        <v>10500</v>
      </c>
      <c r="E40" s="610">
        <v>10500</v>
      </c>
      <c r="F40" s="610">
        <v>10500</v>
      </c>
      <c r="G40" s="93"/>
      <c r="H40" s="93"/>
      <c r="I40" s="93"/>
      <c r="J40" s="93"/>
      <c r="K40" s="93"/>
      <c r="L40" s="93"/>
      <c r="M40" s="93"/>
      <c r="N40" s="93"/>
      <c r="O40" s="93"/>
      <c r="P40" s="93"/>
      <c r="Q40" s="93"/>
      <c r="R40" s="93"/>
      <c r="S40" s="93"/>
      <c r="T40" s="93"/>
      <c r="U40" s="93"/>
      <c r="V40" s="93"/>
      <c r="W40" s="93"/>
    </row>
    <row r="41" spans="1:23" ht="15" customHeight="1">
      <c r="A41" s="40">
        <v>34</v>
      </c>
      <c r="B41" s="40" t="s">
        <v>2473</v>
      </c>
      <c r="C41" s="609" t="s">
        <v>494</v>
      </c>
      <c r="D41" s="610">
        <v>2300</v>
      </c>
      <c r="E41" s="610">
        <v>2300</v>
      </c>
      <c r="F41" s="610">
        <v>2300</v>
      </c>
      <c r="G41" s="93"/>
      <c r="H41" s="93"/>
      <c r="I41" s="93"/>
      <c r="J41" s="93"/>
      <c r="K41" s="93"/>
      <c r="L41" s="93"/>
      <c r="M41" s="93"/>
      <c r="N41" s="93"/>
      <c r="O41" s="93"/>
      <c r="P41" s="93"/>
      <c r="Q41" s="93"/>
      <c r="R41" s="93"/>
      <c r="S41" s="93"/>
      <c r="T41" s="93"/>
      <c r="U41" s="93"/>
      <c r="V41" s="93"/>
      <c r="W41" s="93"/>
    </row>
    <row r="42" spans="1:23" ht="15" customHeight="1">
      <c r="A42" s="40">
        <v>35</v>
      </c>
      <c r="B42" s="40" t="s">
        <v>2474</v>
      </c>
      <c r="C42" s="609" t="s">
        <v>2475</v>
      </c>
      <c r="D42" s="610">
        <v>50</v>
      </c>
      <c r="E42" s="610">
        <v>50</v>
      </c>
      <c r="F42" s="610">
        <v>50</v>
      </c>
      <c r="G42" s="93"/>
      <c r="H42" s="93"/>
      <c r="I42" s="93"/>
      <c r="J42" s="93"/>
      <c r="K42" s="93"/>
      <c r="L42" s="93"/>
      <c r="M42" s="93"/>
      <c r="N42" s="93"/>
      <c r="O42" s="93"/>
      <c r="P42" s="93"/>
      <c r="Q42" s="93"/>
      <c r="R42" s="93"/>
      <c r="S42" s="93"/>
      <c r="T42" s="93"/>
      <c r="U42" s="93"/>
      <c r="V42" s="93"/>
      <c r="W42" s="93"/>
    </row>
    <row r="43" spans="1:23" ht="15" customHeight="1">
      <c r="A43" s="40">
        <v>36</v>
      </c>
      <c r="B43" s="40" t="s">
        <v>2476</v>
      </c>
      <c r="C43" s="609" t="s">
        <v>513</v>
      </c>
      <c r="D43" s="610">
        <v>1800</v>
      </c>
      <c r="E43" s="610">
        <v>1800</v>
      </c>
      <c r="F43" s="610">
        <v>1800</v>
      </c>
      <c r="G43" s="93"/>
      <c r="H43" s="93"/>
      <c r="I43" s="93"/>
      <c r="J43" s="93"/>
      <c r="K43" s="93"/>
      <c r="L43" s="93"/>
      <c r="M43" s="93"/>
      <c r="N43" s="93"/>
      <c r="O43" s="93"/>
      <c r="P43" s="93"/>
      <c r="Q43" s="93"/>
      <c r="R43" s="93"/>
      <c r="S43" s="93"/>
      <c r="T43" s="93"/>
      <c r="U43" s="93"/>
      <c r="V43" s="93"/>
      <c r="W43" s="93"/>
    </row>
    <row r="44" spans="1:23" ht="15" customHeight="1">
      <c r="A44" s="40">
        <v>37</v>
      </c>
      <c r="B44" s="40" t="s">
        <v>2477</v>
      </c>
      <c r="C44" s="609" t="s">
        <v>1897</v>
      </c>
      <c r="D44" s="610">
        <v>200</v>
      </c>
      <c r="E44" s="610">
        <v>200</v>
      </c>
      <c r="F44" s="610">
        <v>200</v>
      </c>
      <c r="G44" s="93"/>
      <c r="H44" s="93"/>
      <c r="I44" s="93"/>
      <c r="J44" s="93"/>
      <c r="K44" s="93"/>
      <c r="L44" s="93"/>
      <c r="M44" s="93"/>
      <c r="N44" s="93"/>
      <c r="O44" s="93"/>
      <c r="P44" s="93"/>
      <c r="Q44" s="93"/>
      <c r="R44" s="93"/>
      <c r="S44" s="93"/>
      <c r="T44" s="93"/>
      <c r="U44" s="93"/>
      <c r="V44" s="93"/>
      <c r="W44" s="93"/>
    </row>
    <row r="45" spans="1:23" ht="15" customHeight="1">
      <c r="A45" s="40">
        <v>38</v>
      </c>
      <c r="B45" s="40" t="s">
        <v>2478</v>
      </c>
      <c r="C45" s="609" t="s">
        <v>485</v>
      </c>
      <c r="D45" s="610">
        <v>2000</v>
      </c>
      <c r="E45" s="610">
        <v>1300</v>
      </c>
      <c r="F45" s="610">
        <v>1300</v>
      </c>
      <c r="G45" s="93"/>
      <c r="H45" s="93"/>
      <c r="I45" s="93"/>
      <c r="J45" s="93"/>
      <c r="K45" s="93"/>
      <c r="L45" s="93"/>
      <c r="M45" s="93"/>
      <c r="N45" s="93"/>
      <c r="O45" s="93"/>
      <c r="P45" s="93"/>
      <c r="Q45" s="93"/>
      <c r="R45" s="93"/>
      <c r="S45" s="93"/>
      <c r="T45" s="93"/>
      <c r="U45" s="93"/>
      <c r="V45" s="93"/>
      <c r="W45" s="93"/>
    </row>
    <row r="46" spans="1:23" ht="15" customHeight="1">
      <c r="A46" s="40">
        <v>39</v>
      </c>
      <c r="B46" s="40" t="s">
        <v>2479</v>
      </c>
      <c r="C46" s="609" t="s">
        <v>597</v>
      </c>
      <c r="D46" s="610">
        <v>2700</v>
      </c>
      <c r="E46" s="610">
        <v>2700</v>
      </c>
      <c r="F46" s="610">
        <v>2700</v>
      </c>
      <c r="G46" s="93"/>
      <c r="H46" s="93"/>
      <c r="I46" s="93"/>
      <c r="J46" s="93"/>
      <c r="K46" s="93"/>
      <c r="L46" s="93"/>
      <c r="M46" s="93"/>
      <c r="N46" s="93"/>
      <c r="O46" s="93"/>
      <c r="P46" s="93"/>
      <c r="Q46" s="93"/>
      <c r="R46" s="93"/>
      <c r="S46" s="93"/>
      <c r="T46" s="93"/>
      <c r="U46" s="93"/>
      <c r="V46" s="93"/>
      <c r="W46" s="93"/>
    </row>
    <row r="47" spans="1:23" ht="15" customHeight="1">
      <c r="A47" s="40">
        <v>40</v>
      </c>
      <c r="B47" s="40" t="s">
        <v>2480</v>
      </c>
      <c r="C47" s="609" t="s">
        <v>707</v>
      </c>
      <c r="D47" s="610">
        <v>975</v>
      </c>
      <c r="E47" s="610">
        <v>975</v>
      </c>
      <c r="F47" s="610">
        <v>975</v>
      </c>
      <c r="G47" s="93"/>
      <c r="H47" s="93"/>
      <c r="I47" s="93"/>
      <c r="J47" s="93"/>
      <c r="K47" s="93"/>
      <c r="L47" s="93"/>
      <c r="M47" s="93"/>
      <c r="N47" s="93"/>
      <c r="O47" s="93"/>
      <c r="P47" s="93"/>
      <c r="Q47" s="93"/>
      <c r="R47" s="93"/>
      <c r="S47" s="93"/>
      <c r="T47" s="93"/>
      <c r="U47" s="93"/>
      <c r="V47" s="93"/>
      <c r="W47" s="93"/>
    </row>
    <row r="48" spans="1:23" ht="15" customHeight="1">
      <c r="A48" s="40">
        <v>41</v>
      </c>
      <c r="B48" s="40" t="s">
        <v>2481</v>
      </c>
      <c r="C48" s="609" t="s">
        <v>1811</v>
      </c>
      <c r="D48" s="610">
        <v>1500</v>
      </c>
      <c r="E48" s="610">
        <v>1500</v>
      </c>
      <c r="F48" s="610">
        <v>1500</v>
      </c>
      <c r="G48" s="93"/>
      <c r="H48" s="93"/>
      <c r="I48" s="93"/>
      <c r="J48" s="93"/>
      <c r="K48" s="93"/>
      <c r="L48" s="93"/>
      <c r="M48" s="93"/>
      <c r="N48" s="93"/>
      <c r="O48" s="93"/>
      <c r="P48" s="93"/>
      <c r="Q48" s="93"/>
      <c r="R48" s="93"/>
      <c r="S48" s="93"/>
      <c r="T48" s="93"/>
      <c r="U48" s="93"/>
      <c r="V48" s="93"/>
      <c r="W48" s="93"/>
    </row>
    <row r="49" spans="1:23" ht="15" customHeight="1">
      <c r="A49" s="40">
        <v>42</v>
      </c>
      <c r="B49" s="40" t="s">
        <v>2482</v>
      </c>
      <c r="C49" s="609" t="s">
        <v>486</v>
      </c>
      <c r="D49" s="610">
        <v>1250</v>
      </c>
      <c r="E49" s="610">
        <v>1250</v>
      </c>
      <c r="F49" s="610">
        <v>1250</v>
      </c>
      <c r="G49" s="93"/>
      <c r="H49" s="93"/>
      <c r="I49" s="93"/>
      <c r="J49" s="93"/>
      <c r="K49" s="93"/>
      <c r="L49" s="93"/>
      <c r="M49" s="93"/>
      <c r="N49" s="93"/>
      <c r="O49" s="93"/>
      <c r="P49" s="93"/>
      <c r="Q49" s="93"/>
      <c r="R49" s="93"/>
      <c r="S49" s="93"/>
      <c r="T49" s="93"/>
      <c r="U49" s="93"/>
      <c r="V49" s="93"/>
      <c r="W49" s="93"/>
    </row>
    <row r="50" spans="1:23" ht="15" customHeight="1">
      <c r="A50" s="40">
        <v>43</v>
      </c>
      <c r="B50" s="40" t="s">
        <v>459</v>
      </c>
      <c r="C50" s="609" t="s">
        <v>459</v>
      </c>
      <c r="D50" s="610">
        <v>650</v>
      </c>
      <c r="E50" s="610">
        <v>650</v>
      </c>
      <c r="F50" s="610">
        <v>650</v>
      </c>
      <c r="G50" s="93"/>
      <c r="H50" s="93"/>
      <c r="I50" s="93"/>
      <c r="J50" s="93"/>
      <c r="K50" s="93"/>
      <c r="L50" s="93"/>
      <c r="M50" s="93"/>
      <c r="N50" s="93"/>
      <c r="O50" s="93"/>
      <c r="P50" s="93"/>
      <c r="Q50" s="93"/>
      <c r="R50" s="93"/>
      <c r="S50" s="93"/>
      <c r="T50" s="93"/>
      <c r="U50" s="93"/>
      <c r="V50" s="93"/>
      <c r="W50" s="93"/>
    </row>
    <row r="51" spans="1:23" ht="15" customHeight="1">
      <c r="A51" s="40">
        <v>44</v>
      </c>
      <c r="B51" s="40" t="s">
        <v>2483</v>
      </c>
      <c r="C51" s="609" t="s">
        <v>2399</v>
      </c>
      <c r="D51" s="610">
        <v>4200</v>
      </c>
      <c r="E51" s="610">
        <v>4200</v>
      </c>
      <c r="F51" s="610">
        <v>4200</v>
      </c>
      <c r="G51" s="93"/>
      <c r="H51" s="93"/>
      <c r="I51" s="93"/>
      <c r="J51" s="93"/>
      <c r="K51" s="93"/>
      <c r="L51" s="93"/>
      <c r="M51" s="93"/>
      <c r="N51" s="93"/>
      <c r="O51" s="93"/>
      <c r="P51" s="93"/>
      <c r="Q51" s="93"/>
      <c r="R51" s="93"/>
      <c r="S51" s="93"/>
      <c r="T51" s="93"/>
      <c r="U51" s="93"/>
      <c r="V51" s="93"/>
      <c r="W51" s="93"/>
    </row>
    <row r="52" spans="1:23" ht="15" customHeight="1">
      <c r="A52" s="40">
        <v>45</v>
      </c>
      <c r="B52" s="40" t="s">
        <v>1867</v>
      </c>
      <c r="C52" s="609" t="s">
        <v>1867</v>
      </c>
      <c r="D52" s="610">
        <v>150</v>
      </c>
      <c r="E52" s="610">
        <v>150</v>
      </c>
      <c r="F52" s="610">
        <v>150</v>
      </c>
      <c r="G52" s="93"/>
      <c r="H52" s="93"/>
      <c r="I52" s="93"/>
      <c r="J52" s="93"/>
      <c r="K52" s="93"/>
      <c r="L52" s="93"/>
      <c r="M52" s="93"/>
      <c r="N52" s="93"/>
      <c r="O52" s="93"/>
      <c r="P52" s="93"/>
      <c r="Q52" s="93"/>
      <c r="R52" s="93"/>
      <c r="S52" s="93"/>
      <c r="T52" s="93"/>
      <c r="U52" s="93"/>
      <c r="V52" s="93"/>
      <c r="W52" s="93"/>
    </row>
    <row r="53" spans="1:23" ht="15" customHeight="1">
      <c r="A53" s="40">
        <v>46</v>
      </c>
      <c r="B53" s="40" t="s">
        <v>2484</v>
      </c>
      <c r="C53" s="609" t="s">
        <v>2485</v>
      </c>
      <c r="D53" s="610">
        <v>350</v>
      </c>
      <c r="E53" s="610">
        <v>350</v>
      </c>
      <c r="F53" s="610">
        <v>350</v>
      </c>
      <c r="G53" s="93"/>
      <c r="H53" s="93"/>
      <c r="I53" s="93"/>
      <c r="J53" s="93"/>
      <c r="K53" s="93"/>
      <c r="L53" s="93"/>
      <c r="M53" s="93"/>
      <c r="N53" s="93"/>
      <c r="O53" s="93"/>
      <c r="P53" s="93"/>
      <c r="Q53" s="93"/>
      <c r="R53" s="93"/>
      <c r="S53" s="93"/>
      <c r="T53" s="93"/>
      <c r="U53" s="93"/>
      <c r="V53" s="93"/>
      <c r="W53" s="93"/>
    </row>
    <row r="54" spans="1:23" ht="15" customHeight="1">
      <c r="A54" s="40">
        <v>47</v>
      </c>
      <c r="B54" s="40" t="s">
        <v>2486</v>
      </c>
      <c r="C54" s="609" t="s">
        <v>667</v>
      </c>
      <c r="D54" s="610">
        <v>1000</v>
      </c>
      <c r="E54" s="610">
        <v>1000</v>
      </c>
      <c r="F54" s="610">
        <v>1000</v>
      </c>
      <c r="G54" s="93"/>
      <c r="H54" s="93"/>
      <c r="I54" s="93"/>
      <c r="J54" s="93"/>
      <c r="K54" s="93"/>
      <c r="L54" s="93"/>
      <c r="M54" s="93"/>
      <c r="N54" s="93"/>
      <c r="O54" s="93"/>
      <c r="P54" s="93"/>
      <c r="Q54" s="93"/>
      <c r="R54" s="93"/>
      <c r="S54" s="93"/>
      <c r="T54" s="93"/>
      <c r="U54" s="93"/>
      <c r="V54" s="93"/>
      <c r="W54" s="93"/>
    </row>
    <row r="55" spans="1:23" ht="15" customHeight="1">
      <c r="A55" s="40">
        <v>48</v>
      </c>
      <c r="B55" s="40" t="s">
        <v>2487</v>
      </c>
      <c r="C55" s="609" t="s">
        <v>671</v>
      </c>
      <c r="D55" s="610">
        <v>700</v>
      </c>
      <c r="E55" s="610">
        <v>700</v>
      </c>
      <c r="F55" s="610">
        <v>700</v>
      </c>
      <c r="G55" s="93"/>
      <c r="H55" s="93"/>
      <c r="I55" s="93"/>
      <c r="J55" s="93"/>
      <c r="K55" s="93"/>
      <c r="L55" s="93"/>
      <c r="M55" s="93"/>
      <c r="N55" s="93"/>
      <c r="O55" s="93"/>
      <c r="P55" s="93"/>
      <c r="Q55" s="93"/>
      <c r="R55" s="93"/>
      <c r="S55" s="93"/>
      <c r="T55" s="93"/>
      <c r="U55" s="93"/>
      <c r="V55" s="93"/>
      <c r="W55" s="93"/>
    </row>
    <row r="56" spans="1:23" ht="15" customHeight="1">
      <c r="A56" s="40">
        <v>49</v>
      </c>
      <c r="B56" s="40" t="s">
        <v>2488</v>
      </c>
      <c r="C56" s="609" t="s">
        <v>463</v>
      </c>
      <c r="D56" s="610">
        <v>1500</v>
      </c>
      <c r="E56" s="610">
        <v>1500</v>
      </c>
      <c r="F56" s="610">
        <v>1500</v>
      </c>
      <c r="G56" s="93"/>
      <c r="H56" s="93"/>
      <c r="I56" s="93"/>
      <c r="J56" s="93"/>
      <c r="K56" s="93"/>
      <c r="L56" s="93"/>
      <c r="M56" s="93"/>
      <c r="N56" s="93"/>
      <c r="O56" s="93"/>
      <c r="P56" s="93"/>
      <c r="Q56" s="93"/>
      <c r="R56" s="93"/>
      <c r="S56" s="93"/>
      <c r="T56" s="93"/>
      <c r="U56" s="93"/>
      <c r="V56" s="93"/>
      <c r="W56" s="93"/>
    </row>
    <row r="57" spans="1:23" ht="15" customHeight="1">
      <c r="A57" s="40">
        <v>50</v>
      </c>
      <c r="B57" s="40" t="s">
        <v>2489</v>
      </c>
      <c r="C57" s="609" t="s">
        <v>2490</v>
      </c>
      <c r="D57" s="610">
        <v>5000</v>
      </c>
      <c r="E57" s="610">
        <v>5000</v>
      </c>
      <c r="F57" s="610">
        <v>5000</v>
      </c>
      <c r="G57" s="93"/>
      <c r="H57" s="93"/>
      <c r="I57" s="93"/>
      <c r="J57" s="93"/>
      <c r="K57" s="93"/>
      <c r="L57" s="93"/>
      <c r="M57" s="93"/>
      <c r="N57" s="93"/>
      <c r="O57" s="93"/>
      <c r="P57" s="93"/>
      <c r="Q57" s="93"/>
      <c r="R57" s="93"/>
      <c r="S57" s="93"/>
      <c r="T57" s="93"/>
      <c r="U57" s="93"/>
      <c r="V57" s="93"/>
      <c r="W57" s="93"/>
    </row>
    <row r="58" spans="1:23" ht="15" customHeight="1">
      <c r="A58" s="40">
        <v>51</v>
      </c>
      <c r="B58" s="40" t="s">
        <v>2491</v>
      </c>
      <c r="C58" s="609" t="s">
        <v>454</v>
      </c>
      <c r="D58" s="610">
        <v>600</v>
      </c>
      <c r="E58" s="610">
        <v>600</v>
      </c>
      <c r="F58" s="610">
        <v>600</v>
      </c>
      <c r="G58" s="93"/>
      <c r="H58" s="93"/>
      <c r="I58" s="93"/>
      <c r="J58" s="93"/>
      <c r="K58" s="93"/>
      <c r="L58" s="93"/>
      <c r="M58" s="93"/>
      <c r="N58" s="93"/>
      <c r="O58" s="93"/>
      <c r="P58" s="93"/>
      <c r="Q58" s="93"/>
      <c r="R58" s="93"/>
      <c r="S58" s="93"/>
      <c r="T58" s="93"/>
      <c r="U58" s="93"/>
      <c r="V58" s="93"/>
      <c r="W58" s="93"/>
    </row>
    <row r="59" spans="1:23" ht="15" customHeight="1">
      <c r="A59" s="40">
        <v>52</v>
      </c>
      <c r="B59" s="40" t="s">
        <v>2492</v>
      </c>
      <c r="C59" s="609" t="s">
        <v>464</v>
      </c>
      <c r="D59" s="610">
        <v>1250</v>
      </c>
      <c r="E59" s="610">
        <v>1250</v>
      </c>
      <c r="F59" s="610">
        <v>1250</v>
      </c>
      <c r="G59" s="93"/>
      <c r="H59" s="93"/>
      <c r="I59" s="93"/>
      <c r="J59" s="93"/>
      <c r="K59" s="93"/>
      <c r="L59" s="93"/>
      <c r="M59" s="93"/>
      <c r="N59" s="93"/>
      <c r="O59" s="93"/>
      <c r="P59" s="93"/>
      <c r="Q59" s="93"/>
      <c r="R59" s="93"/>
      <c r="S59" s="93"/>
      <c r="T59" s="93"/>
      <c r="U59" s="93"/>
      <c r="V59" s="93"/>
      <c r="W59" s="93"/>
    </row>
    <row r="60" spans="1:23" ht="15" customHeight="1">
      <c r="A60" s="40">
        <v>53</v>
      </c>
      <c r="B60" s="40" t="s">
        <v>2493</v>
      </c>
      <c r="C60" s="609" t="s">
        <v>2494</v>
      </c>
      <c r="D60" s="610">
        <v>500</v>
      </c>
      <c r="E60" s="610">
        <v>500</v>
      </c>
      <c r="F60" s="610">
        <v>500</v>
      </c>
      <c r="G60" s="93"/>
      <c r="H60" s="93"/>
      <c r="I60" s="93"/>
      <c r="J60" s="93"/>
      <c r="K60" s="93"/>
      <c r="L60" s="93"/>
      <c r="M60" s="93"/>
      <c r="N60" s="93"/>
      <c r="O60" s="93"/>
      <c r="P60" s="93"/>
      <c r="Q60" s="93"/>
      <c r="R60" s="93"/>
      <c r="S60" s="93"/>
      <c r="T60" s="93"/>
      <c r="U60" s="93"/>
      <c r="V60" s="93"/>
      <c r="W60" s="93"/>
    </row>
    <row r="61" spans="1:23" ht="15" customHeight="1">
      <c r="A61" s="40">
        <v>54</v>
      </c>
      <c r="B61" s="40" t="s">
        <v>2495</v>
      </c>
      <c r="C61" s="609" t="s">
        <v>2496</v>
      </c>
      <c r="D61" s="610">
        <v>250</v>
      </c>
      <c r="E61" s="610">
        <v>250</v>
      </c>
      <c r="F61" s="610">
        <v>250</v>
      </c>
      <c r="G61" s="93"/>
      <c r="H61" s="93"/>
      <c r="I61" s="93"/>
      <c r="J61" s="93"/>
      <c r="K61" s="93"/>
      <c r="L61" s="93"/>
      <c r="M61" s="93"/>
      <c r="N61" s="93"/>
      <c r="O61" s="93"/>
      <c r="P61" s="93"/>
      <c r="Q61" s="93"/>
      <c r="R61" s="93"/>
      <c r="S61" s="93"/>
      <c r="T61" s="93"/>
      <c r="U61" s="93"/>
      <c r="V61" s="93"/>
      <c r="W61" s="93"/>
    </row>
    <row r="62" spans="1:23" ht="15" customHeight="1">
      <c r="A62" s="40">
        <v>55</v>
      </c>
      <c r="B62" s="40" t="s">
        <v>2497</v>
      </c>
      <c r="C62" s="609" t="s">
        <v>2498</v>
      </c>
      <c r="D62" s="610">
        <v>2800</v>
      </c>
      <c r="E62" s="610">
        <v>2300</v>
      </c>
      <c r="F62" s="610">
        <v>2300</v>
      </c>
      <c r="G62" s="93"/>
      <c r="H62" s="93"/>
      <c r="I62" s="93"/>
      <c r="J62" s="93"/>
      <c r="K62" s="93"/>
      <c r="L62" s="93"/>
      <c r="M62" s="93"/>
      <c r="N62" s="93"/>
      <c r="O62" s="93"/>
      <c r="P62" s="93"/>
      <c r="Q62" s="93"/>
      <c r="R62" s="93"/>
      <c r="S62" s="93"/>
      <c r="T62" s="93"/>
      <c r="U62" s="93"/>
      <c r="V62" s="93"/>
      <c r="W62" s="93"/>
    </row>
    <row r="63" spans="1:23" ht="15" customHeight="1">
      <c r="A63" s="40">
        <v>56</v>
      </c>
      <c r="B63" s="40" t="s">
        <v>2499</v>
      </c>
      <c r="C63" s="609" t="s">
        <v>1966</v>
      </c>
      <c r="D63" s="610">
        <v>150</v>
      </c>
      <c r="E63" s="610">
        <v>150</v>
      </c>
      <c r="F63" s="610">
        <v>150</v>
      </c>
      <c r="G63" s="93"/>
      <c r="H63" s="93"/>
      <c r="I63" s="93"/>
      <c r="J63" s="93"/>
      <c r="K63" s="93"/>
      <c r="L63" s="93"/>
      <c r="M63" s="93"/>
      <c r="N63" s="93"/>
      <c r="O63" s="93"/>
      <c r="P63" s="93"/>
      <c r="Q63" s="93"/>
      <c r="R63" s="93"/>
      <c r="S63" s="93"/>
      <c r="T63" s="93"/>
      <c r="U63" s="93"/>
      <c r="V63" s="93"/>
      <c r="W63" s="93"/>
    </row>
    <row r="64" spans="1:23" ht="15" customHeight="1">
      <c r="A64" s="40">
        <v>57</v>
      </c>
      <c r="B64" s="40" t="s">
        <v>2500</v>
      </c>
      <c r="C64" s="609" t="s">
        <v>2294</v>
      </c>
      <c r="D64" s="610">
        <v>125</v>
      </c>
      <c r="E64" s="610">
        <v>125</v>
      </c>
      <c r="F64" s="610">
        <v>125</v>
      </c>
      <c r="G64" s="93"/>
      <c r="H64" s="93"/>
      <c r="I64" s="93"/>
      <c r="J64" s="93"/>
      <c r="K64" s="93"/>
      <c r="L64" s="93"/>
      <c r="M64" s="93"/>
      <c r="N64" s="93"/>
      <c r="O64" s="93"/>
      <c r="P64" s="93"/>
      <c r="Q64" s="93"/>
      <c r="R64" s="93"/>
      <c r="S64" s="93"/>
      <c r="T64" s="93"/>
      <c r="U64" s="93"/>
      <c r="V64" s="93"/>
      <c r="W64" s="93"/>
    </row>
    <row r="65" spans="1:23" ht="15" customHeight="1">
      <c r="A65" s="40">
        <v>58</v>
      </c>
      <c r="B65" s="40" t="s">
        <v>686</v>
      </c>
      <c r="C65" s="609" t="s">
        <v>686</v>
      </c>
      <c r="D65" s="610">
        <v>1650</v>
      </c>
      <c r="E65" s="610">
        <v>1650</v>
      </c>
      <c r="F65" s="610">
        <v>1650</v>
      </c>
      <c r="G65" s="93"/>
      <c r="H65" s="93"/>
      <c r="I65" s="93"/>
      <c r="J65" s="93"/>
      <c r="K65" s="93"/>
      <c r="L65" s="93"/>
      <c r="M65" s="93"/>
      <c r="N65" s="93"/>
      <c r="O65" s="93"/>
      <c r="P65" s="93"/>
      <c r="Q65" s="93"/>
      <c r="R65" s="93"/>
      <c r="S65" s="93"/>
      <c r="T65" s="93"/>
      <c r="U65" s="93"/>
      <c r="V65" s="93"/>
      <c r="W65" s="93"/>
    </row>
    <row r="66" spans="1:23" ht="15" customHeight="1">
      <c r="A66" s="40">
        <v>59</v>
      </c>
      <c r="B66" s="40" t="s">
        <v>2501</v>
      </c>
      <c r="C66" s="609" t="s">
        <v>2502</v>
      </c>
      <c r="D66" s="610">
        <v>125</v>
      </c>
      <c r="E66" s="610">
        <v>125</v>
      </c>
      <c r="F66" s="610">
        <v>125</v>
      </c>
      <c r="G66" s="93"/>
      <c r="H66" s="93"/>
      <c r="I66" s="93"/>
      <c r="J66" s="93"/>
      <c r="K66" s="93"/>
      <c r="L66" s="93"/>
      <c r="M66" s="93"/>
      <c r="N66" s="93"/>
      <c r="O66" s="93"/>
      <c r="P66" s="93"/>
      <c r="Q66" s="93"/>
      <c r="R66" s="93"/>
      <c r="S66" s="93"/>
      <c r="T66" s="93"/>
      <c r="U66" s="93"/>
      <c r="V66" s="93"/>
      <c r="W66" s="93"/>
    </row>
    <row r="67" spans="1:23" ht="15" customHeight="1">
      <c r="A67" s="40">
        <v>60</v>
      </c>
      <c r="B67" s="40" t="s">
        <v>2503</v>
      </c>
      <c r="C67" s="609" t="s">
        <v>2023</v>
      </c>
      <c r="D67" s="610">
        <v>175</v>
      </c>
      <c r="E67" s="610">
        <v>175</v>
      </c>
      <c r="F67" s="610">
        <v>175</v>
      </c>
      <c r="G67" s="93"/>
      <c r="H67" s="93"/>
      <c r="I67" s="93"/>
      <c r="J67" s="93"/>
      <c r="K67" s="93"/>
      <c r="L67" s="93"/>
      <c r="M67" s="93"/>
      <c r="N67" s="93"/>
      <c r="O67" s="93"/>
      <c r="P67" s="93"/>
      <c r="Q67" s="93"/>
      <c r="R67" s="93"/>
      <c r="S67" s="93"/>
      <c r="T67" s="93"/>
      <c r="U67" s="93"/>
      <c r="V67" s="93"/>
      <c r="W67" s="93"/>
    </row>
    <row r="68" spans="1:23" ht="15" customHeight="1">
      <c r="A68" s="40">
        <v>61</v>
      </c>
      <c r="B68" s="40" t="s">
        <v>2504</v>
      </c>
      <c r="C68" s="609" t="s">
        <v>670</v>
      </c>
      <c r="D68" s="610">
        <v>275</v>
      </c>
      <c r="E68" s="610">
        <v>275</v>
      </c>
      <c r="F68" s="610">
        <v>275</v>
      </c>
      <c r="G68" s="93"/>
      <c r="H68" s="93"/>
      <c r="I68" s="93"/>
      <c r="J68" s="93"/>
      <c r="K68" s="93"/>
      <c r="L68" s="93"/>
      <c r="M68" s="93"/>
      <c r="N68" s="93"/>
      <c r="O68" s="93"/>
      <c r="P68" s="93"/>
      <c r="Q68" s="93"/>
      <c r="R68" s="93"/>
      <c r="S68" s="93"/>
      <c r="T68" s="93"/>
      <c r="U68" s="93"/>
      <c r="V68" s="93"/>
      <c r="W68" s="93"/>
    </row>
    <row r="69" spans="1:23" ht="15" customHeight="1">
      <c r="A69" s="40">
        <v>62</v>
      </c>
      <c r="B69" s="40" t="s">
        <v>2505</v>
      </c>
      <c r="C69" s="609" t="s">
        <v>1914</v>
      </c>
      <c r="D69" s="610">
        <v>3600</v>
      </c>
      <c r="E69" s="610">
        <v>3600</v>
      </c>
      <c r="F69" s="610">
        <v>3600</v>
      </c>
      <c r="G69" s="93"/>
      <c r="H69" s="93"/>
      <c r="I69" s="93"/>
      <c r="J69" s="93"/>
      <c r="K69" s="93"/>
      <c r="L69" s="93"/>
      <c r="M69" s="93"/>
      <c r="N69" s="93"/>
      <c r="O69" s="93"/>
      <c r="P69" s="93"/>
      <c r="Q69" s="93"/>
      <c r="R69" s="93"/>
      <c r="S69" s="93"/>
      <c r="T69" s="93"/>
      <c r="U69" s="93"/>
      <c r="V69" s="93"/>
      <c r="W69" s="93"/>
    </row>
    <row r="70" spans="1:23" ht="15" customHeight="1">
      <c r="A70" s="40">
        <v>63</v>
      </c>
      <c r="B70" s="40" t="s">
        <v>2506</v>
      </c>
      <c r="C70" s="609" t="s">
        <v>587</v>
      </c>
      <c r="D70" s="610">
        <v>5000</v>
      </c>
      <c r="E70" s="610">
        <v>5000</v>
      </c>
      <c r="F70" s="610">
        <v>5000</v>
      </c>
      <c r="G70" s="93"/>
      <c r="H70" s="93"/>
      <c r="I70" s="93"/>
      <c r="J70" s="93"/>
      <c r="K70" s="93"/>
      <c r="L70" s="93"/>
      <c r="M70" s="93"/>
      <c r="N70" s="93"/>
      <c r="O70" s="93"/>
      <c r="P70" s="93"/>
      <c r="Q70" s="93"/>
      <c r="R70" s="93"/>
      <c r="S70" s="93"/>
      <c r="T70" s="93"/>
      <c r="U70" s="93"/>
      <c r="V70" s="93"/>
      <c r="W70" s="93"/>
    </row>
    <row r="71" spans="1:23" ht="15" customHeight="1">
      <c r="A71" s="40">
        <v>64</v>
      </c>
      <c r="B71" s="40" t="s">
        <v>2507</v>
      </c>
      <c r="C71" s="609" t="s">
        <v>2508</v>
      </c>
      <c r="D71" s="610">
        <v>5200</v>
      </c>
      <c r="E71" s="610">
        <v>5200</v>
      </c>
      <c r="F71" s="610">
        <v>5200</v>
      </c>
      <c r="G71" s="93"/>
      <c r="H71" s="93"/>
      <c r="I71" s="93"/>
      <c r="J71" s="93"/>
      <c r="K71" s="93"/>
      <c r="L71" s="93"/>
      <c r="M71" s="93"/>
      <c r="N71" s="93"/>
      <c r="O71" s="93"/>
      <c r="P71" s="93"/>
      <c r="Q71" s="93"/>
      <c r="R71" s="93"/>
      <c r="S71" s="93"/>
      <c r="T71" s="93"/>
      <c r="U71" s="93"/>
      <c r="V71" s="93"/>
      <c r="W71" s="93"/>
    </row>
    <row r="72" spans="1:23" ht="15" customHeight="1">
      <c r="A72" s="40">
        <v>65</v>
      </c>
      <c r="B72" s="40" t="s">
        <v>2509</v>
      </c>
      <c r="C72" s="609" t="s">
        <v>598</v>
      </c>
      <c r="D72" s="610">
        <v>9150</v>
      </c>
      <c r="E72" s="610">
        <v>9150</v>
      </c>
      <c r="F72" s="610">
        <v>9150</v>
      </c>
      <c r="G72" s="93"/>
      <c r="H72" s="93"/>
      <c r="I72" s="93"/>
      <c r="J72" s="93"/>
      <c r="K72" s="93"/>
      <c r="L72" s="93"/>
      <c r="M72" s="93"/>
      <c r="N72" s="93"/>
      <c r="O72" s="93"/>
      <c r="P72" s="93"/>
      <c r="Q72" s="93"/>
      <c r="R72" s="93"/>
      <c r="S72" s="93"/>
      <c r="T72" s="93"/>
      <c r="U72" s="93"/>
      <c r="V72" s="93"/>
      <c r="W72" s="93"/>
    </row>
    <row r="73" spans="1:23" ht="15" customHeight="1">
      <c r="A73" s="40">
        <v>66</v>
      </c>
      <c r="B73" s="40" t="s">
        <v>2510</v>
      </c>
      <c r="C73" s="609" t="s">
        <v>1773</v>
      </c>
      <c r="D73" s="610">
        <v>1450</v>
      </c>
      <c r="E73" s="610">
        <v>1150</v>
      </c>
      <c r="F73" s="610">
        <v>1150</v>
      </c>
      <c r="G73" s="93"/>
      <c r="H73" s="93"/>
      <c r="I73" s="93"/>
      <c r="J73" s="93"/>
      <c r="K73" s="93"/>
      <c r="L73" s="93"/>
      <c r="M73" s="93"/>
      <c r="N73" s="93"/>
      <c r="O73" s="93"/>
      <c r="P73" s="93"/>
      <c r="Q73" s="93"/>
      <c r="R73" s="93"/>
      <c r="S73" s="93"/>
      <c r="T73" s="93"/>
      <c r="U73" s="93"/>
      <c r="V73" s="93"/>
      <c r="W73" s="93"/>
    </row>
    <row r="74" spans="1:23" ht="15" customHeight="1">
      <c r="A74" s="40">
        <v>67</v>
      </c>
      <c r="B74" s="40" t="s">
        <v>2511</v>
      </c>
      <c r="C74" s="609" t="s">
        <v>2030</v>
      </c>
      <c r="D74" s="610">
        <v>22500</v>
      </c>
      <c r="E74" s="610">
        <v>22500</v>
      </c>
      <c r="F74" s="610">
        <v>22500</v>
      </c>
      <c r="G74" s="93"/>
      <c r="H74" s="93"/>
      <c r="I74" s="93"/>
      <c r="J74" s="93"/>
      <c r="K74" s="93"/>
      <c r="L74" s="93"/>
      <c r="M74" s="93"/>
      <c r="N74" s="93"/>
      <c r="O74" s="93"/>
      <c r="P74" s="93"/>
      <c r="Q74" s="93"/>
      <c r="R74" s="93"/>
      <c r="S74" s="93"/>
      <c r="T74" s="93"/>
      <c r="U74" s="93"/>
      <c r="V74" s="93"/>
      <c r="W74" s="93"/>
    </row>
    <row r="75" spans="1:23" ht="15" customHeight="1">
      <c r="A75" s="40">
        <v>68</v>
      </c>
      <c r="B75" s="40" t="s">
        <v>2512</v>
      </c>
      <c r="C75" s="609" t="s">
        <v>2513</v>
      </c>
      <c r="D75" s="610">
        <v>1300</v>
      </c>
      <c r="E75" s="610">
        <v>1300</v>
      </c>
      <c r="F75" s="610">
        <v>1300</v>
      </c>
      <c r="G75" s="93"/>
      <c r="H75" s="93"/>
      <c r="I75" s="93"/>
      <c r="J75" s="93"/>
      <c r="K75" s="93"/>
      <c r="L75" s="93"/>
      <c r="M75" s="93"/>
      <c r="N75" s="93"/>
      <c r="O75" s="93"/>
      <c r="P75" s="93"/>
      <c r="Q75" s="93"/>
      <c r="R75" s="93"/>
      <c r="S75" s="93"/>
      <c r="T75" s="93"/>
      <c r="U75" s="93"/>
      <c r="V75" s="93"/>
      <c r="W75" s="93"/>
    </row>
    <row r="76" spans="1:23" ht="15" customHeight="1">
      <c r="A76" s="40">
        <v>69</v>
      </c>
      <c r="B76" s="40" t="s">
        <v>2514</v>
      </c>
      <c r="C76" s="609" t="s">
        <v>706</v>
      </c>
      <c r="D76" s="610">
        <v>1000</v>
      </c>
      <c r="E76" s="610">
        <v>1000</v>
      </c>
      <c r="F76" s="610">
        <v>1000</v>
      </c>
      <c r="G76" s="93"/>
      <c r="H76" s="93"/>
      <c r="I76" s="93"/>
      <c r="J76" s="93"/>
      <c r="K76" s="93"/>
      <c r="L76" s="93"/>
      <c r="M76" s="93"/>
      <c r="N76" s="93"/>
      <c r="O76" s="93"/>
      <c r="P76" s="93"/>
      <c r="Q76" s="93"/>
      <c r="R76" s="93"/>
      <c r="S76" s="93"/>
      <c r="T76" s="93"/>
      <c r="U76" s="93"/>
      <c r="V76" s="93"/>
      <c r="W76" s="93"/>
    </row>
    <row r="77" spans="1:23" ht="15" customHeight="1">
      <c r="A77" s="40">
        <v>70</v>
      </c>
      <c r="B77" s="40" t="s">
        <v>2515</v>
      </c>
      <c r="C77" s="609" t="s">
        <v>2516</v>
      </c>
      <c r="D77" s="610">
        <v>425</v>
      </c>
      <c r="E77" s="610">
        <v>325</v>
      </c>
      <c r="F77" s="610">
        <v>325</v>
      </c>
      <c r="G77" s="93"/>
      <c r="H77" s="93"/>
      <c r="I77" s="93"/>
      <c r="J77" s="93"/>
      <c r="K77" s="93"/>
      <c r="L77" s="93"/>
      <c r="M77" s="93"/>
      <c r="N77" s="93"/>
      <c r="O77" s="93"/>
      <c r="P77" s="93"/>
      <c r="Q77" s="93"/>
      <c r="R77" s="93"/>
      <c r="S77" s="93"/>
      <c r="T77" s="93"/>
      <c r="U77" s="93"/>
      <c r="V77" s="93"/>
      <c r="W77" s="93"/>
    </row>
    <row r="78" spans="1:23" ht="15" customHeight="1">
      <c r="A78" s="40">
        <v>71</v>
      </c>
      <c r="B78" s="40" t="s">
        <v>2517</v>
      </c>
      <c r="C78" s="609" t="s">
        <v>2292</v>
      </c>
      <c r="D78" s="610">
        <v>2000</v>
      </c>
      <c r="E78" s="610">
        <v>2000</v>
      </c>
      <c r="F78" s="610">
        <v>2000</v>
      </c>
      <c r="G78" s="93"/>
      <c r="H78" s="93"/>
      <c r="I78" s="93"/>
      <c r="J78" s="93"/>
      <c r="K78" s="93"/>
      <c r="L78" s="93"/>
      <c r="M78" s="93"/>
      <c r="N78" s="93"/>
      <c r="O78" s="93"/>
      <c r="P78" s="93"/>
      <c r="Q78" s="93"/>
      <c r="R78" s="93"/>
      <c r="S78" s="93"/>
      <c r="T78" s="93"/>
      <c r="U78" s="93"/>
      <c r="V78" s="93"/>
      <c r="W78" s="93"/>
    </row>
    <row r="79" spans="1:23" ht="15" customHeight="1">
      <c r="A79" s="40">
        <v>72</v>
      </c>
      <c r="B79" s="40" t="s">
        <v>2518</v>
      </c>
      <c r="C79" s="609" t="s">
        <v>680</v>
      </c>
      <c r="D79" s="610">
        <v>475</v>
      </c>
      <c r="E79" s="610">
        <v>475</v>
      </c>
      <c r="F79" s="610">
        <v>475</v>
      </c>
      <c r="G79" s="93"/>
      <c r="H79" s="93"/>
      <c r="I79" s="93"/>
      <c r="J79" s="93"/>
      <c r="K79" s="93"/>
      <c r="L79" s="93"/>
      <c r="M79" s="93"/>
      <c r="N79" s="93"/>
      <c r="O79" s="93"/>
      <c r="P79" s="93"/>
      <c r="Q79" s="93"/>
      <c r="R79" s="93"/>
      <c r="S79" s="93"/>
      <c r="T79" s="93"/>
      <c r="U79" s="93"/>
      <c r="V79" s="93"/>
      <c r="W79" s="93"/>
    </row>
    <row r="80" spans="1:23" ht="15" customHeight="1">
      <c r="A80" s="40">
        <v>73</v>
      </c>
      <c r="B80" s="40" t="s">
        <v>2519</v>
      </c>
      <c r="C80" s="609" t="s">
        <v>2520</v>
      </c>
      <c r="D80" s="610"/>
      <c r="E80" s="610">
        <v>2500</v>
      </c>
      <c r="F80" s="610"/>
      <c r="G80" s="93"/>
      <c r="H80" s="93"/>
      <c r="I80" s="93"/>
      <c r="J80" s="93"/>
      <c r="K80" s="93"/>
      <c r="L80" s="93"/>
      <c r="M80" s="93"/>
      <c r="N80" s="93"/>
      <c r="O80" s="93"/>
      <c r="P80" s="93"/>
      <c r="Q80" s="93"/>
      <c r="R80" s="93"/>
      <c r="S80" s="93"/>
      <c r="T80" s="93"/>
      <c r="U80" s="93"/>
      <c r="V80" s="93"/>
      <c r="W80" s="93"/>
    </row>
    <row r="81" spans="1:23" ht="15" customHeight="1">
      <c r="A81" s="40">
        <v>74</v>
      </c>
      <c r="B81" s="40" t="s">
        <v>2521</v>
      </c>
      <c r="C81" s="609" t="s">
        <v>2522</v>
      </c>
      <c r="D81" s="610">
        <v>1250</v>
      </c>
      <c r="E81" s="610">
        <v>1250</v>
      </c>
      <c r="F81" s="610">
        <v>1250</v>
      </c>
      <c r="G81" s="93"/>
      <c r="H81" s="93"/>
      <c r="I81" s="93"/>
      <c r="J81" s="93"/>
      <c r="K81" s="93"/>
      <c r="L81" s="93"/>
      <c r="M81" s="93"/>
      <c r="N81" s="93"/>
      <c r="O81" s="93"/>
      <c r="P81" s="93"/>
      <c r="Q81" s="93"/>
      <c r="R81" s="93"/>
      <c r="S81" s="93"/>
      <c r="T81" s="93"/>
      <c r="U81" s="93"/>
      <c r="V81" s="93"/>
      <c r="W81" s="93"/>
    </row>
    <row r="82" spans="1:23" ht="15" customHeight="1">
      <c r="A82" s="40">
        <v>75</v>
      </c>
      <c r="B82" s="40" t="s">
        <v>2523</v>
      </c>
      <c r="C82" s="609" t="s">
        <v>2524</v>
      </c>
      <c r="D82" s="610">
        <v>300</v>
      </c>
      <c r="E82" s="610">
        <v>475</v>
      </c>
      <c r="F82" s="610">
        <v>475</v>
      </c>
      <c r="G82" s="93"/>
      <c r="H82" s="93"/>
      <c r="I82" s="93"/>
      <c r="J82" s="93"/>
      <c r="K82" s="93"/>
      <c r="L82" s="93"/>
      <c r="M82" s="93"/>
      <c r="N82" s="93"/>
      <c r="O82" s="93"/>
      <c r="P82" s="93"/>
      <c r="Q82" s="93"/>
      <c r="R82" s="93"/>
      <c r="S82" s="93"/>
      <c r="T82" s="93"/>
      <c r="U82" s="93"/>
      <c r="V82" s="93"/>
      <c r="W82" s="93"/>
    </row>
    <row r="83" spans="1:23" ht="15" customHeight="1">
      <c r="A83" s="40">
        <v>76</v>
      </c>
      <c r="B83" s="40" t="s">
        <v>2525</v>
      </c>
      <c r="C83" s="609" t="s">
        <v>581</v>
      </c>
      <c r="D83" s="610">
        <v>500</v>
      </c>
      <c r="E83" s="610">
        <v>500</v>
      </c>
      <c r="F83" s="610">
        <v>500</v>
      </c>
      <c r="G83" s="93"/>
      <c r="H83" s="93"/>
      <c r="I83" s="93"/>
      <c r="J83" s="93"/>
      <c r="K83" s="93"/>
      <c r="L83" s="93"/>
      <c r="M83" s="93"/>
      <c r="N83" s="93"/>
      <c r="O83" s="93"/>
      <c r="P83" s="93"/>
      <c r="Q83" s="93"/>
      <c r="R83" s="93"/>
      <c r="S83" s="93"/>
      <c r="T83" s="93"/>
      <c r="U83" s="93"/>
      <c r="V83" s="93"/>
      <c r="W83" s="93"/>
    </row>
    <row r="84" spans="1:23" ht="15" customHeight="1">
      <c r="A84" s="40">
        <v>77</v>
      </c>
      <c r="B84" s="40" t="s">
        <v>2526</v>
      </c>
      <c r="C84" s="609" t="s">
        <v>1846</v>
      </c>
      <c r="D84" s="610">
        <v>700</v>
      </c>
      <c r="E84" s="610">
        <v>700</v>
      </c>
      <c r="F84" s="610">
        <v>700</v>
      </c>
      <c r="G84" s="93"/>
      <c r="H84" s="93"/>
      <c r="I84" s="93"/>
      <c r="J84" s="93"/>
      <c r="K84" s="93"/>
      <c r="L84" s="93"/>
      <c r="M84" s="93"/>
      <c r="N84" s="93"/>
      <c r="O84" s="93"/>
      <c r="P84" s="93"/>
      <c r="Q84" s="93"/>
      <c r="R84" s="93"/>
      <c r="S84" s="93"/>
      <c r="T84" s="93"/>
      <c r="U84" s="93"/>
      <c r="V84" s="93"/>
      <c r="W84" s="93"/>
    </row>
    <row r="85" spans="1:23" ht="15" customHeight="1">
      <c r="A85" s="40">
        <v>78</v>
      </c>
      <c r="B85" s="40" t="s">
        <v>492</v>
      </c>
      <c r="C85" s="609" t="s">
        <v>492</v>
      </c>
      <c r="D85" s="610">
        <v>300</v>
      </c>
      <c r="E85" s="610">
        <v>300</v>
      </c>
      <c r="F85" s="610">
        <v>300</v>
      </c>
      <c r="G85" s="93"/>
      <c r="H85" s="93"/>
      <c r="I85" s="93"/>
      <c r="J85" s="93"/>
      <c r="K85" s="93"/>
      <c r="L85" s="93"/>
      <c r="M85" s="93"/>
      <c r="N85" s="93"/>
      <c r="O85" s="93"/>
      <c r="P85" s="93"/>
      <c r="Q85" s="93"/>
      <c r="R85" s="93"/>
      <c r="S85" s="93"/>
      <c r="T85" s="93"/>
      <c r="U85" s="93"/>
      <c r="V85" s="93"/>
      <c r="W85" s="93"/>
    </row>
    <row r="86" spans="1:23" ht="15" customHeight="1">
      <c r="A86" s="40">
        <v>79</v>
      </c>
      <c r="B86" s="40" t="s">
        <v>2527</v>
      </c>
      <c r="C86" s="609" t="s">
        <v>2528</v>
      </c>
      <c r="D86" s="610">
        <v>300</v>
      </c>
      <c r="E86" s="610">
        <v>300</v>
      </c>
      <c r="F86" s="610">
        <v>300</v>
      </c>
      <c r="G86" s="93"/>
      <c r="H86" s="93"/>
      <c r="I86" s="93"/>
      <c r="J86" s="93"/>
      <c r="K86" s="93"/>
      <c r="L86" s="93"/>
      <c r="M86" s="93"/>
      <c r="N86" s="93"/>
      <c r="O86" s="93"/>
      <c r="P86" s="93"/>
      <c r="Q86" s="93"/>
      <c r="R86" s="93"/>
      <c r="S86" s="93"/>
      <c r="T86" s="93"/>
      <c r="U86" s="93"/>
      <c r="V86" s="93"/>
      <c r="W86" s="93"/>
    </row>
    <row r="87" spans="1:23" ht="15" customHeight="1">
      <c r="A87" s="40">
        <v>80</v>
      </c>
      <c r="B87" s="40" t="s">
        <v>2529</v>
      </c>
      <c r="C87" s="609" t="s">
        <v>499</v>
      </c>
      <c r="D87" s="610">
        <v>550</v>
      </c>
      <c r="E87" s="610">
        <v>550</v>
      </c>
      <c r="F87" s="610">
        <v>550</v>
      </c>
      <c r="G87" s="93"/>
      <c r="H87" s="93"/>
      <c r="I87" s="93"/>
      <c r="J87" s="93"/>
      <c r="K87" s="93"/>
      <c r="L87" s="93"/>
      <c r="M87" s="93"/>
      <c r="N87" s="93"/>
      <c r="O87" s="93"/>
      <c r="P87" s="93"/>
      <c r="Q87" s="93"/>
      <c r="R87" s="93"/>
      <c r="S87" s="93"/>
      <c r="T87" s="93"/>
      <c r="U87" s="93"/>
      <c r="V87" s="93"/>
      <c r="W87" s="93"/>
    </row>
    <row r="88" spans="1:23" ht="15" customHeight="1">
      <c r="A88" s="40">
        <v>81</v>
      </c>
      <c r="B88" s="40" t="s">
        <v>2530</v>
      </c>
      <c r="C88" s="609" t="s">
        <v>2531</v>
      </c>
      <c r="D88" s="610">
        <v>1100</v>
      </c>
      <c r="E88" s="610">
        <v>1100</v>
      </c>
      <c r="F88" s="610">
        <v>1100</v>
      </c>
      <c r="G88" s="93"/>
      <c r="H88" s="93"/>
      <c r="I88" s="93"/>
      <c r="J88" s="93"/>
      <c r="K88" s="93"/>
      <c r="L88" s="93"/>
      <c r="M88" s="93"/>
      <c r="N88" s="93"/>
      <c r="O88" s="93"/>
      <c r="P88" s="93"/>
      <c r="Q88" s="93"/>
      <c r="R88" s="93"/>
      <c r="S88" s="93"/>
      <c r="T88" s="93"/>
      <c r="U88" s="93"/>
      <c r="V88" s="93"/>
      <c r="W88" s="93"/>
    </row>
    <row r="89" spans="1:23" ht="15" customHeight="1">
      <c r="A89" s="40">
        <v>82</v>
      </c>
      <c r="B89" s="40" t="s">
        <v>2532</v>
      </c>
      <c r="C89" s="609" t="s">
        <v>461</v>
      </c>
      <c r="D89" s="610">
        <v>300</v>
      </c>
      <c r="E89" s="610">
        <v>300</v>
      </c>
      <c r="F89" s="610">
        <v>300</v>
      </c>
      <c r="G89" s="93"/>
      <c r="H89" s="93"/>
      <c r="I89" s="93"/>
      <c r="J89" s="93"/>
      <c r="K89" s="93"/>
      <c r="L89" s="93"/>
      <c r="M89" s="93"/>
      <c r="N89" s="93"/>
      <c r="O89" s="93"/>
      <c r="P89" s="93"/>
      <c r="Q89" s="93"/>
      <c r="R89" s="93"/>
      <c r="S89" s="93"/>
      <c r="T89" s="93"/>
      <c r="U89" s="93"/>
      <c r="V89" s="93"/>
      <c r="W89" s="93"/>
    </row>
    <row r="90" spans="1:23" ht="15" customHeight="1">
      <c r="A90" s="40">
        <v>83</v>
      </c>
      <c r="B90" s="40" t="s">
        <v>2533</v>
      </c>
      <c r="C90" s="609" t="s">
        <v>467</v>
      </c>
      <c r="D90" s="610">
        <v>1400</v>
      </c>
      <c r="E90" s="610">
        <v>1075</v>
      </c>
      <c r="F90" s="610">
        <v>1075</v>
      </c>
      <c r="G90" s="93"/>
      <c r="H90" s="93"/>
      <c r="I90" s="93"/>
      <c r="J90" s="93"/>
      <c r="K90" s="93"/>
      <c r="L90" s="93"/>
      <c r="M90" s="93"/>
      <c r="N90" s="93"/>
      <c r="O90" s="93"/>
      <c r="P90" s="93"/>
      <c r="Q90" s="93"/>
      <c r="R90" s="93"/>
      <c r="S90" s="93"/>
      <c r="T90" s="93"/>
      <c r="U90" s="93"/>
      <c r="V90" s="93"/>
      <c r="W90" s="93"/>
    </row>
    <row r="91" spans="1:23" ht="15" customHeight="1">
      <c r="A91" s="40">
        <v>84</v>
      </c>
      <c r="B91" s="40" t="s">
        <v>2534</v>
      </c>
      <c r="C91" s="609" t="s">
        <v>1779</v>
      </c>
      <c r="D91" s="610">
        <v>4800</v>
      </c>
      <c r="E91" s="610">
        <v>4300</v>
      </c>
      <c r="F91" s="610">
        <v>4300</v>
      </c>
      <c r="G91" s="93"/>
      <c r="H91" s="93"/>
      <c r="I91" s="93"/>
      <c r="J91" s="93"/>
      <c r="K91" s="93"/>
      <c r="L91" s="93"/>
      <c r="M91" s="93"/>
      <c r="N91" s="93"/>
      <c r="O91" s="93"/>
      <c r="P91" s="93"/>
      <c r="Q91" s="93"/>
      <c r="R91" s="93"/>
      <c r="S91" s="93"/>
      <c r="T91" s="93"/>
      <c r="U91" s="93"/>
      <c r="V91" s="93"/>
      <c r="W91" s="93"/>
    </row>
    <row r="92" spans="1:23" ht="15" customHeight="1">
      <c r="A92" s="40">
        <v>85</v>
      </c>
      <c r="B92" s="40" t="s">
        <v>2535</v>
      </c>
      <c r="C92" s="609" t="s">
        <v>675</v>
      </c>
      <c r="D92" s="610">
        <v>2700</v>
      </c>
      <c r="E92" s="610">
        <v>2700</v>
      </c>
      <c r="F92" s="610">
        <v>2700</v>
      </c>
      <c r="G92" s="93"/>
      <c r="H92" s="93"/>
      <c r="I92" s="93"/>
      <c r="J92" s="93"/>
      <c r="K92" s="93"/>
      <c r="L92" s="93"/>
      <c r="M92" s="93"/>
      <c r="N92" s="93"/>
      <c r="O92" s="93"/>
      <c r="P92" s="93"/>
      <c r="Q92" s="93"/>
      <c r="R92" s="93"/>
      <c r="S92" s="93"/>
      <c r="T92" s="93"/>
      <c r="U92" s="93"/>
      <c r="V92" s="93"/>
      <c r="W92" s="93"/>
    </row>
    <row r="93" spans="1:23" ht="15" customHeight="1">
      <c r="A93" s="40">
        <v>86</v>
      </c>
      <c r="B93" s="40" t="s">
        <v>2536</v>
      </c>
      <c r="C93" s="609" t="s">
        <v>490</v>
      </c>
      <c r="D93" s="610">
        <v>300</v>
      </c>
      <c r="E93" s="610">
        <v>300</v>
      </c>
      <c r="F93" s="610">
        <v>300</v>
      </c>
      <c r="G93" s="93"/>
      <c r="H93" s="93"/>
      <c r="I93" s="93"/>
      <c r="J93" s="93"/>
      <c r="K93" s="93"/>
      <c r="L93" s="93"/>
      <c r="M93" s="93"/>
      <c r="N93" s="93"/>
      <c r="O93" s="93"/>
      <c r="P93" s="93"/>
      <c r="Q93" s="93"/>
      <c r="R93" s="93"/>
      <c r="S93" s="93"/>
      <c r="T93" s="93"/>
      <c r="U93" s="93"/>
      <c r="V93" s="93"/>
      <c r="W93" s="93"/>
    </row>
    <row r="94" spans="1:23" ht="15" customHeight="1">
      <c r="A94" s="40">
        <v>87</v>
      </c>
      <c r="B94" s="40" t="s">
        <v>2537</v>
      </c>
      <c r="C94" s="609" t="s">
        <v>2538</v>
      </c>
      <c r="D94" s="610">
        <v>15</v>
      </c>
      <c r="E94" s="610">
        <v>15</v>
      </c>
      <c r="F94" s="610">
        <v>15</v>
      </c>
      <c r="G94" s="93"/>
      <c r="H94" s="93"/>
      <c r="I94" s="93"/>
      <c r="J94" s="93"/>
      <c r="K94" s="93"/>
      <c r="L94" s="93"/>
      <c r="M94" s="93"/>
      <c r="N94" s="93"/>
      <c r="O94" s="93"/>
      <c r="P94" s="93"/>
      <c r="Q94" s="93"/>
      <c r="R94" s="93"/>
      <c r="S94" s="93"/>
      <c r="T94" s="93"/>
      <c r="U94" s="93"/>
      <c r="V94" s="93"/>
      <c r="W94" s="93"/>
    </row>
    <row r="95" spans="1:23" ht="15" customHeight="1">
      <c r="A95" s="40">
        <v>88</v>
      </c>
      <c r="B95" s="40" t="s">
        <v>2539</v>
      </c>
      <c r="C95" s="609" t="s">
        <v>566</v>
      </c>
      <c r="D95" s="610">
        <v>4000</v>
      </c>
      <c r="E95" s="610">
        <v>4000</v>
      </c>
      <c r="F95" s="610">
        <v>4000</v>
      </c>
      <c r="G95" s="93"/>
      <c r="H95" s="93"/>
      <c r="I95" s="93"/>
      <c r="J95" s="93"/>
      <c r="K95" s="93"/>
      <c r="L95" s="93"/>
      <c r="M95" s="93"/>
      <c r="N95" s="93"/>
      <c r="O95" s="93"/>
      <c r="P95" s="93"/>
      <c r="Q95" s="93"/>
      <c r="R95" s="93"/>
      <c r="S95" s="93"/>
      <c r="T95" s="93"/>
      <c r="U95" s="93"/>
      <c r="V95" s="93"/>
      <c r="W95" s="93"/>
    </row>
    <row r="96" spans="1:23" ht="15" customHeight="1">
      <c r="A96" s="40">
        <v>89</v>
      </c>
      <c r="B96" s="40" t="s">
        <v>2540</v>
      </c>
      <c r="C96" s="609" t="s">
        <v>487</v>
      </c>
      <c r="D96" s="610">
        <v>700</v>
      </c>
      <c r="E96" s="610">
        <v>1375</v>
      </c>
      <c r="F96" s="610">
        <v>1375</v>
      </c>
      <c r="G96" s="93"/>
      <c r="H96" s="93"/>
      <c r="I96" s="93"/>
      <c r="J96" s="93"/>
      <c r="K96" s="93"/>
      <c r="L96" s="93"/>
      <c r="M96" s="93"/>
      <c r="N96" s="93"/>
      <c r="O96" s="93"/>
      <c r="P96" s="93"/>
      <c r="Q96" s="93"/>
      <c r="R96" s="93"/>
      <c r="S96" s="93"/>
      <c r="T96" s="93"/>
      <c r="U96" s="93"/>
      <c r="V96" s="93"/>
      <c r="W96" s="93"/>
    </row>
    <row r="97" spans="1:23" ht="15" customHeight="1">
      <c r="A97" s="40">
        <v>90</v>
      </c>
      <c r="B97" s="40" t="s">
        <v>2541</v>
      </c>
      <c r="C97" s="609" t="s">
        <v>2542</v>
      </c>
      <c r="D97" s="610">
        <v>425</v>
      </c>
      <c r="E97" s="610">
        <v>425</v>
      </c>
      <c r="F97" s="610">
        <v>425</v>
      </c>
      <c r="G97" s="93"/>
      <c r="H97" s="93"/>
      <c r="I97" s="93"/>
      <c r="J97" s="93"/>
      <c r="K97" s="93"/>
      <c r="L97" s="93"/>
      <c r="M97" s="93"/>
      <c r="N97" s="93"/>
      <c r="O97" s="93"/>
      <c r="P97" s="93"/>
      <c r="Q97" s="93"/>
      <c r="R97" s="93"/>
      <c r="S97" s="93"/>
      <c r="T97" s="93"/>
      <c r="U97" s="93"/>
      <c r="V97" s="93"/>
      <c r="W97" s="93"/>
    </row>
    <row r="98" spans="1:23" ht="15" customHeight="1">
      <c r="A98" s="40">
        <v>91</v>
      </c>
      <c r="B98" s="40" t="s">
        <v>2543</v>
      </c>
      <c r="C98" s="609" t="s">
        <v>2544</v>
      </c>
      <c r="D98" s="610">
        <v>1500</v>
      </c>
      <c r="E98" s="610">
        <v>1500</v>
      </c>
      <c r="F98" s="610">
        <v>1500</v>
      </c>
      <c r="G98" s="93"/>
      <c r="H98" s="93"/>
      <c r="I98" s="93"/>
      <c r="J98" s="93"/>
      <c r="K98" s="93"/>
      <c r="L98" s="93"/>
      <c r="M98" s="93"/>
      <c r="N98" s="93"/>
      <c r="O98" s="93"/>
      <c r="P98" s="93"/>
      <c r="Q98" s="93"/>
      <c r="R98" s="93"/>
      <c r="S98" s="93"/>
      <c r="T98" s="93"/>
      <c r="U98" s="93"/>
      <c r="V98" s="93"/>
      <c r="W98" s="93"/>
    </row>
    <row r="99" spans="1:23" ht="15" customHeight="1">
      <c r="A99" s="40">
        <v>92</v>
      </c>
      <c r="B99" s="40" t="s">
        <v>2545</v>
      </c>
      <c r="C99" s="609" t="s">
        <v>507</v>
      </c>
      <c r="D99" s="610">
        <v>70000</v>
      </c>
      <c r="E99" s="610">
        <v>70000</v>
      </c>
      <c r="F99" s="610">
        <v>70000</v>
      </c>
      <c r="G99" s="93"/>
      <c r="H99" s="93"/>
      <c r="I99" s="93"/>
      <c r="J99" s="93"/>
      <c r="K99" s="93"/>
      <c r="L99" s="93"/>
      <c r="M99" s="93"/>
      <c r="N99" s="93"/>
      <c r="O99" s="93"/>
      <c r="P99" s="93"/>
      <c r="Q99" s="93"/>
      <c r="R99" s="93"/>
      <c r="S99" s="93"/>
      <c r="T99" s="93"/>
      <c r="U99" s="93"/>
      <c r="V99" s="93"/>
      <c r="W99" s="93"/>
    </row>
    <row r="100" spans="1:23" ht="15" customHeight="1">
      <c r="A100" s="40">
        <v>93</v>
      </c>
      <c r="B100" s="40" t="s">
        <v>493</v>
      </c>
      <c r="C100" s="609" t="s">
        <v>493</v>
      </c>
      <c r="D100" s="610">
        <v>10000</v>
      </c>
      <c r="E100" s="610">
        <v>10000</v>
      </c>
      <c r="F100" s="610">
        <v>10000</v>
      </c>
      <c r="G100" s="93"/>
      <c r="H100" s="93"/>
      <c r="I100" s="93"/>
      <c r="J100" s="93"/>
      <c r="K100" s="93"/>
      <c r="L100" s="93"/>
      <c r="M100" s="93"/>
      <c r="N100" s="93"/>
      <c r="O100" s="93"/>
      <c r="P100" s="93"/>
      <c r="Q100" s="93"/>
      <c r="R100" s="93"/>
      <c r="S100" s="93"/>
      <c r="T100" s="93"/>
      <c r="U100" s="93"/>
      <c r="V100" s="93"/>
      <c r="W100" s="93"/>
    </row>
    <row r="101" spans="1:23" ht="15" customHeight="1">
      <c r="A101" s="40">
        <v>94</v>
      </c>
      <c r="B101" s="40" t="s">
        <v>2546</v>
      </c>
      <c r="C101" s="609" t="s">
        <v>636</v>
      </c>
      <c r="D101" s="610">
        <v>15000</v>
      </c>
      <c r="E101" s="610">
        <v>15000</v>
      </c>
      <c r="F101" s="610">
        <v>15000</v>
      </c>
      <c r="G101" s="93"/>
      <c r="H101" s="93"/>
      <c r="I101" s="93"/>
      <c r="J101" s="93"/>
      <c r="K101" s="93"/>
      <c r="L101" s="93"/>
      <c r="M101" s="93"/>
      <c r="N101" s="93"/>
      <c r="O101" s="93"/>
      <c r="P101" s="93"/>
      <c r="Q101" s="93"/>
      <c r="R101" s="93"/>
      <c r="S101" s="93"/>
      <c r="T101" s="93"/>
      <c r="U101" s="93"/>
      <c r="V101" s="93"/>
      <c r="W101" s="93"/>
    </row>
    <row r="102" spans="1:23" ht="15" customHeight="1">
      <c r="A102" s="40">
        <v>95</v>
      </c>
      <c r="B102" s="40" t="s">
        <v>2547</v>
      </c>
      <c r="C102" s="609" t="s">
        <v>571</v>
      </c>
      <c r="D102" s="610">
        <v>3750</v>
      </c>
      <c r="E102" s="610">
        <v>3750</v>
      </c>
      <c r="F102" s="610">
        <v>3750</v>
      </c>
      <c r="G102" s="93"/>
      <c r="H102" s="93"/>
      <c r="I102" s="93"/>
      <c r="J102" s="93"/>
      <c r="K102" s="93"/>
      <c r="L102" s="93"/>
      <c r="M102" s="93"/>
      <c r="N102" s="93"/>
      <c r="O102" s="93"/>
      <c r="P102" s="93"/>
      <c r="Q102" s="93"/>
      <c r="R102" s="93"/>
      <c r="S102" s="93"/>
      <c r="T102" s="93"/>
      <c r="U102" s="93"/>
      <c r="V102" s="93"/>
      <c r="W102" s="93"/>
    </row>
    <row r="103" spans="1:23" ht="15" customHeight="1">
      <c r="A103" s="40">
        <v>96</v>
      </c>
      <c r="B103" s="40" t="s">
        <v>2548</v>
      </c>
      <c r="C103" s="609" t="s">
        <v>674</v>
      </c>
      <c r="D103" s="610">
        <v>1375</v>
      </c>
      <c r="E103" s="610">
        <v>1375</v>
      </c>
      <c r="F103" s="610">
        <v>1375</v>
      </c>
      <c r="G103" s="93"/>
      <c r="H103" s="93"/>
      <c r="I103" s="93"/>
      <c r="J103" s="93"/>
      <c r="K103" s="93"/>
      <c r="L103" s="93"/>
      <c r="M103" s="93"/>
      <c r="N103" s="93"/>
      <c r="O103" s="93"/>
      <c r="P103" s="93"/>
      <c r="Q103" s="93"/>
      <c r="R103" s="93"/>
      <c r="S103" s="93"/>
      <c r="T103" s="93"/>
      <c r="U103" s="93"/>
      <c r="V103" s="93"/>
      <c r="W103" s="93"/>
    </row>
    <row r="104" spans="1:23" ht="15" customHeight="1">
      <c r="A104" s="40">
        <v>97</v>
      </c>
      <c r="B104" s="40" t="s">
        <v>2549</v>
      </c>
      <c r="C104" s="609" t="s">
        <v>583</v>
      </c>
      <c r="D104" s="610">
        <v>2000</v>
      </c>
      <c r="E104" s="610">
        <v>4022</v>
      </c>
      <c r="F104" s="610">
        <v>4022</v>
      </c>
      <c r="G104" s="93"/>
      <c r="H104" s="93"/>
      <c r="I104" s="93"/>
      <c r="J104" s="93"/>
      <c r="K104" s="93"/>
      <c r="L104" s="93"/>
      <c r="M104" s="93"/>
      <c r="N104" s="93"/>
      <c r="O104" s="93"/>
      <c r="P104" s="93"/>
      <c r="Q104" s="93"/>
      <c r="R104" s="93"/>
      <c r="S104" s="93"/>
      <c r="T104" s="93"/>
      <c r="U104" s="93"/>
      <c r="V104" s="93"/>
      <c r="W104" s="93"/>
    </row>
    <row r="105" spans="1:23" ht="15" customHeight="1">
      <c r="A105" s="40">
        <v>98</v>
      </c>
      <c r="B105" s="40" t="s">
        <v>2550</v>
      </c>
      <c r="C105" s="609" t="s">
        <v>462</v>
      </c>
      <c r="D105" s="610">
        <v>2900</v>
      </c>
      <c r="E105" s="610">
        <v>2900</v>
      </c>
      <c r="F105" s="610">
        <v>2900</v>
      </c>
      <c r="G105" s="93"/>
      <c r="H105" s="93"/>
      <c r="I105" s="93"/>
      <c r="J105" s="93"/>
      <c r="K105" s="93"/>
      <c r="L105" s="93"/>
      <c r="M105" s="93"/>
      <c r="N105" s="93"/>
      <c r="O105" s="93"/>
      <c r="P105" s="93"/>
      <c r="Q105" s="93"/>
      <c r="R105" s="93"/>
      <c r="S105" s="93"/>
      <c r="T105" s="93"/>
      <c r="U105" s="93"/>
      <c r="V105" s="93"/>
      <c r="W105" s="93"/>
    </row>
    <row r="106" spans="1:23" ht="15" customHeight="1">
      <c r="A106" s="40">
        <v>99</v>
      </c>
      <c r="B106" s="40" t="s">
        <v>2551</v>
      </c>
      <c r="C106" s="609" t="s">
        <v>2552</v>
      </c>
      <c r="D106" s="610">
        <v>150</v>
      </c>
      <c r="E106" s="610">
        <v>150</v>
      </c>
      <c r="F106" s="610">
        <v>150</v>
      </c>
      <c r="G106" s="93"/>
      <c r="H106" s="93"/>
      <c r="I106" s="93"/>
      <c r="J106" s="93"/>
      <c r="K106" s="93"/>
      <c r="L106" s="93"/>
      <c r="M106" s="93"/>
      <c r="N106" s="93"/>
      <c r="O106" s="93"/>
      <c r="P106" s="93"/>
      <c r="Q106" s="93"/>
      <c r="R106" s="93"/>
      <c r="S106" s="93"/>
      <c r="T106" s="93"/>
      <c r="U106" s="93"/>
      <c r="V106" s="93"/>
      <c r="W106" s="93"/>
    </row>
    <row r="107" spans="1:23" ht="15" customHeight="1">
      <c r="A107" s="40">
        <v>100</v>
      </c>
      <c r="B107" s="40" t="s">
        <v>2553</v>
      </c>
      <c r="C107" s="609" t="s">
        <v>565</v>
      </c>
      <c r="D107" s="610">
        <v>300</v>
      </c>
      <c r="E107" s="610">
        <v>300</v>
      </c>
      <c r="F107" s="610">
        <v>300</v>
      </c>
      <c r="G107" s="93"/>
      <c r="H107" s="93"/>
      <c r="I107" s="93"/>
      <c r="J107" s="93"/>
      <c r="K107" s="93"/>
      <c r="L107" s="93"/>
      <c r="M107" s="93"/>
      <c r="N107" s="93"/>
      <c r="O107" s="93"/>
      <c r="P107" s="93"/>
      <c r="Q107" s="93"/>
      <c r="R107" s="93"/>
      <c r="S107" s="93"/>
      <c r="T107" s="93"/>
      <c r="U107" s="93"/>
      <c r="V107" s="93"/>
      <c r="W107" s="93"/>
    </row>
    <row r="108" spans="1:23" ht="15" customHeight="1">
      <c r="A108" s="40">
        <v>101</v>
      </c>
      <c r="B108" s="40" t="s">
        <v>2554</v>
      </c>
      <c r="C108" s="609" t="s">
        <v>664</v>
      </c>
      <c r="D108" s="610">
        <v>450</v>
      </c>
      <c r="E108" s="610">
        <v>450</v>
      </c>
      <c r="F108" s="610">
        <v>450</v>
      </c>
      <c r="G108" s="93"/>
      <c r="H108" s="93"/>
      <c r="I108" s="93"/>
      <c r="J108" s="93"/>
      <c r="K108" s="93"/>
      <c r="L108" s="93"/>
      <c r="M108" s="93"/>
      <c r="N108" s="93"/>
      <c r="O108" s="93"/>
      <c r="P108" s="93"/>
      <c r="Q108" s="93"/>
      <c r="R108" s="93"/>
      <c r="S108" s="93"/>
      <c r="T108" s="93"/>
      <c r="U108" s="93"/>
      <c r="V108" s="93"/>
      <c r="W108" s="93"/>
    </row>
    <row r="109" spans="1:23" ht="15" customHeight="1">
      <c r="A109" s="40">
        <v>102</v>
      </c>
      <c r="B109" s="40" t="s">
        <v>2555</v>
      </c>
      <c r="C109" s="609" t="s">
        <v>2556</v>
      </c>
      <c r="D109" s="610">
        <v>2800</v>
      </c>
      <c r="E109" s="610">
        <v>2800</v>
      </c>
      <c r="F109" s="610">
        <v>2800</v>
      </c>
      <c r="G109" s="93"/>
      <c r="H109" s="93"/>
      <c r="I109" s="93"/>
      <c r="J109" s="93"/>
      <c r="K109" s="93"/>
      <c r="L109" s="93"/>
      <c r="M109" s="93"/>
      <c r="N109" s="93"/>
      <c r="O109" s="93"/>
      <c r="P109" s="93"/>
      <c r="Q109" s="93"/>
      <c r="R109" s="93"/>
      <c r="S109" s="93"/>
      <c r="T109" s="93"/>
      <c r="U109" s="93"/>
      <c r="V109" s="93"/>
      <c r="W109" s="93"/>
    </row>
    <row r="110" spans="1:23" ht="15" customHeight="1">
      <c r="A110" s="40">
        <v>103</v>
      </c>
      <c r="B110" s="40" t="s">
        <v>2557</v>
      </c>
      <c r="C110" s="609" t="s">
        <v>458</v>
      </c>
      <c r="D110" s="610">
        <v>400</v>
      </c>
      <c r="E110" s="610">
        <v>300</v>
      </c>
      <c r="F110" s="610">
        <v>300</v>
      </c>
      <c r="G110" s="93"/>
      <c r="H110" s="93"/>
      <c r="I110" s="93"/>
      <c r="J110" s="93"/>
      <c r="K110" s="93"/>
      <c r="L110" s="93"/>
      <c r="M110" s="93"/>
      <c r="N110" s="93"/>
      <c r="O110" s="93"/>
      <c r="P110" s="93"/>
      <c r="Q110" s="93"/>
      <c r="R110" s="93"/>
      <c r="S110" s="93"/>
      <c r="T110" s="93"/>
      <c r="U110" s="93"/>
      <c r="V110" s="93"/>
      <c r="W110" s="93"/>
    </row>
    <row r="111" spans="1:23" ht="15" customHeight="1">
      <c r="A111" s="40">
        <v>104</v>
      </c>
      <c r="B111" s="40" t="s">
        <v>2558</v>
      </c>
      <c r="C111" s="609" t="s">
        <v>2248</v>
      </c>
      <c r="D111" s="610">
        <v>1000</v>
      </c>
      <c r="E111" s="610">
        <v>750</v>
      </c>
      <c r="F111" s="610">
        <v>750</v>
      </c>
      <c r="G111" s="93"/>
      <c r="H111" s="93"/>
      <c r="I111" s="93"/>
      <c r="J111" s="93"/>
      <c r="K111" s="93"/>
      <c r="L111" s="93"/>
      <c r="M111" s="93"/>
      <c r="N111" s="93"/>
      <c r="O111" s="93"/>
      <c r="P111" s="93"/>
      <c r="Q111" s="93"/>
      <c r="R111" s="93"/>
      <c r="S111" s="93"/>
      <c r="T111" s="93"/>
      <c r="U111" s="93"/>
      <c r="V111" s="93"/>
      <c r="W111" s="93"/>
    </row>
    <row r="112" spans="1:23" ht="15" customHeight="1">
      <c r="A112" s="40">
        <v>105</v>
      </c>
      <c r="B112" s="40" t="s">
        <v>2559</v>
      </c>
      <c r="C112" s="609" t="s">
        <v>503</v>
      </c>
      <c r="D112" s="610">
        <v>9750</v>
      </c>
      <c r="E112" s="610">
        <v>9750</v>
      </c>
      <c r="F112" s="610">
        <v>9750</v>
      </c>
      <c r="G112" s="93"/>
      <c r="H112" s="93"/>
      <c r="I112" s="93"/>
      <c r="J112" s="93"/>
      <c r="K112" s="93"/>
      <c r="L112" s="93"/>
      <c r="M112" s="93"/>
      <c r="N112" s="93"/>
      <c r="O112" s="93"/>
      <c r="P112" s="93"/>
      <c r="Q112" s="93"/>
      <c r="R112" s="93"/>
      <c r="S112" s="93"/>
      <c r="T112" s="93"/>
      <c r="U112" s="93"/>
      <c r="V112" s="93"/>
      <c r="W112" s="93"/>
    </row>
    <row r="113" spans="1:23" ht="15" customHeight="1">
      <c r="A113" s="40">
        <v>106</v>
      </c>
      <c r="B113" s="40" t="s">
        <v>2560</v>
      </c>
      <c r="C113" s="609" t="s">
        <v>2203</v>
      </c>
      <c r="D113" s="610">
        <v>650</v>
      </c>
      <c r="E113" s="610">
        <v>650</v>
      </c>
      <c r="F113" s="610">
        <v>650</v>
      </c>
      <c r="G113" s="93"/>
      <c r="H113" s="93"/>
      <c r="I113" s="93"/>
      <c r="J113" s="93"/>
      <c r="K113" s="93"/>
      <c r="L113" s="93"/>
      <c r="M113" s="93"/>
      <c r="N113" s="93"/>
      <c r="O113" s="93"/>
      <c r="P113" s="93"/>
      <c r="Q113" s="93"/>
      <c r="R113" s="93"/>
      <c r="S113" s="93"/>
      <c r="T113" s="93"/>
      <c r="U113" s="93"/>
      <c r="V113" s="93"/>
      <c r="W113" s="93"/>
    </row>
    <row r="114" spans="1:23" ht="15" customHeight="1">
      <c r="A114" s="40">
        <v>107</v>
      </c>
      <c r="B114" s="40" t="s">
        <v>2561</v>
      </c>
      <c r="C114" s="609" t="s">
        <v>701</v>
      </c>
      <c r="D114" s="610">
        <v>875</v>
      </c>
      <c r="E114" s="610">
        <v>875</v>
      </c>
      <c r="F114" s="610">
        <v>875</v>
      </c>
      <c r="G114" s="93"/>
      <c r="H114" s="93"/>
      <c r="I114" s="93"/>
      <c r="J114" s="93"/>
      <c r="K114" s="93"/>
      <c r="L114" s="93"/>
      <c r="M114" s="93"/>
      <c r="N114" s="93"/>
      <c r="O114" s="93"/>
      <c r="P114" s="93"/>
      <c r="Q114" s="93"/>
      <c r="R114" s="93"/>
      <c r="S114" s="93"/>
      <c r="T114" s="93"/>
      <c r="U114" s="93"/>
      <c r="V114" s="93"/>
      <c r="W114" s="93"/>
    </row>
    <row r="115" spans="1:23" ht="15" customHeight="1">
      <c r="A115" s="40">
        <v>108</v>
      </c>
      <c r="B115" s="40" t="s">
        <v>576</v>
      </c>
      <c r="C115" s="609" t="s">
        <v>576</v>
      </c>
      <c r="D115" s="610">
        <v>1600</v>
      </c>
      <c r="E115" s="610">
        <v>1600</v>
      </c>
      <c r="F115" s="610">
        <v>1600</v>
      </c>
      <c r="G115" s="93"/>
      <c r="H115" s="93"/>
      <c r="I115" s="93"/>
      <c r="J115" s="93"/>
      <c r="K115" s="93"/>
      <c r="L115" s="93"/>
      <c r="M115" s="93"/>
      <c r="N115" s="93"/>
      <c r="O115" s="93"/>
      <c r="P115" s="93"/>
      <c r="Q115" s="93"/>
      <c r="R115" s="93"/>
      <c r="S115" s="93"/>
      <c r="T115" s="93"/>
      <c r="U115" s="93"/>
      <c r="V115" s="93"/>
      <c r="W115" s="93"/>
    </row>
    <row r="116" spans="1:23" ht="15" customHeight="1">
      <c r="A116" s="40">
        <v>109</v>
      </c>
      <c r="B116" s="40" t="s">
        <v>2562</v>
      </c>
      <c r="C116" s="609" t="s">
        <v>690</v>
      </c>
      <c r="D116" s="610">
        <v>1250</v>
      </c>
      <c r="E116" s="610">
        <v>1250</v>
      </c>
      <c r="F116" s="610">
        <v>1250</v>
      </c>
      <c r="G116" s="93"/>
      <c r="H116" s="93"/>
      <c r="I116" s="93"/>
      <c r="J116" s="93"/>
      <c r="K116" s="93"/>
      <c r="L116" s="93"/>
      <c r="M116" s="93"/>
      <c r="N116" s="93"/>
      <c r="O116" s="93"/>
      <c r="P116" s="93"/>
      <c r="Q116" s="93"/>
      <c r="R116" s="93"/>
      <c r="S116" s="93"/>
      <c r="T116" s="93"/>
      <c r="U116" s="93"/>
      <c r="V116" s="93"/>
      <c r="W116" s="93"/>
    </row>
    <row r="117" spans="1:23" ht="15" customHeight="1">
      <c r="A117" s="40">
        <v>110</v>
      </c>
      <c r="B117" s="40" t="s">
        <v>2563</v>
      </c>
      <c r="C117" s="609" t="s">
        <v>2564</v>
      </c>
      <c r="D117" s="610">
        <v>250</v>
      </c>
      <c r="E117" s="610">
        <v>250</v>
      </c>
      <c r="F117" s="610">
        <v>250</v>
      </c>
      <c r="G117" s="93"/>
      <c r="H117" s="93"/>
      <c r="I117" s="93"/>
      <c r="J117" s="93"/>
      <c r="K117" s="93"/>
      <c r="L117" s="93"/>
      <c r="M117" s="93"/>
      <c r="N117" s="93"/>
      <c r="O117" s="93"/>
      <c r="P117" s="93"/>
      <c r="Q117" s="93"/>
      <c r="R117" s="93"/>
      <c r="S117" s="93"/>
      <c r="T117" s="93"/>
      <c r="U117" s="93"/>
      <c r="V117" s="93"/>
      <c r="W117" s="93"/>
    </row>
    <row r="118" spans="1:23" ht="15" customHeight="1">
      <c r="A118" s="40">
        <v>111</v>
      </c>
      <c r="B118" s="40" t="s">
        <v>2565</v>
      </c>
      <c r="C118" s="609" t="s">
        <v>659</v>
      </c>
      <c r="D118" s="610">
        <v>1350</v>
      </c>
      <c r="E118" s="610">
        <v>1350</v>
      </c>
      <c r="F118" s="610">
        <v>1350</v>
      </c>
      <c r="G118" s="93"/>
      <c r="H118" s="93"/>
      <c r="I118" s="93"/>
      <c r="J118" s="93"/>
      <c r="K118" s="93"/>
      <c r="L118" s="93"/>
      <c r="M118" s="93"/>
      <c r="N118" s="93"/>
      <c r="O118" s="93"/>
      <c r="P118" s="93"/>
      <c r="Q118" s="93"/>
      <c r="R118" s="93"/>
      <c r="S118" s="93"/>
      <c r="T118" s="93"/>
      <c r="U118" s="93"/>
      <c r="V118" s="93"/>
      <c r="W118" s="93"/>
    </row>
    <row r="119" spans="1:23" ht="15" customHeight="1">
      <c r="A119" s="40">
        <v>112</v>
      </c>
      <c r="B119" s="40" t="s">
        <v>2566</v>
      </c>
      <c r="C119" s="609" t="s">
        <v>665</v>
      </c>
      <c r="D119" s="610">
        <v>1250</v>
      </c>
      <c r="E119" s="610">
        <v>1250</v>
      </c>
      <c r="F119" s="610">
        <v>1250</v>
      </c>
      <c r="G119" s="93"/>
      <c r="H119" s="93"/>
      <c r="I119" s="93"/>
      <c r="J119" s="93"/>
      <c r="K119" s="93"/>
      <c r="L119" s="93"/>
      <c r="M119" s="93"/>
      <c r="N119" s="93"/>
      <c r="O119" s="93"/>
      <c r="P119" s="93"/>
      <c r="Q119" s="93"/>
      <c r="R119" s="93"/>
      <c r="S119" s="93"/>
      <c r="T119" s="93"/>
      <c r="U119" s="93"/>
      <c r="V119" s="93"/>
      <c r="W119" s="93"/>
    </row>
    <row r="120" spans="1:23" ht="15" customHeight="1">
      <c r="A120" s="40">
        <v>113</v>
      </c>
      <c r="B120" s="40" t="s">
        <v>2567</v>
      </c>
      <c r="C120" s="609" t="s">
        <v>2568</v>
      </c>
      <c r="D120" s="610">
        <v>400</v>
      </c>
      <c r="E120" s="610">
        <v>400</v>
      </c>
      <c r="F120" s="610">
        <v>400</v>
      </c>
      <c r="G120" s="93"/>
      <c r="H120" s="93"/>
      <c r="I120" s="93"/>
      <c r="J120" s="93"/>
      <c r="K120" s="93"/>
      <c r="L120" s="93"/>
      <c r="M120" s="93"/>
      <c r="N120" s="93"/>
      <c r="O120" s="93"/>
      <c r="P120" s="93"/>
      <c r="Q120" s="93"/>
      <c r="R120" s="93"/>
      <c r="S120" s="93"/>
      <c r="T120" s="93"/>
      <c r="U120" s="93"/>
      <c r="V120" s="93"/>
      <c r="W120" s="93"/>
    </row>
    <row r="121" spans="1:23" ht="15" customHeight="1">
      <c r="A121" s="40">
        <v>114</v>
      </c>
      <c r="B121" s="40" t="s">
        <v>2569</v>
      </c>
      <c r="C121" s="609" t="s">
        <v>549</v>
      </c>
      <c r="D121" s="610">
        <v>8924</v>
      </c>
      <c r="E121" s="610">
        <v>8924</v>
      </c>
      <c r="F121" s="610">
        <v>8924</v>
      </c>
      <c r="G121" s="93"/>
      <c r="H121" s="93"/>
      <c r="I121" s="93"/>
      <c r="J121" s="93"/>
      <c r="K121" s="93"/>
      <c r="L121" s="93"/>
      <c r="M121" s="93"/>
      <c r="N121" s="93"/>
      <c r="O121" s="93"/>
      <c r="P121" s="93"/>
      <c r="Q121" s="93"/>
      <c r="R121" s="93"/>
      <c r="S121" s="93"/>
      <c r="T121" s="93"/>
      <c r="U121" s="93"/>
      <c r="V121" s="93"/>
      <c r="W121" s="93"/>
    </row>
    <row r="122" spans="1:23" ht="15" customHeight="1">
      <c r="A122" s="40">
        <v>115</v>
      </c>
      <c r="B122" s="40" t="s">
        <v>2570</v>
      </c>
      <c r="C122" s="609" t="s">
        <v>1720</v>
      </c>
      <c r="D122" s="610">
        <v>250</v>
      </c>
      <c r="E122" s="610">
        <v>250</v>
      </c>
      <c r="F122" s="610">
        <v>250</v>
      </c>
      <c r="G122" s="93"/>
      <c r="H122" s="93"/>
      <c r="I122" s="93"/>
      <c r="J122" s="93"/>
      <c r="K122" s="93"/>
      <c r="L122" s="93"/>
      <c r="M122" s="93"/>
      <c r="N122" s="93"/>
      <c r="O122" s="93"/>
      <c r="P122" s="93"/>
      <c r="Q122" s="93"/>
      <c r="R122" s="93"/>
      <c r="S122" s="93"/>
      <c r="T122" s="93"/>
      <c r="U122" s="93"/>
      <c r="V122" s="93"/>
      <c r="W122" s="93"/>
    </row>
    <row r="123" spans="1:23" ht="15" customHeight="1">
      <c r="A123" s="40">
        <v>116</v>
      </c>
      <c r="B123" s="40" t="s">
        <v>2571</v>
      </c>
      <c r="C123" s="609" t="s">
        <v>2572</v>
      </c>
      <c r="D123" s="610">
        <v>1100</v>
      </c>
      <c r="E123" s="610">
        <v>900</v>
      </c>
      <c r="F123" s="610">
        <v>900</v>
      </c>
      <c r="G123" s="93"/>
      <c r="H123" s="93"/>
      <c r="I123" s="93"/>
      <c r="J123" s="93"/>
      <c r="K123" s="93"/>
      <c r="L123" s="93"/>
      <c r="M123" s="93"/>
      <c r="N123" s="93"/>
      <c r="O123" s="93"/>
      <c r="P123" s="93"/>
      <c r="Q123" s="93"/>
      <c r="R123" s="93"/>
      <c r="S123" s="93"/>
      <c r="T123" s="93"/>
      <c r="U123" s="93"/>
      <c r="V123" s="93"/>
      <c r="W123" s="93"/>
    </row>
    <row r="124" spans="1:23" ht="15" customHeight="1">
      <c r="A124" s="40">
        <v>117</v>
      </c>
      <c r="B124" s="40" t="s">
        <v>2573</v>
      </c>
      <c r="C124" s="609" t="s">
        <v>591</v>
      </c>
      <c r="D124" s="610">
        <v>2000</v>
      </c>
      <c r="E124" s="610">
        <v>2000</v>
      </c>
      <c r="F124" s="610">
        <v>2000</v>
      </c>
      <c r="G124" s="93"/>
      <c r="H124" s="93"/>
      <c r="I124" s="93"/>
      <c r="J124" s="93"/>
      <c r="K124" s="93"/>
      <c r="L124" s="93"/>
      <c r="M124" s="93"/>
      <c r="N124" s="93"/>
      <c r="O124" s="93"/>
      <c r="P124" s="93"/>
      <c r="Q124" s="93"/>
      <c r="R124" s="93"/>
      <c r="S124" s="93"/>
      <c r="T124" s="93"/>
      <c r="U124" s="93"/>
      <c r="V124" s="93"/>
      <c r="W124" s="93"/>
    </row>
    <row r="125" spans="1:23" ht="15" customHeight="1">
      <c r="A125" s="40">
        <v>118</v>
      </c>
      <c r="B125" s="40" t="s">
        <v>2574</v>
      </c>
      <c r="C125" s="609" t="s">
        <v>618</v>
      </c>
      <c r="D125" s="610">
        <v>300</v>
      </c>
      <c r="E125" s="610">
        <v>300</v>
      </c>
      <c r="F125" s="610">
        <v>300</v>
      </c>
      <c r="G125" s="93"/>
      <c r="H125" s="93"/>
      <c r="I125" s="93"/>
      <c r="J125" s="93"/>
      <c r="K125" s="93"/>
      <c r="L125" s="93"/>
      <c r="M125" s="93"/>
      <c r="N125" s="93"/>
      <c r="O125" s="93"/>
      <c r="P125" s="93"/>
      <c r="Q125" s="93"/>
      <c r="R125" s="93"/>
      <c r="S125" s="93"/>
      <c r="T125" s="93"/>
      <c r="U125" s="93"/>
      <c r="V125" s="93"/>
      <c r="W125" s="93"/>
    </row>
    <row r="126" spans="1:23" ht="15" customHeight="1">
      <c r="A126" s="40">
        <v>119</v>
      </c>
      <c r="B126" s="40" t="s">
        <v>2575</v>
      </c>
      <c r="C126" s="609" t="s">
        <v>1754</v>
      </c>
      <c r="D126" s="610">
        <v>150</v>
      </c>
      <c r="E126" s="610">
        <v>150</v>
      </c>
      <c r="F126" s="610">
        <v>150</v>
      </c>
      <c r="G126" s="93"/>
      <c r="H126" s="93"/>
      <c r="I126" s="93"/>
      <c r="J126" s="93"/>
      <c r="K126" s="93"/>
      <c r="L126" s="93"/>
      <c r="M126" s="93"/>
      <c r="N126" s="93"/>
      <c r="O126" s="93"/>
      <c r="P126" s="93"/>
      <c r="Q126" s="93"/>
      <c r="R126" s="93"/>
      <c r="S126" s="93"/>
      <c r="T126" s="93"/>
      <c r="U126" s="93"/>
      <c r="V126" s="93"/>
      <c r="W126" s="93"/>
    </row>
    <row r="127" spans="1:23" ht="15" customHeight="1">
      <c r="A127" s="40">
        <v>120</v>
      </c>
      <c r="B127" s="40" t="s">
        <v>2576</v>
      </c>
      <c r="C127" s="609" t="s">
        <v>1874</v>
      </c>
      <c r="D127" s="610">
        <v>200</v>
      </c>
      <c r="E127" s="610">
        <v>200</v>
      </c>
      <c r="F127" s="610">
        <v>200</v>
      </c>
      <c r="G127" s="93"/>
      <c r="H127" s="93"/>
      <c r="I127" s="93"/>
      <c r="J127" s="93"/>
      <c r="K127" s="93"/>
      <c r="L127" s="93"/>
      <c r="M127" s="93"/>
      <c r="N127" s="93"/>
      <c r="O127" s="93"/>
      <c r="P127" s="93"/>
      <c r="Q127" s="93"/>
      <c r="R127" s="93"/>
      <c r="S127" s="93"/>
      <c r="T127" s="93"/>
      <c r="U127" s="93"/>
      <c r="V127" s="93"/>
      <c r="W127" s="93"/>
    </row>
    <row r="128" spans="1:23" ht="15" customHeight="1">
      <c r="A128" s="40">
        <v>121</v>
      </c>
      <c r="B128" s="40" t="s">
        <v>1791</v>
      </c>
      <c r="C128" s="609" t="s">
        <v>1791</v>
      </c>
      <c r="D128" s="610">
        <v>850</v>
      </c>
      <c r="E128" s="610">
        <v>850</v>
      </c>
      <c r="F128" s="610">
        <v>850</v>
      </c>
      <c r="G128" s="93"/>
      <c r="H128" s="93"/>
      <c r="I128" s="93"/>
      <c r="J128" s="93"/>
      <c r="K128" s="93"/>
      <c r="L128" s="93"/>
      <c r="M128" s="93"/>
      <c r="N128" s="93"/>
      <c r="O128" s="93"/>
      <c r="P128" s="93"/>
      <c r="Q128" s="93"/>
      <c r="R128" s="93"/>
      <c r="S128" s="93"/>
      <c r="T128" s="93"/>
      <c r="U128" s="93"/>
      <c r="V128" s="93"/>
      <c r="W128" s="93"/>
    </row>
    <row r="129" spans="1:23" ht="15" customHeight="1">
      <c r="A129" s="40">
        <v>122</v>
      </c>
      <c r="B129" s="40" t="s">
        <v>2577</v>
      </c>
      <c r="C129" s="609" t="s">
        <v>515</v>
      </c>
      <c r="D129" s="610">
        <v>700</v>
      </c>
      <c r="E129" s="610">
        <v>700</v>
      </c>
      <c r="F129" s="610">
        <v>700</v>
      </c>
      <c r="G129" s="93"/>
      <c r="H129" s="93"/>
      <c r="I129" s="93"/>
      <c r="J129" s="93"/>
      <c r="K129" s="93"/>
      <c r="L129" s="93"/>
      <c r="M129" s="93"/>
      <c r="N129" s="93"/>
      <c r="O129" s="93"/>
      <c r="P129" s="93"/>
      <c r="Q129" s="93"/>
      <c r="R129" s="93"/>
      <c r="S129" s="93"/>
      <c r="T129" s="93"/>
      <c r="U129" s="93"/>
      <c r="V129" s="93"/>
      <c r="W129" s="93"/>
    </row>
    <row r="130" spans="1:23" ht="15" customHeight="1">
      <c r="A130" s="40">
        <v>123</v>
      </c>
      <c r="B130" s="40" t="s">
        <v>2578</v>
      </c>
      <c r="C130" s="609" t="s">
        <v>2579</v>
      </c>
      <c r="D130" s="610">
        <v>4000</v>
      </c>
      <c r="E130" s="610">
        <v>4000</v>
      </c>
      <c r="F130" s="610">
        <v>4000</v>
      </c>
      <c r="G130" s="93"/>
      <c r="H130" s="93"/>
      <c r="I130" s="93"/>
      <c r="J130" s="93"/>
      <c r="K130" s="93"/>
      <c r="L130" s="93"/>
      <c r="M130" s="93"/>
      <c r="N130" s="93"/>
      <c r="O130" s="93"/>
      <c r="P130" s="93"/>
      <c r="Q130" s="93"/>
      <c r="R130" s="93"/>
      <c r="S130" s="93"/>
      <c r="T130" s="93"/>
      <c r="U130" s="93"/>
      <c r="V130" s="93"/>
      <c r="W130" s="93"/>
    </row>
    <row r="131" spans="1:23" ht="15" customHeight="1">
      <c r="A131" s="40">
        <v>124</v>
      </c>
      <c r="B131" s="40" t="s">
        <v>2580</v>
      </c>
      <c r="C131" s="609" t="s">
        <v>2581</v>
      </c>
      <c r="D131" s="610">
        <v>6000</v>
      </c>
      <c r="E131" s="610">
        <v>6000</v>
      </c>
      <c r="F131" s="610">
        <v>6000</v>
      </c>
      <c r="G131" s="93"/>
      <c r="H131" s="93"/>
      <c r="I131" s="93"/>
      <c r="J131" s="93"/>
      <c r="K131" s="93"/>
      <c r="L131" s="93"/>
      <c r="M131" s="93"/>
      <c r="N131" s="93"/>
      <c r="O131" s="93"/>
      <c r="P131" s="93"/>
      <c r="Q131" s="93"/>
      <c r="R131" s="93"/>
      <c r="S131" s="93"/>
      <c r="T131" s="93"/>
      <c r="U131" s="93"/>
      <c r="V131" s="93"/>
      <c r="W131" s="93"/>
    </row>
    <row r="132" spans="1:23" ht="15" customHeight="1">
      <c r="A132" s="40">
        <v>125</v>
      </c>
      <c r="B132" s="40" t="s">
        <v>2582</v>
      </c>
      <c r="C132" s="609" t="s">
        <v>2582</v>
      </c>
      <c r="D132" s="610">
        <v>1200</v>
      </c>
      <c r="E132" s="610">
        <v>1200</v>
      </c>
      <c r="F132" s="610">
        <v>1200</v>
      </c>
      <c r="G132" s="93"/>
      <c r="H132" s="93"/>
      <c r="I132" s="93"/>
      <c r="J132" s="93"/>
      <c r="K132" s="93"/>
      <c r="L132" s="93"/>
      <c r="M132" s="93"/>
      <c r="N132" s="93"/>
      <c r="O132" s="93"/>
      <c r="P132" s="93"/>
      <c r="Q132" s="93"/>
      <c r="R132" s="93"/>
      <c r="S132" s="93"/>
      <c r="T132" s="93"/>
      <c r="U132" s="93"/>
      <c r="V132" s="93"/>
      <c r="W132" s="93"/>
    </row>
    <row r="133" spans="1:23" ht="15" customHeight="1">
      <c r="A133" s="40">
        <v>126</v>
      </c>
      <c r="B133" s="40" t="s">
        <v>2583</v>
      </c>
      <c r="C133" s="609" t="s">
        <v>2584</v>
      </c>
      <c r="D133" s="610">
        <v>100</v>
      </c>
      <c r="E133" s="610">
        <v>100</v>
      </c>
      <c r="F133" s="610">
        <v>100</v>
      </c>
      <c r="G133" s="93"/>
      <c r="H133" s="93"/>
      <c r="I133" s="93"/>
      <c r="J133" s="93"/>
      <c r="K133" s="93"/>
      <c r="L133" s="93"/>
      <c r="M133" s="93"/>
      <c r="N133" s="93"/>
      <c r="O133" s="93"/>
      <c r="P133" s="93"/>
      <c r="Q133" s="93"/>
      <c r="R133" s="93"/>
      <c r="S133" s="93"/>
      <c r="T133" s="93"/>
      <c r="U133" s="93"/>
      <c r="V133" s="93"/>
      <c r="W133" s="93"/>
    </row>
    <row r="134" spans="1:23" ht="15" customHeight="1">
      <c r="A134" s="40">
        <v>127</v>
      </c>
      <c r="B134" s="40" t="s">
        <v>2585</v>
      </c>
      <c r="C134" s="609" t="s">
        <v>2227</v>
      </c>
      <c r="D134" s="610">
        <v>625</v>
      </c>
      <c r="E134" s="610">
        <v>625</v>
      </c>
      <c r="F134" s="610">
        <v>625</v>
      </c>
      <c r="G134" s="93"/>
      <c r="H134" s="93"/>
      <c r="I134" s="93"/>
      <c r="J134" s="93"/>
      <c r="K134" s="93"/>
      <c r="L134" s="93"/>
      <c r="M134" s="93"/>
      <c r="N134" s="93"/>
      <c r="O134" s="93"/>
      <c r="P134" s="93"/>
      <c r="Q134" s="93"/>
      <c r="R134" s="93"/>
      <c r="S134" s="93"/>
      <c r="T134" s="93"/>
      <c r="U134" s="93"/>
      <c r="V134" s="93"/>
      <c r="W134" s="93"/>
    </row>
    <row r="135" spans="1:23" ht="15" customHeight="1">
      <c r="A135" s="40">
        <v>128</v>
      </c>
      <c r="B135" s="40" t="s">
        <v>2586</v>
      </c>
      <c r="C135" s="609" t="s">
        <v>589</v>
      </c>
      <c r="D135" s="610">
        <v>400</v>
      </c>
      <c r="E135" s="610">
        <v>400</v>
      </c>
      <c r="F135" s="610">
        <v>400</v>
      </c>
      <c r="G135" s="93"/>
      <c r="H135" s="93"/>
      <c r="I135" s="93"/>
      <c r="J135" s="93"/>
      <c r="K135" s="93"/>
      <c r="L135" s="93"/>
      <c r="M135" s="93"/>
      <c r="N135" s="93"/>
      <c r="O135" s="93"/>
      <c r="P135" s="93"/>
      <c r="Q135" s="93"/>
      <c r="R135" s="93"/>
      <c r="S135" s="93"/>
      <c r="T135" s="93"/>
      <c r="U135" s="93"/>
      <c r="V135" s="93"/>
      <c r="W135" s="93"/>
    </row>
    <row r="136" spans="1:23" ht="15" customHeight="1">
      <c r="A136" s="40">
        <v>129</v>
      </c>
      <c r="B136" s="40" t="s">
        <v>2587</v>
      </c>
      <c r="C136" s="609" t="s">
        <v>2588</v>
      </c>
      <c r="D136" s="610">
        <v>400</v>
      </c>
      <c r="E136" s="610">
        <v>300</v>
      </c>
      <c r="F136" s="610">
        <v>300</v>
      </c>
      <c r="G136" s="93"/>
      <c r="H136" s="93"/>
      <c r="I136" s="93"/>
      <c r="J136" s="93"/>
      <c r="K136" s="93"/>
      <c r="L136" s="93"/>
      <c r="M136" s="93"/>
      <c r="N136" s="93"/>
      <c r="O136" s="93"/>
      <c r="P136" s="93"/>
      <c r="Q136" s="93"/>
      <c r="R136" s="93"/>
      <c r="S136" s="93"/>
      <c r="T136" s="93"/>
      <c r="U136" s="93"/>
      <c r="V136" s="93"/>
      <c r="W136" s="93"/>
    </row>
    <row r="137" spans="1:23" ht="15" customHeight="1">
      <c r="A137" s="40">
        <v>130</v>
      </c>
      <c r="B137" s="40" t="s">
        <v>2589</v>
      </c>
      <c r="C137" s="609" t="s">
        <v>2590</v>
      </c>
      <c r="D137" s="610">
        <v>650</v>
      </c>
      <c r="E137" s="610">
        <v>650</v>
      </c>
      <c r="F137" s="610">
        <v>650</v>
      </c>
      <c r="G137" s="93"/>
      <c r="H137" s="93"/>
      <c r="I137" s="93"/>
      <c r="J137" s="93"/>
      <c r="K137" s="93"/>
      <c r="L137" s="93"/>
      <c r="M137" s="93"/>
      <c r="N137" s="93"/>
      <c r="O137" s="93"/>
      <c r="P137" s="93"/>
      <c r="Q137" s="93"/>
      <c r="R137" s="93"/>
      <c r="S137" s="93"/>
      <c r="T137" s="93"/>
      <c r="U137" s="93"/>
      <c r="V137" s="93"/>
      <c r="W137" s="93"/>
    </row>
    <row r="138" spans="1:23" ht="15" customHeight="1">
      <c r="A138" s="40">
        <v>131</v>
      </c>
      <c r="B138" s="40" t="s">
        <v>2591</v>
      </c>
      <c r="C138" s="609" t="s">
        <v>673</v>
      </c>
      <c r="D138" s="610">
        <v>800</v>
      </c>
      <c r="E138" s="610">
        <v>800</v>
      </c>
      <c r="F138" s="610">
        <v>800</v>
      </c>
      <c r="G138" s="93"/>
      <c r="H138" s="93"/>
      <c r="I138" s="93"/>
      <c r="J138" s="93"/>
      <c r="K138" s="93"/>
      <c r="L138" s="93"/>
      <c r="M138" s="93"/>
      <c r="N138" s="93"/>
      <c r="O138" s="93"/>
      <c r="P138" s="93"/>
      <c r="Q138" s="93"/>
      <c r="R138" s="93"/>
      <c r="S138" s="93"/>
      <c r="T138" s="93"/>
      <c r="U138" s="93"/>
      <c r="V138" s="93"/>
      <c r="W138" s="93"/>
    </row>
    <row r="139" spans="1:23" ht="15" customHeight="1">
      <c r="A139" s="40">
        <v>132</v>
      </c>
      <c r="B139" s="40" t="s">
        <v>2592</v>
      </c>
      <c r="C139" s="609" t="s">
        <v>2592</v>
      </c>
      <c r="D139" s="610">
        <v>200</v>
      </c>
      <c r="E139" s="610">
        <v>200</v>
      </c>
      <c r="F139" s="610">
        <v>200</v>
      </c>
      <c r="G139" s="93"/>
      <c r="H139" s="93"/>
      <c r="I139" s="93"/>
      <c r="J139" s="93"/>
      <c r="K139" s="93"/>
      <c r="L139" s="93"/>
      <c r="M139" s="93"/>
      <c r="N139" s="93"/>
      <c r="O139" s="93"/>
      <c r="P139" s="93"/>
      <c r="Q139" s="93"/>
      <c r="R139" s="93"/>
      <c r="S139" s="93"/>
      <c r="T139" s="93"/>
      <c r="U139" s="93"/>
      <c r="V139" s="93"/>
      <c r="W139" s="93"/>
    </row>
    <row r="140" spans="1:23" ht="15" customHeight="1">
      <c r="A140" s="40">
        <v>133</v>
      </c>
      <c r="B140" s="40" t="s">
        <v>2593</v>
      </c>
      <c r="C140" s="609" t="s">
        <v>617</v>
      </c>
      <c r="D140" s="610">
        <v>6750</v>
      </c>
      <c r="E140" s="610">
        <v>6750</v>
      </c>
      <c r="F140" s="610">
        <v>6750</v>
      </c>
      <c r="G140" s="93"/>
      <c r="H140" s="93"/>
      <c r="I140" s="93"/>
      <c r="J140" s="93"/>
      <c r="K140" s="93"/>
      <c r="L140" s="93"/>
      <c r="M140" s="93"/>
      <c r="N140" s="93"/>
      <c r="O140" s="93"/>
      <c r="P140" s="93"/>
      <c r="Q140" s="93"/>
      <c r="R140" s="93"/>
      <c r="S140" s="93"/>
      <c r="T140" s="93"/>
      <c r="U140" s="93"/>
      <c r="V140" s="93"/>
      <c r="W140" s="93"/>
    </row>
    <row r="141" spans="1:23" ht="15" customHeight="1">
      <c r="A141" s="40">
        <v>134</v>
      </c>
      <c r="B141" s="40" t="s">
        <v>687</v>
      </c>
      <c r="C141" s="609" t="s">
        <v>687</v>
      </c>
      <c r="D141" s="610">
        <v>275</v>
      </c>
      <c r="E141" s="610">
        <v>175</v>
      </c>
      <c r="F141" s="610">
        <v>175</v>
      </c>
      <c r="G141" s="93"/>
      <c r="H141" s="93"/>
      <c r="I141" s="93"/>
      <c r="J141" s="93"/>
      <c r="K141" s="93"/>
      <c r="L141" s="93"/>
      <c r="M141" s="93"/>
      <c r="N141" s="93"/>
      <c r="O141" s="93"/>
      <c r="P141" s="93"/>
      <c r="Q141" s="93"/>
      <c r="R141" s="93"/>
      <c r="S141" s="93"/>
      <c r="T141" s="93"/>
      <c r="U141" s="93"/>
      <c r="V141" s="93"/>
      <c r="W141" s="93"/>
    </row>
    <row r="142" spans="1:23" ht="15" customHeight="1">
      <c r="A142" s="40">
        <v>135</v>
      </c>
      <c r="B142" s="40" t="s">
        <v>2594</v>
      </c>
      <c r="C142" s="609" t="s">
        <v>2594</v>
      </c>
      <c r="D142" s="610">
        <v>10</v>
      </c>
      <c r="E142" s="610">
        <v>10</v>
      </c>
      <c r="F142" s="610">
        <v>10</v>
      </c>
      <c r="G142" s="93"/>
      <c r="H142" s="93"/>
      <c r="I142" s="93"/>
      <c r="J142" s="93"/>
      <c r="K142" s="93"/>
      <c r="L142" s="93"/>
      <c r="M142" s="93"/>
      <c r="N142" s="93"/>
      <c r="O142" s="93"/>
      <c r="P142" s="93"/>
      <c r="Q142" s="93"/>
      <c r="R142" s="93"/>
      <c r="S142" s="93"/>
      <c r="T142" s="93"/>
      <c r="U142" s="93"/>
      <c r="V142" s="93"/>
      <c r="W142" s="93"/>
    </row>
    <row r="143" spans="1:23" ht="15" customHeight="1">
      <c r="A143" s="40">
        <v>136</v>
      </c>
      <c r="B143" s="40" t="s">
        <v>2595</v>
      </c>
      <c r="C143" s="609" t="s">
        <v>567</v>
      </c>
      <c r="D143" s="610">
        <v>550</v>
      </c>
      <c r="E143" s="610">
        <v>375</v>
      </c>
      <c r="F143" s="610">
        <v>375</v>
      </c>
      <c r="G143" s="93"/>
      <c r="H143" s="93"/>
      <c r="I143" s="93"/>
      <c r="J143" s="93"/>
      <c r="K143" s="93"/>
      <c r="L143" s="93"/>
      <c r="M143" s="93"/>
      <c r="N143" s="93"/>
      <c r="O143" s="93"/>
      <c r="P143" s="93"/>
      <c r="Q143" s="93"/>
      <c r="R143" s="93"/>
      <c r="S143" s="93"/>
      <c r="T143" s="93"/>
      <c r="U143" s="93"/>
      <c r="V143" s="93"/>
      <c r="W143" s="93"/>
    </row>
    <row r="144" spans="1:23" ht="15" customHeight="1">
      <c r="A144" s="40">
        <v>137</v>
      </c>
      <c r="B144" s="40" t="s">
        <v>2596</v>
      </c>
      <c r="C144" s="609" t="s">
        <v>482</v>
      </c>
      <c r="D144" s="610">
        <v>7500</v>
      </c>
      <c r="E144" s="610">
        <v>4250</v>
      </c>
      <c r="F144" s="610">
        <v>4250</v>
      </c>
      <c r="G144" s="93"/>
      <c r="H144" s="93"/>
      <c r="I144" s="93"/>
      <c r="J144" s="93"/>
      <c r="K144" s="93"/>
      <c r="L144" s="93"/>
      <c r="M144" s="93"/>
      <c r="N144" s="93"/>
      <c r="O144" s="93"/>
      <c r="P144" s="93"/>
      <c r="Q144" s="93"/>
      <c r="R144" s="93"/>
      <c r="S144" s="93"/>
      <c r="T144" s="93"/>
      <c r="U144" s="93"/>
      <c r="V144" s="93"/>
      <c r="W144" s="93"/>
    </row>
    <row r="145" spans="1:23" ht="15" customHeight="1">
      <c r="A145" s="40">
        <v>138</v>
      </c>
      <c r="B145" s="40" t="s">
        <v>2597</v>
      </c>
      <c r="C145" s="609" t="s">
        <v>2121</v>
      </c>
      <c r="D145" s="610">
        <v>125</v>
      </c>
      <c r="E145" s="610">
        <v>125</v>
      </c>
      <c r="F145" s="610">
        <v>125</v>
      </c>
      <c r="G145" s="93"/>
      <c r="H145" s="93"/>
      <c r="I145" s="93"/>
      <c r="J145" s="93"/>
      <c r="K145" s="93"/>
      <c r="L145" s="93"/>
      <c r="M145" s="93"/>
      <c r="N145" s="93"/>
      <c r="O145" s="93"/>
      <c r="P145" s="93"/>
      <c r="Q145" s="93"/>
      <c r="R145" s="93"/>
      <c r="S145" s="93"/>
      <c r="T145" s="93"/>
      <c r="U145" s="93"/>
      <c r="V145" s="93"/>
      <c r="W145" s="93"/>
    </row>
    <row r="146" spans="1:23" ht="15" customHeight="1">
      <c r="A146" s="40">
        <v>139</v>
      </c>
      <c r="B146" s="40" t="s">
        <v>2598</v>
      </c>
      <c r="C146" s="609" t="s">
        <v>2090</v>
      </c>
      <c r="D146" s="610">
        <v>150</v>
      </c>
      <c r="E146" s="610">
        <v>225</v>
      </c>
      <c r="F146" s="610">
        <v>225</v>
      </c>
      <c r="G146" s="93"/>
      <c r="H146" s="93"/>
      <c r="I146" s="93"/>
      <c r="J146" s="93"/>
      <c r="K146" s="93"/>
      <c r="L146" s="93"/>
      <c r="M146" s="93"/>
      <c r="N146" s="93"/>
      <c r="O146" s="93"/>
      <c r="P146" s="93"/>
      <c r="Q146" s="93"/>
      <c r="R146" s="93"/>
      <c r="S146" s="93"/>
      <c r="T146" s="93"/>
      <c r="U146" s="93"/>
      <c r="V146" s="93"/>
      <c r="W146" s="93"/>
    </row>
    <row r="147" spans="1:23" ht="15" customHeight="1">
      <c r="A147" s="40">
        <v>140</v>
      </c>
      <c r="B147" s="40" t="s">
        <v>2599</v>
      </c>
      <c r="C147" s="609" t="s">
        <v>2600</v>
      </c>
      <c r="D147" s="610">
        <v>40</v>
      </c>
      <c r="E147" s="610">
        <v>40</v>
      </c>
      <c r="F147" s="610">
        <v>40</v>
      </c>
      <c r="G147" s="93"/>
      <c r="H147" s="93"/>
      <c r="I147" s="93"/>
      <c r="J147" s="93"/>
      <c r="K147" s="93"/>
      <c r="L147" s="93"/>
      <c r="M147" s="93"/>
      <c r="N147" s="93"/>
      <c r="O147" s="93"/>
      <c r="P147" s="93"/>
      <c r="Q147" s="93"/>
      <c r="R147" s="93"/>
      <c r="S147" s="93"/>
      <c r="T147" s="93"/>
      <c r="U147" s="93"/>
      <c r="V147" s="93"/>
      <c r="W147" s="93"/>
    </row>
    <row r="148" spans="1:23" ht="15" customHeight="1">
      <c r="A148" s="40">
        <v>141</v>
      </c>
      <c r="B148" s="40" t="s">
        <v>2601</v>
      </c>
      <c r="C148" s="609" t="s">
        <v>539</v>
      </c>
      <c r="D148" s="610">
        <v>4500</v>
      </c>
      <c r="E148" s="610">
        <v>3350</v>
      </c>
      <c r="F148" s="610">
        <v>3350</v>
      </c>
      <c r="G148" s="93"/>
      <c r="H148" s="93"/>
      <c r="I148" s="93"/>
      <c r="J148" s="93"/>
      <c r="K148" s="93"/>
      <c r="L148" s="93"/>
      <c r="M148" s="93"/>
      <c r="N148" s="93"/>
      <c r="O148" s="93"/>
      <c r="P148" s="93"/>
      <c r="Q148" s="93"/>
      <c r="R148" s="93"/>
      <c r="S148" s="93"/>
      <c r="T148" s="93"/>
      <c r="U148" s="93"/>
      <c r="V148" s="93"/>
      <c r="W148" s="93"/>
    </row>
    <row r="149" spans="1:23" ht="15" customHeight="1">
      <c r="A149" s="40">
        <v>142</v>
      </c>
      <c r="B149" s="40" t="s">
        <v>626</v>
      </c>
      <c r="C149" s="609" t="s">
        <v>626</v>
      </c>
      <c r="D149" s="610">
        <v>5700</v>
      </c>
      <c r="E149" s="610">
        <v>5700</v>
      </c>
      <c r="F149" s="610">
        <v>5700</v>
      </c>
      <c r="G149" s="93"/>
      <c r="H149" s="93"/>
      <c r="I149" s="93"/>
      <c r="J149" s="93"/>
      <c r="K149" s="93"/>
      <c r="L149" s="93"/>
      <c r="M149" s="93"/>
      <c r="N149" s="93"/>
      <c r="O149" s="93"/>
      <c r="P149" s="93"/>
      <c r="Q149" s="93"/>
      <c r="R149" s="93"/>
      <c r="S149" s="93"/>
      <c r="T149" s="93"/>
      <c r="U149" s="93"/>
      <c r="V149" s="93"/>
      <c r="W149" s="93"/>
    </row>
    <row r="150" spans="1:23" ht="15" customHeight="1">
      <c r="A150" s="40">
        <v>143</v>
      </c>
      <c r="B150" s="40" t="s">
        <v>2602</v>
      </c>
      <c r="C150" s="609" t="s">
        <v>2603</v>
      </c>
      <c r="D150" s="610">
        <v>700</v>
      </c>
      <c r="E150" s="610">
        <v>700</v>
      </c>
      <c r="F150" s="610">
        <v>700</v>
      </c>
      <c r="G150" s="93"/>
      <c r="H150" s="93"/>
      <c r="I150" s="93"/>
      <c r="J150" s="93"/>
      <c r="K150" s="93"/>
      <c r="L150" s="93"/>
      <c r="M150" s="93"/>
      <c r="N150" s="93"/>
      <c r="O150" s="93"/>
      <c r="P150" s="93"/>
      <c r="Q150" s="93"/>
      <c r="R150" s="93"/>
      <c r="S150" s="93"/>
      <c r="T150" s="93"/>
      <c r="U150" s="93"/>
      <c r="V150" s="93"/>
      <c r="W150" s="93"/>
    </row>
    <row r="151" spans="1:23" ht="15" customHeight="1">
      <c r="A151" s="40">
        <v>144</v>
      </c>
      <c r="B151" s="40" t="s">
        <v>2604</v>
      </c>
      <c r="C151" s="609" t="s">
        <v>2605</v>
      </c>
      <c r="D151" s="610">
        <v>200</v>
      </c>
      <c r="E151" s="610">
        <v>200</v>
      </c>
      <c r="F151" s="610">
        <v>200</v>
      </c>
      <c r="G151" s="93"/>
      <c r="H151" s="93"/>
      <c r="I151" s="93"/>
      <c r="J151" s="93"/>
      <c r="K151" s="93"/>
      <c r="L151" s="93"/>
      <c r="M151" s="93"/>
      <c r="N151" s="93"/>
      <c r="O151" s="93"/>
      <c r="P151" s="93"/>
      <c r="Q151" s="93"/>
      <c r="R151" s="93"/>
      <c r="S151" s="93"/>
      <c r="T151" s="93"/>
      <c r="U151" s="93"/>
      <c r="V151" s="93"/>
      <c r="W151" s="93"/>
    </row>
    <row r="152" spans="1:23" ht="15" customHeight="1">
      <c r="A152" s="40">
        <v>145</v>
      </c>
      <c r="B152" s="40" t="s">
        <v>2606</v>
      </c>
      <c r="C152" s="609" t="s">
        <v>296</v>
      </c>
      <c r="D152" s="610">
        <v>3850</v>
      </c>
      <c r="E152" s="610">
        <v>3850</v>
      </c>
      <c r="F152" s="610">
        <v>3850</v>
      </c>
      <c r="G152" s="93"/>
      <c r="H152" s="93"/>
      <c r="I152" s="93"/>
      <c r="J152" s="93"/>
      <c r="K152" s="93"/>
      <c r="L152" s="93"/>
      <c r="M152" s="93"/>
      <c r="N152" s="93"/>
      <c r="O152" s="93"/>
      <c r="P152" s="93"/>
      <c r="Q152" s="93"/>
      <c r="R152" s="93"/>
      <c r="S152" s="93"/>
      <c r="T152" s="93"/>
      <c r="U152" s="93"/>
      <c r="V152" s="93"/>
      <c r="W152" s="93"/>
    </row>
    <row r="153" spans="1:23" ht="15" customHeight="1">
      <c r="A153" s="40">
        <v>146</v>
      </c>
      <c r="B153" s="40" t="s">
        <v>2607</v>
      </c>
      <c r="C153" s="609" t="s">
        <v>2608</v>
      </c>
      <c r="D153" s="610">
        <v>15</v>
      </c>
      <c r="E153" s="610">
        <v>15</v>
      </c>
      <c r="F153" s="610">
        <v>15</v>
      </c>
      <c r="G153" s="93"/>
      <c r="H153" s="93"/>
      <c r="I153" s="93"/>
      <c r="J153" s="93"/>
      <c r="K153" s="93"/>
      <c r="L153" s="93"/>
      <c r="M153" s="93"/>
      <c r="N153" s="93"/>
      <c r="O153" s="93"/>
      <c r="P153" s="93"/>
      <c r="Q153" s="93"/>
      <c r="R153" s="93"/>
      <c r="S153" s="93"/>
      <c r="T153" s="93"/>
      <c r="U153" s="93"/>
      <c r="V153" s="93"/>
      <c r="W153" s="93"/>
    </row>
    <row r="154" spans="1:23" ht="15" customHeight="1">
      <c r="A154" s="40">
        <v>147</v>
      </c>
      <c r="B154" s="40" t="s">
        <v>2609</v>
      </c>
      <c r="C154" s="609" t="s">
        <v>2610</v>
      </c>
      <c r="D154" s="610">
        <v>550</v>
      </c>
      <c r="E154" s="610">
        <v>275</v>
      </c>
      <c r="F154" s="610">
        <v>275</v>
      </c>
      <c r="G154" s="93"/>
      <c r="H154" s="93"/>
      <c r="I154" s="93"/>
      <c r="J154" s="93"/>
      <c r="K154" s="93"/>
      <c r="L154" s="93"/>
      <c r="M154" s="93"/>
      <c r="N154" s="93"/>
      <c r="O154" s="93"/>
      <c r="P154" s="93"/>
      <c r="Q154" s="93"/>
      <c r="R154" s="93"/>
      <c r="S154" s="93"/>
      <c r="T154" s="93"/>
      <c r="U154" s="93"/>
      <c r="V154" s="93"/>
      <c r="W154" s="93"/>
    </row>
    <row r="155" spans="1:23" ht="15" customHeight="1">
      <c r="A155" s="40">
        <v>148</v>
      </c>
      <c r="B155" s="40" t="s">
        <v>2611</v>
      </c>
      <c r="C155" s="609" t="s">
        <v>2612</v>
      </c>
      <c r="D155" s="610">
        <v>175</v>
      </c>
      <c r="E155" s="610">
        <v>150</v>
      </c>
      <c r="F155" s="610">
        <v>150</v>
      </c>
      <c r="G155" s="93"/>
      <c r="H155" s="93"/>
      <c r="I155" s="93"/>
      <c r="J155" s="93"/>
      <c r="K155" s="93"/>
      <c r="L155" s="93"/>
      <c r="M155" s="93"/>
      <c r="N155" s="93"/>
      <c r="O155" s="93"/>
      <c r="P155" s="93"/>
      <c r="Q155" s="93"/>
      <c r="R155" s="93"/>
      <c r="S155" s="93"/>
      <c r="T155" s="93"/>
      <c r="U155" s="93"/>
      <c r="V155" s="93"/>
      <c r="W155" s="93"/>
    </row>
    <row r="156" spans="1:23" ht="15" customHeight="1">
      <c r="A156" s="40">
        <v>149</v>
      </c>
      <c r="B156" s="40" t="s">
        <v>2613</v>
      </c>
      <c r="C156" s="609" t="s">
        <v>2614</v>
      </c>
      <c r="D156" s="610">
        <v>3000</v>
      </c>
      <c r="E156" s="610">
        <v>3000</v>
      </c>
      <c r="F156" s="610">
        <v>3000</v>
      </c>
      <c r="G156" s="93"/>
      <c r="H156" s="93"/>
      <c r="I156" s="93"/>
      <c r="J156" s="93"/>
      <c r="K156" s="93"/>
      <c r="L156" s="93"/>
      <c r="M156" s="93"/>
      <c r="N156" s="93"/>
      <c r="O156" s="93"/>
      <c r="P156" s="93"/>
      <c r="Q156" s="93"/>
      <c r="R156" s="93"/>
      <c r="S156" s="93"/>
      <c r="T156" s="93"/>
      <c r="U156" s="93"/>
      <c r="V156" s="93"/>
      <c r="W156" s="93"/>
    </row>
    <row r="157" spans="1:23" ht="15" customHeight="1">
      <c r="A157" s="40">
        <v>150</v>
      </c>
      <c r="B157" s="40" t="s">
        <v>2615</v>
      </c>
      <c r="C157" s="609" t="s">
        <v>500</v>
      </c>
      <c r="D157" s="610">
        <v>6200</v>
      </c>
      <c r="E157" s="610">
        <v>6200</v>
      </c>
      <c r="F157" s="610">
        <v>6200</v>
      </c>
      <c r="G157" s="93"/>
      <c r="H157" s="93"/>
      <c r="I157" s="93"/>
      <c r="J157" s="93"/>
      <c r="K157" s="93"/>
      <c r="L157" s="93"/>
      <c r="M157" s="93"/>
      <c r="N157" s="93"/>
      <c r="O157" s="93"/>
      <c r="P157" s="93"/>
      <c r="Q157" s="93"/>
      <c r="R157" s="93"/>
      <c r="S157" s="93"/>
      <c r="T157" s="93"/>
      <c r="U157" s="93"/>
      <c r="V157" s="93"/>
      <c r="W157" s="93"/>
    </row>
    <row r="158" spans="1:23" ht="15" customHeight="1">
      <c r="A158" s="40">
        <v>151</v>
      </c>
      <c r="B158" s="40" t="s">
        <v>2616</v>
      </c>
      <c r="C158" s="609" t="s">
        <v>688</v>
      </c>
      <c r="D158" s="610">
        <v>250</v>
      </c>
      <c r="E158" s="610">
        <v>250</v>
      </c>
      <c r="F158" s="610">
        <v>250</v>
      </c>
      <c r="G158" s="93"/>
      <c r="H158" s="93"/>
      <c r="I158" s="93"/>
      <c r="J158" s="93"/>
      <c r="K158" s="93"/>
      <c r="L158" s="93"/>
      <c r="M158" s="93"/>
      <c r="N158" s="93"/>
      <c r="O158" s="93"/>
      <c r="P158" s="93"/>
      <c r="Q158" s="93"/>
      <c r="R158" s="93"/>
      <c r="S158" s="93"/>
      <c r="T158" s="93"/>
      <c r="U158" s="93"/>
      <c r="V158" s="93"/>
      <c r="W158" s="93"/>
    </row>
    <row r="159" spans="1:23" ht="15" customHeight="1">
      <c r="A159" s="40">
        <v>152</v>
      </c>
      <c r="B159" s="40" t="s">
        <v>2617</v>
      </c>
      <c r="C159" s="609" t="s">
        <v>2618</v>
      </c>
      <c r="D159" s="610">
        <v>250</v>
      </c>
      <c r="E159" s="610">
        <v>250</v>
      </c>
      <c r="F159" s="610">
        <v>250</v>
      </c>
      <c r="G159" s="93"/>
      <c r="H159" s="93"/>
      <c r="I159" s="93"/>
      <c r="J159" s="93"/>
      <c r="K159" s="93"/>
      <c r="L159" s="93"/>
      <c r="M159" s="93"/>
      <c r="N159" s="93"/>
      <c r="O159" s="93"/>
      <c r="P159" s="93"/>
      <c r="Q159" s="93"/>
      <c r="R159" s="93"/>
      <c r="S159" s="93"/>
      <c r="T159" s="93"/>
      <c r="U159" s="93"/>
      <c r="V159" s="93"/>
      <c r="W159" s="93"/>
    </row>
    <row r="160" spans="1:23" ht="15" customHeight="1">
      <c r="A160" s="40">
        <v>153</v>
      </c>
      <c r="B160" s="40" t="s">
        <v>2619</v>
      </c>
      <c r="C160" s="609" t="s">
        <v>519</v>
      </c>
      <c r="D160" s="610">
        <v>16000</v>
      </c>
      <c r="E160" s="610">
        <v>16000</v>
      </c>
      <c r="F160" s="610">
        <v>16000</v>
      </c>
      <c r="G160" s="93"/>
      <c r="H160" s="93"/>
      <c r="I160" s="93"/>
      <c r="J160" s="93"/>
      <c r="K160" s="93"/>
      <c r="L160" s="93"/>
      <c r="M160" s="93"/>
      <c r="N160" s="93"/>
      <c r="O160" s="93"/>
      <c r="P160" s="93"/>
      <c r="Q160" s="93"/>
      <c r="R160" s="93"/>
      <c r="S160" s="93"/>
      <c r="T160" s="93"/>
      <c r="U160" s="93"/>
      <c r="V160" s="93"/>
      <c r="W160" s="93"/>
    </row>
    <row r="161" spans="1:23" ht="15" customHeight="1">
      <c r="A161" s="40">
        <v>154</v>
      </c>
      <c r="B161" s="40" t="s">
        <v>2620</v>
      </c>
      <c r="C161" s="609" t="s">
        <v>2621</v>
      </c>
      <c r="D161" s="610">
        <v>300</v>
      </c>
      <c r="E161" s="610">
        <v>300</v>
      </c>
      <c r="F161" s="610">
        <v>300</v>
      </c>
      <c r="G161" s="93"/>
      <c r="H161" s="93"/>
      <c r="I161" s="93"/>
      <c r="J161" s="93"/>
      <c r="K161" s="93"/>
      <c r="L161" s="93"/>
      <c r="M161" s="93"/>
      <c r="N161" s="93"/>
      <c r="O161" s="93"/>
      <c r="P161" s="93"/>
      <c r="Q161" s="93"/>
      <c r="R161" s="93"/>
      <c r="S161" s="93"/>
      <c r="T161" s="93"/>
      <c r="U161" s="93"/>
      <c r="V161" s="93"/>
      <c r="W161" s="93"/>
    </row>
    <row r="162" spans="1:23" ht="15" customHeight="1">
      <c r="A162" s="40">
        <v>155</v>
      </c>
      <c r="B162" s="40" t="s">
        <v>2622</v>
      </c>
      <c r="C162" s="609" t="s">
        <v>657</v>
      </c>
      <c r="D162" s="610">
        <v>2700</v>
      </c>
      <c r="E162" s="610">
        <v>2700</v>
      </c>
      <c r="F162" s="610">
        <v>2700</v>
      </c>
      <c r="G162" s="93"/>
      <c r="H162" s="93"/>
      <c r="I162" s="93"/>
      <c r="J162" s="93"/>
      <c r="K162" s="93"/>
      <c r="L162" s="93"/>
      <c r="M162" s="93"/>
      <c r="N162" s="93"/>
      <c r="O162" s="93"/>
      <c r="P162" s="93"/>
      <c r="Q162" s="93"/>
      <c r="R162" s="93"/>
      <c r="S162" s="93"/>
      <c r="T162" s="93"/>
      <c r="U162" s="93"/>
      <c r="V162" s="93"/>
      <c r="W162" s="93"/>
    </row>
    <row r="163" spans="1:23" ht="15" customHeight="1">
      <c r="A163" s="40">
        <v>156</v>
      </c>
      <c r="B163" s="40" t="s">
        <v>672</v>
      </c>
      <c r="C163" s="609" t="s">
        <v>672</v>
      </c>
      <c r="D163" s="610">
        <v>407</v>
      </c>
      <c r="E163" s="610">
        <v>407</v>
      </c>
      <c r="F163" s="610">
        <v>407</v>
      </c>
      <c r="G163" s="93"/>
      <c r="H163" s="93"/>
      <c r="I163" s="93"/>
      <c r="J163" s="93"/>
      <c r="K163" s="93"/>
      <c r="L163" s="93"/>
      <c r="M163" s="93"/>
      <c r="N163" s="93"/>
      <c r="O163" s="93"/>
      <c r="P163" s="93"/>
      <c r="Q163" s="93"/>
      <c r="R163" s="93"/>
      <c r="S163" s="93"/>
      <c r="T163" s="93"/>
      <c r="U163" s="93"/>
      <c r="V163" s="93"/>
      <c r="W163" s="93"/>
    </row>
    <row r="164" spans="1:23" ht="15" customHeight="1">
      <c r="A164" s="40">
        <v>157</v>
      </c>
      <c r="B164" s="40" t="s">
        <v>2623</v>
      </c>
      <c r="C164" s="609" t="s">
        <v>2218</v>
      </c>
      <c r="D164" s="610">
        <v>3500</v>
      </c>
      <c r="E164" s="610">
        <v>3500</v>
      </c>
      <c r="F164" s="610">
        <v>3500</v>
      </c>
      <c r="G164" s="93"/>
      <c r="H164" s="93"/>
      <c r="I164" s="93"/>
      <c r="J164" s="93"/>
      <c r="K164" s="93"/>
      <c r="L164" s="93"/>
      <c r="M164" s="93"/>
      <c r="N164" s="93"/>
      <c r="O164" s="93"/>
      <c r="P164" s="93"/>
      <c r="Q164" s="93"/>
      <c r="R164" s="93"/>
      <c r="S164" s="93"/>
      <c r="T164" s="93"/>
      <c r="U164" s="93"/>
      <c r="V164" s="93"/>
      <c r="W164" s="93"/>
    </row>
    <row r="165" spans="1:23" ht="15" customHeight="1">
      <c r="A165" s="40">
        <v>158</v>
      </c>
      <c r="B165" s="40" t="s">
        <v>2624</v>
      </c>
      <c r="C165" s="609" t="s">
        <v>2625</v>
      </c>
      <c r="D165" s="610">
        <v>850</v>
      </c>
      <c r="E165" s="610">
        <v>850</v>
      </c>
      <c r="F165" s="610">
        <v>850</v>
      </c>
      <c r="G165" s="93"/>
      <c r="H165" s="93"/>
      <c r="I165" s="93"/>
      <c r="J165" s="93"/>
      <c r="K165" s="93"/>
      <c r="L165" s="93"/>
      <c r="M165" s="93"/>
      <c r="N165" s="93"/>
      <c r="O165" s="93"/>
      <c r="P165" s="93"/>
      <c r="Q165" s="93"/>
      <c r="R165" s="93"/>
      <c r="S165" s="93"/>
      <c r="T165" s="93"/>
      <c r="U165" s="93"/>
      <c r="V165" s="93"/>
      <c r="W165" s="93"/>
    </row>
    <row r="166" spans="1:23" ht="15" customHeight="1">
      <c r="A166" s="40">
        <v>159</v>
      </c>
      <c r="B166" s="40" t="s">
        <v>2626</v>
      </c>
      <c r="C166" s="609" t="s">
        <v>2267</v>
      </c>
      <c r="D166" s="610">
        <v>5000</v>
      </c>
      <c r="E166" s="610">
        <v>5000</v>
      </c>
      <c r="F166" s="610">
        <v>5000</v>
      </c>
      <c r="G166" s="93"/>
      <c r="H166" s="93"/>
      <c r="I166" s="93"/>
      <c r="J166" s="93"/>
      <c r="K166" s="93"/>
      <c r="L166" s="93"/>
      <c r="M166" s="93"/>
      <c r="N166" s="93"/>
      <c r="O166" s="93"/>
      <c r="P166" s="93"/>
      <c r="Q166" s="93"/>
      <c r="R166" s="93"/>
      <c r="S166" s="93"/>
      <c r="T166" s="93"/>
      <c r="U166" s="93"/>
      <c r="V166" s="93"/>
      <c r="W166" s="93"/>
    </row>
    <row r="167" spans="1:23" ht="15" customHeight="1">
      <c r="A167" s="40">
        <v>160</v>
      </c>
      <c r="B167" s="40" t="s">
        <v>445</v>
      </c>
      <c r="C167" s="609" t="s">
        <v>1331</v>
      </c>
      <c r="D167" s="610">
        <v>8000</v>
      </c>
      <c r="E167" s="610">
        <v>8000</v>
      </c>
      <c r="F167" s="610">
        <v>8000</v>
      </c>
      <c r="G167" s="93"/>
      <c r="H167" s="93"/>
      <c r="I167" s="93"/>
      <c r="J167" s="93"/>
      <c r="K167" s="93"/>
      <c r="L167" s="93"/>
      <c r="M167" s="93"/>
      <c r="N167" s="93"/>
      <c r="O167" s="93"/>
      <c r="P167" s="93"/>
      <c r="Q167" s="93"/>
      <c r="R167" s="93"/>
      <c r="S167" s="93"/>
      <c r="T167" s="93"/>
      <c r="U167" s="93"/>
      <c r="V167" s="93"/>
      <c r="W167" s="93"/>
    </row>
    <row r="168" spans="1:23" ht="15" customHeight="1">
      <c r="A168" s="40">
        <v>161</v>
      </c>
      <c r="B168" s="40" t="s">
        <v>2627</v>
      </c>
      <c r="C168" s="609" t="s">
        <v>460</v>
      </c>
      <c r="D168" s="610">
        <v>250</v>
      </c>
      <c r="E168" s="610">
        <v>250</v>
      </c>
      <c r="F168" s="610">
        <v>250</v>
      </c>
      <c r="G168" s="93"/>
      <c r="H168" s="93"/>
      <c r="I168" s="93"/>
      <c r="J168" s="93"/>
      <c r="K168" s="93"/>
      <c r="L168" s="93"/>
      <c r="M168" s="93"/>
      <c r="N168" s="93"/>
      <c r="O168" s="93"/>
      <c r="P168" s="93"/>
      <c r="Q168" s="93"/>
      <c r="R168" s="93"/>
      <c r="S168" s="93"/>
      <c r="T168" s="93"/>
      <c r="U168" s="93"/>
      <c r="V168" s="93"/>
      <c r="W168" s="93"/>
    </row>
    <row r="169" spans="1:23" ht="15" customHeight="1">
      <c r="A169" s="40">
        <v>162</v>
      </c>
      <c r="B169" s="40" t="s">
        <v>2628</v>
      </c>
      <c r="C169" s="609" t="s">
        <v>481</v>
      </c>
      <c r="D169" s="610">
        <v>8000</v>
      </c>
      <c r="E169" s="610">
        <v>6000</v>
      </c>
      <c r="F169" s="610">
        <v>6000</v>
      </c>
      <c r="G169" s="93"/>
      <c r="H169" s="93"/>
      <c r="I169" s="93"/>
      <c r="J169" s="93"/>
      <c r="K169" s="93"/>
      <c r="L169" s="93"/>
      <c r="M169" s="93"/>
      <c r="N169" s="93"/>
      <c r="O169" s="93"/>
      <c r="P169" s="93"/>
      <c r="Q169" s="93"/>
      <c r="R169" s="93"/>
      <c r="S169" s="93"/>
      <c r="T169" s="93"/>
      <c r="U169" s="93"/>
      <c r="V169" s="93"/>
      <c r="W169" s="93"/>
    </row>
    <row r="170" spans="1:23" ht="15" customHeight="1">
      <c r="A170" s="40">
        <v>163</v>
      </c>
      <c r="B170" s="40" t="s">
        <v>2629</v>
      </c>
      <c r="C170" s="609" t="s">
        <v>488</v>
      </c>
      <c r="D170" s="610">
        <v>800</v>
      </c>
      <c r="E170" s="610">
        <v>800</v>
      </c>
      <c r="F170" s="610">
        <v>800</v>
      </c>
      <c r="G170" s="93"/>
      <c r="H170" s="93"/>
      <c r="I170" s="93"/>
      <c r="J170" s="93"/>
      <c r="K170" s="93"/>
      <c r="L170" s="93"/>
      <c r="M170" s="93"/>
      <c r="N170" s="93"/>
      <c r="O170" s="93"/>
      <c r="P170" s="93"/>
      <c r="Q170" s="93"/>
      <c r="R170" s="93"/>
      <c r="S170" s="93"/>
      <c r="T170" s="93"/>
      <c r="U170" s="93"/>
      <c r="V170" s="93"/>
      <c r="W170" s="93"/>
    </row>
    <row r="171" spans="1:23" ht="15" customHeight="1">
      <c r="A171" s="40">
        <v>164</v>
      </c>
      <c r="B171" s="40" t="s">
        <v>2630</v>
      </c>
      <c r="C171" s="609" t="s">
        <v>2400</v>
      </c>
      <c r="D171" s="610">
        <v>750</v>
      </c>
      <c r="E171" s="610">
        <v>750</v>
      </c>
      <c r="F171" s="610">
        <v>750</v>
      </c>
      <c r="G171" s="93"/>
      <c r="H171" s="93"/>
      <c r="I171" s="93"/>
      <c r="J171" s="93"/>
      <c r="K171" s="93"/>
      <c r="L171" s="93"/>
      <c r="M171" s="93"/>
      <c r="N171" s="93"/>
      <c r="O171" s="93"/>
      <c r="P171" s="93"/>
      <c r="Q171" s="93"/>
      <c r="R171" s="93"/>
      <c r="S171" s="93"/>
      <c r="T171" s="93"/>
      <c r="U171" s="93"/>
      <c r="V171" s="93"/>
      <c r="W171" s="93"/>
    </row>
    <row r="172" spans="1:23" ht="15" customHeight="1">
      <c r="A172" s="40">
        <v>165</v>
      </c>
      <c r="B172" s="40" t="s">
        <v>2631</v>
      </c>
      <c r="C172" s="609" t="s">
        <v>479</v>
      </c>
      <c r="D172" s="610">
        <v>1500</v>
      </c>
      <c r="E172" s="610">
        <v>1500</v>
      </c>
      <c r="F172" s="610">
        <v>1500</v>
      </c>
      <c r="G172" s="93"/>
      <c r="H172" s="93"/>
      <c r="I172" s="93"/>
      <c r="J172" s="93"/>
      <c r="K172" s="93"/>
      <c r="L172" s="93"/>
      <c r="M172" s="93"/>
      <c r="N172" s="93"/>
      <c r="O172" s="93"/>
      <c r="P172" s="93"/>
      <c r="Q172" s="93"/>
      <c r="R172" s="93"/>
      <c r="S172" s="93"/>
      <c r="T172" s="93"/>
      <c r="U172" s="93"/>
      <c r="V172" s="93"/>
      <c r="W172" s="93"/>
    </row>
    <row r="173" spans="1:23" ht="15" customHeight="1">
      <c r="A173" s="40">
        <v>166</v>
      </c>
      <c r="B173" s="40" t="s">
        <v>2632</v>
      </c>
      <c r="C173" s="609" t="s">
        <v>2633</v>
      </c>
      <c r="D173" s="610">
        <v>25</v>
      </c>
      <c r="E173" s="610">
        <v>25</v>
      </c>
      <c r="F173" s="610">
        <v>25</v>
      </c>
      <c r="G173" s="93"/>
      <c r="H173" s="93"/>
      <c r="I173" s="93"/>
      <c r="J173" s="93"/>
      <c r="K173" s="93"/>
      <c r="L173" s="93"/>
      <c r="M173" s="93"/>
      <c r="N173" s="93"/>
      <c r="O173" s="93"/>
      <c r="P173" s="93"/>
      <c r="Q173" s="93"/>
      <c r="R173" s="93"/>
      <c r="S173" s="93"/>
      <c r="T173" s="93"/>
      <c r="U173" s="93"/>
      <c r="V173" s="93"/>
      <c r="W173" s="93"/>
    </row>
    <row r="174" spans="1:23" ht="15" customHeight="1">
      <c r="A174" s="40">
        <v>167</v>
      </c>
      <c r="B174" s="40" t="s">
        <v>2157</v>
      </c>
      <c r="C174" s="609" t="s">
        <v>2157</v>
      </c>
      <c r="D174" s="610">
        <v>275</v>
      </c>
      <c r="E174" s="610">
        <v>275</v>
      </c>
      <c r="F174" s="610">
        <v>275</v>
      </c>
      <c r="G174" s="93"/>
      <c r="H174" s="93"/>
      <c r="I174" s="93"/>
      <c r="J174" s="93"/>
      <c r="K174" s="93"/>
      <c r="L174" s="93"/>
      <c r="M174" s="93"/>
      <c r="N174" s="93"/>
      <c r="O174" s="93"/>
      <c r="P174" s="93"/>
      <c r="Q174" s="93"/>
      <c r="R174" s="93"/>
      <c r="S174" s="93"/>
      <c r="T174" s="93"/>
      <c r="U174" s="93"/>
      <c r="V174" s="93"/>
      <c r="W174" s="93"/>
    </row>
    <row r="175" spans="1:23" ht="15" customHeight="1">
      <c r="A175" s="40">
        <v>168</v>
      </c>
      <c r="B175" s="40" t="s">
        <v>542</v>
      </c>
      <c r="C175" s="609" t="s">
        <v>542</v>
      </c>
      <c r="D175" s="610">
        <v>375</v>
      </c>
      <c r="E175" s="610">
        <v>375</v>
      </c>
      <c r="F175" s="610">
        <v>375</v>
      </c>
      <c r="G175" s="93"/>
      <c r="H175" s="93"/>
      <c r="I175" s="93"/>
      <c r="J175" s="93"/>
      <c r="K175" s="93"/>
      <c r="L175" s="93"/>
      <c r="M175" s="93"/>
      <c r="N175" s="93"/>
      <c r="O175" s="93"/>
      <c r="P175" s="93"/>
      <c r="Q175" s="93"/>
      <c r="R175" s="93"/>
      <c r="S175" s="93"/>
      <c r="T175" s="93"/>
      <c r="U175" s="93"/>
      <c r="V175" s="93"/>
      <c r="W175" s="93"/>
    </row>
    <row r="176" spans="1:23" ht="15" customHeight="1">
      <c r="A176" s="40">
        <v>169</v>
      </c>
      <c r="B176" s="40" t="s">
        <v>2634</v>
      </c>
      <c r="C176" s="609" t="s">
        <v>1538</v>
      </c>
      <c r="D176" s="610">
        <v>600</v>
      </c>
      <c r="E176" s="610">
        <v>600</v>
      </c>
      <c r="F176" s="610">
        <v>600</v>
      </c>
      <c r="G176" s="93"/>
      <c r="H176" s="93"/>
      <c r="I176" s="93"/>
      <c r="J176" s="93"/>
      <c r="K176" s="93"/>
      <c r="L176" s="93"/>
      <c r="M176" s="93"/>
      <c r="N176" s="93"/>
      <c r="O176" s="93"/>
      <c r="P176" s="93"/>
      <c r="Q176" s="93"/>
      <c r="R176" s="93"/>
      <c r="S176" s="93"/>
      <c r="T176" s="93"/>
      <c r="U176" s="93"/>
      <c r="V176" s="93"/>
      <c r="W176" s="93"/>
    </row>
    <row r="177" spans="1:23" ht="15" customHeight="1">
      <c r="A177" s="40">
        <v>170</v>
      </c>
      <c r="B177" s="40" t="s">
        <v>2635</v>
      </c>
      <c r="C177" s="609" t="s">
        <v>1641</v>
      </c>
      <c r="D177" s="610">
        <v>700</v>
      </c>
      <c r="E177" s="610">
        <v>700</v>
      </c>
      <c r="F177" s="610">
        <v>700</v>
      </c>
      <c r="G177" s="93"/>
      <c r="H177" s="93"/>
      <c r="I177" s="93"/>
      <c r="J177" s="93"/>
      <c r="K177" s="93"/>
      <c r="L177" s="93"/>
      <c r="M177" s="93"/>
      <c r="N177" s="93"/>
      <c r="O177" s="93"/>
      <c r="P177" s="93"/>
      <c r="Q177" s="93"/>
      <c r="R177" s="93"/>
      <c r="S177" s="93"/>
      <c r="T177" s="93"/>
      <c r="U177" s="93"/>
      <c r="V177" s="93"/>
      <c r="W177" s="93"/>
    </row>
    <row r="178" spans="1:23" ht="15" customHeight="1">
      <c r="A178" s="40">
        <v>171</v>
      </c>
      <c r="B178" s="40" t="s">
        <v>2636</v>
      </c>
      <c r="C178" s="609" t="s">
        <v>516</v>
      </c>
      <c r="D178" s="610">
        <v>1500</v>
      </c>
      <c r="E178" s="610">
        <v>1500</v>
      </c>
      <c r="F178" s="610">
        <v>1500</v>
      </c>
      <c r="G178" s="93"/>
      <c r="H178" s="93"/>
      <c r="I178" s="93"/>
      <c r="J178" s="93"/>
      <c r="K178" s="93"/>
      <c r="L178" s="93"/>
      <c r="M178" s="93"/>
      <c r="N178" s="93"/>
      <c r="O178" s="93"/>
      <c r="P178" s="93"/>
      <c r="Q178" s="93"/>
      <c r="R178" s="93"/>
      <c r="S178" s="93"/>
      <c r="T178" s="93"/>
      <c r="U178" s="93"/>
      <c r="V178" s="93"/>
      <c r="W178" s="93"/>
    </row>
    <row r="179" spans="1:23" ht="15" customHeight="1">
      <c r="A179" s="40">
        <v>172</v>
      </c>
      <c r="B179" s="40" t="s">
        <v>2637</v>
      </c>
      <c r="C179" s="609" t="s">
        <v>2638</v>
      </c>
      <c r="D179" s="610">
        <v>1000</v>
      </c>
      <c r="E179" s="610">
        <v>1000</v>
      </c>
      <c r="F179" s="610">
        <v>1000</v>
      </c>
      <c r="G179" s="93"/>
      <c r="H179" s="93"/>
      <c r="I179" s="93"/>
      <c r="J179" s="93"/>
      <c r="K179" s="93"/>
      <c r="L179" s="93"/>
      <c r="M179" s="93"/>
      <c r="N179" s="93"/>
      <c r="O179" s="93"/>
      <c r="P179" s="93"/>
      <c r="Q179" s="93"/>
      <c r="R179" s="93"/>
      <c r="S179" s="93"/>
      <c r="T179" s="93"/>
      <c r="U179" s="93"/>
      <c r="V179" s="93"/>
      <c r="W179" s="93"/>
    </row>
    <row r="180" spans="1:23" ht="15" customHeight="1">
      <c r="A180" s="40">
        <v>173</v>
      </c>
      <c r="B180" s="40" t="s">
        <v>2639</v>
      </c>
      <c r="C180" s="609" t="s">
        <v>677</v>
      </c>
      <c r="D180" s="610">
        <v>500</v>
      </c>
      <c r="E180" s="610">
        <v>500</v>
      </c>
      <c r="F180" s="610">
        <v>500</v>
      </c>
      <c r="G180" s="93"/>
      <c r="H180" s="93"/>
      <c r="I180" s="93"/>
      <c r="J180" s="93"/>
      <c r="K180" s="93"/>
      <c r="L180" s="93"/>
      <c r="M180" s="93"/>
      <c r="N180" s="93"/>
      <c r="O180" s="93"/>
      <c r="P180" s="93"/>
      <c r="Q180" s="93"/>
      <c r="R180" s="93"/>
      <c r="S180" s="93"/>
      <c r="T180" s="93"/>
      <c r="U180" s="93"/>
      <c r="V180" s="93"/>
      <c r="W180" s="93"/>
    </row>
    <row r="181" spans="1:23" ht="15" customHeight="1">
      <c r="A181" s="40">
        <v>174</v>
      </c>
      <c r="B181" s="40" t="s">
        <v>2640</v>
      </c>
      <c r="C181" s="609" t="s">
        <v>634</v>
      </c>
      <c r="D181" s="610">
        <v>500</v>
      </c>
      <c r="E181" s="610">
        <v>500</v>
      </c>
      <c r="F181" s="610">
        <v>500</v>
      </c>
      <c r="G181" s="93"/>
      <c r="H181" s="93"/>
      <c r="I181" s="93"/>
      <c r="J181" s="93"/>
      <c r="K181" s="93"/>
      <c r="L181" s="93"/>
      <c r="M181" s="93"/>
      <c r="N181" s="93"/>
      <c r="O181" s="93"/>
      <c r="P181" s="93"/>
      <c r="Q181" s="93"/>
      <c r="R181" s="93"/>
      <c r="S181" s="93"/>
      <c r="T181" s="93"/>
      <c r="U181" s="93"/>
      <c r="V181" s="93"/>
      <c r="W181" s="93"/>
    </row>
    <row r="182" spans="1:23" ht="15" customHeight="1">
      <c r="A182" s="40">
        <v>175</v>
      </c>
      <c r="B182" s="40" t="s">
        <v>2641</v>
      </c>
      <c r="C182" s="609" t="s">
        <v>630</v>
      </c>
      <c r="D182" s="610">
        <v>900</v>
      </c>
      <c r="E182" s="610">
        <v>900</v>
      </c>
      <c r="F182" s="610">
        <v>900</v>
      </c>
      <c r="G182" s="93"/>
      <c r="H182" s="93"/>
      <c r="I182" s="93"/>
      <c r="J182" s="93"/>
      <c r="K182" s="93"/>
      <c r="L182" s="93"/>
      <c r="M182" s="93"/>
      <c r="N182" s="93"/>
      <c r="O182" s="93"/>
      <c r="P182" s="93"/>
      <c r="Q182" s="93"/>
      <c r="R182" s="93"/>
      <c r="S182" s="93"/>
      <c r="T182" s="93"/>
      <c r="U182" s="93"/>
      <c r="V182" s="93"/>
      <c r="W182" s="93"/>
    </row>
    <row r="183" spans="1:23" ht="15" customHeight="1">
      <c r="A183" s="40">
        <v>176</v>
      </c>
      <c r="B183" s="40" t="s">
        <v>2642</v>
      </c>
      <c r="C183" s="609" t="s">
        <v>504</v>
      </c>
      <c r="D183" s="610">
        <v>1425</v>
      </c>
      <c r="E183" s="610">
        <v>1425</v>
      </c>
      <c r="F183" s="610">
        <v>1425</v>
      </c>
      <c r="G183" s="93"/>
      <c r="H183" s="93"/>
      <c r="I183" s="93"/>
      <c r="J183" s="93"/>
      <c r="K183" s="93"/>
      <c r="L183" s="93"/>
      <c r="M183" s="93"/>
      <c r="N183" s="93"/>
      <c r="O183" s="93"/>
      <c r="P183" s="93"/>
      <c r="Q183" s="93"/>
      <c r="R183" s="93"/>
      <c r="S183" s="93"/>
      <c r="T183" s="93"/>
      <c r="U183" s="93"/>
      <c r="V183" s="93"/>
      <c r="W183" s="93"/>
    </row>
    <row r="184" spans="1:23" ht="15" customHeight="1">
      <c r="A184" s="40">
        <v>177</v>
      </c>
      <c r="B184" s="40" t="s">
        <v>2643</v>
      </c>
      <c r="C184" s="609" t="s">
        <v>465</v>
      </c>
      <c r="D184" s="610">
        <v>3375</v>
      </c>
      <c r="E184" s="610">
        <v>3375</v>
      </c>
      <c r="F184" s="610">
        <v>3375</v>
      </c>
      <c r="G184" s="93"/>
      <c r="H184" s="93"/>
      <c r="I184" s="93"/>
      <c r="J184" s="93"/>
      <c r="K184" s="93"/>
      <c r="L184" s="93"/>
      <c r="M184" s="93"/>
      <c r="N184" s="93"/>
      <c r="O184" s="93"/>
      <c r="P184" s="93"/>
      <c r="Q184" s="93"/>
      <c r="R184" s="93"/>
      <c r="S184" s="93"/>
      <c r="T184" s="93"/>
      <c r="U184" s="93"/>
      <c r="V184" s="93"/>
      <c r="W184" s="93"/>
    </row>
    <row r="185" spans="1:23" ht="15" customHeight="1">
      <c r="A185" s="40">
        <v>178</v>
      </c>
      <c r="B185" s="40" t="s">
        <v>2644</v>
      </c>
      <c r="C185" s="609" t="s">
        <v>590</v>
      </c>
      <c r="D185" s="610">
        <v>5500</v>
      </c>
      <c r="E185" s="610">
        <v>4250</v>
      </c>
      <c r="F185" s="610">
        <v>4250</v>
      </c>
      <c r="G185" s="93"/>
      <c r="H185" s="93"/>
      <c r="I185" s="93"/>
      <c r="J185" s="93"/>
      <c r="K185" s="93"/>
      <c r="L185" s="93"/>
      <c r="M185" s="93"/>
      <c r="N185" s="93"/>
      <c r="O185" s="93"/>
      <c r="P185" s="93"/>
      <c r="Q185" s="93"/>
      <c r="R185" s="93"/>
      <c r="S185" s="93"/>
      <c r="T185" s="93"/>
      <c r="U185" s="93"/>
      <c r="V185" s="93"/>
      <c r="W185" s="93"/>
    </row>
    <row r="186" spans="1:23" ht="15" customHeight="1">
      <c r="A186" s="40">
        <v>179</v>
      </c>
      <c r="B186" s="40" t="s">
        <v>2645</v>
      </c>
      <c r="C186" s="609" t="s">
        <v>574</v>
      </c>
      <c r="D186" s="610">
        <v>175</v>
      </c>
      <c r="E186" s="610">
        <v>150</v>
      </c>
      <c r="F186" s="610">
        <v>150</v>
      </c>
      <c r="G186" s="93"/>
      <c r="H186" s="93"/>
      <c r="I186" s="93"/>
      <c r="J186" s="93"/>
      <c r="K186" s="93"/>
      <c r="L186" s="93"/>
      <c r="M186" s="93"/>
      <c r="N186" s="93"/>
      <c r="O186" s="93"/>
      <c r="P186" s="93"/>
      <c r="Q186" s="93"/>
      <c r="R186" s="93"/>
      <c r="S186" s="93"/>
      <c r="T186" s="93"/>
      <c r="U186" s="93"/>
      <c r="V186" s="93"/>
      <c r="W186" s="93"/>
    </row>
    <row r="187" spans="1:23" ht="15" customHeight="1">
      <c r="A187" s="40">
        <v>180</v>
      </c>
      <c r="B187" s="40" t="s">
        <v>2646</v>
      </c>
      <c r="C187" s="609" t="s">
        <v>2647</v>
      </c>
      <c r="D187" s="610">
        <v>600</v>
      </c>
      <c r="E187" s="610">
        <v>600</v>
      </c>
      <c r="F187" s="610">
        <v>600</v>
      </c>
      <c r="G187" s="93"/>
      <c r="H187" s="93"/>
      <c r="I187" s="93"/>
      <c r="J187" s="93"/>
      <c r="K187" s="93"/>
      <c r="L187" s="93"/>
      <c r="M187" s="93"/>
      <c r="N187" s="93"/>
      <c r="O187" s="93"/>
      <c r="P187" s="93"/>
      <c r="Q187" s="93"/>
      <c r="R187" s="93"/>
      <c r="S187" s="93"/>
      <c r="T187" s="93"/>
      <c r="U187" s="93"/>
      <c r="V187" s="93"/>
      <c r="W187" s="93"/>
    </row>
    <row r="188" spans="1:23" ht="15" customHeight="1">
      <c r="A188" s="40">
        <v>181</v>
      </c>
      <c r="B188" s="40" t="s">
        <v>2648</v>
      </c>
      <c r="C188" s="609" t="s">
        <v>678</v>
      </c>
      <c r="D188" s="610">
        <v>375</v>
      </c>
      <c r="E188" s="610">
        <v>375</v>
      </c>
      <c r="F188" s="610">
        <v>375</v>
      </c>
      <c r="G188" s="93"/>
      <c r="H188" s="93"/>
      <c r="I188" s="93"/>
      <c r="J188" s="93"/>
      <c r="K188" s="93"/>
      <c r="L188" s="93"/>
      <c r="M188" s="93"/>
      <c r="N188" s="93"/>
      <c r="O188" s="93"/>
      <c r="P188" s="93"/>
      <c r="Q188" s="93"/>
      <c r="R188" s="93"/>
      <c r="S188" s="93"/>
      <c r="T188" s="93"/>
      <c r="U188" s="93"/>
      <c r="V188" s="93"/>
      <c r="W188" s="93"/>
    </row>
    <row r="189" spans="1:23" ht="15" customHeight="1">
      <c r="A189" s="40">
        <v>182</v>
      </c>
      <c r="B189" s="40" t="s">
        <v>2649</v>
      </c>
      <c r="C189" s="609" t="s">
        <v>682</v>
      </c>
      <c r="D189" s="610">
        <v>500</v>
      </c>
      <c r="E189" s="610">
        <v>500</v>
      </c>
      <c r="F189" s="610">
        <v>500</v>
      </c>
      <c r="G189" s="93"/>
      <c r="H189" s="93"/>
      <c r="I189" s="93"/>
      <c r="J189" s="93"/>
      <c r="K189" s="93"/>
      <c r="L189" s="93"/>
      <c r="M189" s="93"/>
      <c r="N189" s="93"/>
      <c r="O189" s="93"/>
      <c r="P189" s="93"/>
      <c r="Q189" s="93"/>
      <c r="R189" s="93"/>
      <c r="S189" s="93"/>
      <c r="T189" s="93"/>
      <c r="U189" s="93"/>
      <c r="V189" s="93"/>
      <c r="W189" s="93"/>
    </row>
    <row r="190" spans="1:23" ht="15" customHeight="1">
      <c r="A190" s="40">
        <v>183</v>
      </c>
      <c r="B190" s="40" t="s">
        <v>2650</v>
      </c>
      <c r="C190" s="609" t="s">
        <v>2651</v>
      </c>
      <c r="D190" s="610">
        <v>1500</v>
      </c>
      <c r="E190" s="610">
        <v>1500</v>
      </c>
      <c r="F190" s="610">
        <v>1500</v>
      </c>
      <c r="G190" s="93"/>
      <c r="H190" s="93"/>
      <c r="I190" s="93"/>
      <c r="J190" s="93"/>
      <c r="K190" s="93"/>
      <c r="L190" s="93"/>
      <c r="M190" s="93"/>
      <c r="N190" s="93"/>
      <c r="O190" s="93"/>
      <c r="P190" s="93"/>
      <c r="Q190" s="93"/>
      <c r="R190" s="93"/>
      <c r="S190" s="93"/>
      <c r="T190" s="93"/>
      <c r="U190" s="93"/>
      <c r="V190" s="93"/>
      <c r="W190" s="93"/>
    </row>
    <row r="191" spans="1:23" ht="15" customHeight="1">
      <c r="A191" s="40">
        <v>184</v>
      </c>
      <c r="B191" s="40" t="s">
        <v>517</v>
      </c>
      <c r="C191" s="609" t="s">
        <v>517</v>
      </c>
      <c r="D191" s="610">
        <v>400</v>
      </c>
      <c r="E191" s="610">
        <v>725</v>
      </c>
      <c r="F191" s="610">
        <v>725</v>
      </c>
      <c r="G191" s="93"/>
      <c r="H191" s="93"/>
      <c r="I191" s="93"/>
      <c r="J191" s="93"/>
      <c r="K191" s="93"/>
      <c r="L191" s="93"/>
      <c r="M191" s="93"/>
      <c r="N191" s="93"/>
      <c r="O191" s="93"/>
      <c r="P191" s="93"/>
      <c r="Q191" s="93"/>
      <c r="R191" s="93"/>
      <c r="S191" s="93"/>
      <c r="T191" s="93"/>
      <c r="U191" s="93"/>
      <c r="V191" s="93"/>
      <c r="W191" s="93"/>
    </row>
    <row r="192" spans="1:23" ht="15" customHeight="1">
      <c r="A192" s="40">
        <v>185</v>
      </c>
      <c r="B192" s="40" t="s">
        <v>2652</v>
      </c>
      <c r="C192" s="609" t="s">
        <v>668</v>
      </c>
      <c r="D192" s="610">
        <v>700</v>
      </c>
      <c r="E192" s="610">
        <v>700</v>
      </c>
      <c r="F192" s="610">
        <v>700</v>
      </c>
      <c r="G192" s="93"/>
      <c r="H192" s="93"/>
      <c r="I192" s="93"/>
      <c r="J192" s="93"/>
      <c r="K192" s="93"/>
      <c r="L192" s="93"/>
      <c r="M192" s="93"/>
      <c r="N192" s="93"/>
      <c r="O192" s="93"/>
      <c r="P192" s="93"/>
      <c r="Q192" s="93"/>
      <c r="R192" s="93"/>
      <c r="S192" s="93"/>
      <c r="T192" s="93"/>
      <c r="U192" s="93"/>
      <c r="V192" s="93"/>
      <c r="W192" s="93"/>
    </row>
    <row r="193" spans="1:23" ht="15" customHeight="1">
      <c r="A193" s="40">
        <v>186</v>
      </c>
      <c r="B193" s="40" t="s">
        <v>2653</v>
      </c>
      <c r="C193" s="609" t="s">
        <v>2654</v>
      </c>
      <c r="D193" s="610">
        <v>400</v>
      </c>
      <c r="E193" s="610">
        <v>400</v>
      </c>
      <c r="F193" s="610">
        <v>400</v>
      </c>
      <c r="G193" s="93"/>
      <c r="H193" s="93"/>
      <c r="I193" s="93"/>
      <c r="J193" s="93"/>
      <c r="K193" s="93"/>
      <c r="L193" s="93"/>
      <c r="M193" s="93"/>
      <c r="N193" s="93"/>
      <c r="O193" s="93"/>
      <c r="P193" s="93"/>
      <c r="Q193" s="93"/>
      <c r="R193" s="93"/>
      <c r="S193" s="93"/>
      <c r="T193" s="93"/>
      <c r="U193" s="93"/>
      <c r="V193" s="93"/>
      <c r="W193" s="93"/>
    </row>
    <row r="194" spans="1:23" ht="15" customHeight="1">
      <c r="A194" s="40">
        <v>187</v>
      </c>
      <c r="B194" s="40" t="s">
        <v>2655</v>
      </c>
      <c r="C194" s="609" t="s">
        <v>2656</v>
      </c>
      <c r="D194" s="610">
        <v>100</v>
      </c>
      <c r="E194" s="610">
        <v>100</v>
      </c>
      <c r="F194" s="610">
        <v>100</v>
      </c>
      <c r="G194" s="93"/>
      <c r="H194" s="93"/>
      <c r="I194" s="93"/>
      <c r="J194" s="93"/>
      <c r="K194" s="93"/>
      <c r="L194" s="93"/>
      <c r="M194" s="93"/>
      <c r="N194" s="93"/>
      <c r="O194" s="93"/>
      <c r="P194" s="93"/>
      <c r="Q194" s="93"/>
      <c r="R194" s="93"/>
      <c r="S194" s="93"/>
      <c r="T194" s="93"/>
      <c r="U194" s="93"/>
      <c r="V194" s="93"/>
      <c r="W194" s="93"/>
    </row>
    <row r="195" spans="1:23" ht="15" customHeight="1">
      <c r="A195" s="40">
        <v>188</v>
      </c>
      <c r="B195" s="40" t="s">
        <v>655</v>
      </c>
      <c r="C195" s="609" t="s">
        <v>655</v>
      </c>
      <c r="D195" s="610">
        <v>1300</v>
      </c>
      <c r="E195" s="610">
        <v>1300</v>
      </c>
      <c r="F195" s="610">
        <v>1300</v>
      </c>
      <c r="G195" s="93"/>
      <c r="H195" s="93"/>
      <c r="I195" s="93"/>
      <c r="J195" s="93"/>
      <c r="K195" s="93"/>
      <c r="L195" s="93"/>
      <c r="M195" s="93"/>
      <c r="N195" s="93"/>
      <c r="O195" s="93"/>
      <c r="P195" s="93"/>
      <c r="Q195" s="93"/>
      <c r="R195" s="93"/>
      <c r="S195" s="93"/>
      <c r="T195" s="93"/>
      <c r="U195" s="93"/>
      <c r="V195" s="93"/>
      <c r="W195" s="93"/>
    </row>
    <row r="196" spans="1:23" ht="15" customHeight="1">
      <c r="A196" s="40">
        <v>189</v>
      </c>
      <c r="B196" s="40" t="s">
        <v>2657</v>
      </c>
      <c r="C196" s="609" t="s">
        <v>1678</v>
      </c>
      <c r="D196" s="610">
        <v>2000</v>
      </c>
      <c r="E196" s="610">
        <v>1550</v>
      </c>
      <c r="F196" s="610">
        <v>1550</v>
      </c>
      <c r="G196" s="93"/>
      <c r="H196" s="93"/>
      <c r="I196" s="93"/>
      <c r="J196" s="93"/>
      <c r="K196" s="93"/>
      <c r="L196" s="93"/>
      <c r="M196" s="93"/>
      <c r="N196" s="93"/>
      <c r="O196" s="93"/>
      <c r="P196" s="93"/>
      <c r="Q196" s="93"/>
      <c r="R196" s="93"/>
      <c r="S196" s="93"/>
      <c r="T196" s="93"/>
      <c r="U196" s="93"/>
      <c r="V196" s="93"/>
      <c r="W196" s="93"/>
    </row>
    <row r="197" spans="1:23" ht="15" customHeight="1">
      <c r="A197" s="40">
        <v>190</v>
      </c>
      <c r="B197" s="40" t="s">
        <v>1990</v>
      </c>
      <c r="C197" s="609" t="s">
        <v>1990</v>
      </c>
      <c r="D197" s="610">
        <v>600</v>
      </c>
      <c r="E197" s="610">
        <v>500</v>
      </c>
      <c r="F197" s="610">
        <v>500</v>
      </c>
      <c r="G197" s="93"/>
      <c r="H197" s="93"/>
      <c r="I197" s="93"/>
      <c r="J197" s="93"/>
      <c r="K197" s="93"/>
      <c r="L197" s="93"/>
      <c r="M197" s="93"/>
      <c r="N197" s="93"/>
      <c r="O197" s="93"/>
      <c r="P197" s="93"/>
      <c r="Q197" s="93"/>
      <c r="R197" s="93"/>
      <c r="S197" s="93"/>
      <c r="T197" s="93"/>
      <c r="U197" s="93"/>
      <c r="V197" s="93"/>
      <c r="W197" s="93"/>
    </row>
    <row r="198" spans="1:23" ht="15" customHeight="1">
      <c r="A198" s="40">
        <v>191</v>
      </c>
      <c r="B198" s="40" t="s">
        <v>2658</v>
      </c>
      <c r="C198" s="609" t="s">
        <v>2659</v>
      </c>
      <c r="D198" s="610">
        <v>350</v>
      </c>
      <c r="E198" s="610">
        <v>350</v>
      </c>
      <c r="F198" s="610">
        <v>350</v>
      </c>
      <c r="G198" s="93"/>
      <c r="H198" s="93"/>
      <c r="I198" s="93"/>
      <c r="J198" s="93"/>
      <c r="K198" s="93"/>
      <c r="L198" s="93"/>
      <c r="M198" s="93"/>
      <c r="N198" s="93"/>
      <c r="O198" s="93"/>
      <c r="P198" s="93"/>
      <c r="Q198" s="93"/>
      <c r="R198" s="93"/>
      <c r="S198" s="93"/>
      <c r="T198" s="93"/>
      <c r="U198" s="93"/>
      <c r="V198" s="93"/>
      <c r="W198" s="93"/>
    </row>
    <row r="199" spans="1:23" ht="15" customHeight="1">
      <c r="A199" s="40">
        <v>192</v>
      </c>
      <c r="B199" s="40" t="s">
        <v>1574</v>
      </c>
      <c r="C199" s="609" t="s">
        <v>1574</v>
      </c>
      <c r="D199" s="610">
        <v>1500</v>
      </c>
      <c r="E199" s="610">
        <v>1000</v>
      </c>
      <c r="F199" s="610">
        <v>1000</v>
      </c>
      <c r="G199" s="93"/>
      <c r="H199" s="93"/>
      <c r="I199" s="93"/>
      <c r="J199" s="93"/>
      <c r="K199" s="93"/>
      <c r="L199" s="93"/>
      <c r="M199" s="93"/>
      <c r="N199" s="93"/>
      <c r="O199" s="93"/>
      <c r="P199" s="93"/>
      <c r="Q199" s="93"/>
      <c r="R199" s="93"/>
      <c r="S199" s="93"/>
      <c r="T199" s="93"/>
      <c r="U199" s="93"/>
      <c r="V199" s="93"/>
      <c r="W199" s="93"/>
    </row>
    <row r="200" spans="1:23" ht="15" customHeight="1">
      <c r="A200" s="40">
        <v>193</v>
      </c>
      <c r="B200" s="40" t="s">
        <v>2660</v>
      </c>
      <c r="C200" s="609" t="s">
        <v>514</v>
      </c>
      <c r="D200" s="610">
        <v>3000</v>
      </c>
      <c r="E200" s="610">
        <v>3000</v>
      </c>
      <c r="F200" s="610">
        <v>3000</v>
      </c>
      <c r="G200" s="93"/>
      <c r="H200" s="93"/>
      <c r="I200" s="93"/>
      <c r="J200" s="93"/>
      <c r="K200" s="93"/>
      <c r="L200" s="93"/>
      <c r="M200" s="93"/>
      <c r="N200" s="93"/>
      <c r="O200" s="93"/>
      <c r="P200" s="93"/>
      <c r="Q200" s="93"/>
      <c r="R200" s="93"/>
      <c r="S200" s="93"/>
      <c r="T200" s="93"/>
      <c r="U200" s="93"/>
      <c r="V200" s="93"/>
      <c r="W200" s="93"/>
    </row>
    <row r="201" spans="1:23" ht="15" customHeight="1">
      <c r="A201" s="40">
        <v>194</v>
      </c>
      <c r="B201" s="40" t="s">
        <v>2661</v>
      </c>
      <c r="C201" s="609" t="s">
        <v>2662</v>
      </c>
      <c r="D201" s="610">
        <v>1800</v>
      </c>
      <c r="E201" s="610">
        <v>1800</v>
      </c>
      <c r="F201" s="610">
        <v>1800</v>
      </c>
      <c r="G201" s="93"/>
      <c r="H201" s="93"/>
      <c r="I201" s="93"/>
      <c r="J201" s="93"/>
      <c r="K201" s="93"/>
      <c r="L201" s="93"/>
      <c r="M201" s="93"/>
      <c r="N201" s="93"/>
      <c r="O201" s="93"/>
      <c r="P201" s="93"/>
      <c r="Q201" s="93"/>
      <c r="R201" s="93"/>
      <c r="S201" s="93"/>
      <c r="T201" s="93"/>
      <c r="U201" s="93"/>
      <c r="V201" s="93"/>
      <c r="W201" s="93"/>
    </row>
    <row r="202" spans="1:23" ht="15" customHeight="1">
      <c r="A202" s="93"/>
      <c r="B202" s="93"/>
      <c r="C202" s="93"/>
      <c r="D202" s="93"/>
      <c r="E202" s="93"/>
      <c r="F202" s="93"/>
      <c r="G202" s="93"/>
      <c r="H202" s="93"/>
      <c r="I202" s="93"/>
      <c r="J202" s="93"/>
      <c r="K202" s="93"/>
      <c r="L202" s="93"/>
      <c r="M202" s="93"/>
      <c r="N202" s="93"/>
      <c r="O202" s="93"/>
      <c r="P202" s="93"/>
      <c r="Q202" s="93"/>
      <c r="R202" s="93"/>
      <c r="S202" s="93"/>
      <c r="T202" s="93"/>
      <c r="U202" s="93"/>
      <c r="V202" s="93"/>
      <c r="W202" s="93"/>
    </row>
    <row r="203" spans="1:23" ht="1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row>
    <row r="204" spans="1:23" ht="15" customHeight="1">
      <c r="A204" s="93"/>
      <c r="B204" s="93"/>
      <c r="C204" s="93"/>
      <c r="D204" s="93"/>
      <c r="E204" s="93"/>
      <c r="F204" s="93"/>
      <c r="G204" s="93"/>
      <c r="H204" s="93"/>
      <c r="I204" s="93"/>
      <c r="J204" s="93"/>
      <c r="K204" s="93"/>
      <c r="L204" s="93"/>
      <c r="M204" s="93"/>
      <c r="N204" s="93"/>
      <c r="O204" s="93"/>
      <c r="P204" s="93"/>
      <c r="Q204" s="93"/>
      <c r="R204" s="93"/>
      <c r="S204" s="93"/>
      <c r="T204" s="93"/>
      <c r="U204" s="93"/>
      <c r="V204" s="93"/>
      <c r="W204" s="93"/>
    </row>
    <row r="205" spans="1:23" ht="1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row>
    <row r="206" spans="1:23" ht="1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row>
    <row r="207" spans="1:23" ht="1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row>
    <row r="208" spans="1:23" ht="1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row>
    <row r="209" spans="1:23" ht="1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row>
    <row r="210" spans="1:23" ht="1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row>
    <row r="211" spans="1:23" ht="1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row>
    <row r="212" spans="1:23" ht="1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row>
    <row r="213" spans="1:23" ht="1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row>
    <row r="214" spans="1:23" ht="1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row>
    <row r="215" spans="1:23" ht="1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row>
    <row r="216" spans="1:23" ht="1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row>
    <row r="217" spans="1:23" ht="1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row>
    <row r="218" spans="1:23" ht="1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row>
    <row r="219" spans="1:23" ht="1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row>
    <row r="220" spans="1:23" ht="1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row>
    <row r="221" spans="1:23" ht="1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row>
    <row r="222" spans="1:23" ht="1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row>
    <row r="223" spans="1:23" ht="1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row>
    <row r="224" spans="1:23" ht="1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row>
    <row r="225" spans="1:23" ht="15" customHeight="1">
      <c r="A225" s="93"/>
      <c r="B225" s="93"/>
      <c r="C225" s="93"/>
      <c r="D225" s="93"/>
      <c r="E225" s="93"/>
      <c r="F225" s="93"/>
      <c r="G225" s="93"/>
      <c r="H225" s="93"/>
      <c r="I225" s="93"/>
      <c r="J225" s="93"/>
      <c r="K225" s="93"/>
      <c r="L225" s="93"/>
      <c r="M225" s="93"/>
      <c r="N225" s="93"/>
      <c r="O225" s="93"/>
      <c r="P225" s="93"/>
      <c r="Q225" s="93"/>
      <c r="R225" s="93"/>
      <c r="S225" s="93"/>
      <c r="T225" s="93"/>
      <c r="U225" s="93"/>
      <c r="V225" s="93"/>
      <c r="W225" s="93"/>
    </row>
    <row r="226" spans="1:23" ht="15" customHeight="1">
      <c r="A226" s="93"/>
      <c r="B226" s="93"/>
      <c r="C226" s="93"/>
      <c r="D226" s="93"/>
      <c r="E226" s="93"/>
      <c r="F226" s="93"/>
      <c r="G226" s="93"/>
      <c r="H226" s="93"/>
      <c r="I226" s="93"/>
      <c r="J226" s="93"/>
      <c r="K226" s="93"/>
      <c r="L226" s="93"/>
      <c r="M226" s="93"/>
      <c r="N226" s="93"/>
      <c r="O226" s="93"/>
      <c r="P226" s="93"/>
      <c r="Q226" s="93"/>
      <c r="R226" s="93"/>
      <c r="S226" s="93"/>
      <c r="T226" s="93"/>
      <c r="U226" s="93"/>
      <c r="V226" s="93"/>
      <c r="W226" s="93"/>
    </row>
    <row r="227" spans="1:23" ht="15" customHeight="1">
      <c r="A227" s="93"/>
      <c r="B227" s="93"/>
      <c r="C227" s="93"/>
      <c r="D227" s="93"/>
      <c r="E227" s="93"/>
      <c r="F227" s="93"/>
      <c r="G227" s="93"/>
      <c r="H227" s="93"/>
      <c r="I227" s="93"/>
      <c r="J227" s="93"/>
      <c r="K227" s="93"/>
      <c r="L227" s="93"/>
      <c r="M227" s="93"/>
      <c r="N227" s="93"/>
      <c r="O227" s="93"/>
      <c r="P227" s="93"/>
      <c r="Q227" s="93"/>
      <c r="R227" s="93"/>
      <c r="S227" s="93"/>
      <c r="T227" s="93"/>
      <c r="U227" s="93"/>
      <c r="V227" s="93"/>
      <c r="W227" s="93"/>
    </row>
    <row r="228" spans="1:23" ht="15"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row>
    <row r="229" spans="1:23" ht="15" customHeight="1">
      <c r="A229" s="93"/>
      <c r="B229" s="93"/>
      <c r="C229" s="93"/>
      <c r="D229" s="93"/>
      <c r="E229" s="93"/>
      <c r="F229" s="93"/>
      <c r="G229" s="93"/>
      <c r="H229" s="93"/>
      <c r="I229" s="93"/>
      <c r="J229" s="93"/>
      <c r="K229" s="93"/>
      <c r="L229" s="93"/>
      <c r="M229" s="93"/>
      <c r="N229" s="93"/>
      <c r="O229" s="93"/>
      <c r="P229" s="93"/>
      <c r="Q229" s="93"/>
      <c r="R229" s="93"/>
      <c r="S229" s="93"/>
      <c r="T229" s="93"/>
      <c r="U229" s="93"/>
      <c r="V229" s="93"/>
      <c r="W229" s="93"/>
    </row>
    <row r="230" spans="1:23" ht="15" customHeight="1">
      <c r="A230" s="93"/>
      <c r="B230" s="93"/>
      <c r="C230" s="93"/>
      <c r="D230" s="93"/>
      <c r="E230" s="93"/>
      <c r="F230" s="93"/>
      <c r="G230" s="93"/>
      <c r="H230" s="93"/>
      <c r="I230" s="93"/>
      <c r="J230" s="93"/>
      <c r="K230" s="93"/>
      <c r="L230" s="93"/>
      <c r="M230" s="93"/>
      <c r="N230" s="93"/>
      <c r="O230" s="93"/>
      <c r="P230" s="93"/>
      <c r="Q230" s="93"/>
      <c r="R230" s="93"/>
      <c r="S230" s="93"/>
      <c r="T230" s="93"/>
      <c r="U230" s="93"/>
      <c r="V230" s="93"/>
      <c r="W230" s="93"/>
    </row>
    <row r="231" spans="1:23" ht="15" customHeight="1">
      <c r="A231" s="93"/>
      <c r="B231" s="93"/>
      <c r="C231" s="93"/>
      <c r="D231" s="93"/>
      <c r="E231" s="93"/>
      <c r="F231" s="93"/>
      <c r="G231" s="93"/>
      <c r="H231" s="93"/>
      <c r="I231" s="93"/>
      <c r="J231" s="93"/>
      <c r="K231" s="93"/>
      <c r="L231" s="93"/>
      <c r="M231" s="93"/>
      <c r="N231" s="93"/>
      <c r="O231" s="93"/>
      <c r="P231" s="93"/>
      <c r="Q231" s="93"/>
      <c r="R231" s="93"/>
      <c r="S231" s="93"/>
      <c r="T231" s="93"/>
      <c r="U231" s="93"/>
      <c r="V231" s="93"/>
      <c r="W231" s="93"/>
    </row>
    <row r="232" spans="1:23" ht="15" customHeight="1">
      <c r="A232" s="93"/>
      <c r="B232" s="93"/>
      <c r="C232" s="93"/>
      <c r="D232" s="93"/>
      <c r="E232" s="93"/>
      <c r="F232" s="93"/>
      <c r="G232" s="93"/>
      <c r="H232" s="93"/>
      <c r="I232" s="93"/>
      <c r="J232" s="93"/>
      <c r="K232" s="93"/>
      <c r="L232" s="93"/>
      <c r="M232" s="93"/>
      <c r="N232" s="93"/>
      <c r="O232" s="93"/>
      <c r="P232" s="93"/>
      <c r="Q232" s="93"/>
      <c r="R232" s="93"/>
      <c r="S232" s="93"/>
      <c r="T232" s="93"/>
      <c r="U232" s="93"/>
      <c r="V232" s="93"/>
      <c r="W232" s="93"/>
    </row>
    <row r="233" spans="1:23" ht="15" customHeight="1">
      <c r="A233" s="93"/>
      <c r="B233" s="93"/>
      <c r="C233" s="93"/>
      <c r="D233" s="93"/>
      <c r="E233" s="93"/>
      <c r="F233" s="93"/>
      <c r="G233" s="93"/>
      <c r="H233" s="93"/>
      <c r="I233" s="93"/>
      <c r="J233" s="93"/>
      <c r="K233" s="93"/>
      <c r="L233" s="93"/>
      <c r="M233" s="93"/>
      <c r="N233" s="93"/>
      <c r="O233" s="93"/>
      <c r="P233" s="93"/>
      <c r="Q233" s="93"/>
      <c r="R233" s="93"/>
      <c r="S233" s="93"/>
      <c r="T233" s="93"/>
      <c r="U233" s="93"/>
      <c r="V233" s="93"/>
      <c r="W233" s="93"/>
    </row>
    <row r="234" spans="1:23" ht="15" customHeight="1">
      <c r="A234" s="93"/>
      <c r="B234" s="93"/>
      <c r="C234" s="93"/>
      <c r="D234" s="93"/>
      <c r="E234" s="93"/>
      <c r="F234" s="93"/>
      <c r="G234" s="93"/>
      <c r="H234" s="93"/>
      <c r="I234" s="93"/>
      <c r="J234" s="93"/>
      <c r="K234" s="93"/>
      <c r="L234" s="93"/>
      <c r="M234" s="93"/>
      <c r="N234" s="93"/>
      <c r="O234" s="93"/>
      <c r="P234" s="93"/>
      <c r="Q234" s="93"/>
      <c r="R234" s="93"/>
      <c r="S234" s="93"/>
      <c r="T234" s="93"/>
      <c r="U234" s="93"/>
      <c r="V234" s="93"/>
      <c r="W234" s="93"/>
    </row>
    <row r="235" spans="1:23" ht="15" customHeight="1">
      <c r="A235" s="93"/>
      <c r="B235" s="93"/>
      <c r="C235" s="93"/>
      <c r="D235" s="93"/>
      <c r="E235" s="93"/>
      <c r="F235" s="93"/>
      <c r="G235" s="93"/>
      <c r="H235" s="93"/>
      <c r="I235" s="93"/>
      <c r="J235" s="93"/>
      <c r="K235" s="93"/>
      <c r="L235" s="93"/>
      <c r="M235" s="93"/>
      <c r="N235" s="93"/>
      <c r="O235" s="93"/>
      <c r="P235" s="93"/>
      <c r="Q235" s="93"/>
      <c r="R235" s="93"/>
      <c r="S235" s="93"/>
      <c r="T235" s="93"/>
      <c r="U235" s="93"/>
      <c r="V235" s="93"/>
      <c r="W235" s="93"/>
    </row>
    <row r="236" spans="1:23" ht="15" customHeight="1">
      <c r="A236" s="93"/>
      <c r="B236" s="93"/>
      <c r="C236" s="93"/>
      <c r="D236" s="93"/>
      <c r="E236" s="93"/>
      <c r="F236" s="93"/>
      <c r="G236" s="93"/>
      <c r="H236" s="93"/>
      <c r="I236" s="93"/>
      <c r="J236" s="93"/>
      <c r="K236" s="93"/>
      <c r="L236" s="93"/>
      <c r="M236" s="93"/>
      <c r="N236" s="93"/>
      <c r="O236" s="93"/>
      <c r="P236" s="93"/>
      <c r="Q236" s="93"/>
      <c r="R236" s="93"/>
      <c r="S236" s="93"/>
      <c r="T236" s="93"/>
      <c r="U236" s="93"/>
      <c r="V236" s="93"/>
      <c r="W236" s="93"/>
    </row>
    <row r="237" spans="1:23" ht="15" customHeight="1">
      <c r="A237" s="93"/>
      <c r="B237" s="93"/>
      <c r="C237" s="93"/>
      <c r="D237" s="93"/>
      <c r="E237" s="93"/>
      <c r="F237" s="93"/>
      <c r="G237" s="93"/>
      <c r="H237" s="93"/>
      <c r="I237" s="93"/>
      <c r="J237" s="93"/>
      <c r="K237" s="93"/>
      <c r="L237" s="93"/>
      <c r="M237" s="93"/>
      <c r="N237" s="93"/>
      <c r="O237" s="93"/>
      <c r="P237" s="93"/>
      <c r="Q237" s="93"/>
      <c r="R237" s="93"/>
      <c r="S237" s="93"/>
      <c r="T237" s="93"/>
      <c r="U237" s="93"/>
      <c r="V237" s="93"/>
      <c r="W237" s="93"/>
    </row>
    <row r="238" spans="1:23" ht="15" customHeight="1">
      <c r="A238" s="93"/>
      <c r="B238" s="93"/>
      <c r="C238" s="93"/>
      <c r="D238" s="93"/>
      <c r="E238" s="93"/>
      <c r="F238" s="93"/>
      <c r="G238" s="93"/>
      <c r="H238" s="93"/>
      <c r="I238" s="93"/>
      <c r="J238" s="93"/>
      <c r="K238" s="93"/>
      <c r="L238" s="93"/>
      <c r="M238" s="93"/>
      <c r="N238" s="93"/>
      <c r="O238" s="93"/>
      <c r="P238" s="93"/>
      <c r="Q238" s="93"/>
      <c r="R238" s="93"/>
      <c r="S238" s="93"/>
      <c r="T238" s="93"/>
      <c r="U238" s="93"/>
      <c r="V238" s="93"/>
      <c r="W238" s="93"/>
    </row>
    <row r="239" spans="1:23" ht="15" customHeight="1">
      <c r="A239" s="93"/>
      <c r="B239" s="93"/>
      <c r="C239" s="93"/>
      <c r="D239" s="93"/>
      <c r="E239" s="93"/>
      <c r="F239" s="93"/>
      <c r="G239" s="93"/>
      <c r="H239" s="93"/>
      <c r="I239" s="93"/>
      <c r="J239" s="93"/>
      <c r="K239" s="93"/>
      <c r="L239" s="93"/>
      <c r="M239" s="93"/>
      <c r="N239" s="93"/>
      <c r="O239" s="93"/>
      <c r="P239" s="93"/>
      <c r="Q239" s="93"/>
      <c r="R239" s="93"/>
      <c r="S239" s="93"/>
      <c r="T239" s="93"/>
      <c r="U239" s="93"/>
      <c r="V239" s="93"/>
      <c r="W239" s="93"/>
    </row>
    <row r="240" spans="1:23" ht="15" customHeight="1">
      <c r="A240" s="93"/>
      <c r="B240" s="93"/>
      <c r="C240" s="93"/>
      <c r="D240" s="93"/>
      <c r="E240" s="93"/>
      <c r="F240" s="93"/>
      <c r="G240" s="93"/>
      <c r="H240" s="93"/>
      <c r="I240" s="93"/>
      <c r="J240" s="93"/>
      <c r="K240" s="93"/>
      <c r="L240" s="93"/>
      <c r="M240" s="93"/>
      <c r="N240" s="93"/>
      <c r="O240" s="93"/>
      <c r="P240" s="93"/>
      <c r="Q240" s="93"/>
      <c r="R240" s="93"/>
      <c r="S240" s="93"/>
      <c r="T240" s="93"/>
      <c r="U240" s="93"/>
      <c r="V240" s="93"/>
      <c r="W240" s="93"/>
    </row>
    <row r="241" spans="1:23" ht="15" customHeight="1">
      <c r="A241" s="93"/>
      <c r="B241" s="93"/>
      <c r="C241" s="93"/>
      <c r="D241" s="93"/>
      <c r="E241" s="93"/>
      <c r="F241" s="93"/>
      <c r="G241" s="93"/>
      <c r="H241" s="93"/>
      <c r="I241" s="93"/>
      <c r="J241" s="93"/>
      <c r="K241" s="93"/>
      <c r="L241" s="93"/>
      <c r="M241" s="93"/>
      <c r="N241" s="93"/>
      <c r="O241" s="93"/>
      <c r="P241" s="93"/>
      <c r="Q241" s="93"/>
      <c r="R241" s="93"/>
      <c r="S241" s="93"/>
      <c r="T241" s="93"/>
      <c r="U241" s="93"/>
      <c r="V241" s="93"/>
      <c r="W241" s="93"/>
    </row>
    <row r="242" spans="1:23" ht="15" customHeight="1">
      <c r="A242" s="93"/>
      <c r="B242" s="93"/>
      <c r="C242" s="93"/>
      <c r="D242" s="93"/>
      <c r="E242" s="93"/>
      <c r="F242" s="93"/>
      <c r="G242" s="93"/>
      <c r="H242" s="93"/>
      <c r="I242" s="93"/>
      <c r="J242" s="93"/>
      <c r="K242" s="93"/>
      <c r="L242" s="93"/>
      <c r="M242" s="93"/>
      <c r="N242" s="93"/>
      <c r="O242" s="93"/>
      <c r="P242" s="93"/>
      <c r="Q242" s="93"/>
      <c r="R242" s="93"/>
      <c r="S242" s="93"/>
      <c r="T242" s="93"/>
      <c r="U242" s="93"/>
      <c r="V242" s="93"/>
      <c r="W242" s="93"/>
    </row>
    <row r="243" spans="1:23" ht="15" customHeight="1">
      <c r="A243" s="93"/>
      <c r="B243" s="93"/>
      <c r="C243" s="93"/>
      <c r="D243" s="93"/>
      <c r="E243" s="93"/>
      <c r="F243" s="93"/>
      <c r="G243" s="93"/>
      <c r="H243" s="93"/>
      <c r="I243" s="93"/>
      <c r="J243" s="93"/>
      <c r="K243" s="93"/>
      <c r="L243" s="93"/>
      <c r="M243" s="93"/>
      <c r="N243" s="93"/>
      <c r="O243" s="93"/>
      <c r="P243" s="93"/>
      <c r="Q243" s="93"/>
      <c r="R243" s="93"/>
      <c r="S243" s="93"/>
      <c r="T243" s="93"/>
      <c r="U243" s="93"/>
      <c r="V243" s="93"/>
      <c r="W243" s="93"/>
    </row>
    <row r="244" spans="1:23" ht="15" customHeight="1">
      <c r="A244" s="93"/>
      <c r="B244" s="93"/>
      <c r="C244" s="93"/>
      <c r="D244" s="93"/>
      <c r="E244" s="93"/>
      <c r="F244" s="93"/>
      <c r="G244" s="93"/>
      <c r="H244" s="93"/>
      <c r="I244" s="93"/>
      <c r="J244" s="93"/>
      <c r="K244" s="93"/>
      <c r="L244" s="93"/>
      <c r="M244" s="93"/>
      <c r="N244" s="93"/>
      <c r="O244" s="93"/>
      <c r="P244" s="93"/>
      <c r="Q244" s="93"/>
      <c r="R244" s="93"/>
      <c r="S244" s="93"/>
      <c r="T244" s="93"/>
      <c r="U244" s="93"/>
      <c r="V244" s="93"/>
      <c r="W244" s="93"/>
    </row>
    <row r="245" spans="1:23" ht="15" customHeight="1">
      <c r="A245" s="93"/>
      <c r="B245" s="93"/>
      <c r="C245" s="93"/>
      <c r="D245" s="93"/>
      <c r="E245" s="93"/>
      <c r="F245" s="93"/>
      <c r="G245" s="93"/>
      <c r="H245" s="93"/>
      <c r="I245" s="93"/>
      <c r="J245" s="93"/>
      <c r="K245" s="93"/>
      <c r="L245" s="93"/>
      <c r="M245" s="93"/>
      <c r="N245" s="93"/>
      <c r="O245" s="93"/>
      <c r="P245" s="93"/>
      <c r="Q245" s="93"/>
      <c r="R245" s="93"/>
      <c r="S245" s="93"/>
      <c r="T245" s="93"/>
      <c r="U245" s="93"/>
      <c r="V245" s="93"/>
      <c r="W245" s="93"/>
    </row>
    <row r="246" spans="1:23" ht="15" customHeight="1">
      <c r="A246" s="93"/>
      <c r="B246" s="93"/>
      <c r="C246" s="93"/>
      <c r="D246" s="93"/>
      <c r="E246" s="93"/>
      <c r="F246" s="93"/>
      <c r="G246" s="93"/>
      <c r="H246" s="93"/>
      <c r="I246" s="93"/>
      <c r="J246" s="93"/>
      <c r="K246" s="93"/>
      <c r="L246" s="93"/>
      <c r="M246" s="93"/>
      <c r="N246" s="93"/>
      <c r="O246" s="93"/>
      <c r="P246" s="93"/>
      <c r="Q246" s="93"/>
      <c r="R246" s="93"/>
      <c r="S246" s="93"/>
      <c r="T246" s="93"/>
      <c r="U246" s="93"/>
      <c r="V246" s="93"/>
      <c r="W246" s="93"/>
    </row>
    <row r="247" spans="1:23" ht="15" customHeight="1">
      <c r="A247" s="93"/>
      <c r="B247" s="93"/>
      <c r="C247" s="93"/>
      <c r="D247" s="93"/>
      <c r="E247" s="93"/>
      <c r="F247" s="93"/>
      <c r="G247" s="93"/>
      <c r="H247" s="93"/>
      <c r="I247" s="93"/>
      <c r="J247" s="93"/>
      <c r="K247" s="93"/>
      <c r="L247" s="93"/>
      <c r="M247" s="93"/>
      <c r="N247" s="93"/>
      <c r="O247" s="93"/>
      <c r="P247" s="93"/>
      <c r="Q247" s="93"/>
      <c r="R247" s="93"/>
      <c r="S247" s="93"/>
      <c r="T247" s="93"/>
      <c r="U247" s="93"/>
      <c r="V247" s="93"/>
      <c r="W247" s="93"/>
    </row>
    <row r="248" spans="1:23" ht="15" customHeight="1">
      <c r="A248" s="93"/>
      <c r="B248" s="93"/>
      <c r="C248" s="93"/>
      <c r="D248" s="93"/>
      <c r="E248" s="93"/>
      <c r="F248" s="93"/>
      <c r="G248" s="93"/>
      <c r="H248" s="93"/>
      <c r="I248" s="93"/>
      <c r="J248" s="93"/>
      <c r="K248" s="93"/>
      <c r="L248" s="93"/>
      <c r="M248" s="93"/>
      <c r="N248" s="93"/>
      <c r="O248" s="93"/>
      <c r="P248" s="93"/>
      <c r="Q248" s="93"/>
      <c r="R248" s="93"/>
      <c r="S248" s="93"/>
      <c r="T248" s="93"/>
      <c r="U248" s="93"/>
      <c r="V248" s="93"/>
      <c r="W248" s="93"/>
    </row>
    <row r="249" spans="1:23" ht="15" customHeight="1">
      <c r="A249" s="93"/>
      <c r="B249" s="93"/>
      <c r="C249" s="93"/>
      <c r="D249" s="93"/>
      <c r="E249" s="93"/>
      <c r="F249" s="93"/>
      <c r="G249" s="93"/>
      <c r="H249" s="93"/>
      <c r="I249" s="93"/>
      <c r="J249" s="93"/>
      <c r="K249" s="93"/>
      <c r="L249" s="93"/>
      <c r="M249" s="93"/>
      <c r="N249" s="93"/>
      <c r="O249" s="93"/>
      <c r="P249" s="93"/>
      <c r="Q249" s="93"/>
      <c r="R249" s="93"/>
      <c r="S249" s="93"/>
      <c r="T249" s="93"/>
      <c r="U249" s="93"/>
      <c r="V249" s="93"/>
      <c r="W249" s="93"/>
    </row>
    <row r="250" spans="1:23" ht="15" customHeight="1">
      <c r="A250" s="93"/>
      <c r="B250" s="93"/>
      <c r="C250" s="93"/>
      <c r="D250" s="93"/>
      <c r="E250" s="93"/>
      <c r="F250" s="93"/>
      <c r="G250" s="93"/>
      <c r="H250" s="93"/>
      <c r="I250" s="93"/>
      <c r="J250" s="93"/>
      <c r="K250" s="93"/>
      <c r="L250" s="93"/>
      <c r="M250" s="93"/>
      <c r="N250" s="93"/>
      <c r="O250" s="93"/>
      <c r="P250" s="93"/>
      <c r="Q250" s="93"/>
      <c r="R250" s="93"/>
      <c r="S250" s="93"/>
      <c r="T250" s="93"/>
      <c r="U250" s="93"/>
      <c r="V250" s="93"/>
      <c r="W250" s="93"/>
    </row>
    <row r="251" spans="1:23" ht="15" customHeight="1">
      <c r="A251" s="93"/>
      <c r="B251" s="93"/>
      <c r="C251" s="93"/>
      <c r="D251" s="93"/>
      <c r="E251" s="93"/>
      <c r="F251" s="93"/>
      <c r="G251" s="93"/>
      <c r="H251" s="93"/>
      <c r="I251" s="93"/>
      <c r="J251" s="93"/>
      <c r="K251" s="93"/>
      <c r="L251" s="93"/>
      <c r="M251" s="93"/>
      <c r="N251" s="93"/>
      <c r="O251" s="93"/>
      <c r="P251" s="93"/>
      <c r="Q251" s="93"/>
      <c r="R251" s="93"/>
      <c r="S251" s="93"/>
      <c r="T251" s="93"/>
      <c r="U251" s="93"/>
      <c r="V251" s="93"/>
      <c r="W251" s="93"/>
    </row>
    <row r="252" spans="1:23" ht="15" customHeight="1">
      <c r="A252" s="93"/>
      <c r="B252" s="93"/>
      <c r="C252" s="93"/>
      <c r="D252" s="93"/>
      <c r="E252" s="93"/>
      <c r="F252" s="93"/>
      <c r="G252" s="93"/>
      <c r="H252" s="93"/>
      <c r="I252" s="93"/>
      <c r="J252" s="93"/>
      <c r="K252" s="93"/>
      <c r="L252" s="93"/>
      <c r="M252" s="93"/>
      <c r="N252" s="93"/>
      <c r="O252" s="93"/>
      <c r="P252" s="93"/>
      <c r="Q252" s="93"/>
      <c r="R252" s="93"/>
      <c r="S252" s="93"/>
      <c r="T252" s="93"/>
      <c r="U252" s="93"/>
      <c r="V252" s="93"/>
      <c r="W252" s="93"/>
    </row>
    <row r="253" spans="1:23" ht="15" customHeight="1">
      <c r="A253" s="93"/>
      <c r="B253" s="93"/>
      <c r="C253" s="93"/>
      <c r="D253" s="93"/>
      <c r="E253" s="93"/>
      <c r="F253" s="93"/>
      <c r="G253" s="93"/>
      <c r="H253" s="93"/>
      <c r="I253" s="93"/>
      <c r="J253" s="93"/>
      <c r="K253" s="93"/>
      <c r="L253" s="93"/>
      <c r="M253" s="93"/>
      <c r="N253" s="93"/>
      <c r="O253" s="93"/>
      <c r="P253" s="93"/>
      <c r="Q253" s="93"/>
      <c r="R253" s="93"/>
      <c r="S253" s="93"/>
      <c r="T253" s="93"/>
      <c r="U253" s="93"/>
      <c r="V253" s="93"/>
      <c r="W253" s="93"/>
    </row>
    <row r="254" spans="1:23" ht="15" customHeight="1">
      <c r="A254" s="93"/>
      <c r="B254" s="93"/>
      <c r="C254" s="93"/>
      <c r="D254" s="93"/>
      <c r="E254" s="93"/>
      <c r="F254" s="93"/>
      <c r="G254" s="93"/>
      <c r="H254" s="93"/>
      <c r="I254" s="93"/>
      <c r="J254" s="93"/>
      <c r="K254" s="93"/>
      <c r="L254" s="93"/>
      <c r="M254" s="93"/>
      <c r="N254" s="93"/>
      <c r="O254" s="93"/>
      <c r="P254" s="93"/>
      <c r="Q254" s="93"/>
      <c r="R254" s="93"/>
      <c r="S254" s="93"/>
      <c r="T254" s="93"/>
      <c r="U254" s="93"/>
      <c r="V254" s="93"/>
      <c r="W254" s="93"/>
    </row>
    <row r="255" spans="1:23" ht="15" customHeight="1">
      <c r="A255" s="93"/>
      <c r="B255" s="93"/>
      <c r="C255" s="93"/>
      <c r="D255" s="93"/>
      <c r="E255" s="93"/>
      <c r="F255" s="93"/>
      <c r="G255" s="93"/>
      <c r="H255" s="93"/>
      <c r="I255" s="93"/>
      <c r="J255" s="93"/>
      <c r="K255" s="93"/>
      <c r="L255" s="93"/>
      <c r="M255" s="93"/>
      <c r="N255" s="93"/>
      <c r="O255" s="93"/>
      <c r="P255" s="93"/>
      <c r="Q255" s="93"/>
      <c r="R255" s="93"/>
      <c r="S255" s="93"/>
      <c r="T255" s="93"/>
      <c r="U255" s="93"/>
      <c r="V255" s="93"/>
      <c r="W255" s="93"/>
    </row>
    <row r="256" spans="1:23" ht="15" customHeight="1">
      <c r="A256" s="93"/>
      <c r="B256" s="93"/>
      <c r="C256" s="93"/>
      <c r="D256" s="93"/>
      <c r="E256" s="93"/>
      <c r="F256" s="93"/>
      <c r="G256" s="93"/>
      <c r="H256" s="93"/>
      <c r="I256" s="93"/>
      <c r="J256" s="93"/>
      <c r="K256" s="93"/>
      <c r="L256" s="93"/>
      <c r="M256" s="93"/>
      <c r="N256" s="93"/>
      <c r="O256" s="93"/>
      <c r="P256" s="93"/>
      <c r="Q256" s="93"/>
      <c r="R256" s="93"/>
      <c r="S256" s="93"/>
      <c r="T256" s="93"/>
      <c r="U256" s="93"/>
      <c r="V256" s="93"/>
      <c r="W256" s="93"/>
    </row>
    <row r="257" spans="1:23" ht="15" customHeight="1">
      <c r="A257" s="93"/>
      <c r="B257" s="93"/>
      <c r="C257" s="93"/>
      <c r="D257" s="93"/>
      <c r="E257" s="93"/>
      <c r="F257" s="93"/>
      <c r="G257" s="93"/>
      <c r="H257" s="93"/>
      <c r="I257" s="93"/>
      <c r="J257" s="93"/>
      <c r="K257" s="93"/>
      <c r="L257" s="93"/>
      <c r="M257" s="93"/>
      <c r="N257" s="93"/>
      <c r="O257" s="93"/>
      <c r="P257" s="93"/>
      <c r="Q257" s="93"/>
      <c r="R257" s="93"/>
      <c r="S257" s="93"/>
      <c r="T257" s="93"/>
      <c r="U257" s="93"/>
      <c r="V257" s="93"/>
      <c r="W257" s="93"/>
    </row>
    <row r="258" spans="1:23" ht="15" customHeight="1">
      <c r="A258" s="93"/>
      <c r="B258" s="93"/>
      <c r="C258" s="93"/>
      <c r="D258" s="93"/>
      <c r="E258" s="93"/>
      <c r="F258" s="93"/>
      <c r="G258" s="93"/>
      <c r="H258" s="93"/>
      <c r="I258" s="93"/>
      <c r="J258" s="93"/>
      <c r="K258" s="93"/>
      <c r="L258" s="93"/>
      <c r="M258" s="93"/>
      <c r="N258" s="93"/>
      <c r="O258" s="93"/>
      <c r="P258" s="93"/>
      <c r="Q258" s="93"/>
      <c r="R258" s="93"/>
      <c r="S258" s="93"/>
      <c r="T258" s="93"/>
      <c r="U258" s="93"/>
      <c r="V258" s="93"/>
      <c r="W258" s="93"/>
    </row>
    <row r="259" spans="1:23" ht="15" customHeight="1">
      <c r="A259" s="93"/>
      <c r="B259" s="93"/>
      <c r="C259" s="93"/>
      <c r="D259" s="93"/>
      <c r="E259" s="93"/>
      <c r="F259" s="93"/>
      <c r="G259" s="93"/>
      <c r="H259" s="93"/>
      <c r="I259" s="93"/>
      <c r="J259" s="93"/>
      <c r="K259" s="93"/>
      <c r="L259" s="93"/>
      <c r="M259" s="93"/>
      <c r="N259" s="93"/>
      <c r="O259" s="93"/>
      <c r="P259" s="93"/>
      <c r="Q259" s="93"/>
      <c r="R259" s="93"/>
      <c r="S259" s="93"/>
      <c r="T259" s="93"/>
      <c r="U259" s="93"/>
      <c r="V259" s="93"/>
      <c r="W259" s="93"/>
    </row>
    <row r="260" spans="1:23" ht="15" customHeight="1">
      <c r="A260" s="93"/>
      <c r="B260" s="93"/>
      <c r="C260" s="93"/>
      <c r="D260" s="93"/>
      <c r="E260" s="93"/>
      <c r="F260" s="93"/>
      <c r="G260" s="93"/>
      <c r="H260" s="93"/>
      <c r="I260" s="93"/>
      <c r="J260" s="93"/>
      <c r="K260" s="93"/>
      <c r="L260" s="93"/>
      <c r="M260" s="93"/>
      <c r="N260" s="93"/>
      <c r="O260" s="93"/>
      <c r="P260" s="93"/>
      <c r="Q260" s="93"/>
      <c r="R260" s="93"/>
      <c r="S260" s="93"/>
      <c r="T260" s="93"/>
      <c r="U260" s="93"/>
      <c r="V260" s="93"/>
      <c r="W260" s="93"/>
    </row>
    <row r="261" spans="1:23" ht="15" customHeight="1">
      <c r="A261" s="93"/>
      <c r="B261" s="93"/>
      <c r="C261" s="93"/>
      <c r="D261" s="93"/>
      <c r="E261" s="93"/>
      <c r="F261" s="93"/>
      <c r="G261" s="93"/>
      <c r="H261" s="93"/>
      <c r="I261" s="93"/>
      <c r="J261" s="93"/>
      <c r="K261" s="93"/>
      <c r="L261" s="93"/>
      <c r="M261" s="93"/>
      <c r="N261" s="93"/>
      <c r="O261" s="93"/>
      <c r="P261" s="93"/>
      <c r="Q261" s="93"/>
      <c r="R261" s="93"/>
      <c r="S261" s="93"/>
      <c r="T261" s="93"/>
      <c r="U261" s="93"/>
      <c r="V261" s="93"/>
      <c r="W261" s="93"/>
    </row>
    <row r="262" spans="1:23" ht="15" customHeight="1">
      <c r="A262" s="93"/>
      <c r="B262" s="93"/>
      <c r="C262" s="93"/>
      <c r="D262" s="93"/>
      <c r="E262" s="93"/>
      <c r="F262" s="93"/>
      <c r="G262" s="93"/>
      <c r="H262" s="93"/>
      <c r="I262" s="93"/>
      <c r="J262" s="93"/>
      <c r="K262" s="93"/>
      <c r="L262" s="93"/>
      <c r="M262" s="93"/>
      <c r="N262" s="93"/>
      <c r="O262" s="93"/>
      <c r="P262" s="93"/>
      <c r="Q262" s="93"/>
      <c r="R262" s="93"/>
      <c r="S262" s="93"/>
      <c r="T262" s="93"/>
      <c r="U262" s="93"/>
      <c r="V262" s="93"/>
      <c r="W262" s="93"/>
    </row>
    <row r="263" spans="1:23" ht="15" customHeight="1">
      <c r="A263" s="93"/>
      <c r="B263" s="93"/>
      <c r="C263" s="93"/>
      <c r="D263" s="93"/>
      <c r="E263" s="93"/>
      <c r="F263" s="93"/>
      <c r="G263" s="93"/>
      <c r="H263" s="93"/>
      <c r="I263" s="93"/>
      <c r="J263" s="93"/>
      <c r="K263" s="93"/>
      <c r="L263" s="93"/>
      <c r="M263" s="93"/>
      <c r="N263" s="93"/>
      <c r="O263" s="93"/>
      <c r="P263" s="93"/>
      <c r="Q263" s="93"/>
      <c r="R263" s="93"/>
      <c r="S263" s="93"/>
      <c r="T263" s="93"/>
      <c r="U263" s="93"/>
      <c r="V263" s="93"/>
      <c r="W263" s="93"/>
    </row>
    <row r="264" spans="1:23" ht="15" customHeight="1">
      <c r="A264" s="93"/>
      <c r="B264" s="93"/>
      <c r="C264" s="93"/>
      <c r="D264" s="93"/>
      <c r="E264" s="93"/>
      <c r="F264" s="93"/>
      <c r="G264" s="93"/>
      <c r="H264" s="93"/>
      <c r="I264" s="93"/>
      <c r="J264" s="93"/>
      <c r="K264" s="93"/>
      <c r="L264" s="93"/>
      <c r="M264" s="93"/>
      <c r="N264" s="93"/>
      <c r="O264" s="93"/>
      <c r="P264" s="93"/>
      <c r="Q264" s="93"/>
      <c r="R264" s="93"/>
      <c r="S264" s="93"/>
      <c r="T264" s="93"/>
      <c r="U264" s="93"/>
      <c r="V264" s="93"/>
      <c r="W264" s="93"/>
    </row>
    <row r="265" spans="1:23" ht="15" customHeight="1">
      <c r="A265" s="93"/>
      <c r="B265" s="93"/>
      <c r="C265" s="93"/>
      <c r="D265" s="93"/>
      <c r="E265" s="93"/>
      <c r="F265" s="93"/>
      <c r="G265" s="93"/>
      <c r="H265" s="93"/>
      <c r="I265" s="93"/>
      <c r="J265" s="93"/>
      <c r="K265" s="93"/>
      <c r="L265" s="93"/>
      <c r="M265" s="93"/>
      <c r="N265" s="93"/>
      <c r="O265" s="93"/>
      <c r="P265" s="93"/>
      <c r="Q265" s="93"/>
      <c r="R265" s="93"/>
      <c r="S265" s="93"/>
      <c r="T265" s="93"/>
      <c r="U265" s="93"/>
      <c r="V265" s="93"/>
      <c r="W265" s="93"/>
    </row>
    <row r="266" spans="1:23" ht="15" customHeight="1">
      <c r="A266" s="93"/>
      <c r="B266" s="93"/>
      <c r="C266" s="93"/>
      <c r="D266" s="93"/>
      <c r="E266" s="93"/>
      <c r="F266" s="93"/>
      <c r="G266" s="93"/>
      <c r="H266" s="93"/>
      <c r="I266" s="93"/>
      <c r="J266" s="93"/>
      <c r="K266" s="93"/>
      <c r="L266" s="93"/>
      <c r="M266" s="93"/>
      <c r="N266" s="93"/>
      <c r="O266" s="93"/>
      <c r="P266" s="93"/>
      <c r="Q266" s="93"/>
      <c r="R266" s="93"/>
      <c r="S266" s="93"/>
      <c r="T266" s="93"/>
      <c r="U266" s="93"/>
      <c r="V266" s="93"/>
      <c r="W266" s="93"/>
    </row>
    <row r="267" spans="1:23" ht="15" customHeight="1">
      <c r="A267" s="93"/>
      <c r="B267" s="93"/>
      <c r="C267" s="93"/>
      <c r="D267" s="93"/>
      <c r="E267" s="93"/>
      <c r="F267" s="93"/>
      <c r="G267" s="93"/>
      <c r="H267" s="93"/>
      <c r="I267" s="93"/>
      <c r="J267" s="93"/>
      <c r="K267" s="93"/>
      <c r="L267" s="93"/>
      <c r="M267" s="93"/>
      <c r="N267" s="93"/>
      <c r="O267" s="93"/>
      <c r="P267" s="93"/>
      <c r="Q267" s="93"/>
      <c r="R267" s="93"/>
      <c r="S267" s="93"/>
      <c r="T267" s="93"/>
      <c r="U267" s="93"/>
      <c r="V267" s="93"/>
      <c r="W267" s="93"/>
    </row>
    <row r="268" spans="1:23" ht="15" customHeight="1">
      <c r="A268" s="93"/>
      <c r="B268" s="93"/>
      <c r="C268" s="93"/>
      <c r="D268" s="93"/>
      <c r="E268" s="93"/>
      <c r="F268" s="93"/>
      <c r="G268" s="93"/>
      <c r="H268" s="93"/>
      <c r="I268" s="93"/>
      <c r="J268" s="93"/>
      <c r="K268" s="93"/>
      <c r="L268" s="93"/>
      <c r="M268" s="93"/>
      <c r="N268" s="93"/>
      <c r="O268" s="93"/>
      <c r="P268" s="93"/>
      <c r="Q268" s="93"/>
      <c r="R268" s="93"/>
      <c r="S268" s="93"/>
      <c r="T268" s="93"/>
      <c r="U268" s="93"/>
      <c r="V268" s="93"/>
      <c r="W268" s="93"/>
    </row>
    <row r="269" spans="1:23" ht="15" customHeight="1">
      <c r="A269" s="93"/>
      <c r="B269" s="93"/>
      <c r="C269" s="93"/>
      <c r="D269" s="93"/>
      <c r="E269" s="93"/>
      <c r="F269" s="93"/>
      <c r="G269" s="93"/>
      <c r="H269" s="93"/>
      <c r="I269" s="93"/>
      <c r="J269" s="93"/>
      <c r="K269" s="93"/>
      <c r="L269" s="93"/>
      <c r="M269" s="93"/>
      <c r="N269" s="93"/>
      <c r="O269" s="93"/>
      <c r="P269" s="93"/>
      <c r="Q269" s="93"/>
      <c r="R269" s="93"/>
      <c r="S269" s="93"/>
      <c r="T269" s="93"/>
      <c r="U269" s="93"/>
      <c r="V269" s="93"/>
      <c r="W269" s="93"/>
    </row>
    <row r="270" spans="1:23" ht="15" customHeight="1">
      <c r="A270" s="93"/>
      <c r="B270" s="93"/>
      <c r="C270" s="93"/>
      <c r="D270" s="93"/>
      <c r="E270" s="93"/>
      <c r="F270" s="93"/>
      <c r="G270" s="93"/>
      <c r="H270" s="93"/>
      <c r="I270" s="93"/>
      <c r="J270" s="93"/>
      <c r="K270" s="93"/>
      <c r="L270" s="93"/>
      <c r="M270" s="93"/>
      <c r="N270" s="93"/>
      <c r="O270" s="93"/>
      <c r="P270" s="93"/>
      <c r="Q270" s="93"/>
      <c r="R270" s="93"/>
      <c r="S270" s="93"/>
      <c r="T270" s="93"/>
      <c r="U270" s="93"/>
      <c r="V270" s="93"/>
      <c r="W270" s="93"/>
    </row>
    <row r="271" spans="1:23" ht="15" customHeight="1">
      <c r="A271" s="93"/>
      <c r="B271" s="93"/>
      <c r="C271" s="93"/>
      <c r="D271" s="93"/>
      <c r="E271" s="93"/>
      <c r="F271" s="93"/>
      <c r="G271" s="93"/>
      <c r="H271" s="93"/>
      <c r="I271" s="93"/>
      <c r="J271" s="93"/>
      <c r="K271" s="93"/>
      <c r="L271" s="93"/>
      <c r="M271" s="93"/>
      <c r="N271" s="93"/>
      <c r="O271" s="93"/>
      <c r="P271" s="93"/>
      <c r="Q271" s="93"/>
      <c r="R271" s="93"/>
      <c r="S271" s="93"/>
      <c r="T271" s="93"/>
      <c r="U271" s="93"/>
      <c r="V271" s="93"/>
      <c r="W271" s="93"/>
    </row>
    <row r="272" spans="1:23" ht="15" customHeight="1">
      <c r="A272" s="93"/>
      <c r="B272" s="93"/>
      <c r="C272" s="93"/>
      <c r="D272" s="93"/>
      <c r="E272" s="93"/>
      <c r="F272" s="93"/>
      <c r="G272" s="93"/>
      <c r="H272" s="93"/>
      <c r="I272" s="93"/>
      <c r="J272" s="93"/>
      <c r="K272" s="93"/>
      <c r="L272" s="93"/>
      <c r="M272" s="93"/>
      <c r="N272" s="93"/>
      <c r="O272" s="93"/>
      <c r="P272" s="93"/>
      <c r="Q272" s="93"/>
      <c r="R272" s="93"/>
      <c r="S272" s="93"/>
      <c r="T272" s="93"/>
      <c r="U272" s="93"/>
      <c r="V272" s="93"/>
      <c r="W272" s="93"/>
    </row>
    <row r="273" spans="1:23" ht="15" customHeight="1">
      <c r="A273" s="93"/>
      <c r="B273" s="93"/>
      <c r="C273" s="93"/>
      <c r="D273" s="93"/>
      <c r="E273" s="93"/>
      <c r="F273" s="93"/>
      <c r="G273" s="93"/>
      <c r="H273" s="93"/>
      <c r="I273" s="93"/>
      <c r="J273" s="93"/>
      <c r="K273" s="93"/>
      <c r="L273" s="93"/>
      <c r="M273" s="93"/>
      <c r="N273" s="93"/>
      <c r="O273" s="93"/>
      <c r="P273" s="93"/>
      <c r="Q273" s="93"/>
      <c r="R273" s="93"/>
      <c r="S273" s="93"/>
      <c r="T273" s="93"/>
      <c r="U273" s="93"/>
      <c r="V273" s="93"/>
      <c r="W273" s="93"/>
    </row>
    <row r="274" spans="1:23" ht="15" customHeight="1">
      <c r="A274" s="93"/>
      <c r="B274" s="93"/>
      <c r="C274" s="93"/>
      <c r="D274" s="93"/>
      <c r="E274" s="93"/>
      <c r="F274" s="93"/>
      <c r="G274" s="93"/>
      <c r="H274" s="93"/>
      <c r="I274" s="93"/>
      <c r="J274" s="93"/>
      <c r="K274" s="93"/>
      <c r="L274" s="93"/>
      <c r="M274" s="93"/>
      <c r="N274" s="93"/>
      <c r="O274" s="93"/>
      <c r="P274" s="93"/>
      <c r="Q274" s="93"/>
      <c r="R274" s="93"/>
      <c r="S274" s="93"/>
      <c r="T274" s="93"/>
      <c r="U274" s="93"/>
      <c r="V274" s="93"/>
      <c r="W274" s="93"/>
    </row>
    <row r="275" spans="1:23" ht="15" customHeight="1">
      <c r="A275" s="93"/>
      <c r="B275" s="93"/>
      <c r="C275" s="93"/>
      <c r="D275" s="93"/>
      <c r="E275" s="93"/>
      <c r="F275" s="93"/>
      <c r="G275" s="93"/>
      <c r="H275" s="93"/>
      <c r="I275" s="93"/>
      <c r="J275" s="93"/>
      <c r="K275" s="93"/>
      <c r="L275" s="93"/>
      <c r="M275" s="93"/>
      <c r="N275" s="93"/>
      <c r="O275" s="93"/>
      <c r="P275" s="93"/>
      <c r="Q275" s="93"/>
      <c r="R275" s="93"/>
      <c r="S275" s="93"/>
      <c r="T275" s="93"/>
      <c r="U275" s="93"/>
      <c r="V275" s="93"/>
      <c r="W275" s="93"/>
    </row>
    <row r="276" spans="1:23" ht="15" customHeight="1">
      <c r="A276" s="93"/>
      <c r="B276" s="93"/>
      <c r="C276" s="93"/>
      <c r="D276" s="93"/>
      <c r="E276" s="93"/>
      <c r="F276" s="93"/>
      <c r="G276" s="93"/>
      <c r="H276" s="93"/>
      <c r="I276" s="93"/>
      <c r="J276" s="93"/>
      <c r="K276" s="93"/>
      <c r="L276" s="93"/>
      <c r="M276" s="93"/>
      <c r="N276" s="93"/>
      <c r="O276" s="93"/>
      <c r="P276" s="93"/>
      <c r="Q276" s="93"/>
      <c r="R276" s="93"/>
      <c r="S276" s="93"/>
      <c r="T276" s="93"/>
      <c r="U276" s="93"/>
      <c r="V276" s="93"/>
      <c r="W276" s="93"/>
    </row>
    <row r="277" spans="1:23" ht="15" customHeight="1">
      <c r="A277" s="93"/>
      <c r="B277" s="93"/>
      <c r="C277" s="93"/>
      <c r="D277" s="93"/>
      <c r="E277" s="93"/>
      <c r="F277" s="93"/>
      <c r="G277" s="93"/>
      <c r="H277" s="93"/>
      <c r="I277" s="93"/>
      <c r="J277" s="93"/>
      <c r="K277" s="93"/>
      <c r="L277" s="93"/>
      <c r="M277" s="93"/>
      <c r="N277" s="93"/>
      <c r="O277" s="93"/>
      <c r="P277" s="93"/>
      <c r="Q277" s="93"/>
      <c r="R277" s="93"/>
      <c r="S277" s="93"/>
      <c r="T277" s="93"/>
      <c r="U277" s="93"/>
      <c r="V277" s="93"/>
      <c r="W277" s="93"/>
    </row>
    <row r="278" spans="1:23" ht="15" customHeight="1">
      <c r="A278" s="93"/>
      <c r="B278" s="93"/>
      <c r="C278" s="93"/>
      <c r="D278" s="93"/>
      <c r="E278" s="93"/>
      <c r="F278" s="93"/>
      <c r="G278" s="93"/>
      <c r="H278" s="93"/>
      <c r="I278" s="93"/>
      <c r="J278" s="93"/>
      <c r="K278" s="93"/>
      <c r="L278" s="93"/>
      <c r="M278" s="93"/>
      <c r="N278" s="93"/>
      <c r="O278" s="93"/>
      <c r="P278" s="93"/>
      <c r="Q278" s="93"/>
      <c r="R278" s="93"/>
      <c r="S278" s="93"/>
      <c r="T278" s="93"/>
      <c r="U278" s="93"/>
      <c r="V278" s="93"/>
      <c r="W278" s="93"/>
    </row>
    <row r="279" spans="1:23" ht="15" customHeight="1">
      <c r="A279" s="93"/>
      <c r="B279" s="93"/>
      <c r="C279" s="93"/>
      <c r="D279" s="93"/>
      <c r="E279" s="93"/>
      <c r="F279" s="93"/>
      <c r="G279" s="93"/>
      <c r="H279" s="93"/>
      <c r="I279" s="93"/>
      <c r="J279" s="93"/>
      <c r="K279" s="93"/>
      <c r="L279" s="93"/>
      <c r="M279" s="93"/>
      <c r="N279" s="93"/>
      <c r="O279" s="93"/>
      <c r="P279" s="93"/>
      <c r="Q279" s="93"/>
      <c r="R279" s="93"/>
      <c r="S279" s="93"/>
      <c r="T279" s="93"/>
      <c r="U279" s="93"/>
      <c r="V279" s="93"/>
      <c r="W279" s="93"/>
    </row>
    <row r="280" spans="1:23" ht="15" customHeight="1">
      <c r="A280" s="93"/>
      <c r="B280" s="93"/>
      <c r="C280" s="93"/>
      <c r="D280" s="93"/>
      <c r="E280" s="93"/>
      <c r="F280" s="93"/>
      <c r="G280" s="93"/>
      <c r="H280" s="93"/>
      <c r="I280" s="93"/>
      <c r="J280" s="93"/>
      <c r="K280" s="93"/>
      <c r="L280" s="93"/>
      <c r="M280" s="93"/>
      <c r="N280" s="93"/>
      <c r="O280" s="93"/>
      <c r="P280" s="93"/>
      <c r="Q280" s="93"/>
      <c r="R280" s="93"/>
      <c r="S280" s="93"/>
      <c r="T280" s="93"/>
      <c r="U280" s="93"/>
      <c r="V280" s="93"/>
      <c r="W280" s="93"/>
    </row>
    <row r="281" spans="1:23" ht="15" customHeight="1">
      <c r="A281" s="93"/>
      <c r="B281" s="93"/>
      <c r="C281" s="93"/>
      <c r="D281" s="93"/>
      <c r="E281" s="93"/>
      <c r="F281" s="93"/>
      <c r="G281" s="93"/>
      <c r="H281" s="93"/>
      <c r="I281" s="93"/>
      <c r="J281" s="93"/>
      <c r="K281" s="93"/>
      <c r="L281" s="93"/>
      <c r="M281" s="93"/>
      <c r="N281" s="93"/>
      <c r="O281" s="93"/>
      <c r="P281" s="93"/>
      <c r="Q281" s="93"/>
      <c r="R281" s="93"/>
      <c r="S281" s="93"/>
      <c r="T281" s="93"/>
      <c r="U281" s="93"/>
      <c r="V281" s="93"/>
      <c r="W281" s="93"/>
    </row>
    <row r="282" spans="1:23" ht="15" customHeight="1">
      <c r="A282" s="93"/>
      <c r="B282" s="93"/>
      <c r="C282" s="93"/>
      <c r="D282" s="93"/>
      <c r="E282" s="93"/>
      <c r="F282" s="93"/>
      <c r="G282" s="93"/>
      <c r="H282" s="93"/>
      <c r="I282" s="93"/>
      <c r="J282" s="93"/>
      <c r="K282" s="93"/>
      <c r="L282" s="93"/>
      <c r="M282" s="93"/>
      <c r="N282" s="93"/>
      <c r="O282" s="93"/>
      <c r="P282" s="93"/>
      <c r="Q282" s="93"/>
      <c r="R282" s="93"/>
      <c r="S282" s="93"/>
      <c r="T282" s="93"/>
      <c r="U282" s="93"/>
      <c r="V282" s="93"/>
      <c r="W282" s="93"/>
    </row>
    <row r="283" spans="1:23" ht="15" customHeight="1">
      <c r="A283" s="93"/>
      <c r="B283" s="93"/>
      <c r="C283" s="93"/>
      <c r="D283" s="93"/>
      <c r="E283" s="93"/>
      <c r="F283" s="93"/>
      <c r="G283" s="93"/>
      <c r="H283" s="93"/>
      <c r="I283" s="93"/>
      <c r="J283" s="93"/>
      <c r="K283" s="93"/>
      <c r="L283" s="93"/>
      <c r="M283" s="93"/>
      <c r="N283" s="93"/>
      <c r="O283" s="93"/>
      <c r="P283" s="93"/>
      <c r="Q283" s="93"/>
      <c r="R283" s="93"/>
      <c r="S283" s="93"/>
      <c r="T283" s="93"/>
      <c r="U283" s="93"/>
      <c r="V283" s="93"/>
      <c r="W283" s="93"/>
    </row>
    <row r="284" spans="1:23" ht="15" customHeight="1">
      <c r="A284" s="93"/>
      <c r="B284" s="93"/>
      <c r="C284" s="93"/>
      <c r="D284" s="93"/>
      <c r="E284" s="93"/>
      <c r="F284" s="93"/>
      <c r="G284" s="93"/>
      <c r="H284" s="93"/>
      <c r="I284" s="93"/>
      <c r="J284" s="93"/>
      <c r="K284" s="93"/>
      <c r="L284" s="93"/>
      <c r="M284" s="93"/>
      <c r="N284" s="93"/>
      <c r="O284" s="93"/>
      <c r="P284" s="93"/>
      <c r="Q284" s="93"/>
      <c r="R284" s="93"/>
      <c r="S284" s="93"/>
      <c r="T284" s="93"/>
      <c r="U284" s="93"/>
      <c r="V284" s="93"/>
      <c r="W284" s="93"/>
    </row>
    <row r="285" spans="1:23" ht="15" customHeight="1">
      <c r="A285" s="93"/>
      <c r="B285" s="93"/>
      <c r="C285" s="93"/>
      <c r="D285" s="93"/>
      <c r="E285" s="93"/>
      <c r="F285" s="93"/>
      <c r="G285" s="93"/>
      <c r="H285" s="93"/>
      <c r="I285" s="93"/>
      <c r="J285" s="93"/>
      <c r="K285" s="93"/>
      <c r="L285" s="93"/>
      <c r="M285" s="93"/>
      <c r="N285" s="93"/>
      <c r="O285" s="93"/>
      <c r="P285" s="93"/>
      <c r="Q285" s="93"/>
      <c r="R285" s="93"/>
      <c r="S285" s="93"/>
      <c r="T285" s="93"/>
      <c r="U285" s="93"/>
      <c r="V285" s="93"/>
      <c r="W285" s="93"/>
    </row>
    <row r="286" spans="1:23" ht="15" customHeight="1">
      <c r="A286" s="93"/>
      <c r="B286" s="93"/>
      <c r="C286" s="93"/>
      <c r="D286" s="93"/>
      <c r="E286" s="93"/>
      <c r="F286" s="93"/>
      <c r="G286" s="93"/>
      <c r="H286" s="93"/>
      <c r="I286" s="93"/>
      <c r="J286" s="93"/>
      <c r="K286" s="93"/>
      <c r="L286" s="93"/>
      <c r="M286" s="93"/>
      <c r="N286" s="93"/>
      <c r="O286" s="93"/>
      <c r="P286" s="93"/>
      <c r="Q286" s="93"/>
      <c r="R286" s="93"/>
      <c r="S286" s="93"/>
      <c r="T286" s="93"/>
      <c r="U286" s="93"/>
      <c r="V286" s="93"/>
      <c r="W286" s="93"/>
    </row>
    <row r="287" spans="1:23" ht="15" customHeight="1">
      <c r="A287" s="93"/>
      <c r="B287" s="93"/>
      <c r="C287" s="93"/>
      <c r="D287" s="93"/>
      <c r="E287" s="93"/>
      <c r="F287" s="93"/>
      <c r="G287" s="93"/>
      <c r="H287" s="93"/>
      <c r="I287" s="93"/>
      <c r="J287" s="93"/>
      <c r="K287" s="93"/>
      <c r="L287" s="93"/>
      <c r="M287" s="93"/>
      <c r="N287" s="93"/>
      <c r="O287" s="93"/>
      <c r="P287" s="93"/>
      <c r="Q287" s="93"/>
      <c r="R287" s="93"/>
      <c r="S287" s="93"/>
      <c r="T287" s="93"/>
      <c r="U287" s="93"/>
      <c r="V287" s="93"/>
      <c r="W287" s="93"/>
    </row>
    <row r="288" spans="1:23" ht="15" customHeight="1">
      <c r="A288" s="93"/>
      <c r="B288" s="93"/>
      <c r="C288" s="93"/>
      <c r="D288" s="93"/>
      <c r="E288" s="93"/>
      <c r="F288" s="93"/>
      <c r="G288" s="93"/>
      <c r="H288" s="93"/>
      <c r="I288" s="93"/>
      <c r="J288" s="93"/>
      <c r="K288" s="93"/>
      <c r="L288" s="93"/>
      <c r="M288" s="93"/>
      <c r="N288" s="93"/>
      <c r="O288" s="93"/>
      <c r="P288" s="93"/>
      <c r="Q288" s="93"/>
      <c r="R288" s="93"/>
      <c r="S288" s="93"/>
      <c r="T288" s="93"/>
      <c r="U288" s="93"/>
      <c r="V288" s="93"/>
      <c r="W288" s="93"/>
    </row>
    <row r="289" spans="1:23" ht="15" customHeight="1">
      <c r="A289" s="93"/>
      <c r="B289" s="93"/>
      <c r="C289" s="93"/>
      <c r="D289" s="93"/>
      <c r="E289" s="93"/>
      <c r="F289" s="93"/>
      <c r="G289" s="93"/>
      <c r="H289" s="93"/>
      <c r="I289" s="93"/>
      <c r="J289" s="93"/>
      <c r="K289" s="93"/>
      <c r="L289" s="93"/>
      <c r="M289" s="93"/>
      <c r="N289" s="93"/>
      <c r="O289" s="93"/>
      <c r="P289" s="93"/>
      <c r="Q289" s="93"/>
      <c r="R289" s="93"/>
      <c r="S289" s="93"/>
      <c r="T289" s="93"/>
      <c r="U289" s="93"/>
      <c r="V289" s="93"/>
      <c r="W289" s="93"/>
    </row>
    <row r="290" spans="1:23" ht="15" customHeight="1">
      <c r="A290" s="93"/>
      <c r="B290" s="93"/>
      <c r="C290" s="93"/>
      <c r="D290" s="93"/>
      <c r="E290" s="93"/>
      <c r="F290" s="93"/>
      <c r="G290" s="93"/>
      <c r="H290" s="93"/>
      <c r="I290" s="93"/>
      <c r="J290" s="93"/>
      <c r="K290" s="93"/>
      <c r="L290" s="93"/>
      <c r="M290" s="93"/>
      <c r="N290" s="93"/>
      <c r="O290" s="93"/>
      <c r="P290" s="93"/>
      <c r="Q290" s="93"/>
      <c r="R290" s="93"/>
      <c r="S290" s="93"/>
      <c r="T290" s="93"/>
      <c r="U290" s="93"/>
      <c r="V290" s="93"/>
      <c r="W290" s="93"/>
    </row>
    <row r="291" spans="1:23" ht="15" customHeight="1">
      <c r="A291" s="93"/>
      <c r="B291" s="93"/>
      <c r="C291" s="93"/>
      <c r="D291" s="93"/>
      <c r="E291" s="93"/>
      <c r="F291" s="93"/>
      <c r="G291" s="93"/>
      <c r="H291" s="93"/>
      <c r="I291" s="93"/>
      <c r="J291" s="93"/>
      <c r="K291" s="93"/>
      <c r="L291" s="93"/>
      <c r="M291" s="93"/>
      <c r="N291" s="93"/>
      <c r="O291" s="93"/>
      <c r="P291" s="93"/>
      <c r="Q291" s="93"/>
      <c r="R291" s="93"/>
      <c r="S291" s="93"/>
      <c r="T291" s="93"/>
      <c r="U291" s="93"/>
      <c r="V291" s="93"/>
      <c r="W291" s="93"/>
    </row>
    <row r="292" spans="1:23" ht="15" customHeight="1">
      <c r="A292" s="93"/>
      <c r="B292" s="93"/>
      <c r="C292" s="93"/>
      <c r="D292" s="93"/>
      <c r="E292" s="93"/>
      <c r="F292" s="93"/>
      <c r="G292" s="93"/>
      <c r="H292" s="93"/>
      <c r="I292" s="93"/>
      <c r="J292" s="93"/>
      <c r="K292" s="93"/>
      <c r="L292" s="93"/>
      <c r="M292" s="93"/>
      <c r="N292" s="93"/>
      <c r="O292" s="93"/>
      <c r="P292" s="93"/>
      <c r="Q292" s="93"/>
      <c r="R292" s="93"/>
      <c r="S292" s="93"/>
      <c r="T292" s="93"/>
      <c r="U292" s="93"/>
      <c r="V292" s="93"/>
      <c r="W292" s="93"/>
    </row>
    <row r="293" spans="1:23" ht="15" customHeight="1">
      <c r="A293" s="93"/>
      <c r="B293" s="93"/>
      <c r="C293" s="93"/>
      <c r="D293" s="93"/>
      <c r="E293" s="93"/>
      <c r="F293" s="93"/>
      <c r="G293" s="93"/>
      <c r="H293" s="93"/>
      <c r="I293" s="93"/>
      <c r="J293" s="93"/>
      <c r="K293" s="93"/>
      <c r="L293" s="93"/>
      <c r="M293" s="93"/>
      <c r="N293" s="93"/>
      <c r="O293" s="93"/>
      <c r="P293" s="93"/>
      <c r="Q293" s="93"/>
      <c r="R293" s="93"/>
      <c r="S293" s="93"/>
      <c r="T293" s="93"/>
      <c r="U293" s="93"/>
      <c r="V293" s="93"/>
      <c r="W293" s="93"/>
    </row>
    <row r="294" spans="1:23" ht="15" customHeight="1">
      <c r="A294" s="93"/>
      <c r="B294" s="93"/>
      <c r="C294" s="93"/>
      <c r="D294" s="93"/>
      <c r="E294" s="93"/>
      <c r="F294" s="93"/>
      <c r="G294" s="93"/>
      <c r="H294" s="93"/>
      <c r="I294" s="93"/>
      <c r="J294" s="93"/>
      <c r="K294" s="93"/>
      <c r="L294" s="93"/>
      <c r="M294" s="93"/>
      <c r="N294" s="93"/>
      <c r="O294" s="93"/>
      <c r="P294" s="93"/>
      <c r="Q294" s="93"/>
      <c r="R294" s="93"/>
      <c r="S294" s="93"/>
      <c r="T294" s="93"/>
      <c r="U294" s="93"/>
      <c r="V294" s="93"/>
      <c r="W294" s="93"/>
    </row>
    <row r="295" spans="1:23" ht="15" customHeight="1">
      <c r="A295" s="93"/>
      <c r="B295" s="93"/>
      <c r="C295" s="93"/>
      <c r="D295" s="93"/>
      <c r="E295" s="93"/>
      <c r="F295" s="93"/>
      <c r="G295" s="93"/>
      <c r="H295" s="93"/>
      <c r="I295" s="93"/>
      <c r="J295" s="93"/>
      <c r="K295" s="93"/>
      <c r="L295" s="93"/>
      <c r="M295" s="93"/>
      <c r="N295" s="93"/>
      <c r="O295" s="93"/>
      <c r="P295" s="93"/>
      <c r="Q295" s="93"/>
      <c r="R295" s="93"/>
      <c r="S295" s="93"/>
      <c r="T295" s="93"/>
      <c r="U295" s="93"/>
      <c r="V295" s="93"/>
      <c r="W295" s="93"/>
    </row>
    <row r="296" spans="1:23" ht="15" customHeight="1">
      <c r="A296" s="93"/>
      <c r="B296" s="93"/>
      <c r="C296" s="93"/>
      <c r="D296" s="93"/>
      <c r="E296" s="93"/>
      <c r="F296" s="93"/>
      <c r="G296" s="93"/>
      <c r="H296" s="93"/>
      <c r="I296" s="93"/>
      <c r="J296" s="93"/>
      <c r="K296" s="93"/>
      <c r="L296" s="93"/>
      <c r="M296" s="93"/>
      <c r="N296" s="93"/>
      <c r="O296" s="93"/>
      <c r="P296" s="93"/>
      <c r="Q296" s="93"/>
      <c r="R296" s="93"/>
      <c r="S296" s="93"/>
      <c r="T296" s="93"/>
      <c r="U296" s="93"/>
      <c r="V296" s="93"/>
      <c r="W296" s="93"/>
    </row>
    <row r="297" spans="1:23" ht="15" customHeight="1">
      <c r="A297" s="93"/>
      <c r="B297" s="93"/>
      <c r="C297" s="93"/>
      <c r="D297" s="93"/>
      <c r="E297" s="93"/>
      <c r="F297" s="93"/>
      <c r="G297" s="93"/>
      <c r="H297" s="93"/>
      <c r="I297" s="93"/>
      <c r="J297" s="93"/>
      <c r="K297" s="93"/>
      <c r="L297" s="93"/>
      <c r="M297" s="93"/>
      <c r="N297" s="93"/>
      <c r="O297" s="93"/>
      <c r="P297" s="93"/>
      <c r="Q297" s="93"/>
      <c r="R297" s="93"/>
      <c r="S297" s="93"/>
      <c r="T297" s="93"/>
      <c r="U297" s="93"/>
      <c r="V297" s="93"/>
      <c r="W297" s="93"/>
    </row>
    <row r="298" spans="1:23" ht="15" customHeight="1">
      <c r="A298" s="93"/>
      <c r="B298" s="93"/>
      <c r="C298" s="93"/>
      <c r="D298" s="93"/>
      <c r="E298" s="93"/>
      <c r="F298" s="93"/>
      <c r="G298" s="93"/>
      <c r="H298" s="93"/>
      <c r="I298" s="93"/>
      <c r="J298" s="93"/>
      <c r="K298" s="93"/>
      <c r="L298" s="93"/>
      <c r="M298" s="93"/>
      <c r="N298" s="93"/>
      <c r="O298" s="93"/>
      <c r="P298" s="93"/>
      <c r="Q298" s="93"/>
      <c r="R298" s="93"/>
      <c r="S298" s="93"/>
      <c r="T298" s="93"/>
      <c r="U298" s="93"/>
      <c r="V298" s="93"/>
      <c r="W298" s="93"/>
    </row>
    <row r="299" spans="1:23" ht="15" customHeight="1">
      <c r="A299" s="93"/>
      <c r="B299" s="93"/>
      <c r="C299" s="93"/>
      <c r="D299" s="93"/>
      <c r="E299" s="93"/>
      <c r="F299" s="93"/>
      <c r="G299" s="93"/>
      <c r="H299" s="93"/>
      <c r="I299" s="93"/>
      <c r="J299" s="93"/>
      <c r="K299" s="93"/>
      <c r="L299" s="93"/>
      <c r="M299" s="93"/>
      <c r="N299" s="93"/>
      <c r="O299" s="93"/>
      <c r="P299" s="93"/>
      <c r="Q299" s="93"/>
      <c r="R299" s="93"/>
      <c r="S299" s="93"/>
      <c r="T299" s="93"/>
      <c r="U299" s="93"/>
      <c r="V299" s="93"/>
      <c r="W299" s="93"/>
    </row>
    <row r="300" spans="1:23" ht="15" customHeight="1">
      <c r="A300" s="93"/>
      <c r="B300" s="93"/>
      <c r="C300" s="93"/>
      <c r="D300" s="93"/>
      <c r="E300" s="93"/>
      <c r="F300" s="93"/>
      <c r="G300" s="93"/>
      <c r="H300" s="93"/>
      <c r="I300" s="93"/>
      <c r="J300" s="93"/>
      <c r="K300" s="93"/>
      <c r="L300" s="93"/>
      <c r="M300" s="93"/>
      <c r="N300" s="93"/>
      <c r="O300" s="93"/>
      <c r="P300" s="93"/>
      <c r="Q300" s="93"/>
      <c r="R300" s="93"/>
      <c r="S300" s="93"/>
      <c r="T300" s="93"/>
      <c r="U300" s="93"/>
      <c r="V300" s="93"/>
      <c r="W300" s="93"/>
    </row>
    <row r="301" spans="1:23" ht="15" customHeight="1">
      <c r="A301" s="93"/>
      <c r="B301" s="93"/>
      <c r="C301" s="93"/>
      <c r="D301" s="93"/>
      <c r="E301" s="93"/>
      <c r="F301" s="93"/>
      <c r="G301" s="93"/>
      <c r="H301" s="93"/>
      <c r="I301" s="93"/>
      <c r="J301" s="93"/>
      <c r="K301" s="93"/>
      <c r="L301" s="93"/>
      <c r="M301" s="93"/>
      <c r="N301" s="93"/>
      <c r="O301" s="93"/>
      <c r="P301" s="93"/>
      <c r="Q301" s="93"/>
      <c r="R301" s="93"/>
      <c r="S301" s="93"/>
      <c r="T301" s="93"/>
      <c r="U301" s="93"/>
      <c r="V301" s="93"/>
      <c r="W301" s="93"/>
    </row>
    <row r="302" spans="1:23" ht="15" customHeight="1">
      <c r="A302" s="93"/>
      <c r="B302" s="93"/>
      <c r="C302" s="93"/>
      <c r="D302" s="93"/>
      <c r="E302" s="93"/>
      <c r="F302" s="93"/>
      <c r="G302" s="93"/>
      <c r="H302" s="93"/>
      <c r="I302" s="93"/>
      <c r="J302" s="93"/>
      <c r="K302" s="93"/>
      <c r="L302" s="93"/>
      <c r="M302" s="93"/>
      <c r="N302" s="93"/>
      <c r="O302" s="93"/>
      <c r="P302" s="93"/>
      <c r="Q302" s="93"/>
      <c r="R302" s="93"/>
      <c r="S302" s="93"/>
      <c r="T302" s="93"/>
      <c r="U302" s="93"/>
      <c r="V302" s="93"/>
      <c r="W302" s="93"/>
    </row>
    <row r="303" spans="1:23" ht="15" customHeight="1">
      <c r="A303" s="93"/>
      <c r="B303" s="93"/>
      <c r="C303" s="93"/>
      <c r="D303" s="93"/>
      <c r="E303" s="93"/>
      <c r="F303" s="93"/>
      <c r="G303" s="93"/>
      <c r="H303" s="93"/>
      <c r="I303" s="93"/>
      <c r="J303" s="93"/>
      <c r="K303" s="93"/>
      <c r="L303" s="93"/>
      <c r="M303" s="93"/>
      <c r="N303" s="93"/>
      <c r="O303" s="93"/>
      <c r="P303" s="93"/>
      <c r="Q303" s="93"/>
      <c r="R303" s="93"/>
      <c r="S303" s="93"/>
      <c r="T303" s="93"/>
      <c r="U303" s="93"/>
      <c r="V303" s="93"/>
      <c r="W303" s="93"/>
    </row>
    <row r="304" spans="1:23" ht="15" customHeight="1">
      <c r="A304" s="93"/>
      <c r="B304" s="93"/>
      <c r="C304" s="93"/>
      <c r="D304" s="93"/>
      <c r="E304" s="93"/>
      <c r="F304" s="93"/>
      <c r="G304" s="93"/>
      <c r="H304" s="93"/>
      <c r="I304" s="93"/>
      <c r="J304" s="93"/>
      <c r="K304" s="93"/>
      <c r="L304" s="93"/>
      <c r="M304" s="93"/>
      <c r="N304" s="93"/>
      <c r="O304" s="93"/>
      <c r="P304" s="93"/>
      <c r="Q304" s="93"/>
      <c r="R304" s="93"/>
      <c r="S304" s="93"/>
      <c r="T304" s="93"/>
      <c r="U304" s="93"/>
      <c r="V304" s="93"/>
      <c r="W304" s="93"/>
    </row>
    <row r="305" spans="1:23" ht="15"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row>
    <row r="306" spans="1:23" ht="15" customHeight="1">
      <c r="A306" s="93"/>
      <c r="B306" s="93"/>
      <c r="C306" s="93"/>
      <c r="D306" s="93"/>
      <c r="E306" s="93"/>
      <c r="F306" s="93"/>
      <c r="G306" s="93"/>
      <c r="H306" s="93"/>
      <c r="I306" s="93"/>
      <c r="J306" s="93"/>
      <c r="K306" s="93"/>
      <c r="L306" s="93"/>
      <c r="M306" s="93"/>
      <c r="N306" s="93"/>
      <c r="O306" s="93"/>
      <c r="P306" s="93"/>
      <c r="Q306" s="93"/>
      <c r="R306" s="93"/>
      <c r="S306" s="93"/>
      <c r="T306" s="93"/>
      <c r="U306" s="93"/>
      <c r="V306" s="93"/>
      <c r="W306" s="93"/>
    </row>
    <row r="307" spans="1:23" ht="15" customHeight="1">
      <c r="A307" s="93"/>
      <c r="B307" s="93"/>
      <c r="C307" s="93"/>
      <c r="D307" s="93"/>
      <c r="E307" s="93"/>
      <c r="F307" s="93"/>
      <c r="G307" s="93"/>
      <c r="H307" s="93"/>
      <c r="I307" s="93"/>
      <c r="J307" s="93"/>
      <c r="K307" s="93"/>
      <c r="L307" s="93"/>
      <c r="M307" s="93"/>
      <c r="N307" s="93"/>
      <c r="O307" s="93"/>
      <c r="P307" s="93"/>
      <c r="Q307" s="93"/>
      <c r="R307" s="93"/>
      <c r="S307" s="93"/>
      <c r="T307" s="93"/>
      <c r="U307" s="93"/>
      <c r="V307" s="93"/>
      <c r="W307" s="93"/>
    </row>
    <row r="308" spans="1:23" ht="15" customHeight="1">
      <c r="A308" s="93"/>
      <c r="B308" s="93"/>
      <c r="C308" s="93"/>
      <c r="D308" s="93"/>
      <c r="E308" s="93"/>
      <c r="F308" s="93"/>
      <c r="G308" s="93"/>
      <c r="H308" s="93"/>
      <c r="I308" s="93"/>
      <c r="J308" s="93"/>
      <c r="K308" s="93"/>
      <c r="L308" s="93"/>
      <c r="M308" s="93"/>
      <c r="N308" s="93"/>
      <c r="O308" s="93"/>
      <c r="P308" s="93"/>
      <c r="Q308" s="93"/>
      <c r="R308" s="93"/>
      <c r="S308" s="93"/>
      <c r="T308" s="93"/>
      <c r="U308" s="93"/>
      <c r="V308" s="93"/>
      <c r="W308" s="93"/>
    </row>
    <row r="309" spans="1:23" ht="15" customHeight="1">
      <c r="A309" s="93"/>
      <c r="B309" s="93"/>
      <c r="C309" s="93"/>
      <c r="D309" s="93"/>
      <c r="E309" s="93"/>
      <c r="F309" s="93"/>
      <c r="G309" s="93"/>
      <c r="H309" s="93"/>
      <c r="I309" s="93"/>
      <c r="J309" s="93"/>
      <c r="K309" s="93"/>
      <c r="L309" s="93"/>
      <c r="M309" s="93"/>
      <c r="N309" s="93"/>
      <c r="O309" s="93"/>
      <c r="P309" s="93"/>
      <c r="Q309" s="93"/>
      <c r="R309" s="93"/>
      <c r="S309" s="93"/>
      <c r="T309" s="93"/>
      <c r="U309" s="93"/>
      <c r="V309" s="93"/>
      <c r="W309" s="93"/>
    </row>
    <row r="310" spans="1:23" ht="15" customHeight="1">
      <c r="A310" s="93"/>
      <c r="B310" s="93"/>
      <c r="C310" s="93"/>
      <c r="D310" s="93"/>
      <c r="E310" s="93"/>
      <c r="F310" s="93"/>
      <c r="G310" s="93"/>
      <c r="H310" s="93"/>
      <c r="I310" s="93"/>
      <c r="J310" s="93"/>
      <c r="K310" s="93"/>
      <c r="L310" s="93"/>
      <c r="M310" s="93"/>
      <c r="N310" s="93"/>
      <c r="O310" s="93"/>
      <c r="P310" s="93"/>
      <c r="Q310" s="93"/>
      <c r="R310" s="93"/>
      <c r="S310" s="93"/>
      <c r="T310" s="93"/>
      <c r="U310" s="93"/>
      <c r="V310" s="93"/>
      <c r="W310" s="93"/>
    </row>
    <row r="311" spans="1:23" ht="15" customHeight="1">
      <c r="A311" s="93"/>
      <c r="B311" s="93"/>
      <c r="C311" s="93"/>
      <c r="D311" s="93"/>
      <c r="E311" s="93"/>
      <c r="F311" s="93"/>
      <c r="G311" s="93"/>
      <c r="H311" s="93"/>
      <c r="I311" s="93"/>
      <c r="J311" s="93"/>
      <c r="K311" s="93"/>
      <c r="L311" s="93"/>
      <c r="M311" s="93"/>
      <c r="N311" s="93"/>
      <c r="O311" s="93"/>
      <c r="P311" s="93"/>
      <c r="Q311" s="93"/>
      <c r="R311" s="93"/>
      <c r="S311" s="93"/>
      <c r="T311" s="93"/>
      <c r="U311" s="93"/>
      <c r="V311" s="93"/>
      <c r="W311" s="93"/>
    </row>
    <row r="312" spans="1:23" ht="15" customHeight="1">
      <c r="A312" s="93"/>
      <c r="B312" s="93"/>
      <c r="C312" s="93"/>
      <c r="D312" s="93"/>
      <c r="E312" s="93"/>
      <c r="F312" s="93"/>
      <c r="G312" s="93"/>
      <c r="H312" s="93"/>
      <c r="I312" s="93"/>
      <c r="J312" s="93"/>
      <c r="K312" s="93"/>
      <c r="L312" s="93"/>
      <c r="M312" s="93"/>
      <c r="N312" s="93"/>
      <c r="O312" s="93"/>
      <c r="P312" s="93"/>
      <c r="Q312" s="93"/>
      <c r="R312" s="93"/>
      <c r="S312" s="93"/>
      <c r="T312" s="93"/>
      <c r="U312" s="93"/>
      <c r="V312" s="93"/>
      <c r="W312" s="93"/>
    </row>
    <row r="313" spans="1:23" ht="15" customHeight="1">
      <c r="A313" s="93"/>
      <c r="B313" s="93"/>
      <c r="C313" s="93"/>
      <c r="D313" s="93"/>
      <c r="E313" s="93"/>
      <c r="F313" s="93"/>
      <c r="G313" s="93"/>
      <c r="H313" s="93"/>
      <c r="I313" s="93"/>
      <c r="J313" s="93"/>
      <c r="K313" s="93"/>
      <c r="L313" s="93"/>
      <c r="M313" s="93"/>
      <c r="N313" s="93"/>
      <c r="O313" s="93"/>
      <c r="P313" s="93"/>
      <c r="Q313" s="93"/>
      <c r="R313" s="93"/>
      <c r="S313" s="93"/>
      <c r="T313" s="93"/>
      <c r="U313" s="93"/>
      <c r="V313" s="93"/>
      <c r="W313" s="93"/>
    </row>
    <row r="314" spans="1:23" ht="15" customHeight="1">
      <c r="A314" s="93"/>
      <c r="B314" s="93"/>
      <c r="C314" s="93"/>
      <c r="D314" s="93"/>
      <c r="E314" s="93"/>
      <c r="F314" s="93"/>
      <c r="G314" s="93"/>
      <c r="H314" s="93"/>
      <c r="I314" s="93"/>
      <c r="J314" s="93"/>
      <c r="K314" s="93"/>
      <c r="L314" s="93"/>
      <c r="M314" s="93"/>
      <c r="N314" s="93"/>
      <c r="O314" s="93"/>
      <c r="P314" s="93"/>
      <c r="Q314" s="93"/>
      <c r="R314" s="93"/>
      <c r="S314" s="93"/>
      <c r="T314" s="93"/>
      <c r="U314" s="93"/>
      <c r="V314" s="93"/>
      <c r="W314" s="93"/>
    </row>
    <row r="315" spans="1:23" ht="15" customHeight="1">
      <c r="A315" s="93"/>
      <c r="B315" s="93"/>
      <c r="C315" s="93"/>
      <c r="D315" s="93"/>
      <c r="E315" s="93"/>
      <c r="F315" s="93"/>
      <c r="G315" s="93"/>
      <c r="H315" s="93"/>
      <c r="I315" s="93"/>
      <c r="J315" s="93"/>
      <c r="K315" s="93"/>
      <c r="L315" s="93"/>
      <c r="M315" s="93"/>
      <c r="N315" s="93"/>
      <c r="O315" s="93"/>
      <c r="P315" s="93"/>
      <c r="Q315" s="93"/>
      <c r="R315" s="93"/>
      <c r="S315" s="93"/>
      <c r="T315" s="93"/>
      <c r="U315" s="93"/>
      <c r="V315" s="93"/>
      <c r="W315" s="93"/>
    </row>
    <row r="316" spans="1:23" ht="15" customHeight="1">
      <c r="A316" s="93"/>
      <c r="B316" s="93"/>
      <c r="C316" s="93"/>
      <c r="D316" s="93"/>
      <c r="E316" s="93"/>
      <c r="F316" s="93"/>
      <c r="G316" s="93"/>
      <c r="H316" s="93"/>
      <c r="I316" s="93"/>
      <c r="J316" s="93"/>
      <c r="K316" s="93"/>
      <c r="L316" s="93"/>
      <c r="M316" s="93"/>
      <c r="N316" s="93"/>
      <c r="O316" s="93"/>
      <c r="P316" s="93"/>
      <c r="Q316" s="93"/>
      <c r="R316" s="93"/>
      <c r="S316" s="93"/>
      <c r="T316" s="93"/>
      <c r="U316" s="93"/>
      <c r="V316" s="93"/>
      <c r="W316" s="93"/>
    </row>
    <row r="317" spans="1:23" ht="15" customHeight="1">
      <c r="A317" s="93"/>
      <c r="B317" s="93"/>
      <c r="C317" s="93"/>
      <c r="D317" s="93"/>
      <c r="E317" s="93"/>
      <c r="F317" s="93"/>
      <c r="G317" s="93"/>
      <c r="H317" s="93"/>
      <c r="I317" s="93"/>
      <c r="J317" s="93"/>
      <c r="K317" s="93"/>
      <c r="L317" s="93"/>
      <c r="M317" s="93"/>
      <c r="N317" s="93"/>
      <c r="O317" s="93"/>
      <c r="P317" s="93"/>
      <c r="Q317" s="93"/>
      <c r="R317" s="93"/>
      <c r="S317" s="93"/>
      <c r="T317" s="93"/>
      <c r="U317" s="93"/>
      <c r="V317" s="93"/>
      <c r="W317" s="93"/>
    </row>
    <row r="318" spans="1:23" ht="15" customHeight="1">
      <c r="A318" s="93"/>
      <c r="B318" s="93"/>
      <c r="C318" s="93"/>
      <c r="D318" s="93"/>
      <c r="E318" s="93"/>
      <c r="F318" s="93"/>
      <c r="G318" s="93"/>
      <c r="H318" s="93"/>
      <c r="I318" s="93"/>
      <c r="J318" s="93"/>
      <c r="K318" s="93"/>
      <c r="L318" s="93"/>
      <c r="M318" s="93"/>
      <c r="N318" s="93"/>
      <c r="O318" s="93"/>
      <c r="P318" s="93"/>
      <c r="Q318" s="93"/>
      <c r="R318" s="93"/>
      <c r="S318" s="93"/>
      <c r="T318" s="93"/>
      <c r="U318" s="93"/>
      <c r="V318" s="93"/>
      <c r="W318" s="93"/>
    </row>
    <row r="319" spans="1:23" ht="15" customHeight="1">
      <c r="A319" s="93"/>
      <c r="B319" s="93"/>
      <c r="C319" s="93"/>
      <c r="D319" s="93"/>
      <c r="E319" s="93"/>
      <c r="F319" s="93"/>
      <c r="G319" s="93"/>
      <c r="H319" s="93"/>
      <c r="I319" s="93"/>
      <c r="J319" s="93"/>
      <c r="K319" s="93"/>
      <c r="L319" s="93"/>
      <c r="M319" s="93"/>
      <c r="N319" s="93"/>
      <c r="O319" s="93"/>
      <c r="P319" s="93"/>
      <c r="Q319" s="93"/>
      <c r="R319" s="93"/>
      <c r="S319" s="93"/>
      <c r="T319" s="93"/>
      <c r="U319" s="93"/>
      <c r="V319" s="93"/>
      <c r="W319" s="93"/>
    </row>
    <row r="320" spans="1:23" ht="15" customHeight="1">
      <c r="A320" s="93"/>
      <c r="B320" s="93"/>
      <c r="C320" s="93"/>
      <c r="D320" s="93"/>
      <c r="E320" s="93"/>
      <c r="F320" s="93"/>
      <c r="G320" s="93"/>
      <c r="H320" s="93"/>
      <c r="I320" s="93"/>
      <c r="J320" s="93"/>
      <c r="K320" s="93"/>
      <c r="L320" s="93"/>
      <c r="M320" s="93"/>
      <c r="N320" s="93"/>
      <c r="O320" s="93"/>
      <c r="P320" s="93"/>
      <c r="Q320" s="93"/>
      <c r="R320" s="93"/>
      <c r="S320" s="93"/>
      <c r="T320" s="93"/>
      <c r="U320" s="93"/>
      <c r="V320" s="93"/>
      <c r="W320" s="93"/>
    </row>
    <row r="321" spans="1:23" ht="15" customHeight="1">
      <c r="A321" s="93"/>
      <c r="B321" s="93"/>
      <c r="C321" s="93"/>
      <c r="D321" s="93"/>
      <c r="E321" s="93"/>
      <c r="F321" s="93"/>
      <c r="G321" s="93"/>
      <c r="H321" s="93"/>
      <c r="I321" s="93"/>
      <c r="J321" s="93"/>
      <c r="K321" s="93"/>
      <c r="L321" s="93"/>
      <c r="M321" s="93"/>
      <c r="N321" s="93"/>
      <c r="O321" s="93"/>
      <c r="P321" s="93"/>
      <c r="Q321" s="93"/>
      <c r="R321" s="93"/>
      <c r="S321" s="93"/>
      <c r="T321" s="93"/>
      <c r="U321" s="93"/>
      <c r="V321" s="93"/>
      <c r="W321" s="93"/>
    </row>
    <row r="322" spans="1:23" ht="15" customHeight="1">
      <c r="A322" s="93"/>
      <c r="B322" s="93"/>
      <c r="C322" s="93"/>
      <c r="D322" s="93"/>
      <c r="E322" s="93"/>
      <c r="F322" s="93"/>
      <c r="G322" s="93"/>
      <c r="H322" s="93"/>
      <c r="I322" s="93"/>
      <c r="J322" s="93"/>
      <c r="K322" s="93"/>
      <c r="L322" s="93"/>
      <c r="M322" s="93"/>
      <c r="N322" s="93"/>
      <c r="O322" s="93"/>
      <c r="P322" s="93"/>
      <c r="Q322" s="93"/>
      <c r="R322" s="93"/>
      <c r="S322" s="93"/>
      <c r="T322" s="93"/>
      <c r="U322" s="93"/>
      <c r="V322" s="93"/>
      <c r="W322" s="93"/>
    </row>
    <row r="323" spans="1:23" ht="15" customHeight="1">
      <c r="A323" s="93"/>
      <c r="B323" s="93"/>
      <c r="C323" s="93"/>
      <c r="D323" s="93"/>
      <c r="E323" s="93"/>
      <c r="F323" s="93"/>
      <c r="G323" s="93"/>
      <c r="H323" s="93"/>
      <c r="I323" s="93"/>
      <c r="J323" s="93"/>
      <c r="K323" s="93"/>
      <c r="L323" s="93"/>
      <c r="M323" s="93"/>
      <c r="N323" s="93"/>
      <c r="O323" s="93"/>
      <c r="P323" s="93"/>
      <c r="Q323" s="93"/>
      <c r="R323" s="93"/>
      <c r="S323" s="93"/>
      <c r="T323" s="93"/>
      <c r="U323" s="93"/>
      <c r="V323" s="93"/>
      <c r="W323" s="93"/>
    </row>
    <row r="324" spans="1:23" ht="15" customHeight="1">
      <c r="A324" s="93"/>
      <c r="B324" s="93"/>
      <c r="C324" s="93"/>
      <c r="D324" s="93"/>
      <c r="E324" s="93"/>
      <c r="F324" s="93"/>
      <c r="G324" s="93"/>
      <c r="H324" s="93"/>
      <c r="I324" s="93"/>
      <c r="J324" s="93"/>
      <c r="K324" s="93"/>
      <c r="L324" s="93"/>
      <c r="M324" s="93"/>
      <c r="N324" s="93"/>
      <c r="O324" s="93"/>
      <c r="P324" s="93"/>
      <c r="Q324" s="93"/>
      <c r="R324" s="93"/>
      <c r="S324" s="93"/>
      <c r="T324" s="93"/>
      <c r="U324" s="93"/>
      <c r="V324" s="93"/>
      <c r="W324" s="93"/>
    </row>
    <row r="325" spans="1:23" ht="15" customHeight="1">
      <c r="A325" s="93"/>
      <c r="B325" s="93"/>
      <c r="C325" s="93"/>
      <c r="D325" s="93"/>
      <c r="E325" s="93"/>
      <c r="F325" s="93"/>
      <c r="G325" s="93"/>
      <c r="H325" s="93"/>
      <c r="I325" s="93"/>
      <c r="J325" s="93"/>
      <c r="K325" s="93"/>
      <c r="L325" s="93"/>
      <c r="M325" s="93"/>
      <c r="N325" s="93"/>
      <c r="O325" s="93"/>
      <c r="P325" s="93"/>
      <c r="Q325" s="93"/>
      <c r="R325" s="93"/>
      <c r="S325" s="93"/>
      <c r="T325" s="93"/>
      <c r="U325" s="93"/>
      <c r="V325" s="93"/>
      <c r="W325" s="93"/>
    </row>
    <row r="326" spans="1:23" ht="15" customHeight="1">
      <c r="A326" s="93"/>
      <c r="B326" s="93"/>
      <c r="C326" s="93"/>
      <c r="D326" s="93"/>
      <c r="E326" s="93"/>
      <c r="F326" s="93"/>
      <c r="G326" s="93"/>
      <c r="H326" s="93"/>
      <c r="I326" s="93"/>
      <c r="J326" s="93"/>
      <c r="K326" s="93"/>
      <c r="L326" s="93"/>
      <c r="M326" s="93"/>
      <c r="N326" s="93"/>
      <c r="O326" s="93"/>
      <c r="P326" s="93"/>
      <c r="Q326" s="93"/>
      <c r="R326" s="93"/>
      <c r="S326" s="93"/>
      <c r="T326" s="93"/>
      <c r="U326" s="93"/>
      <c r="V326" s="93"/>
      <c r="W326" s="93"/>
    </row>
    <row r="327" spans="1:23" ht="15" customHeight="1">
      <c r="A327" s="93"/>
      <c r="B327" s="93"/>
      <c r="C327" s="93"/>
      <c r="D327" s="93"/>
      <c r="E327" s="93"/>
      <c r="F327" s="93"/>
      <c r="G327" s="93"/>
      <c r="H327" s="93"/>
      <c r="I327" s="93"/>
      <c r="J327" s="93"/>
      <c r="K327" s="93"/>
      <c r="L327" s="93"/>
      <c r="M327" s="93"/>
      <c r="N327" s="93"/>
      <c r="O327" s="93"/>
      <c r="P327" s="93"/>
      <c r="Q327" s="93"/>
      <c r="R327" s="93"/>
      <c r="S327" s="93"/>
      <c r="T327" s="93"/>
      <c r="U327" s="93"/>
      <c r="V327" s="93"/>
      <c r="W327" s="93"/>
    </row>
    <row r="328" spans="1:23" ht="15" customHeight="1">
      <c r="A328" s="93"/>
      <c r="B328" s="93"/>
      <c r="C328" s="93"/>
      <c r="D328" s="93"/>
      <c r="E328" s="93"/>
      <c r="F328" s="93"/>
      <c r="G328" s="93"/>
      <c r="H328" s="93"/>
      <c r="I328" s="93"/>
      <c r="J328" s="93"/>
      <c r="K328" s="93"/>
      <c r="L328" s="93"/>
      <c r="M328" s="93"/>
      <c r="N328" s="93"/>
      <c r="O328" s="93"/>
      <c r="P328" s="93"/>
      <c r="Q328" s="93"/>
      <c r="R328" s="93"/>
      <c r="S328" s="93"/>
      <c r="T328" s="93"/>
      <c r="U328" s="93"/>
      <c r="V328" s="93"/>
      <c r="W328" s="93"/>
    </row>
    <row r="329" spans="1:23" ht="15" customHeight="1">
      <c r="A329" s="93"/>
      <c r="B329" s="93"/>
      <c r="C329" s="93"/>
      <c r="D329" s="93"/>
      <c r="E329" s="93"/>
      <c r="F329" s="93"/>
      <c r="G329" s="93"/>
      <c r="H329" s="93"/>
      <c r="I329" s="93"/>
      <c r="J329" s="93"/>
      <c r="K329" s="93"/>
      <c r="L329" s="93"/>
      <c r="M329" s="93"/>
      <c r="N329" s="93"/>
      <c r="O329" s="93"/>
      <c r="P329" s="93"/>
      <c r="Q329" s="93"/>
      <c r="R329" s="93"/>
      <c r="S329" s="93"/>
      <c r="T329" s="93"/>
      <c r="U329" s="93"/>
      <c r="V329" s="93"/>
      <c r="W329" s="93"/>
    </row>
    <row r="330" spans="1:23" ht="15" customHeight="1">
      <c r="A330" s="93"/>
      <c r="B330" s="93"/>
      <c r="C330" s="93"/>
      <c r="D330" s="93"/>
      <c r="E330" s="93"/>
      <c r="F330" s="93"/>
      <c r="G330" s="93"/>
      <c r="H330" s="93"/>
      <c r="I330" s="93"/>
      <c r="J330" s="93"/>
      <c r="K330" s="93"/>
      <c r="L330" s="93"/>
      <c r="M330" s="93"/>
      <c r="N330" s="93"/>
      <c r="O330" s="93"/>
      <c r="P330" s="93"/>
      <c r="Q330" s="93"/>
      <c r="R330" s="93"/>
      <c r="S330" s="93"/>
      <c r="T330" s="93"/>
      <c r="U330" s="93"/>
      <c r="V330" s="93"/>
      <c r="W330" s="93"/>
    </row>
    <row r="331" spans="1:23" ht="15" customHeight="1">
      <c r="A331" s="93"/>
      <c r="B331" s="93"/>
      <c r="C331" s="93"/>
      <c r="D331" s="93"/>
      <c r="E331" s="93"/>
      <c r="F331" s="93"/>
      <c r="G331" s="93"/>
      <c r="H331" s="93"/>
      <c r="I331" s="93"/>
      <c r="J331" s="93"/>
      <c r="K331" s="93"/>
      <c r="L331" s="93"/>
      <c r="M331" s="93"/>
      <c r="N331" s="93"/>
      <c r="O331" s="93"/>
      <c r="P331" s="93"/>
      <c r="Q331" s="93"/>
      <c r="R331" s="93"/>
      <c r="S331" s="93"/>
      <c r="T331" s="93"/>
      <c r="U331" s="93"/>
      <c r="V331" s="93"/>
      <c r="W331" s="93"/>
    </row>
    <row r="332" spans="1:23" ht="15" customHeight="1">
      <c r="A332" s="93"/>
      <c r="B332" s="93"/>
      <c r="C332" s="93"/>
      <c r="D332" s="93"/>
      <c r="E332" s="93"/>
      <c r="F332" s="93"/>
      <c r="G332" s="93"/>
      <c r="H332" s="93"/>
      <c r="I332" s="93"/>
      <c r="J332" s="93"/>
      <c r="K332" s="93"/>
      <c r="L332" s="93"/>
      <c r="M332" s="93"/>
      <c r="N332" s="93"/>
      <c r="O332" s="93"/>
      <c r="P332" s="93"/>
      <c r="Q332" s="93"/>
      <c r="R332" s="93"/>
      <c r="S332" s="93"/>
      <c r="T332" s="93"/>
      <c r="U332" s="93"/>
      <c r="V332" s="93"/>
      <c r="W332" s="93"/>
    </row>
    <row r="333" spans="1:23" ht="15" customHeight="1">
      <c r="A333" s="93"/>
      <c r="B333" s="93"/>
      <c r="C333" s="93"/>
      <c r="D333" s="93"/>
      <c r="E333" s="93"/>
      <c r="F333" s="93"/>
      <c r="G333" s="93"/>
      <c r="H333" s="93"/>
      <c r="I333" s="93"/>
      <c r="J333" s="93"/>
      <c r="K333" s="93"/>
      <c r="L333" s="93"/>
      <c r="M333" s="93"/>
      <c r="N333" s="93"/>
      <c r="O333" s="93"/>
      <c r="P333" s="93"/>
      <c r="Q333" s="93"/>
      <c r="R333" s="93"/>
      <c r="S333" s="93"/>
      <c r="T333" s="93"/>
      <c r="U333" s="93"/>
      <c r="V333" s="93"/>
      <c r="W333" s="93"/>
    </row>
    <row r="334" spans="1:23" ht="15" customHeight="1">
      <c r="A334" s="93"/>
      <c r="B334" s="93"/>
      <c r="C334" s="93"/>
      <c r="D334" s="93"/>
      <c r="E334" s="93"/>
      <c r="F334" s="93"/>
      <c r="G334" s="93"/>
      <c r="H334" s="93"/>
      <c r="I334" s="93"/>
      <c r="J334" s="93"/>
      <c r="K334" s="93"/>
      <c r="L334" s="93"/>
      <c r="M334" s="93"/>
      <c r="N334" s="93"/>
      <c r="O334" s="93"/>
      <c r="P334" s="93"/>
      <c r="Q334" s="93"/>
      <c r="R334" s="93"/>
      <c r="S334" s="93"/>
      <c r="T334" s="93"/>
      <c r="U334" s="93"/>
      <c r="V334" s="93"/>
      <c r="W334" s="93"/>
    </row>
    <row r="335" spans="1:23" ht="15" customHeight="1">
      <c r="A335" s="93"/>
      <c r="B335" s="93"/>
      <c r="C335" s="93"/>
      <c r="D335" s="93"/>
      <c r="E335" s="93"/>
      <c r="F335" s="93"/>
      <c r="G335" s="93"/>
      <c r="H335" s="93"/>
      <c r="I335" s="93"/>
      <c r="J335" s="93"/>
      <c r="K335" s="93"/>
      <c r="L335" s="93"/>
      <c r="M335" s="93"/>
      <c r="N335" s="93"/>
      <c r="O335" s="93"/>
      <c r="P335" s="93"/>
      <c r="Q335" s="93"/>
      <c r="R335" s="93"/>
      <c r="S335" s="93"/>
      <c r="T335" s="93"/>
      <c r="U335" s="93"/>
      <c r="V335" s="93"/>
      <c r="W335" s="93"/>
    </row>
    <row r="336" spans="1:23" ht="15" customHeight="1">
      <c r="A336" s="93"/>
      <c r="B336" s="93"/>
      <c r="C336" s="93"/>
      <c r="D336" s="93"/>
      <c r="E336" s="93"/>
      <c r="F336" s="93"/>
      <c r="G336" s="93"/>
      <c r="H336" s="93"/>
      <c r="I336" s="93"/>
      <c r="J336" s="93"/>
      <c r="K336" s="93"/>
      <c r="L336" s="93"/>
      <c r="M336" s="93"/>
      <c r="N336" s="93"/>
      <c r="O336" s="93"/>
      <c r="P336" s="93"/>
      <c r="Q336" s="93"/>
      <c r="R336" s="93"/>
      <c r="S336" s="93"/>
      <c r="T336" s="93"/>
      <c r="U336" s="93"/>
      <c r="V336" s="93"/>
      <c r="W336" s="93"/>
    </row>
    <row r="337" spans="1:23" ht="15" customHeight="1">
      <c r="A337" s="93"/>
      <c r="B337" s="93"/>
      <c r="C337" s="93"/>
      <c r="D337" s="93"/>
      <c r="E337" s="93"/>
      <c r="F337" s="93"/>
      <c r="G337" s="93"/>
      <c r="H337" s="93"/>
      <c r="I337" s="93"/>
      <c r="J337" s="93"/>
      <c r="K337" s="93"/>
      <c r="L337" s="93"/>
      <c r="M337" s="93"/>
      <c r="N337" s="93"/>
      <c r="O337" s="93"/>
      <c r="P337" s="93"/>
      <c r="Q337" s="93"/>
      <c r="R337" s="93"/>
      <c r="S337" s="93"/>
      <c r="T337" s="93"/>
      <c r="U337" s="93"/>
      <c r="V337" s="93"/>
      <c r="W337" s="93"/>
    </row>
    <row r="338" spans="1:23" ht="15" customHeight="1">
      <c r="A338" s="93"/>
      <c r="B338" s="93"/>
      <c r="C338" s="93"/>
      <c r="D338" s="93"/>
      <c r="E338" s="93"/>
      <c r="F338" s="93"/>
      <c r="G338" s="93"/>
      <c r="H338" s="93"/>
      <c r="I338" s="93"/>
      <c r="J338" s="93"/>
      <c r="K338" s="93"/>
      <c r="L338" s="93"/>
      <c r="M338" s="93"/>
      <c r="N338" s="93"/>
      <c r="O338" s="93"/>
      <c r="P338" s="93"/>
      <c r="Q338" s="93"/>
      <c r="R338" s="93"/>
      <c r="S338" s="93"/>
      <c r="T338" s="93"/>
      <c r="U338" s="93"/>
      <c r="V338" s="93"/>
      <c r="W338" s="93"/>
    </row>
    <row r="339" spans="1:23" ht="15" customHeight="1">
      <c r="A339" s="93"/>
      <c r="B339" s="93"/>
      <c r="C339" s="93"/>
      <c r="D339" s="93"/>
      <c r="E339" s="93"/>
      <c r="F339" s="93"/>
      <c r="G339" s="93"/>
      <c r="H339" s="93"/>
      <c r="I339" s="93"/>
      <c r="J339" s="93"/>
      <c r="K339" s="93"/>
      <c r="L339" s="93"/>
      <c r="M339" s="93"/>
      <c r="N339" s="93"/>
      <c r="O339" s="93"/>
      <c r="P339" s="93"/>
      <c r="Q339" s="93"/>
      <c r="R339" s="93"/>
      <c r="S339" s="93"/>
      <c r="T339" s="93"/>
      <c r="U339" s="93"/>
      <c r="V339" s="93"/>
      <c r="W339" s="93"/>
    </row>
    <row r="340" spans="1:23" ht="15" customHeight="1">
      <c r="A340" s="93"/>
      <c r="B340" s="93"/>
      <c r="C340" s="93"/>
      <c r="D340" s="93"/>
      <c r="E340" s="93"/>
      <c r="F340" s="93"/>
      <c r="G340" s="93"/>
      <c r="H340" s="93"/>
      <c r="I340" s="93"/>
      <c r="J340" s="93"/>
      <c r="K340" s="93"/>
      <c r="L340" s="93"/>
      <c r="M340" s="93"/>
      <c r="N340" s="93"/>
      <c r="O340" s="93"/>
      <c r="P340" s="93"/>
      <c r="Q340" s="93"/>
      <c r="R340" s="93"/>
      <c r="S340" s="93"/>
      <c r="T340" s="93"/>
      <c r="U340" s="93"/>
      <c r="V340" s="93"/>
      <c r="W340" s="93"/>
    </row>
    <row r="341" spans="1:23" ht="15" customHeight="1">
      <c r="A341" s="93"/>
      <c r="B341" s="93"/>
      <c r="C341" s="93"/>
      <c r="D341" s="93"/>
      <c r="E341" s="93"/>
      <c r="F341" s="93"/>
      <c r="G341" s="93"/>
      <c r="H341" s="93"/>
      <c r="I341" s="93"/>
      <c r="J341" s="93"/>
      <c r="K341" s="93"/>
      <c r="L341" s="93"/>
      <c r="M341" s="93"/>
      <c r="N341" s="93"/>
      <c r="O341" s="93"/>
      <c r="P341" s="93"/>
      <c r="Q341" s="93"/>
      <c r="R341" s="93"/>
      <c r="S341" s="93"/>
      <c r="T341" s="93"/>
      <c r="U341" s="93"/>
      <c r="V341" s="93"/>
      <c r="W341" s="93"/>
    </row>
    <row r="342" spans="1:23" ht="15" customHeight="1">
      <c r="A342" s="93"/>
      <c r="B342" s="93"/>
      <c r="C342" s="93"/>
      <c r="D342" s="93"/>
      <c r="E342" s="93"/>
      <c r="F342" s="93"/>
      <c r="G342" s="93"/>
      <c r="H342" s="93"/>
      <c r="I342" s="93"/>
      <c r="J342" s="93"/>
      <c r="K342" s="93"/>
      <c r="L342" s="93"/>
      <c r="M342" s="93"/>
      <c r="N342" s="93"/>
      <c r="O342" s="93"/>
      <c r="P342" s="93"/>
      <c r="Q342" s="93"/>
      <c r="R342" s="93"/>
      <c r="S342" s="93"/>
      <c r="T342" s="93"/>
      <c r="U342" s="93"/>
      <c r="V342" s="93"/>
      <c r="W342" s="93"/>
    </row>
    <row r="343" spans="1:23" ht="15" customHeight="1">
      <c r="A343" s="93"/>
      <c r="B343" s="93"/>
      <c r="C343" s="93"/>
      <c r="D343" s="93"/>
      <c r="E343" s="93"/>
      <c r="F343" s="93"/>
      <c r="G343" s="93"/>
      <c r="H343" s="93"/>
      <c r="I343" s="93"/>
      <c r="J343" s="93"/>
      <c r="K343" s="93"/>
      <c r="L343" s="93"/>
      <c r="M343" s="93"/>
      <c r="N343" s="93"/>
      <c r="O343" s="93"/>
      <c r="P343" s="93"/>
      <c r="Q343" s="93"/>
      <c r="R343" s="93"/>
      <c r="S343" s="93"/>
      <c r="T343" s="93"/>
      <c r="U343" s="93"/>
      <c r="V343" s="93"/>
      <c r="W343" s="93"/>
    </row>
    <row r="344" spans="1:23" ht="15" customHeight="1">
      <c r="A344" s="93"/>
      <c r="B344" s="93"/>
      <c r="C344" s="93"/>
      <c r="D344" s="93"/>
      <c r="E344" s="93"/>
      <c r="F344" s="93"/>
      <c r="G344" s="93"/>
      <c r="H344" s="93"/>
      <c r="I344" s="93"/>
      <c r="J344" s="93"/>
      <c r="K344" s="93"/>
      <c r="L344" s="93"/>
      <c r="M344" s="93"/>
      <c r="N344" s="93"/>
      <c r="O344" s="93"/>
      <c r="P344" s="93"/>
      <c r="Q344" s="93"/>
      <c r="R344" s="93"/>
      <c r="S344" s="93"/>
      <c r="T344" s="93"/>
      <c r="U344" s="93"/>
      <c r="V344" s="93"/>
      <c r="W344" s="93"/>
    </row>
    <row r="345" spans="1:23" ht="15" customHeight="1">
      <c r="A345" s="93"/>
      <c r="B345" s="93"/>
      <c r="C345" s="93"/>
      <c r="D345" s="93"/>
      <c r="E345" s="93"/>
      <c r="F345" s="93"/>
      <c r="G345" s="93"/>
      <c r="H345" s="93"/>
      <c r="I345" s="93"/>
      <c r="J345" s="93"/>
      <c r="K345" s="93"/>
      <c r="L345" s="93"/>
      <c r="M345" s="93"/>
      <c r="N345" s="93"/>
      <c r="O345" s="93"/>
      <c r="P345" s="93"/>
      <c r="Q345" s="93"/>
      <c r="R345" s="93"/>
      <c r="S345" s="93"/>
      <c r="T345" s="93"/>
      <c r="U345" s="93"/>
      <c r="V345" s="93"/>
      <c r="W345" s="93"/>
    </row>
    <row r="346" spans="1:23" ht="15" customHeight="1">
      <c r="A346" s="93"/>
      <c r="B346" s="93"/>
      <c r="C346" s="93"/>
      <c r="D346" s="93"/>
      <c r="E346" s="93"/>
      <c r="F346" s="93"/>
      <c r="G346" s="93"/>
      <c r="H346" s="93"/>
      <c r="I346" s="93"/>
      <c r="J346" s="93"/>
      <c r="K346" s="93"/>
      <c r="L346" s="93"/>
      <c r="M346" s="93"/>
      <c r="N346" s="93"/>
      <c r="O346" s="93"/>
      <c r="P346" s="93"/>
      <c r="Q346" s="93"/>
      <c r="R346" s="93"/>
      <c r="S346" s="93"/>
      <c r="T346" s="93"/>
      <c r="U346" s="93"/>
      <c r="V346" s="93"/>
      <c r="W346" s="93"/>
    </row>
    <row r="347" spans="1:23" ht="15" customHeight="1">
      <c r="A347" s="93"/>
      <c r="B347" s="93"/>
      <c r="C347" s="93"/>
      <c r="D347" s="93"/>
      <c r="E347" s="93"/>
      <c r="F347" s="93"/>
      <c r="G347" s="93"/>
      <c r="H347" s="93"/>
      <c r="I347" s="93"/>
      <c r="J347" s="93"/>
      <c r="K347" s="93"/>
      <c r="L347" s="93"/>
      <c r="M347" s="93"/>
      <c r="N347" s="93"/>
      <c r="O347" s="93"/>
      <c r="P347" s="93"/>
      <c r="Q347" s="93"/>
      <c r="R347" s="93"/>
      <c r="S347" s="93"/>
      <c r="T347" s="93"/>
      <c r="U347" s="93"/>
      <c r="V347" s="93"/>
      <c r="W347" s="93"/>
    </row>
    <row r="348" spans="1:23" ht="15" customHeight="1">
      <c r="A348" s="93"/>
      <c r="B348" s="93"/>
      <c r="C348" s="93"/>
      <c r="D348" s="93"/>
      <c r="E348" s="93"/>
      <c r="F348" s="93"/>
      <c r="G348" s="93"/>
      <c r="H348" s="93"/>
      <c r="I348" s="93"/>
      <c r="J348" s="93"/>
      <c r="K348" s="93"/>
      <c r="L348" s="93"/>
      <c r="M348" s="93"/>
      <c r="N348" s="93"/>
      <c r="O348" s="93"/>
      <c r="P348" s="93"/>
      <c r="Q348" s="93"/>
      <c r="R348" s="93"/>
      <c r="S348" s="93"/>
      <c r="T348" s="93"/>
      <c r="U348" s="93"/>
      <c r="V348" s="93"/>
      <c r="W348" s="93"/>
    </row>
    <row r="349" spans="1:23" ht="15" customHeight="1">
      <c r="A349" s="93"/>
      <c r="B349" s="93"/>
      <c r="C349" s="93"/>
      <c r="D349" s="93"/>
      <c r="E349" s="93"/>
      <c r="F349" s="93"/>
      <c r="G349" s="93"/>
      <c r="H349" s="93"/>
      <c r="I349" s="93"/>
      <c r="J349" s="93"/>
      <c r="K349" s="93"/>
      <c r="L349" s="93"/>
      <c r="M349" s="93"/>
      <c r="N349" s="93"/>
      <c r="O349" s="93"/>
      <c r="P349" s="93"/>
      <c r="Q349" s="93"/>
      <c r="R349" s="93"/>
      <c r="S349" s="93"/>
      <c r="T349" s="93"/>
      <c r="U349" s="93"/>
      <c r="V349" s="93"/>
      <c r="W349" s="93"/>
    </row>
    <row r="350" spans="1:23" ht="15"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row>
    <row r="351" spans="1:23" ht="15" customHeight="1">
      <c r="A351" s="93"/>
      <c r="B351" s="93"/>
      <c r="C351" s="93"/>
      <c r="D351" s="93"/>
      <c r="E351" s="93"/>
      <c r="F351" s="93"/>
      <c r="G351" s="93"/>
      <c r="H351" s="93"/>
      <c r="I351" s="93"/>
      <c r="J351" s="93"/>
      <c r="K351" s="93"/>
      <c r="L351" s="93"/>
      <c r="M351" s="93"/>
      <c r="N351" s="93"/>
      <c r="O351" s="93"/>
      <c r="P351" s="93"/>
      <c r="Q351" s="93"/>
      <c r="R351" s="93"/>
      <c r="S351" s="93"/>
      <c r="T351" s="93"/>
      <c r="U351" s="93"/>
      <c r="V351" s="93"/>
      <c r="W351" s="93"/>
    </row>
    <row r="352" spans="1:23" ht="15" customHeight="1">
      <c r="A352" s="93"/>
      <c r="B352" s="93"/>
      <c r="C352" s="93"/>
      <c r="D352" s="93"/>
      <c r="E352" s="93"/>
      <c r="F352" s="93"/>
      <c r="G352" s="93"/>
      <c r="H352" s="93"/>
      <c r="I352" s="93"/>
      <c r="J352" s="93"/>
      <c r="K352" s="93"/>
      <c r="L352" s="93"/>
      <c r="M352" s="93"/>
      <c r="N352" s="93"/>
      <c r="O352" s="93"/>
      <c r="P352" s="93"/>
      <c r="Q352" s="93"/>
      <c r="R352" s="93"/>
      <c r="S352" s="93"/>
      <c r="T352" s="93"/>
      <c r="U352" s="93"/>
      <c r="V352" s="93"/>
      <c r="W352" s="93"/>
    </row>
    <row r="353" spans="1:23" ht="15" customHeight="1">
      <c r="A353" s="93"/>
      <c r="B353" s="93"/>
      <c r="C353" s="93"/>
      <c r="D353" s="93"/>
      <c r="E353" s="93"/>
      <c r="F353" s="93"/>
      <c r="G353" s="93"/>
      <c r="H353" s="93"/>
      <c r="I353" s="93"/>
      <c r="J353" s="93"/>
      <c r="K353" s="93"/>
      <c r="L353" s="93"/>
      <c r="M353" s="93"/>
      <c r="N353" s="93"/>
      <c r="O353" s="93"/>
      <c r="P353" s="93"/>
      <c r="Q353" s="93"/>
      <c r="R353" s="93"/>
      <c r="S353" s="93"/>
      <c r="T353" s="93"/>
      <c r="U353" s="93"/>
      <c r="V353" s="93"/>
      <c r="W353" s="93"/>
    </row>
    <row r="354" spans="1:23" ht="15" customHeight="1">
      <c r="A354" s="93"/>
      <c r="B354" s="93"/>
      <c r="C354" s="93"/>
      <c r="D354" s="93"/>
      <c r="E354" s="93"/>
      <c r="F354" s="93"/>
      <c r="G354" s="93"/>
      <c r="H354" s="93"/>
      <c r="I354" s="93"/>
      <c r="J354" s="93"/>
      <c r="K354" s="93"/>
      <c r="L354" s="93"/>
      <c r="M354" s="93"/>
      <c r="N354" s="93"/>
      <c r="O354" s="93"/>
      <c r="P354" s="93"/>
      <c r="Q354" s="93"/>
      <c r="R354" s="93"/>
      <c r="S354" s="93"/>
      <c r="T354" s="93"/>
      <c r="U354" s="93"/>
      <c r="V354" s="93"/>
      <c r="W354" s="93"/>
    </row>
    <row r="355" spans="1:23" ht="15" customHeight="1">
      <c r="A355" s="93"/>
      <c r="B355" s="93"/>
      <c r="C355" s="93"/>
      <c r="D355" s="93"/>
      <c r="E355" s="93"/>
      <c r="F355" s="93"/>
      <c r="G355" s="93"/>
      <c r="H355" s="93"/>
      <c r="I355" s="93"/>
      <c r="J355" s="93"/>
      <c r="K355" s="93"/>
      <c r="L355" s="93"/>
      <c r="M355" s="93"/>
      <c r="N355" s="93"/>
      <c r="O355" s="93"/>
      <c r="P355" s="93"/>
      <c r="Q355" s="93"/>
      <c r="R355" s="93"/>
      <c r="S355" s="93"/>
      <c r="T355" s="93"/>
      <c r="U355" s="93"/>
      <c r="V355" s="93"/>
      <c r="W355" s="93"/>
    </row>
    <row r="356" spans="1:23" ht="15" customHeight="1">
      <c r="A356" s="93"/>
      <c r="B356" s="93"/>
      <c r="C356" s="93"/>
      <c r="D356" s="93"/>
      <c r="E356" s="93"/>
      <c r="F356" s="93"/>
      <c r="G356" s="93"/>
      <c r="H356" s="93"/>
      <c r="I356" s="93"/>
      <c r="J356" s="93"/>
      <c r="K356" s="93"/>
      <c r="L356" s="93"/>
      <c r="M356" s="93"/>
      <c r="N356" s="93"/>
      <c r="O356" s="93"/>
      <c r="P356" s="93"/>
      <c r="Q356" s="93"/>
      <c r="R356" s="93"/>
      <c r="S356" s="93"/>
      <c r="T356" s="93"/>
      <c r="U356" s="93"/>
      <c r="V356" s="93"/>
      <c r="W356" s="93"/>
    </row>
    <row r="357" spans="1:23" ht="15" customHeight="1">
      <c r="A357" s="93"/>
      <c r="B357" s="93"/>
      <c r="C357" s="93"/>
      <c r="D357" s="93"/>
      <c r="E357" s="93"/>
      <c r="F357" s="93"/>
      <c r="G357" s="93"/>
      <c r="H357" s="93"/>
      <c r="I357" s="93"/>
      <c r="J357" s="93"/>
      <c r="K357" s="93"/>
      <c r="L357" s="93"/>
      <c r="M357" s="93"/>
      <c r="N357" s="93"/>
      <c r="O357" s="93"/>
      <c r="P357" s="93"/>
      <c r="Q357" s="93"/>
      <c r="R357" s="93"/>
      <c r="S357" s="93"/>
      <c r="T357" s="93"/>
      <c r="U357" s="93"/>
      <c r="V357" s="93"/>
      <c r="W357" s="93"/>
    </row>
    <row r="358" spans="1:23" ht="15" customHeight="1">
      <c r="A358" s="93"/>
      <c r="B358" s="93"/>
      <c r="C358" s="93"/>
      <c r="D358" s="93"/>
      <c r="E358" s="93"/>
      <c r="F358" s="93"/>
      <c r="G358" s="93"/>
      <c r="H358" s="93"/>
      <c r="I358" s="93"/>
      <c r="J358" s="93"/>
      <c r="K358" s="93"/>
      <c r="L358" s="93"/>
      <c r="M358" s="93"/>
      <c r="N358" s="93"/>
      <c r="O358" s="93"/>
      <c r="P358" s="93"/>
      <c r="Q358" s="93"/>
      <c r="R358" s="93"/>
      <c r="S358" s="93"/>
      <c r="T358" s="93"/>
      <c r="U358" s="93"/>
      <c r="V358" s="93"/>
      <c r="W358" s="93"/>
    </row>
    <row r="359" spans="1:23" ht="15" customHeight="1">
      <c r="A359" s="93"/>
      <c r="B359" s="93"/>
      <c r="C359" s="93"/>
      <c r="D359" s="93"/>
      <c r="E359" s="93"/>
      <c r="F359" s="93"/>
      <c r="G359" s="93"/>
      <c r="H359" s="93"/>
      <c r="I359" s="93"/>
      <c r="J359" s="93"/>
      <c r="K359" s="93"/>
      <c r="L359" s="93"/>
      <c r="M359" s="93"/>
      <c r="N359" s="93"/>
      <c r="O359" s="93"/>
      <c r="P359" s="93"/>
      <c r="Q359" s="93"/>
      <c r="R359" s="93"/>
      <c r="S359" s="93"/>
      <c r="T359" s="93"/>
      <c r="U359" s="93"/>
      <c r="V359" s="93"/>
      <c r="W359" s="93"/>
    </row>
    <row r="360" spans="1:23" ht="15" customHeight="1">
      <c r="A360" s="93"/>
      <c r="B360" s="93"/>
      <c r="C360" s="93"/>
      <c r="D360" s="93"/>
      <c r="E360" s="93"/>
      <c r="F360" s="93"/>
      <c r="G360" s="93"/>
      <c r="H360" s="93"/>
      <c r="I360" s="93"/>
      <c r="J360" s="93"/>
      <c r="K360" s="93"/>
      <c r="L360" s="93"/>
      <c r="M360" s="93"/>
      <c r="N360" s="93"/>
      <c r="O360" s="93"/>
      <c r="P360" s="93"/>
      <c r="Q360" s="93"/>
      <c r="R360" s="93"/>
      <c r="S360" s="93"/>
      <c r="T360" s="93"/>
      <c r="U360" s="93"/>
      <c r="V360" s="93"/>
      <c r="W360" s="93"/>
    </row>
    <row r="361" spans="1:23" ht="15" customHeight="1">
      <c r="A361" s="93"/>
      <c r="B361" s="93"/>
      <c r="C361" s="93"/>
      <c r="D361" s="93"/>
      <c r="E361" s="93"/>
      <c r="F361" s="93"/>
      <c r="G361" s="93"/>
      <c r="H361" s="93"/>
      <c r="I361" s="93"/>
      <c r="J361" s="93"/>
      <c r="K361" s="93"/>
      <c r="L361" s="93"/>
      <c r="M361" s="93"/>
      <c r="N361" s="93"/>
      <c r="O361" s="93"/>
      <c r="P361" s="93"/>
      <c r="Q361" s="93"/>
      <c r="R361" s="93"/>
      <c r="S361" s="93"/>
      <c r="T361" s="93"/>
      <c r="U361" s="93"/>
      <c r="V361" s="93"/>
      <c r="W361" s="93"/>
    </row>
    <row r="362" spans="1:23" ht="15" customHeight="1">
      <c r="A362" s="93"/>
      <c r="B362" s="93"/>
      <c r="C362" s="93"/>
      <c r="D362" s="93"/>
      <c r="E362" s="93"/>
      <c r="F362" s="93"/>
      <c r="G362" s="93"/>
      <c r="H362" s="93"/>
      <c r="I362" s="93"/>
      <c r="J362" s="93"/>
      <c r="K362" s="93"/>
      <c r="L362" s="93"/>
      <c r="M362" s="93"/>
      <c r="N362" s="93"/>
      <c r="O362" s="93"/>
      <c r="P362" s="93"/>
      <c r="Q362" s="93"/>
      <c r="R362" s="93"/>
      <c r="S362" s="93"/>
      <c r="T362" s="93"/>
      <c r="U362" s="93"/>
      <c r="V362" s="93"/>
      <c r="W362" s="93"/>
    </row>
    <row r="363" spans="1:23" ht="15" customHeight="1">
      <c r="A363" s="93"/>
      <c r="B363" s="93"/>
      <c r="C363" s="93"/>
      <c r="D363" s="93"/>
      <c r="E363" s="93"/>
      <c r="F363" s="93"/>
      <c r="G363" s="93"/>
      <c r="H363" s="93"/>
      <c r="I363" s="93"/>
      <c r="J363" s="93"/>
      <c r="K363" s="93"/>
      <c r="L363" s="93"/>
      <c r="M363" s="93"/>
      <c r="N363" s="93"/>
      <c r="O363" s="93"/>
      <c r="P363" s="93"/>
      <c r="Q363" s="93"/>
      <c r="R363" s="93"/>
      <c r="S363" s="93"/>
      <c r="T363" s="93"/>
      <c r="U363" s="93"/>
      <c r="V363" s="93"/>
      <c r="W363" s="93"/>
    </row>
    <row r="364" spans="1:23" ht="15" customHeight="1">
      <c r="A364" s="93"/>
      <c r="B364" s="93"/>
      <c r="C364" s="93"/>
      <c r="D364" s="93"/>
      <c r="E364" s="93"/>
      <c r="F364" s="93"/>
      <c r="G364" s="93"/>
      <c r="H364" s="93"/>
      <c r="I364" s="93"/>
      <c r="J364" s="93"/>
      <c r="K364" s="93"/>
      <c r="L364" s="93"/>
      <c r="M364" s="93"/>
      <c r="N364" s="93"/>
      <c r="O364" s="93"/>
      <c r="P364" s="93"/>
      <c r="Q364" s="93"/>
      <c r="R364" s="93"/>
      <c r="S364" s="93"/>
      <c r="T364" s="93"/>
      <c r="U364" s="93"/>
      <c r="V364" s="93"/>
      <c r="W364" s="93"/>
    </row>
    <row r="365" spans="1:23" ht="15" customHeight="1">
      <c r="A365" s="93"/>
      <c r="B365" s="93"/>
      <c r="C365" s="93"/>
      <c r="D365" s="93"/>
      <c r="E365" s="93"/>
      <c r="F365" s="93"/>
      <c r="G365" s="93"/>
      <c r="H365" s="93"/>
      <c r="I365" s="93"/>
      <c r="J365" s="93"/>
      <c r="K365" s="93"/>
      <c r="L365" s="93"/>
      <c r="M365" s="93"/>
      <c r="N365" s="93"/>
      <c r="O365" s="93"/>
      <c r="P365" s="93"/>
      <c r="Q365" s="93"/>
      <c r="R365" s="93"/>
      <c r="S365" s="93"/>
      <c r="T365" s="93"/>
      <c r="U365" s="93"/>
      <c r="V365" s="93"/>
      <c r="W365" s="93"/>
    </row>
    <row r="366" spans="1:23" ht="15" customHeight="1">
      <c r="A366" s="93"/>
      <c r="B366" s="93"/>
      <c r="C366" s="93"/>
      <c r="D366" s="93"/>
      <c r="E366" s="93"/>
      <c r="F366" s="93"/>
      <c r="G366" s="93"/>
      <c r="H366" s="93"/>
      <c r="I366" s="93"/>
      <c r="J366" s="93"/>
      <c r="K366" s="93"/>
      <c r="L366" s="93"/>
      <c r="M366" s="93"/>
      <c r="N366" s="93"/>
      <c r="O366" s="93"/>
      <c r="P366" s="93"/>
      <c r="Q366" s="93"/>
      <c r="R366" s="93"/>
      <c r="S366" s="93"/>
      <c r="T366" s="93"/>
      <c r="U366" s="93"/>
      <c r="V366" s="93"/>
      <c r="W366" s="93"/>
    </row>
    <row r="367" spans="1:23" ht="15" customHeight="1">
      <c r="A367" s="93"/>
      <c r="B367" s="93"/>
      <c r="C367" s="93"/>
      <c r="D367" s="93"/>
      <c r="E367" s="93"/>
      <c r="F367" s="93"/>
      <c r="G367" s="93"/>
      <c r="H367" s="93"/>
      <c r="I367" s="93"/>
      <c r="J367" s="93"/>
      <c r="K367" s="93"/>
      <c r="L367" s="93"/>
      <c r="M367" s="93"/>
      <c r="N367" s="93"/>
      <c r="O367" s="93"/>
      <c r="P367" s="93"/>
      <c r="Q367" s="93"/>
      <c r="R367" s="93"/>
      <c r="S367" s="93"/>
      <c r="T367" s="93"/>
      <c r="U367" s="93"/>
      <c r="V367" s="93"/>
      <c r="W367" s="93"/>
    </row>
    <row r="368" spans="1:23" ht="15" customHeight="1">
      <c r="A368" s="93"/>
      <c r="B368" s="93"/>
      <c r="C368" s="93"/>
      <c r="D368" s="93"/>
      <c r="E368" s="93"/>
      <c r="F368" s="93"/>
      <c r="G368" s="93"/>
      <c r="H368" s="93"/>
      <c r="I368" s="93"/>
      <c r="J368" s="93"/>
      <c r="K368" s="93"/>
      <c r="L368" s="93"/>
      <c r="M368" s="93"/>
      <c r="N368" s="93"/>
      <c r="O368" s="93"/>
      <c r="P368" s="93"/>
      <c r="Q368" s="93"/>
      <c r="R368" s="93"/>
      <c r="S368" s="93"/>
      <c r="T368" s="93"/>
      <c r="U368" s="93"/>
      <c r="V368" s="93"/>
      <c r="W368" s="93"/>
    </row>
  </sheetData>
  <hyperlinks>
    <hyperlink ref="C3" r:id="rId1"/>
    <hyperlink ref="C4" r:id="rId2"/>
    <hyperlink ref="C5" r:id="rId3"/>
    <hyperlink ref="C6"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 ref="C48" r:id="rId45"/>
    <hyperlink ref="C49" r:id="rId46"/>
    <hyperlink ref="C50" r:id="rId47"/>
    <hyperlink ref="C51" r:id="rId48"/>
    <hyperlink ref="C52" r:id="rId49"/>
    <hyperlink ref="C53" r:id="rId50"/>
    <hyperlink ref="C54" r:id="rId51"/>
    <hyperlink ref="C55" r:id="rId52"/>
    <hyperlink ref="C56" r:id="rId53"/>
    <hyperlink ref="C57" r:id="rId54"/>
    <hyperlink ref="C58" r:id="rId55"/>
    <hyperlink ref="C59" r:id="rId56"/>
    <hyperlink ref="C60" r:id="rId57"/>
    <hyperlink ref="C61" r:id="rId58"/>
    <hyperlink ref="C62" r:id="rId59"/>
    <hyperlink ref="C63" r:id="rId60"/>
    <hyperlink ref="C64" r:id="rId61"/>
    <hyperlink ref="C65" r:id="rId62"/>
    <hyperlink ref="C66" r:id="rId63"/>
    <hyperlink ref="C67" r:id="rId64"/>
    <hyperlink ref="C68" r:id="rId65"/>
    <hyperlink ref="C69" r:id="rId66"/>
    <hyperlink ref="C70" r:id="rId67"/>
    <hyperlink ref="C71" r:id="rId68"/>
    <hyperlink ref="C72" r:id="rId69"/>
    <hyperlink ref="C73" r:id="rId70"/>
    <hyperlink ref="C74" r:id="rId71"/>
    <hyperlink ref="C75" r:id="rId72"/>
    <hyperlink ref="C76" r:id="rId73"/>
    <hyperlink ref="C77" r:id="rId74"/>
    <hyperlink ref="C78" r:id="rId75"/>
    <hyperlink ref="C79" r:id="rId76"/>
    <hyperlink ref="C80" r:id="rId77"/>
    <hyperlink ref="C81" r:id="rId78"/>
    <hyperlink ref="C82" r:id="rId79"/>
    <hyperlink ref="C83" r:id="rId80"/>
    <hyperlink ref="C84" r:id="rId81"/>
    <hyperlink ref="C85" r:id="rId82"/>
    <hyperlink ref="C86" r:id="rId83"/>
    <hyperlink ref="C87" r:id="rId84"/>
    <hyperlink ref="C88" r:id="rId85"/>
    <hyperlink ref="C89" r:id="rId86"/>
    <hyperlink ref="C90" r:id="rId87"/>
    <hyperlink ref="C91" r:id="rId88"/>
    <hyperlink ref="C92" r:id="rId89"/>
    <hyperlink ref="C93" r:id="rId90"/>
    <hyperlink ref="C94" r:id="rId91"/>
    <hyperlink ref="C95" r:id="rId92"/>
    <hyperlink ref="C96" r:id="rId93"/>
    <hyperlink ref="C97" r:id="rId94"/>
    <hyperlink ref="C98" r:id="rId95"/>
    <hyperlink ref="C99" r:id="rId96"/>
    <hyperlink ref="C100" r:id="rId97"/>
    <hyperlink ref="C101" r:id="rId98"/>
    <hyperlink ref="C102" r:id="rId99"/>
    <hyperlink ref="C103" r:id="rId100"/>
    <hyperlink ref="C104" r:id="rId101"/>
    <hyperlink ref="C105" r:id="rId102"/>
    <hyperlink ref="C106" r:id="rId103"/>
    <hyperlink ref="C107" r:id="rId104"/>
    <hyperlink ref="C108" r:id="rId105"/>
    <hyperlink ref="C109" r:id="rId106"/>
    <hyperlink ref="C110" r:id="rId107"/>
    <hyperlink ref="C111" r:id="rId108"/>
    <hyperlink ref="C112" r:id="rId109"/>
    <hyperlink ref="C113" r:id="rId110"/>
    <hyperlink ref="C114" r:id="rId111"/>
    <hyperlink ref="C115" r:id="rId112"/>
    <hyperlink ref="C116" r:id="rId113"/>
    <hyperlink ref="C117" r:id="rId114"/>
    <hyperlink ref="C118" r:id="rId115"/>
    <hyperlink ref="C119" r:id="rId116"/>
    <hyperlink ref="C120" r:id="rId117"/>
    <hyperlink ref="C121" r:id="rId118"/>
    <hyperlink ref="C122" r:id="rId119"/>
    <hyperlink ref="C123" r:id="rId120"/>
    <hyperlink ref="C124" r:id="rId121"/>
    <hyperlink ref="C125" r:id="rId122"/>
    <hyperlink ref="C126" r:id="rId123"/>
    <hyperlink ref="C127" r:id="rId124"/>
    <hyperlink ref="C128" r:id="rId125"/>
    <hyperlink ref="C129" r:id="rId126"/>
    <hyperlink ref="C130" r:id="rId127"/>
    <hyperlink ref="C131" r:id="rId128"/>
    <hyperlink ref="C132" r:id="rId129"/>
    <hyperlink ref="C133" r:id="rId130"/>
    <hyperlink ref="C134" r:id="rId131"/>
    <hyperlink ref="C135" r:id="rId132"/>
    <hyperlink ref="C136" r:id="rId133"/>
    <hyperlink ref="C137" r:id="rId134"/>
    <hyperlink ref="C138" r:id="rId135"/>
    <hyperlink ref="C139" r:id="rId136"/>
    <hyperlink ref="C140" r:id="rId137"/>
    <hyperlink ref="C141" r:id="rId138"/>
    <hyperlink ref="C142" r:id="rId139"/>
    <hyperlink ref="C143" r:id="rId140"/>
    <hyperlink ref="C144" r:id="rId141"/>
    <hyperlink ref="C145" r:id="rId142"/>
    <hyperlink ref="C146" r:id="rId143"/>
    <hyperlink ref="C147" r:id="rId144"/>
    <hyperlink ref="C148" r:id="rId145"/>
    <hyperlink ref="C149" r:id="rId146"/>
    <hyperlink ref="C150" r:id="rId147"/>
    <hyperlink ref="C151" r:id="rId148"/>
    <hyperlink ref="C152" r:id="rId149"/>
    <hyperlink ref="C153" r:id="rId150"/>
    <hyperlink ref="C154" r:id="rId151"/>
    <hyperlink ref="C155" r:id="rId152"/>
    <hyperlink ref="C156" r:id="rId153"/>
    <hyperlink ref="C157" r:id="rId154"/>
    <hyperlink ref="C158" r:id="rId155"/>
    <hyperlink ref="C159" r:id="rId156"/>
    <hyperlink ref="C160" r:id="rId157"/>
    <hyperlink ref="C161" r:id="rId158"/>
    <hyperlink ref="C162" r:id="rId159"/>
    <hyperlink ref="C163" r:id="rId160"/>
    <hyperlink ref="C164" r:id="rId161"/>
    <hyperlink ref="C165" r:id="rId162"/>
    <hyperlink ref="C166" r:id="rId163"/>
    <hyperlink ref="C167" r:id="rId164"/>
    <hyperlink ref="C168" r:id="rId165"/>
    <hyperlink ref="C169" r:id="rId166"/>
    <hyperlink ref="C170" r:id="rId167"/>
    <hyperlink ref="C171" r:id="rId168"/>
    <hyperlink ref="C172" r:id="rId169"/>
    <hyperlink ref="C173" r:id="rId170"/>
    <hyperlink ref="C174" r:id="rId171"/>
    <hyperlink ref="C175" r:id="rId172"/>
    <hyperlink ref="C176" r:id="rId173"/>
    <hyperlink ref="C177" r:id="rId174"/>
    <hyperlink ref="C178" r:id="rId175"/>
    <hyperlink ref="C179" r:id="rId176"/>
    <hyperlink ref="C180" r:id="rId177"/>
    <hyperlink ref="C181" r:id="rId178"/>
    <hyperlink ref="C182" r:id="rId179"/>
    <hyperlink ref="C183" r:id="rId180"/>
    <hyperlink ref="C184" r:id="rId181"/>
    <hyperlink ref="C185" r:id="rId182"/>
    <hyperlink ref="C186" r:id="rId183"/>
    <hyperlink ref="C187" r:id="rId184"/>
    <hyperlink ref="C188" r:id="rId185"/>
    <hyperlink ref="C189" r:id="rId186"/>
    <hyperlink ref="C190" r:id="rId187"/>
    <hyperlink ref="C191" r:id="rId188"/>
    <hyperlink ref="C192" r:id="rId189"/>
    <hyperlink ref="C193" r:id="rId190"/>
    <hyperlink ref="C194" r:id="rId191"/>
    <hyperlink ref="C195" r:id="rId192"/>
    <hyperlink ref="C196" r:id="rId193"/>
    <hyperlink ref="C197" r:id="rId194"/>
    <hyperlink ref="C198" r:id="rId195"/>
    <hyperlink ref="C199" r:id="rId196"/>
    <hyperlink ref="C200" r:id="rId197"/>
    <hyperlink ref="C201" r:id="rId198"/>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EAADB"/>
  </sheetPr>
  <dimension ref="A1:P1033"/>
  <sheetViews>
    <sheetView topLeftCell="A1758" workbookViewId="0">
      <selection activeCell="J1793" sqref="J1793"/>
    </sheetView>
  </sheetViews>
  <sheetFormatPr baseColWidth="10" defaultColWidth="14.42578125" defaultRowHeight="15" customHeight="1"/>
  <cols>
    <col min="1" max="1" width="9.42578125" customWidth="1"/>
    <col min="2" max="2" width="10.7109375" customWidth="1"/>
    <col min="3" max="3" width="11.42578125" customWidth="1"/>
    <col min="4" max="4" width="11.7109375" customWidth="1"/>
    <col min="5" max="5" width="10.7109375" customWidth="1"/>
    <col min="6" max="6" width="9.5703125" customWidth="1"/>
    <col min="7" max="7" width="11.140625" customWidth="1"/>
    <col min="8" max="8" width="9.85546875" customWidth="1"/>
    <col min="9" max="9" width="1.85546875" customWidth="1"/>
    <col min="10" max="10" width="9.42578125" customWidth="1"/>
    <col min="11" max="11" width="11" customWidth="1"/>
    <col min="12" max="12" width="9.7109375" customWidth="1"/>
    <col min="13" max="13" width="10.7109375" customWidth="1"/>
    <col min="14" max="14" width="10" customWidth="1"/>
    <col min="15" max="15" width="10.28515625" customWidth="1"/>
    <col min="16" max="16" width="8.7109375" customWidth="1"/>
  </cols>
  <sheetData>
    <row r="1" spans="1:8" ht="15" customHeight="1">
      <c r="A1" s="1" t="s">
        <v>0</v>
      </c>
      <c r="B1" s="2" t="s">
        <v>1</v>
      </c>
      <c r="C1" s="3" t="s">
        <v>2</v>
      </c>
      <c r="H1" s="4"/>
    </row>
    <row r="2" spans="1:8" ht="14.25" customHeight="1">
      <c r="A2" s="5">
        <v>44148</v>
      </c>
      <c r="B2" s="6">
        <v>14760</v>
      </c>
      <c r="C2" s="7" t="s">
        <v>33</v>
      </c>
      <c r="D2" s="7"/>
      <c r="E2" s="7"/>
      <c r="H2" s="4"/>
    </row>
    <row r="3" spans="1:8" ht="14.25" customHeight="1">
      <c r="A3" s="5">
        <v>44153</v>
      </c>
      <c r="B3" s="6">
        <v>15000</v>
      </c>
      <c r="C3" s="7" t="s">
        <v>34</v>
      </c>
      <c r="D3" s="7"/>
      <c r="E3" s="7"/>
      <c r="H3" s="4"/>
    </row>
    <row r="4" spans="1:8" ht="14.25" customHeight="1">
      <c r="A4" s="5">
        <v>44156</v>
      </c>
      <c r="B4" s="6">
        <v>-15707.56</v>
      </c>
      <c r="C4" s="7" t="s">
        <v>7</v>
      </c>
      <c r="D4" s="7"/>
      <c r="E4" s="7"/>
      <c r="H4" s="4"/>
    </row>
    <row r="5" spans="1:8" ht="14.25" customHeight="1">
      <c r="A5" s="5">
        <v>44159</v>
      </c>
      <c r="B5" s="6">
        <v>-17481.41</v>
      </c>
      <c r="C5" s="7" t="s">
        <v>7</v>
      </c>
      <c r="D5" s="7"/>
      <c r="E5" s="7"/>
      <c r="H5" s="4"/>
    </row>
    <row r="6" spans="1:8" ht="14.25" customHeight="1">
      <c r="A6" s="5">
        <v>44188</v>
      </c>
      <c r="B6" s="6">
        <v>14400</v>
      </c>
      <c r="C6" s="7" t="s">
        <v>35</v>
      </c>
      <c r="D6" s="7"/>
      <c r="E6" s="7"/>
      <c r="H6" s="4"/>
    </row>
    <row r="7" spans="1:8" ht="14.25" customHeight="1">
      <c r="A7" s="5">
        <v>44217</v>
      </c>
      <c r="B7" s="6">
        <f>27950-12515</f>
        <v>15435</v>
      </c>
      <c r="C7" s="7" t="s">
        <v>36</v>
      </c>
      <c r="D7" s="7"/>
      <c r="E7" s="7"/>
      <c r="H7" s="4"/>
    </row>
    <row r="8" spans="1:8" ht="14.25" customHeight="1">
      <c r="A8" s="5">
        <v>44225</v>
      </c>
      <c r="B8" s="6">
        <v>10000</v>
      </c>
      <c r="C8" s="7" t="s">
        <v>3</v>
      </c>
      <c r="D8" s="7"/>
      <c r="E8" s="7"/>
      <c r="H8" s="4"/>
    </row>
    <row r="9" spans="1:8" ht="14.25" customHeight="1">
      <c r="A9" s="5">
        <v>44225</v>
      </c>
      <c r="B9" s="6">
        <v>14900</v>
      </c>
      <c r="C9" s="7" t="s">
        <v>37</v>
      </c>
      <c r="D9" s="7"/>
      <c r="E9" s="7"/>
      <c r="H9" s="4"/>
    </row>
    <row r="10" spans="1:8" ht="14.25" customHeight="1">
      <c r="A10" s="5">
        <v>44231</v>
      </c>
      <c r="B10" s="6">
        <v>20000</v>
      </c>
      <c r="C10" s="7" t="s">
        <v>3</v>
      </c>
      <c r="D10" s="7"/>
      <c r="E10" s="7"/>
      <c r="H10" s="4"/>
    </row>
    <row r="11" spans="1:8" ht="14.25" customHeight="1">
      <c r="A11" s="5">
        <v>44243</v>
      </c>
      <c r="B11" s="6">
        <v>10000</v>
      </c>
      <c r="C11" s="7" t="s">
        <v>3</v>
      </c>
      <c r="D11" s="7"/>
      <c r="E11" s="7"/>
      <c r="H11" s="4"/>
    </row>
    <row r="12" spans="1:8" ht="14.25" customHeight="1">
      <c r="A12" s="5">
        <v>44251</v>
      </c>
      <c r="B12" s="6">
        <v>10000</v>
      </c>
      <c r="C12" s="7" t="s">
        <v>3</v>
      </c>
      <c r="D12" s="7"/>
      <c r="E12" s="7"/>
      <c r="H12" s="4"/>
    </row>
    <row r="13" spans="1:8" ht="14.25" customHeight="1">
      <c r="A13" s="5">
        <v>44256</v>
      </c>
      <c r="B13" s="6">
        <v>9000</v>
      </c>
      <c r="C13" s="7" t="s">
        <v>3</v>
      </c>
      <c r="D13" s="7"/>
      <c r="E13" s="7"/>
      <c r="H13" s="4"/>
    </row>
    <row r="14" spans="1:8" ht="14.25" customHeight="1">
      <c r="A14" s="5">
        <v>44258</v>
      </c>
      <c r="B14" s="6">
        <v>50000</v>
      </c>
      <c r="C14" s="7" t="s">
        <v>3</v>
      </c>
      <c r="D14" s="7"/>
      <c r="E14" s="7"/>
      <c r="H14" s="4"/>
    </row>
    <row r="15" spans="1:8" ht="14.25" customHeight="1">
      <c r="A15" s="5">
        <v>44265</v>
      </c>
      <c r="B15" s="6">
        <v>10000</v>
      </c>
      <c r="C15" s="7" t="s">
        <v>3</v>
      </c>
      <c r="D15" s="7"/>
      <c r="E15" s="7"/>
      <c r="H15" s="4"/>
    </row>
    <row r="16" spans="1:8" ht="14.25" customHeight="1">
      <c r="A16" s="5">
        <v>44266</v>
      </c>
      <c r="B16" s="6">
        <v>50000</v>
      </c>
      <c r="C16" s="7" t="s">
        <v>3</v>
      </c>
      <c r="D16" s="7"/>
      <c r="E16" s="7"/>
      <c r="H16" s="4"/>
    </row>
    <row r="17" spans="1:8" ht="14.25" customHeight="1">
      <c r="A17" s="5">
        <v>44273</v>
      </c>
      <c r="B17" s="6">
        <v>15000</v>
      </c>
      <c r="C17" s="7" t="s">
        <v>3</v>
      </c>
      <c r="D17" s="7"/>
      <c r="E17" s="7"/>
      <c r="H17" s="4"/>
    </row>
    <row r="18" spans="1:8" ht="14.25" customHeight="1">
      <c r="A18" s="5">
        <v>44277</v>
      </c>
      <c r="B18" s="6">
        <v>35000</v>
      </c>
      <c r="C18" s="7" t="s">
        <v>3</v>
      </c>
      <c r="D18" s="7"/>
      <c r="E18" s="7"/>
      <c r="H18" s="4"/>
    </row>
    <row r="19" spans="1:8" ht="14.25" customHeight="1">
      <c r="A19" s="5">
        <v>44277</v>
      </c>
      <c r="B19" s="6">
        <v>-50000</v>
      </c>
      <c r="C19" s="7" t="s">
        <v>7</v>
      </c>
      <c r="D19" s="7"/>
      <c r="E19" s="7"/>
      <c r="H19" s="4"/>
    </row>
    <row r="20" spans="1:8" ht="14.25" customHeight="1">
      <c r="A20" s="5">
        <v>44278</v>
      </c>
      <c r="B20" s="6">
        <v>15000</v>
      </c>
      <c r="C20" s="7" t="s">
        <v>3</v>
      </c>
      <c r="D20" s="7"/>
      <c r="E20" s="7"/>
      <c r="H20" s="4"/>
    </row>
    <row r="21" spans="1:8" ht="14.25" customHeight="1">
      <c r="A21" s="5">
        <v>44285</v>
      </c>
      <c r="B21" s="6">
        <v>-25000</v>
      </c>
      <c r="C21" s="7" t="s">
        <v>7</v>
      </c>
      <c r="D21" s="7"/>
      <c r="E21" s="7"/>
      <c r="H21" s="4"/>
    </row>
    <row r="22" spans="1:8" ht="14.25" customHeight="1">
      <c r="A22" s="5">
        <v>44327</v>
      </c>
      <c r="B22" s="6">
        <v>5053</v>
      </c>
      <c r="C22" s="7" t="s">
        <v>38</v>
      </c>
      <c r="D22" s="7"/>
      <c r="E22" s="7"/>
      <c r="H22" s="4"/>
    </row>
    <row r="23" spans="1:8" ht="14.25" customHeight="1">
      <c r="A23" s="5">
        <v>44328</v>
      </c>
      <c r="B23" s="6">
        <v>948</v>
      </c>
      <c r="C23" s="7" t="s">
        <v>39</v>
      </c>
      <c r="D23" s="7"/>
      <c r="E23" s="7"/>
      <c r="H23" s="4"/>
    </row>
    <row r="24" spans="1:8" ht="14.25" customHeight="1">
      <c r="A24" s="5">
        <v>44328</v>
      </c>
      <c r="B24" s="6">
        <v>503</v>
      </c>
      <c r="C24" s="7" t="s">
        <v>40</v>
      </c>
      <c r="D24" s="7"/>
      <c r="E24" s="7"/>
      <c r="H24" s="4"/>
    </row>
    <row r="25" spans="1:8" ht="14.25" customHeight="1">
      <c r="A25" s="5">
        <v>44330</v>
      </c>
      <c r="B25" s="6">
        <v>20000</v>
      </c>
      <c r="C25" s="7" t="s">
        <v>3</v>
      </c>
      <c r="D25" s="7"/>
      <c r="E25" s="7"/>
      <c r="H25" s="4"/>
    </row>
    <row r="26" spans="1:8" ht="14.25" customHeight="1">
      <c r="A26" s="5">
        <v>44365</v>
      </c>
      <c r="B26" s="6">
        <v>20000</v>
      </c>
      <c r="C26" s="7" t="s">
        <v>3</v>
      </c>
      <c r="D26" s="7"/>
      <c r="E26" s="7"/>
      <c r="H26" s="4"/>
    </row>
    <row r="27" spans="1:8" ht="14.25" customHeight="1">
      <c r="A27" s="5">
        <v>44370</v>
      </c>
      <c r="B27" s="6">
        <v>25000</v>
      </c>
      <c r="C27" s="7" t="s">
        <v>3</v>
      </c>
      <c r="D27" s="7"/>
      <c r="E27" s="7"/>
      <c r="H27" s="4"/>
    </row>
    <row r="28" spans="1:8" ht="14.25" customHeight="1">
      <c r="A28" s="5">
        <v>44371</v>
      </c>
      <c r="B28" s="6">
        <v>14841</v>
      </c>
      <c r="C28" s="7" t="s">
        <v>41</v>
      </c>
      <c r="D28" s="7"/>
      <c r="E28" s="7"/>
      <c r="H28" s="4"/>
    </row>
    <row r="29" spans="1:8" ht="14.25" customHeight="1">
      <c r="A29" s="5">
        <v>44375</v>
      </c>
      <c r="B29" s="6">
        <v>14980</v>
      </c>
      <c r="C29" s="7" t="s">
        <v>42</v>
      </c>
      <c r="D29" s="7"/>
      <c r="E29" s="7"/>
      <c r="H29" s="4"/>
    </row>
    <row r="30" spans="1:8" ht="14.25" customHeight="1">
      <c r="A30" s="5">
        <v>44375</v>
      </c>
      <c r="B30" s="6">
        <v>13770</v>
      </c>
      <c r="C30" s="7" t="s">
        <v>43</v>
      </c>
      <c r="D30" s="7"/>
      <c r="E30" s="7"/>
      <c r="H30" s="4"/>
    </row>
    <row r="31" spans="1:8" ht="14.25" customHeight="1">
      <c r="A31" s="5">
        <v>44379</v>
      </c>
      <c r="B31" s="6">
        <v>5000</v>
      </c>
      <c r="C31" s="7" t="s">
        <v>3</v>
      </c>
      <c r="D31" s="7"/>
      <c r="E31" s="7"/>
      <c r="H31" s="4"/>
    </row>
    <row r="32" spans="1:8" ht="14.25" customHeight="1">
      <c r="A32" s="5">
        <v>44382</v>
      </c>
      <c r="B32" s="6">
        <v>-25000</v>
      </c>
      <c r="C32" s="7" t="s">
        <v>7</v>
      </c>
      <c r="D32" s="7"/>
      <c r="E32" s="7"/>
      <c r="H32" s="4"/>
    </row>
    <row r="33" spans="1:8" ht="14.25" customHeight="1">
      <c r="A33" s="5">
        <v>44386</v>
      </c>
      <c r="B33" s="6">
        <v>10000</v>
      </c>
      <c r="C33" s="7" t="s">
        <v>3</v>
      </c>
      <c r="D33" s="7"/>
      <c r="E33" s="7"/>
      <c r="H33" s="4"/>
    </row>
    <row r="34" spans="1:8" ht="14.25" customHeight="1">
      <c r="A34" s="5">
        <v>44387</v>
      </c>
      <c r="B34" s="6">
        <v>-10000</v>
      </c>
      <c r="C34" s="7" t="s">
        <v>7</v>
      </c>
      <c r="D34" s="7"/>
      <c r="E34" s="7"/>
      <c r="H34" s="4"/>
    </row>
    <row r="35" spans="1:8" ht="14.25" customHeight="1">
      <c r="A35" s="5">
        <v>44407</v>
      </c>
      <c r="B35" s="6">
        <v>5000</v>
      </c>
      <c r="C35" s="7" t="s">
        <v>3</v>
      </c>
      <c r="D35" s="7"/>
      <c r="E35" s="7"/>
      <c r="H35" s="4"/>
    </row>
    <row r="36" spans="1:8" ht="14.25" customHeight="1">
      <c r="A36" s="5">
        <v>44410</v>
      </c>
      <c r="B36" s="6">
        <v>5000</v>
      </c>
      <c r="C36" s="7" t="s">
        <v>3</v>
      </c>
      <c r="D36" s="7"/>
      <c r="E36" s="7"/>
      <c r="H36" s="4"/>
    </row>
    <row r="37" spans="1:8" ht="14.25" customHeight="1">
      <c r="A37" s="5">
        <v>44411</v>
      </c>
      <c r="B37" s="6">
        <v>-5000</v>
      </c>
      <c r="C37" s="7" t="s">
        <v>7</v>
      </c>
      <c r="D37" s="7"/>
      <c r="E37" s="7"/>
      <c r="H37" s="4"/>
    </row>
    <row r="38" spans="1:8" ht="14.25" customHeight="1">
      <c r="A38" s="5">
        <v>44425</v>
      </c>
      <c r="B38" s="6">
        <v>14820</v>
      </c>
      <c r="C38" s="7" t="s">
        <v>44</v>
      </c>
      <c r="D38" s="7"/>
      <c r="E38" s="7"/>
      <c r="H38" s="4"/>
    </row>
    <row r="39" spans="1:8" ht="14.25" customHeight="1">
      <c r="A39" s="5">
        <v>44441</v>
      </c>
      <c r="B39" s="6">
        <v>15000</v>
      </c>
      <c r="C39" s="7" t="s">
        <v>3</v>
      </c>
      <c r="D39" s="7"/>
      <c r="E39" s="7"/>
      <c r="H39" s="4"/>
    </row>
    <row r="40" spans="1:8" ht="14.25" customHeight="1">
      <c r="A40" s="5">
        <v>44455</v>
      </c>
      <c r="B40" s="6">
        <v>-24000</v>
      </c>
      <c r="C40" s="7" t="s">
        <v>7</v>
      </c>
      <c r="D40" s="7"/>
      <c r="E40" s="7"/>
      <c r="H40" s="4"/>
    </row>
    <row r="41" spans="1:8" ht="14.25" customHeight="1">
      <c r="A41" s="5">
        <v>44461</v>
      </c>
      <c r="B41" s="6">
        <v>14880</v>
      </c>
      <c r="C41" s="7" t="s">
        <v>45</v>
      </c>
      <c r="D41" s="7"/>
      <c r="E41" s="7"/>
      <c r="H41" s="4"/>
    </row>
    <row r="42" spans="1:8" ht="14.25" customHeight="1">
      <c r="A42" s="5">
        <v>44476</v>
      </c>
      <c r="B42" s="6">
        <v>14240</v>
      </c>
      <c r="C42" s="7" t="s">
        <v>46</v>
      </c>
      <c r="D42" s="7"/>
      <c r="E42" s="7"/>
      <c r="H42" s="4"/>
    </row>
    <row r="43" spans="1:8" ht="14.25" customHeight="1">
      <c r="A43" s="5">
        <v>44478</v>
      </c>
      <c r="B43" s="6">
        <v>-30000</v>
      </c>
      <c r="C43" s="7" t="s">
        <v>7</v>
      </c>
      <c r="D43" s="7"/>
      <c r="E43" s="7"/>
      <c r="H43" s="4"/>
    </row>
    <row r="44" spans="1:8" ht="14.25" customHeight="1">
      <c r="A44" s="5">
        <v>44489</v>
      </c>
      <c r="B44" s="6">
        <v>30000</v>
      </c>
      <c r="C44" s="7" t="s">
        <v>3</v>
      </c>
      <c r="D44" s="7"/>
      <c r="E44" s="7"/>
      <c r="H44" s="4"/>
    </row>
    <row r="45" spans="1:8" ht="14.25" customHeight="1">
      <c r="A45" s="5">
        <v>44491</v>
      </c>
      <c r="B45" s="6">
        <v>5000</v>
      </c>
      <c r="C45" s="7" t="s">
        <v>3</v>
      </c>
      <c r="D45" s="7"/>
      <c r="E45" s="7"/>
      <c r="H45" s="4"/>
    </row>
    <row r="46" spans="1:8" ht="14.25" customHeight="1">
      <c r="A46" s="5">
        <v>44495</v>
      </c>
      <c r="B46" s="6">
        <v>2000</v>
      </c>
      <c r="C46" s="7" t="s">
        <v>3</v>
      </c>
      <c r="D46" s="7"/>
      <c r="E46" s="7"/>
      <c r="H46" s="4"/>
    </row>
    <row r="47" spans="1:8" ht="14.25" customHeight="1">
      <c r="A47" s="5">
        <v>44497</v>
      </c>
      <c r="B47" s="6">
        <v>40000</v>
      </c>
      <c r="C47" s="7" t="s">
        <v>3</v>
      </c>
      <c r="D47" s="7"/>
      <c r="E47" s="7"/>
      <c r="H47" s="4"/>
    </row>
    <row r="48" spans="1:8" ht="14.25" customHeight="1">
      <c r="A48" s="5">
        <v>44508</v>
      </c>
      <c r="B48" s="6">
        <v>-15000</v>
      </c>
      <c r="C48" s="7" t="s">
        <v>7</v>
      </c>
      <c r="D48" s="7"/>
      <c r="E48" s="7"/>
      <c r="H48" s="4"/>
    </row>
    <row r="49" spans="1:8" ht="14.25" customHeight="1">
      <c r="A49" s="5">
        <v>44509</v>
      </c>
      <c r="B49" s="6">
        <v>-10000</v>
      </c>
      <c r="C49" s="7" t="s">
        <v>7</v>
      </c>
      <c r="D49" s="7"/>
      <c r="E49" s="7"/>
      <c r="H49" s="4"/>
    </row>
    <row r="50" spans="1:8" ht="14.25" customHeight="1">
      <c r="A50" s="5">
        <v>44512</v>
      </c>
      <c r="B50" s="6">
        <v>10000</v>
      </c>
      <c r="C50" s="7" t="s">
        <v>3</v>
      </c>
      <c r="D50" s="7"/>
      <c r="E50" s="7"/>
      <c r="H50" s="4"/>
    </row>
    <row r="51" spans="1:8" ht="14.25" customHeight="1">
      <c r="A51" s="5">
        <v>44516</v>
      </c>
      <c r="B51" s="6">
        <v>12900</v>
      </c>
      <c r="C51" s="7" t="s">
        <v>47</v>
      </c>
      <c r="D51" s="7"/>
      <c r="E51" s="7"/>
      <c r="H51" s="4"/>
    </row>
    <row r="52" spans="1:8" ht="14.25" customHeight="1">
      <c r="A52" s="5">
        <v>44517</v>
      </c>
      <c r="B52" s="6">
        <v>4000</v>
      </c>
      <c r="C52" s="7" t="s">
        <v>3</v>
      </c>
      <c r="D52" s="7"/>
      <c r="E52" s="7"/>
      <c r="H52" s="4"/>
    </row>
    <row r="53" spans="1:8" ht="14.25" customHeight="1">
      <c r="A53" s="5">
        <v>44522</v>
      </c>
      <c r="B53" s="6">
        <v>-5000</v>
      </c>
      <c r="C53" s="7" t="s">
        <v>7</v>
      </c>
      <c r="D53" s="7"/>
      <c r="E53" s="7"/>
      <c r="H53" s="4"/>
    </row>
    <row r="54" spans="1:8" ht="14.25" customHeight="1">
      <c r="A54" s="5">
        <v>44526</v>
      </c>
      <c r="B54" s="6">
        <v>2000</v>
      </c>
      <c r="C54" s="7" t="s">
        <v>3</v>
      </c>
      <c r="D54" s="7"/>
      <c r="E54" s="7"/>
      <c r="H54" s="4"/>
    </row>
    <row r="55" spans="1:8" ht="14.25" customHeight="1">
      <c r="A55" s="5">
        <v>44534</v>
      </c>
      <c r="B55" s="6">
        <v>-18000</v>
      </c>
      <c r="C55" s="7" t="s">
        <v>7</v>
      </c>
      <c r="D55" s="7"/>
      <c r="E55" s="7"/>
      <c r="H55" s="4"/>
    </row>
    <row r="56" spans="1:8" ht="14.25" customHeight="1">
      <c r="A56" s="5">
        <v>44539</v>
      </c>
      <c r="B56" s="6">
        <v>-10000</v>
      </c>
      <c r="C56" s="7" t="s">
        <v>7</v>
      </c>
      <c r="D56" s="7"/>
      <c r="E56" s="7"/>
      <c r="H56" s="4"/>
    </row>
    <row r="57" spans="1:8" ht="14.25" customHeight="1">
      <c r="A57" s="5">
        <v>44541</v>
      </c>
      <c r="B57" s="6">
        <v>-6000</v>
      </c>
      <c r="C57" s="7" t="s">
        <v>7</v>
      </c>
      <c r="D57" s="7"/>
      <c r="E57" s="7"/>
      <c r="H57" s="4"/>
    </row>
    <row r="58" spans="1:8" ht="14.25" customHeight="1">
      <c r="A58" s="5">
        <v>44541</v>
      </c>
      <c r="B58" s="6">
        <v>-3800</v>
      </c>
      <c r="C58" s="7" t="s">
        <v>7</v>
      </c>
      <c r="D58" s="7"/>
      <c r="E58" s="7"/>
      <c r="H58" s="4"/>
    </row>
    <row r="59" spans="1:8" ht="14.25" customHeight="1">
      <c r="A59" s="5">
        <v>44543</v>
      </c>
      <c r="B59" s="6">
        <v>-9200</v>
      </c>
      <c r="C59" s="7" t="s">
        <v>7</v>
      </c>
      <c r="D59" s="7"/>
      <c r="E59" s="7"/>
      <c r="H59" s="4"/>
    </row>
    <row r="60" spans="1:8" ht="14.25" customHeight="1">
      <c r="A60" s="5">
        <v>44543</v>
      </c>
      <c r="B60" s="6">
        <v>-737</v>
      </c>
      <c r="C60" s="7" t="s">
        <v>48</v>
      </c>
      <c r="D60" s="7"/>
      <c r="E60" s="7"/>
      <c r="H60" s="4"/>
    </row>
    <row r="61" spans="1:8" ht="14.25" customHeight="1">
      <c r="A61" s="5">
        <v>44547</v>
      </c>
      <c r="B61" s="6">
        <v>8000</v>
      </c>
      <c r="C61" s="7" t="s">
        <v>3</v>
      </c>
      <c r="D61" s="7"/>
      <c r="E61" s="7"/>
      <c r="H61" s="4"/>
    </row>
    <row r="62" spans="1:8" ht="14.25" customHeight="1">
      <c r="A62" s="5">
        <v>44550</v>
      </c>
      <c r="B62" s="6">
        <v>7000</v>
      </c>
      <c r="C62" s="7" t="s">
        <v>3</v>
      </c>
      <c r="D62" s="7"/>
      <c r="E62" s="7"/>
      <c r="H62" s="4"/>
    </row>
    <row r="63" spans="1:8" ht="14.25" customHeight="1">
      <c r="A63" s="5">
        <v>44552</v>
      </c>
      <c r="B63" s="6">
        <v>2000</v>
      </c>
      <c r="C63" s="7" t="s">
        <v>3</v>
      </c>
      <c r="D63" s="7"/>
      <c r="E63" s="7"/>
      <c r="H63" s="4"/>
    </row>
    <row r="64" spans="1:8" ht="14.25" customHeight="1">
      <c r="A64" s="5">
        <v>44553</v>
      </c>
      <c r="B64" s="6">
        <v>3000</v>
      </c>
      <c r="C64" s="7" t="s">
        <v>3</v>
      </c>
      <c r="D64" s="7"/>
      <c r="E64" s="7"/>
      <c r="H64" s="4"/>
    </row>
    <row r="65" spans="1:8" ht="14.25" customHeight="1">
      <c r="A65" s="5">
        <v>44557</v>
      </c>
      <c r="B65" s="6">
        <v>8000</v>
      </c>
      <c r="C65" s="7" t="s">
        <v>3</v>
      </c>
      <c r="D65" s="7"/>
      <c r="E65" s="7"/>
      <c r="H65" s="4"/>
    </row>
    <row r="66" spans="1:8" ht="14.25" customHeight="1">
      <c r="A66" s="5">
        <v>44567</v>
      </c>
      <c r="B66" s="6">
        <v>-20000</v>
      </c>
      <c r="C66" s="7" t="s">
        <v>7</v>
      </c>
      <c r="D66" s="7"/>
      <c r="E66" s="7"/>
      <c r="H66" s="4"/>
    </row>
    <row r="67" spans="1:8" ht="14.25" customHeight="1">
      <c r="A67" s="5">
        <v>44570</v>
      </c>
      <c r="B67" s="6">
        <v>125000</v>
      </c>
      <c r="C67" s="7" t="s">
        <v>3</v>
      </c>
      <c r="D67" s="7"/>
      <c r="E67" s="7"/>
      <c r="H67" s="4"/>
    </row>
    <row r="68" spans="1:8" ht="14.25" customHeight="1">
      <c r="A68" s="5">
        <v>44575</v>
      </c>
      <c r="B68" s="6">
        <v>10000</v>
      </c>
      <c r="C68" s="7" t="s">
        <v>3</v>
      </c>
      <c r="D68" s="7"/>
      <c r="E68" s="7"/>
      <c r="H68" s="4"/>
    </row>
    <row r="69" spans="1:8" ht="14.25" customHeight="1">
      <c r="A69" s="5">
        <v>44578</v>
      </c>
      <c r="B69" s="6">
        <v>5000</v>
      </c>
      <c r="C69" s="7" t="s">
        <v>3</v>
      </c>
      <c r="D69" s="7"/>
      <c r="E69" s="7"/>
      <c r="H69" s="4"/>
    </row>
    <row r="70" spans="1:8" ht="14.25" customHeight="1">
      <c r="A70" s="5">
        <v>44585</v>
      </c>
      <c r="B70" s="6">
        <v>25000</v>
      </c>
      <c r="C70" s="7" t="s">
        <v>3</v>
      </c>
      <c r="D70" s="7"/>
      <c r="E70" s="7"/>
      <c r="H70" s="4"/>
    </row>
    <row r="71" spans="1:8" ht="14.25" customHeight="1">
      <c r="A71" s="5">
        <v>44586</v>
      </c>
      <c r="B71" s="6">
        <v>10000</v>
      </c>
      <c r="C71" s="7" t="s">
        <v>3</v>
      </c>
      <c r="D71" s="7"/>
      <c r="E71" s="7"/>
      <c r="H71" s="4"/>
    </row>
    <row r="72" spans="1:8" ht="14.25" customHeight="1">
      <c r="A72" s="5">
        <v>44588</v>
      </c>
      <c r="B72" s="6">
        <v>10000</v>
      </c>
      <c r="C72" s="7" t="s">
        <v>3</v>
      </c>
      <c r="D72" s="7"/>
      <c r="E72" s="7"/>
      <c r="H72" s="4"/>
    </row>
    <row r="73" spans="1:8" ht="14.25" customHeight="1">
      <c r="A73" s="5">
        <v>44589</v>
      </c>
      <c r="B73" s="6">
        <v>20000</v>
      </c>
      <c r="C73" s="7" t="s">
        <v>3</v>
      </c>
      <c r="D73" s="7"/>
      <c r="E73" s="7"/>
      <c r="H73" s="4"/>
    </row>
    <row r="74" spans="1:8" ht="14.25" customHeight="1">
      <c r="A74" s="5">
        <v>44589</v>
      </c>
      <c r="B74" s="6"/>
      <c r="C74" s="7" t="s">
        <v>4</v>
      </c>
      <c r="D74" s="7" t="s">
        <v>49</v>
      </c>
      <c r="E74" s="7"/>
      <c r="H74" s="4"/>
    </row>
    <row r="75" spans="1:8" ht="14.25" customHeight="1">
      <c r="A75" s="5">
        <v>44592</v>
      </c>
      <c r="B75" s="6">
        <v>8000</v>
      </c>
      <c r="C75" s="7" t="s">
        <v>3</v>
      </c>
      <c r="D75" s="7"/>
      <c r="E75" s="7"/>
      <c r="H75" s="4"/>
    </row>
    <row r="76" spans="1:8" ht="14.25" customHeight="1">
      <c r="A76" s="5">
        <v>44592</v>
      </c>
      <c r="B76" s="6">
        <v>-8767.4599999999991</v>
      </c>
      <c r="C76" s="7" t="s">
        <v>7</v>
      </c>
      <c r="D76" s="7"/>
      <c r="E76" s="7"/>
      <c r="H76" s="4"/>
    </row>
    <row r="77" spans="1:8" ht="14.25" customHeight="1">
      <c r="A77" s="5">
        <v>44593</v>
      </c>
      <c r="B77" s="6">
        <v>5000</v>
      </c>
      <c r="C77" s="7" t="s">
        <v>3</v>
      </c>
      <c r="D77" s="7"/>
      <c r="E77" s="7"/>
      <c r="H77" s="4"/>
    </row>
    <row r="78" spans="1:8" ht="14.25" customHeight="1">
      <c r="A78" s="5">
        <v>44599</v>
      </c>
      <c r="B78" s="6">
        <v>30000</v>
      </c>
      <c r="C78" s="7" t="s">
        <v>3</v>
      </c>
      <c r="D78" s="7"/>
      <c r="E78" s="7"/>
      <c r="H78" s="4"/>
    </row>
    <row r="79" spans="1:8" ht="14.25" customHeight="1">
      <c r="A79" s="5">
        <v>44599</v>
      </c>
      <c r="B79" s="6"/>
      <c r="C79" s="7" t="s">
        <v>4</v>
      </c>
      <c r="D79" s="7" t="s">
        <v>50</v>
      </c>
      <c r="E79" s="7"/>
      <c r="H79" s="4"/>
    </row>
    <row r="80" spans="1:8" ht="14.25" customHeight="1">
      <c r="A80" s="5">
        <v>44602</v>
      </c>
      <c r="B80" s="6"/>
      <c r="C80" s="7" t="s">
        <v>4</v>
      </c>
      <c r="D80" s="7" t="s">
        <v>51</v>
      </c>
      <c r="E80" s="7"/>
      <c r="H80" s="4"/>
    </row>
    <row r="81" spans="1:8" ht="14.25" customHeight="1">
      <c r="A81" s="5">
        <v>44603</v>
      </c>
      <c r="B81" s="6">
        <v>10000</v>
      </c>
      <c r="C81" s="7" t="s">
        <v>3</v>
      </c>
      <c r="D81" s="7"/>
      <c r="E81" s="7"/>
      <c r="H81" s="4"/>
    </row>
    <row r="82" spans="1:8" ht="14.25" customHeight="1">
      <c r="A82" s="5">
        <v>44606</v>
      </c>
      <c r="B82" s="6">
        <v>10000</v>
      </c>
      <c r="C82" s="7" t="s">
        <v>3</v>
      </c>
      <c r="D82" s="7"/>
      <c r="E82" s="7"/>
      <c r="H82" s="4"/>
    </row>
    <row r="83" spans="1:8" ht="14.25" customHeight="1">
      <c r="A83" s="5">
        <v>44606</v>
      </c>
      <c r="B83" s="6"/>
      <c r="C83" s="7" t="s">
        <v>4</v>
      </c>
      <c r="D83" s="7" t="s">
        <v>50</v>
      </c>
      <c r="E83" s="7"/>
      <c r="H83" s="4"/>
    </row>
    <row r="84" spans="1:8" ht="14.25" customHeight="1">
      <c r="A84" s="5">
        <v>44608</v>
      </c>
      <c r="B84" s="6"/>
      <c r="C84" s="7" t="s">
        <v>4</v>
      </c>
      <c r="D84" s="7" t="s">
        <v>50</v>
      </c>
      <c r="E84" s="7"/>
      <c r="H84" s="4"/>
    </row>
    <row r="85" spans="1:8" ht="14.25" customHeight="1">
      <c r="A85" s="5">
        <v>44614</v>
      </c>
      <c r="B85" s="6">
        <v>1000</v>
      </c>
      <c r="C85" s="7" t="s">
        <v>3</v>
      </c>
      <c r="D85" s="7"/>
      <c r="E85" s="7"/>
      <c r="H85" s="4"/>
    </row>
    <row r="86" spans="1:8" ht="14.25" customHeight="1">
      <c r="A86" s="5">
        <v>44614</v>
      </c>
      <c r="B86" s="6"/>
      <c r="C86" s="7" t="s">
        <v>4</v>
      </c>
      <c r="D86" s="7" t="s">
        <v>52</v>
      </c>
      <c r="E86" s="7"/>
      <c r="H86" s="4"/>
    </row>
    <row r="87" spans="1:8" ht="14.25" customHeight="1">
      <c r="A87" s="5">
        <v>44616</v>
      </c>
      <c r="B87" s="6">
        <v>20000</v>
      </c>
      <c r="C87" s="7" t="s">
        <v>3</v>
      </c>
      <c r="D87" s="7"/>
      <c r="E87" s="7"/>
      <c r="H87" s="4"/>
    </row>
    <row r="88" spans="1:8" ht="14.25" customHeight="1">
      <c r="A88" s="5">
        <v>44622</v>
      </c>
      <c r="B88" s="6"/>
      <c r="C88" s="7" t="s">
        <v>4</v>
      </c>
      <c r="D88" s="7" t="s">
        <v>53</v>
      </c>
      <c r="E88" s="7"/>
      <c r="H88" s="4"/>
    </row>
    <row r="89" spans="1:8" ht="14.25" customHeight="1">
      <c r="A89" s="5">
        <v>44624</v>
      </c>
      <c r="B89" s="6"/>
      <c r="C89" s="7" t="s">
        <v>4</v>
      </c>
      <c r="D89" s="7" t="s">
        <v>54</v>
      </c>
      <c r="E89" s="7"/>
      <c r="H89" s="4"/>
    </row>
    <row r="90" spans="1:8" ht="14.25" customHeight="1">
      <c r="A90" s="5">
        <v>44624</v>
      </c>
      <c r="B90" s="6">
        <v>-20000</v>
      </c>
      <c r="C90" s="7" t="s">
        <v>7</v>
      </c>
      <c r="D90" s="7"/>
      <c r="E90" s="7"/>
      <c r="H90" s="4"/>
    </row>
    <row r="91" spans="1:8" ht="14.25" customHeight="1">
      <c r="A91" s="5">
        <v>44625</v>
      </c>
      <c r="B91" s="6">
        <v>-10000</v>
      </c>
      <c r="C91" s="7" t="s">
        <v>7</v>
      </c>
      <c r="D91" s="7"/>
      <c r="E91" s="7"/>
      <c r="H91" s="4"/>
    </row>
    <row r="92" spans="1:8" ht="14.25" customHeight="1">
      <c r="A92" s="5">
        <v>44628</v>
      </c>
      <c r="B92" s="6">
        <v>55000</v>
      </c>
      <c r="C92" s="7" t="s">
        <v>3</v>
      </c>
      <c r="D92" s="7"/>
      <c r="E92" s="7"/>
      <c r="H92" s="4"/>
    </row>
    <row r="93" spans="1:8" ht="14.25" customHeight="1">
      <c r="A93" s="5">
        <v>44635</v>
      </c>
      <c r="B93" s="6"/>
      <c r="C93" s="7" t="s">
        <v>4</v>
      </c>
      <c r="D93" s="7" t="s">
        <v>55</v>
      </c>
      <c r="E93" s="7"/>
      <c r="H93" s="4"/>
    </row>
    <row r="94" spans="1:8" ht="14.25" customHeight="1">
      <c r="A94" s="5">
        <v>44641</v>
      </c>
      <c r="B94" s="6"/>
      <c r="C94" s="7" t="s">
        <v>4</v>
      </c>
      <c r="D94" s="7" t="s">
        <v>56</v>
      </c>
      <c r="E94" s="7"/>
      <c r="H94" s="4"/>
    </row>
    <row r="95" spans="1:8" ht="14.25" customHeight="1">
      <c r="A95" s="5">
        <v>44642</v>
      </c>
      <c r="B95" s="6">
        <v>2000</v>
      </c>
      <c r="C95" s="7" t="s">
        <v>3</v>
      </c>
      <c r="D95" s="7"/>
      <c r="E95" s="7"/>
      <c r="H95" s="4"/>
    </row>
    <row r="96" spans="1:8" ht="14.25" customHeight="1">
      <c r="A96" s="5">
        <v>44642</v>
      </c>
      <c r="B96" s="6">
        <v>-11000</v>
      </c>
      <c r="C96" s="7" t="s">
        <v>7</v>
      </c>
      <c r="D96" s="7"/>
      <c r="E96" s="7"/>
      <c r="H96" s="4"/>
    </row>
    <row r="97" spans="1:8" ht="14.25" customHeight="1">
      <c r="A97" s="5">
        <v>44643</v>
      </c>
      <c r="B97" s="6"/>
      <c r="C97" s="7" t="s">
        <v>4</v>
      </c>
      <c r="D97" s="7" t="s">
        <v>57</v>
      </c>
      <c r="E97" s="7"/>
      <c r="H97" s="4"/>
    </row>
    <row r="98" spans="1:8" ht="14.25" customHeight="1">
      <c r="A98" s="5">
        <v>44650</v>
      </c>
      <c r="B98" s="6">
        <v>20000</v>
      </c>
      <c r="C98" s="7" t="s">
        <v>3</v>
      </c>
      <c r="D98" s="7"/>
      <c r="E98" s="7"/>
      <c r="H98" s="4"/>
    </row>
    <row r="99" spans="1:8" ht="14.25" customHeight="1">
      <c r="A99" s="5">
        <v>44651</v>
      </c>
      <c r="B99" s="6">
        <v>45000</v>
      </c>
      <c r="C99" s="7" t="s">
        <v>3</v>
      </c>
      <c r="D99" s="7"/>
      <c r="E99" s="7"/>
      <c r="H99" s="4"/>
    </row>
    <row r="100" spans="1:8" ht="14.25" customHeight="1">
      <c r="A100" s="5">
        <v>44651</v>
      </c>
      <c r="B100" s="6"/>
      <c r="C100" s="7" t="s">
        <v>58</v>
      </c>
      <c r="D100" s="7"/>
      <c r="E100" s="7"/>
      <c r="H100" s="4"/>
    </row>
    <row r="101" spans="1:8" ht="14.25" customHeight="1">
      <c r="A101" s="5">
        <v>44656</v>
      </c>
      <c r="B101" s="6">
        <v>27300</v>
      </c>
      <c r="C101" s="7" t="s">
        <v>59</v>
      </c>
      <c r="D101" s="7"/>
      <c r="E101" s="7"/>
      <c r="H101" s="4"/>
    </row>
    <row r="102" spans="1:8" ht="14.25" customHeight="1">
      <c r="A102" s="5">
        <v>44658</v>
      </c>
      <c r="B102" s="6"/>
      <c r="C102" s="7" t="s">
        <v>4</v>
      </c>
      <c r="D102" s="7" t="s">
        <v>60</v>
      </c>
      <c r="E102" s="7"/>
      <c r="H102" s="4"/>
    </row>
    <row r="103" spans="1:8" ht="14.25" customHeight="1">
      <c r="A103" s="5">
        <v>44658</v>
      </c>
      <c r="B103" s="6"/>
      <c r="C103" s="7" t="s">
        <v>4</v>
      </c>
      <c r="D103" s="7" t="s">
        <v>60</v>
      </c>
      <c r="E103" s="7"/>
      <c r="H103" s="4"/>
    </row>
    <row r="104" spans="1:8" ht="14.25" customHeight="1">
      <c r="A104" s="5">
        <v>44658</v>
      </c>
      <c r="B104" s="6"/>
      <c r="C104" s="7" t="s">
        <v>4</v>
      </c>
      <c r="D104" s="7" t="s">
        <v>61</v>
      </c>
      <c r="E104" s="7"/>
      <c r="H104" s="4"/>
    </row>
    <row r="105" spans="1:8" ht="14.25" customHeight="1">
      <c r="A105" s="5">
        <v>44658</v>
      </c>
      <c r="B105" s="6"/>
      <c r="C105" s="7" t="s">
        <v>4</v>
      </c>
      <c r="D105" s="7" t="s">
        <v>61</v>
      </c>
      <c r="E105" s="7"/>
      <c r="H105" s="4"/>
    </row>
    <row r="106" spans="1:8" ht="14.25" customHeight="1">
      <c r="A106" s="5">
        <v>44662</v>
      </c>
      <c r="B106" s="6"/>
      <c r="C106" s="7" t="s">
        <v>4</v>
      </c>
      <c r="D106" s="7" t="s">
        <v>61</v>
      </c>
      <c r="E106" s="7"/>
      <c r="H106" s="4"/>
    </row>
    <row r="107" spans="1:8" ht="14.25" customHeight="1">
      <c r="A107" s="5">
        <v>44663</v>
      </c>
      <c r="B107" s="6">
        <v>50000</v>
      </c>
      <c r="C107" s="7" t="s">
        <v>3</v>
      </c>
      <c r="D107" s="7"/>
      <c r="E107" s="7"/>
      <c r="H107" s="4"/>
    </row>
    <row r="108" spans="1:8" ht="14.25" customHeight="1">
      <c r="A108" s="5">
        <v>44664</v>
      </c>
      <c r="B108" s="6"/>
      <c r="C108" s="7" t="s">
        <v>4</v>
      </c>
      <c r="D108" s="7" t="s">
        <v>62</v>
      </c>
      <c r="E108" s="7"/>
      <c r="H108" s="4"/>
    </row>
    <row r="109" spans="1:8" ht="14.25" customHeight="1">
      <c r="A109" s="5">
        <v>44670</v>
      </c>
      <c r="B109" s="6"/>
      <c r="C109" s="7" t="s">
        <v>63</v>
      </c>
      <c r="D109" s="7"/>
      <c r="E109" s="7"/>
      <c r="H109" s="4"/>
    </row>
    <row r="110" spans="1:8" ht="14.25" customHeight="1">
      <c r="A110" s="5">
        <v>44670</v>
      </c>
      <c r="B110" s="6">
        <v>350000</v>
      </c>
      <c r="C110" s="7" t="s">
        <v>3</v>
      </c>
      <c r="D110" s="7"/>
      <c r="E110" s="7"/>
      <c r="H110" s="4"/>
    </row>
    <row r="111" spans="1:8" ht="14.25" customHeight="1">
      <c r="A111" s="5">
        <v>44671</v>
      </c>
      <c r="B111" s="6"/>
      <c r="C111" s="7" t="s">
        <v>4</v>
      </c>
      <c r="D111" s="7" t="s">
        <v>64</v>
      </c>
      <c r="E111" s="7"/>
      <c r="H111" s="4"/>
    </row>
    <row r="112" spans="1:8" ht="14.25" customHeight="1">
      <c r="A112" s="5">
        <v>44676</v>
      </c>
      <c r="B112" s="6">
        <v>30000</v>
      </c>
      <c r="C112" s="7" t="s">
        <v>3</v>
      </c>
      <c r="D112" s="7"/>
      <c r="E112" s="7"/>
      <c r="H112" s="4"/>
    </row>
    <row r="113" spans="1:8" ht="14.25" customHeight="1">
      <c r="A113" s="5">
        <v>44677</v>
      </c>
      <c r="B113" s="6">
        <v>-15000</v>
      </c>
      <c r="C113" s="7" t="s">
        <v>7</v>
      </c>
      <c r="D113" s="7"/>
      <c r="E113" s="7"/>
      <c r="H113" s="4"/>
    </row>
    <row r="114" spans="1:8" ht="14.25" customHeight="1">
      <c r="A114" s="5">
        <v>44679</v>
      </c>
      <c r="B114" s="6">
        <v>-19938.189999999999</v>
      </c>
      <c r="C114" s="7" t="s">
        <v>7</v>
      </c>
      <c r="D114" s="7"/>
      <c r="E114" s="7"/>
      <c r="H114" s="4"/>
    </row>
    <row r="115" spans="1:8" ht="14.25" customHeight="1">
      <c r="A115" s="5">
        <v>44679</v>
      </c>
      <c r="B115" s="6"/>
      <c r="C115" s="7" t="s">
        <v>4</v>
      </c>
      <c r="D115" s="7" t="s">
        <v>65</v>
      </c>
      <c r="E115" s="7"/>
      <c r="H115" s="4"/>
    </row>
    <row r="116" spans="1:8" ht="14.25" customHeight="1">
      <c r="A116" s="5">
        <v>44680</v>
      </c>
      <c r="B116" s="6"/>
      <c r="C116" s="7" t="s">
        <v>4</v>
      </c>
      <c r="D116" s="7" t="s">
        <v>66</v>
      </c>
      <c r="E116" s="7"/>
      <c r="H116" s="4"/>
    </row>
    <row r="117" spans="1:8" ht="14.25" customHeight="1">
      <c r="A117" s="5">
        <v>44680</v>
      </c>
      <c r="B117" s="6"/>
      <c r="C117" s="7" t="s">
        <v>4</v>
      </c>
      <c r="D117" s="7" t="s">
        <v>67</v>
      </c>
      <c r="E117" s="7"/>
      <c r="H117" s="4"/>
    </row>
    <row r="118" spans="1:8" ht="14.25" customHeight="1">
      <c r="A118" s="5">
        <v>44680</v>
      </c>
      <c r="B118" s="6">
        <v>-3083.04</v>
      </c>
      <c r="C118" s="7" t="s">
        <v>7</v>
      </c>
      <c r="D118" s="7"/>
      <c r="E118" s="7"/>
      <c r="H118" s="4"/>
    </row>
    <row r="119" spans="1:8" ht="14.25" customHeight="1">
      <c r="A119" s="5">
        <v>44685</v>
      </c>
      <c r="B119" s="6"/>
      <c r="C119" s="7" t="s">
        <v>4</v>
      </c>
      <c r="D119" s="7" t="s">
        <v>68</v>
      </c>
      <c r="E119" s="7"/>
      <c r="H119" s="4"/>
    </row>
    <row r="120" spans="1:8" ht="14.25" customHeight="1">
      <c r="A120" s="5">
        <v>44686</v>
      </c>
      <c r="B120" s="6">
        <v>-9584.83</v>
      </c>
      <c r="C120" s="7" t="s">
        <v>7</v>
      </c>
      <c r="D120" s="7"/>
      <c r="E120" s="7"/>
      <c r="H120" s="4"/>
    </row>
    <row r="121" spans="1:8" ht="14.25" customHeight="1">
      <c r="A121" s="5">
        <v>44686</v>
      </c>
      <c r="B121" s="6">
        <v>-30000</v>
      </c>
      <c r="C121" s="7" t="s">
        <v>7</v>
      </c>
      <c r="D121" s="7"/>
      <c r="E121" s="7"/>
      <c r="H121" s="4"/>
    </row>
    <row r="122" spans="1:8" ht="14.25" customHeight="1">
      <c r="A122" s="5">
        <v>44686</v>
      </c>
      <c r="B122" s="6">
        <v>14892</v>
      </c>
      <c r="C122" s="7" t="s">
        <v>69</v>
      </c>
      <c r="D122" s="7"/>
      <c r="E122" s="7"/>
      <c r="H122" s="4"/>
    </row>
    <row r="123" spans="1:8" ht="14.25" customHeight="1">
      <c r="A123" s="5">
        <v>44687</v>
      </c>
      <c r="B123" s="6"/>
      <c r="C123" s="7" t="s">
        <v>4</v>
      </c>
      <c r="D123" s="7" t="s">
        <v>70</v>
      </c>
      <c r="E123" s="7"/>
      <c r="H123" s="4"/>
    </row>
    <row r="124" spans="1:8" ht="14.25" customHeight="1">
      <c r="A124" s="5">
        <v>44690</v>
      </c>
      <c r="B124" s="6">
        <v>-15000</v>
      </c>
      <c r="C124" s="7" t="s">
        <v>7</v>
      </c>
      <c r="D124" s="7"/>
      <c r="E124" s="7"/>
      <c r="H124" s="4"/>
    </row>
    <row r="125" spans="1:8" ht="14.25" customHeight="1">
      <c r="A125" s="5">
        <v>44691</v>
      </c>
      <c r="B125" s="6"/>
      <c r="C125" s="7" t="s">
        <v>4</v>
      </c>
      <c r="D125" s="7" t="s">
        <v>71</v>
      </c>
      <c r="E125" s="7"/>
      <c r="H125" s="4"/>
    </row>
    <row r="126" spans="1:8" ht="14.25" customHeight="1">
      <c r="A126" s="5">
        <v>44694</v>
      </c>
      <c r="B126" s="6">
        <v>13560</v>
      </c>
      <c r="C126" s="7" t="s">
        <v>72</v>
      </c>
      <c r="D126" s="7"/>
      <c r="E126" s="7"/>
      <c r="H126" s="4"/>
    </row>
    <row r="127" spans="1:8" ht="14.25" customHeight="1">
      <c r="A127" s="5">
        <v>44694</v>
      </c>
      <c r="B127" s="6">
        <v>25000</v>
      </c>
      <c r="C127" s="7" t="s">
        <v>3</v>
      </c>
      <c r="D127" s="7"/>
      <c r="E127" s="7"/>
      <c r="H127" s="4"/>
    </row>
    <row r="128" spans="1:8" ht="14.25" customHeight="1">
      <c r="A128" s="5">
        <v>44694</v>
      </c>
      <c r="B128" s="6"/>
      <c r="C128" s="7" t="s">
        <v>4</v>
      </c>
      <c r="D128" s="7" t="s">
        <v>73</v>
      </c>
      <c r="E128" s="7"/>
      <c r="H128" s="4"/>
    </row>
    <row r="129" spans="1:8" ht="14.25" customHeight="1">
      <c r="A129" s="5">
        <v>44699</v>
      </c>
      <c r="B129" s="6"/>
      <c r="C129" s="7" t="s">
        <v>4</v>
      </c>
      <c r="D129" s="7" t="s">
        <v>74</v>
      </c>
      <c r="E129" s="7"/>
      <c r="H129" s="4"/>
    </row>
    <row r="130" spans="1:8" ht="14.25" customHeight="1">
      <c r="A130" s="5">
        <v>44699</v>
      </c>
      <c r="B130" s="6">
        <v>-9104.51</v>
      </c>
      <c r="C130" s="7" t="s">
        <v>7</v>
      </c>
      <c r="D130" s="7"/>
      <c r="E130" s="7"/>
      <c r="H130" s="4"/>
    </row>
    <row r="131" spans="1:8" ht="14.25" customHeight="1">
      <c r="A131" s="5">
        <v>44700</v>
      </c>
      <c r="B131" s="6"/>
      <c r="C131" s="7" t="s">
        <v>4</v>
      </c>
      <c r="D131" s="7" t="s">
        <v>75</v>
      </c>
      <c r="E131" s="7"/>
      <c r="H131" s="4"/>
    </row>
    <row r="132" spans="1:8" ht="14.25" customHeight="1">
      <c r="A132" s="5">
        <v>44701</v>
      </c>
      <c r="B132" s="6">
        <v>9000</v>
      </c>
      <c r="C132" s="7" t="s">
        <v>3</v>
      </c>
      <c r="D132" s="7"/>
      <c r="E132" s="7"/>
      <c r="H132" s="4"/>
    </row>
    <row r="133" spans="1:8" ht="14.25" customHeight="1">
      <c r="A133" s="5">
        <v>44701</v>
      </c>
      <c r="B133" s="6">
        <v>-15000</v>
      </c>
      <c r="C133" s="7" t="s">
        <v>7</v>
      </c>
      <c r="D133" s="7"/>
      <c r="E133" s="7"/>
      <c r="H133" s="4"/>
    </row>
    <row r="134" spans="1:8" ht="14.25" customHeight="1">
      <c r="A134" s="5">
        <v>44702</v>
      </c>
      <c r="B134" s="6">
        <v>-10000</v>
      </c>
      <c r="C134" s="7" t="s">
        <v>7</v>
      </c>
      <c r="D134" s="7"/>
      <c r="E134" s="7"/>
      <c r="H134" s="4"/>
    </row>
    <row r="135" spans="1:8" ht="14.25" customHeight="1">
      <c r="A135" s="5">
        <v>44704</v>
      </c>
      <c r="B135" s="6">
        <v>23000</v>
      </c>
      <c r="C135" s="7" t="s">
        <v>3</v>
      </c>
      <c r="D135" s="7"/>
      <c r="E135" s="7"/>
      <c r="H135" s="4"/>
    </row>
    <row r="136" spans="1:8" ht="14.25" customHeight="1">
      <c r="A136" s="5">
        <v>44704</v>
      </c>
      <c r="B136" s="6">
        <v>-15000</v>
      </c>
      <c r="C136" s="7" t="s">
        <v>7</v>
      </c>
      <c r="D136" s="7"/>
      <c r="E136" s="7"/>
      <c r="H136" s="4"/>
    </row>
    <row r="137" spans="1:8" ht="14.25" customHeight="1">
      <c r="A137" s="5">
        <v>44706</v>
      </c>
      <c r="B137" s="6"/>
      <c r="C137" s="7" t="s">
        <v>4</v>
      </c>
      <c r="D137" s="7" t="s">
        <v>76</v>
      </c>
      <c r="E137" s="7"/>
      <c r="H137" s="4"/>
    </row>
    <row r="138" spans="1:8" ht="14.25" customHeight="1">
      <c r="A138" s="5">
        <v>44706</v>
      </c>
      <c r="B138" s="6">
        <v>-3035.32</v>
      </c>
      <c r="C138" s="7" t="s">
        <v>7</v>
      </c>
      <c r="D138" s="7"/>
      <c r="E138" s="7"/>
      <c r="H138" s="4"/>
    </row>
    <row r="139" spans="1:8" ht="14.25" customHeight="1">
      <c r="A139" s="5">
        <v>44708</v>
      </c>
      <c r="B139" s="6"/>
      <c r="C139" s="7" t="s">
        <v>4</v>
      </c>
      <c r="D139" s="7" t="s">
        <v>77</v>
      </c>
      <c r="E139" s="7"/>
      <c r="H139" s="4"/>
    </row>
    <row r="140" spans="1:8" ht="14.25" customHeight="1">
      <c r="A140" s="5">
        <v>44711</v>
      </c>
      <c r="B140" s="6">
        <v>-8000</v>
      </c>
      <c r="C140" s="7" t="s">
        <v>7</v>
      </c>
      <c r="D140" s="7"/>
      <c r="E140" s="7"/>
      <c r="H140" s="4"/>
    </row>
    <row r="141" spans="1:8" ht="14.25" customHeight="1">
      <c r="A141" s="5">
        <v>44712</v>
      </c>
      <c r="B141" s="6">
        <v>-12000</v>
      </c>
      <c r="C141" s="7" t="s">
        <v>7</v>
      </c>
      <c r="D141" s="7"/>
      <c r="E141" s="7"/>
      <c r="H141" s="4"/>
    </row>
    <row r="142" spans="1:8" ht="14.25" customHeight="1">
      <c r="A142" s="5">
        <v>44715</v>
      </c>
      <c r="B142" s="6"/>
      <c r="C142" s="7" t="s">
        <v>4</v>
      </c>
      <c r="D142" s="7" t="s">
        <v>78</v>
      </c>
      <c r="E142" s="7"/>
      <c r="H142" s="4"/>
    </row>
    <row r="143" spans="1:8" ht="14.25" customHeight="1">
      <c r="A143" s="5">
        <v>44715</v>
      </c>
      <c r="B143" s="6"/>
      <c r="C143" s="7" t="s">
        <v>4</v>
      </c>
      <c r="D143" s="7" t="s">
        <v>79</v>
      </c>
      <c r="E143" s="7"/>
      <c r="H143" s="4"/>
    </row>
    <row r="144" spans="1:8" ht="14.25" customHeight="1">
      <c r="A144" s="5">
        <v>44718</v>
      </c>
      <c r="B144" s="6"/>
      <c r="C144" s="7" t="s">
        <v>4</v>
      </c>
      <c r="D144" s="7" t="s">
        <v>80</v>
      </c>
      <c r="E144" s="7"/>
      <c r="H144" s="4"/>
    </row>
    <row r="145" spans="1:8" ht="14.25" customHeight="1">
      <c r="A145" s="5">
        <v>44718</v>
      </c>
      <c r="B145" s="6">
        <v>-10000</v>
      </c>
      <c r="C145" s="7" t="s">
        <v>7</v>
      </c>
      <c r="D145" s="7"/>
      <c r="E145" s="7"/>
      <c r="H145" s="4"/>
    </row>
    <row r="146" spans="1:8" ht="14.25" customHeight="1">
      <c r="A146" s="5">
        <v>44722</v>
      </c>
      <c r="B146" s="6">
        <v>-20000</v>
      </c>
      <c r="C146" s="7" t="s">
        <v>7</v>
      </c>
      <c r="D146" s="7"/>
      <c r="E146" s="7"/>
      <c r="H146" s="4"/>
    </row>
    <row r="147" spans="1:8" ht="14.25" customHeight="1">
      <c r="A147" s="5">
        <v>44726</v>
      </c>
      <c r="B147" s="6"/>
      <c r="C147" s="7" t="s">
        <v>4</v>
      </c>
      <c r="D147" s="7" t="s">
        <v>81</v>
      </c>
      <c r="E147" s="7"/>
      <c r="H147" s="4"/>
    </row>
    <row r="148" spans="1:8" ht="14.25" customHeight="1">
      <c r="A148" s="5">
        <v>44728</v>
      </c>
      <c r="B148" s="6">
        <v>-7220</v>
      </c>
      <c r="C148" s="7" t="s">
        <v>82</v>
      </c>
      <c r="D148" s="7"/>
      <c r="E148" s="7"/>
      <c r="H148" s="4"/>
    </row>
    <row r="149" spans="1:8" ht="14.25" customHeight="1">
      <c r="A149" s="5">
        <v>44736</v>
      </c>
      <c r="B149" s="6"/>
      <c r="C149" s="7" t="s">
        <v>4</v>
      </c>
      <c r="D149" s="7" t="s">
        <v>83</v>
      </c>
      <c r="E149" s="7"/>
      <c r="H149" s="4"/>
    </row>
    <row r="150" spans="1:8" ht="14.25" customHeight="1">
      <c r="A150" s="5">
        <v>44736</v>
      </c>
      <c r="B150" s="6">
        <v>-9000</v>
      </c>
      <c r="C150" s="7" t="s">
        <v>84</v>
      </c>
      <c r="D150" s="7"/>
      <c r="E150" s="7"/>
      <c r="H150" s="4"/>
    </row>
    <row r="151" spans="1:8" ht="14.25" customHeight="1">
      <c r="A151" s="5">
        <v>44739</v>
      </c>
      <c r="B151" s="6"/>
      <c r="C151" s="7" t="s">
        <v>4</v>
      </c>
      <c r="D151" s="7" t="s">
        <v>85</v>
      </c>
      <c r="E151" s="7"/>
      <c r="H151" s="4"/>
    </row>
    <row r="152" spans="1:8" ht="14.25" customHeight="1">
      <c r="A152" s="5">
        <v>44739</v>
      </c>
      <c r="B152" s="6"/>
      <c r="C152" s="7" t="s">
        <v>4</v>
      </c>
      <c r="D152" s="7" t="s">
        <v>86</v>
      </c>
      <c r="E152" s="7"/>
      <c r="H152" s="4"/>
    </row>
    <row r="153" spans="1:8" ht="14.25" customHeight="1">
      <c r="A153" s="5">
        <v>44739</v>
      </c>
      <c r="B153" s="6"/>
      <c r="C153" s="7" t="s">
        <v>87</v>
      </c>
      <c r="D153" s="7"/>
      <c r="E153" s="7"/>
      <c r="H153" s="4"/>
    </row>
    <row r="154" spans="1:8" ht="14.25" customHeight="1">
      <c r="A154" s="5">
        <v>44739</v>
      </c>
      <c r="B154" s="6">
        <v>1000</v>
      </c>
      <c r="C154" s="7" t="s">
        <v>3</v>
      </c>
      <c r="D154" s="7"/>
      <c r="E154" s="7"/>
      <c r="H154" s="4"/>
    </row>
    <row r="155" spans="1:8" ht="14.25" customHeight="1">
      <c r="A155" s="5">
        <v>44740</v>
      </c>
      <c r="B155" s="6">
        <v>20000</v>
      </c>
      <c r="C155" s="7" t="s">
        <v>3</v>
      </c>
      <c r="D155" s="7"/>
      <c r="E155" s="7"/>
      <c r="H155" s="4"/>
    </row>
    <row r="156" spans="1:8" ht="14.25" customHeight="1">
      <c r="A156" s="5">
        <v>44741</v>
      </c>
      <c r="B156" s="6"/>
      <c r="C156" s="7" t="s">
        <v>4</v>
      </c>
      <c r="D156" s="7" t="s">
        <v>88</v>
      </c>
      <c r="E156" s="7"/>
      <c r="H156" s="4"/>
    </row>
    <row r="157" spans="1:8" ht="14.25" customHeight="1">
      <c r="A157" s="5">
        <v>44742</v>
      </c>
      <c r="B157" s="6"/>
      <c r="C157" s="7" t="s">
        <v>4</v>
      </c>
      <c r="D157" s="7" t="s">
        <v>89</v>
      </c>
      <c r="E157" s="7"/>
      <c r="H157" s="4"/>
    </row>
    <row r="158" spans="1:8" ht="14.25" customHeight="1">
      <c r="A158" s="5">
        <v>44742</v>
      </c>
      <c r="B158" s="6">
        <v>10000</v>
      </c>
      <c r="C158" s="7" t="s">
        <v>3</v>
      </c>
      <c r="D158" s="7"/>
      <c r="E158" s="7"/>
      <c r="H158" s="4"/>
    </row>
    <row r="159" spans="1:8" ht="14.25" customHeight="1">
      <c r="A159" s="5">
        <v>44753</v>
      </c>
      <c r="B159" s="6"/>
      <c r="C159" s="7" t="s">
        <v>4</v>
      </c>
      <c r="D159" s="7" t="s">
        <v>90</v>
      </c>
      <c r="E159" s="7"/>
      <c r="H159" s="4"/>
    </row>
    <row r="160" spans="1:8" ht="14.25" customHeight="1">
      <c r="A160" s="5">
        <v>44753</v>
      </c>
      <c r="B160" s="6"/>
      <c r="C160" s="7" t="s">
        <v>4</v>
      </c>
      <c r="D160" s="7" t="s">
        <v>91</v>
      </c>
      <c r="E160" s="7"/>
      <c r="H160" s="4"/>
    </row>
    <row r="161" spans="1:8" ht="14.25" customHeight="1">
      <c r="A161" s="5">
        <v>44755</v>
      </c>
      <c r="B161" s="6"/>
      <c r="C161" s="7" t="s">
        <v>4</v>
      </c>
      <c r="D161" s="7" t="s">
        <v>92</v>
      </c>
      <c r="E161" s="7"/>
      <c r="H161" s="4"/>
    </row>
    <row r="162" spans="1:8" ht="14.25" customHeight="1">
      <c r="A162" s="5">
        <v>44755</v>
      </c>
      <c r="B162" s="6"/>
      <c r="C162" s="7" t="s">
        <v>4</v>
      </c>
      <c r="D162" s="7" t="s">
        <v>93</v>
      </c>
      <c r="E162" s="7"/>
      <c r="H162" s="4"/>
    </row>
    <row r="163" spans="1:8" ht="14.25" customHeight="1">
      <c r="A163" s="5">
        <v>44755</v>
      </c>
      <c r="B163" s="6"/>
      <c r="C163" s="7" t="s">
        <v>4</v>
      </c>
      <c r="D163" s="7" t="s">
        <v>94</v>
      </c>
      <c r="E163" s="7"/>
      <c r="H163" s="4"/>
    </row>
    <row r="164" spans="1:8" ht="14.25" customHeight="1">
      <c r="A164" s="5">
        <v>44757</v>
      </c>
      <c r="B164" s="6"/>
      <c r="C164" s="7" t="s">
        <v>4</v>
      </c>
      <c r="D164" s="7" t="s">
        <v>95</v>
      </c>
      <c r="E164" s="7"/>
      <c r="H164" s="4"/>
    </row>
    <row r="165" spans="1:8" ht="14.25" customHeight="1">
      <c r="A165" s="5">
        <v>44760</v>
      </c>
      <c r="B165" s="6"/>
      <c r="C165" s="7" t="s">
        <v>4</v>
      </c>
      <c r="D165" s="7" t="s">
        <v>96</v>
      </c>
      <c r="E165" s="7"/>
      <c r="H165" s="4"/>
    </row>
    <row r="166" spans="1:8" ht="14.25" customHeight="1">
      <c r="A166" s="5">
        <v>44761</v>
      </c>
      <c r="B166" s="6">
        <v>5000</v>
      </c>
      <c r="C166" s="7" t="s">
        <v>3</v>
      </c>
      <c r="D166" s="7"/>
      <c r="E166" s="7"/>
      <c r="H166" s="4"/>
    </row>
    <row r="167" spans="1:8" ht="14.25" customHeight="1">
      <c r="A167" s="5">
        <v>44761</v>
      </c>
      <c r="B167" s="6"/>
      <c r="C167" s="7" t="s">
        <v>4</v>
      </c>
      <c r="D167" s="7" t="s">
        <v>97</v>
      </c>
      <c r="E167" s="7"/>
      <c r="H167" s="4"/>
    </row>
    <row r="168" spans="1:8" ht="14.25" customHeight="1">
      <c r="A168" s="5">
        <v>44762</v>
      </c>
      <c r="B168" s="6"/>
      <c r="C168" s="7" t="s">
        <v>4</v>
      </c>
      <c r="D168" s="7" t="s">
        <v>98</v>
      </c>
      <c r="E168" s="7"/>
      <c r="H168" s="4"/>
    </row>
    <row r="169" spans="1:8" ht="14.25" customHeight="1">
      <c r="A169" s="5">
        <v>44762</v>
      </c>
      <c r="B169" s="6"/>
      <c r="C169" s="7" t="s">
        <v>4</v>
      </c>
      <c r="D169" s="7" t="s">
        <v>99</v>
      </c>
      <c r="E169" s="7"/>
      <c r="H169" s="4"/>
    </row>
    <row r="170" spans="1:8" ht="14.25" customHeight="1">
      <c r="A170" s="5">
        <v>44762</v>
      </c>
      <c r="B170" s="6"/>
      <c r="C170" s="7" t="s">
        <v>4</v>
      </c>
      <c r="D170" s="7" t="s">
        <v>100</v>
      </c>
      <c r="E170" s="7"/>
      <c r="H170" s="4"/>
    </row>
    <row r="171" spans="1:8" ht="14.25" customHeight="1">
      <c r="A171" s="5">
        <v>44767</v>
      </c>
      <c r="B171" s="6">
        <v>-20000</v>
      </c>
      <c r="C171" s="7" t="s">
        <v>7</v>
      </c>
      <c r="D171" s="7"/>
      <c r="E171" s="7"/>
      <c r="H171" s="4"/>
    </row>
    <row r="172" spans="1:8" ht="14.25" customHeight="1">
      <c r="A172" s="5">
        <v>44768</v>
      </c>
      <c r="B172" s="8"/>
      <c r="C172" s="7" t="s">
        <v>4</v>
      </c>
      <c r="D172" s="7" t="s">
        <v>101</v>
      </c>
      <c r="E172" s="7"/>
      <c r="H172" s="4"/>
    </row>
    <row r="173" spans="1:8" ht="14.25" customHeight="1">
      <c r="A173" s="5">
        <v>44771</v>
      </c>
      <c r="B173" s="8"/>
      <c r="C173" s="7" t="s">
        <v>4</v>
      </c>
      <c r="D173" s="7" t="s">
        <v>102</v>
      </c>
      <c r="E173" s="7"/>
      <c r="H173" s="4"/>
    </row>
    <row r="174" spans="1:8" ht="14.25" customHeight="1">
      <c r="A174" s="5">
        <v>44775</v>
      </c>
      <c r="B174" s="6">
        <v>-10000</v>
      </c>
      <c r="C174" s="7" t="s">
        <v>7</v>
      </c>
      <c r="D174" s="7"/>
      <c r="E174" s="7"/>
      <c r="H174" s="4"/>
    </row>
    <row r="175" spans="1:8" ht="14.25" customHeight="1">
      <c r="A175" s="5">
        <v>44777</v>
      </c>
      <c r="B175" s="8"/>
      <c r="C175" s="7" t="s">
        <v>4</v>
      </c>
      <c r="D175" s="7" t="s">
        <v>103</v>
      </c>
      <c r="E175" s="7"/>
      <c r="H175" s="4"/>
    </row>
    <row r="176" spans="1:8" ht="14.25" customHeight="1">
      <c r="A176" s="5">
        <v>44777</v>
      </c>
      <c r="B176" s="8"/>
      <c r="C176" s="7" t="s">
        <v>4</v>
      </c>
      <c r="D176" s="7" t="s">
        <v>104</v>
      </c>
      <c r="E176" s="7"/>
      <c r="H176" s="4"/>
    </row>
    <row r="177" spans="1:8" ht="14.25" customHeight="1">
      <c r="A177" s="5">
        <v>44778</v>
      </c>
      <c r="B177" s="8"/>
      <c r="C177" s="7" t="s">
        <v>4</v>
      </c>
      <c r="D177" s="7" t="s">
        <v>105</v>
      </c>
      <c r="E177" s="7"/>
      <c r="H177" s="4"/>
    </row>
    <row r="178" spans="1:8" ht="14.25" customHeight="1">
      <c r="A178" s="5">
        <v>44783</v>
      </c>
      <c r="B178" s="8"/>
      <c r="C178" s="7" t="s">
        <v>4</v>
      </c>
      <c r="D178" s="7" t="s">
        <v>106</v>
      </c>
      <c r="E178" s="7"/>
      <c r="H178" s="4"/>
    </row>
    <row r="179" spans="1:8" ht="14.25" customHeight="1">
      <c r="A179" s="5">
        <v>44784</v>
      </c>
      <c r="B179" s="6">
        <v>-9000</v>
      </c>
      <c r="C179" s="7" t="s">
        <v>7</v>
      </c>
      <c r="D179" s="7"/>
      <c r="E179" s="7"/>
      <c r="H179" s="4"/>
    </row>
    <row r="180" spans="1:8" ht="14.25" customHeight="1">
      <c r="A180" s="5">
        <v>44791</v>
      </c>
      <c r="B180" s="6">
        <v>-10000</v>
      </c>
      <c r="C180" s="7" t="s">
        <v>7</v>
      </c>
      <c r="D180" s="7"/>
      <c r="E180" s="7"/>
      <c r="H180" s="4"/>
    </row>
    <row r="181" spans="1:8" ht="14.25" customHeight="1">
      <c r="A181" s="5">
        <v>44792</v>
      </c>
      <c r="B181" s="8">
        <v>-15000</v>
      </c>
      <c r="C181" s="7" t="s">
        <v>7</v>
      </c>
      <c r="D181" s="7"/>
      <c r="E181" s="7"/>
      <c r="H181" s="4"/>
    </row>
    <row r="182" spans="1:8" ht="14.25" customHeight="1">
      <c r="A182" s="5">
        <v>44793</v>
      </c>
      <c r="B182" s="8">
        <v>-4600</v>
      </c>
      <c r="C182" s="7" t="s">
        <v>107</v>
      </c>
      <c r="D182" s="7"/>
      <c r="E182" s="7"/>
      <c r="H182" s="4"/>
    </row>
    <row r="183" spans="1:8" ht="14.25" customHeight="1">
      <c r="A183" s="5">
        <v>44796</v>
      </c>
      <c r="B183" s="6">
        <v>10000</v>
      </c>
      <c r="C183" s="7" t="s">
        <v>3</v>
      </c>
      <c r="D183" s="7"/>
      <c r="E183" s="7"/>
      <c r="H183" s="4"/>
    </row>
    <row r="184" spans="1:8" ht="14.25" customHeight="1">
      <c r="A184" s="5">
        <v>44797</v>
      </c>
      <c r="B184" s="8">
        <v>-2924.23</v>
      </c>
      <c r="C184" s="7" t="s">
        <v>7</v>
      </c>
      <c r="D184" s="7"/>
      <c r="E184" s="7"/>
      <c r="H184" s="4"/>
    </row>
    <row r="185" spans="1:8" ht="14.25" customHeight="1">
      <c r="A185" s="5">
        <v>44798</v>
      </c>
      <c r="B185" s="6">
        <v>-10000</v>
      </c>
      <c r="C185" s="7" t="s">
        <v>7</v>
      </c>
      <c r="D185" s="7"/>
      <c r="E185" s="7"/>
      <c r="H185" s="4"/>
    </row>
    <row r="186" spans="1:8" ht="14.25" customHeight="1">
      <c r="A186" s="5">
        <v>44805</v>
      </c>
      <c r="B186" s="8">
        <v>60000</v>
      </c>
      <c r="C186" s="7" t="s">
        <v>3</v>
      </c>
      <c r="D186" s="7"/>
      <c r="E186" s="7"/>
      <c r="H186" s="4"/>
    </row>
    <row r="187" spans="1:8" ht="14.25" customHeight="1">
      <c r="A187" s="5">
        <v>44805</v>
      </c>
      <c r="B187" s="8">
        <v>14996</v>
      </c>
      <c r="C187" s="7" t="s">
        <v>108</v>
      </c>
      <c r="D187" s="7"/>
      <c r="E187" s="7"/>
      <c r="H187" s="4"/>
    </row>
    <row r="188" spans="1:8" ht="14.25" customHeight="1">
      <c r="A188" s="5">
        <v>44813</v>
      </c>
      <c r="B188" s="8">
        <v>4000</v>
      </c>
      <c r="C188" s="7" t="s">
        <v>3</v>
      </c>
      <c r="D188" s="7"/>
      <c r="E188" s="7"/>
      <c r="H188" s="4"/>
    </row>
    <row r="189" spans="1:8" ht="14.25" customHeight="1">
      <c r="A189" s="5">
        <v>44814</v>
      </c>
      <c r="B189" s="8">
        <v>-4000</v>
      </c>
      <c r="C189" s="7" t="s">
        <v>7</v>
      </c>
      <c r="D189" s="7"/>
      <c r="E189" s="7"/>
      <c r="H189" s="4"/>
    </row>
    <row r="190" spans="1:8" ht="14.25" customHeight="1">
      <c r="A190" s="5">
        <v>44816</v>
      </c>
      <c r="B190" s="8">
        <v>-5000</v>
      </c>
      <c r="C190" s="7" t="s">
        <v>7</v>
      </c>
      <c r="D190" s="7"/>
      <c r="E190" s="7"/>
      <c r="H190" s="4"/>
    </row>
    <row r="191" spans="1:8" ht="14.25" customHeight="1">
      <c r="A191" s="5">
        <v>44817</v>
      </c>
      <c r="B191" s="8">
        <v>-5000</v>
      </c>
      <c r="C191" s="7" t="s">
        <v>7</v>
      </c>
      <c r="D191" s="7"/>
      <c r="E191" s="7"/>
      <c r="H191" s="4"/>
    </row>
    <row r="192" spans="1:8" ht="14.25" customHeight="1">
      <c r="A192" s="5">
        <v>44819</v>
      </c>
      <c r="B192" s="8"/>
      <c r="C192" s="7" t="s">
        <v>4</v>
      </c>
      <c r="D192" s="7" t="s">
        <v>109</v>
      </c>
      <c r="E192" s="7"/>
      <c r="H192" s="4"/>
    </row>
    <row r="193" spans="1:16" ht="14.25" customHeight="1">
      <c r="A193" s="5">
        <v>44819</v>
      </c>
      <c r="B193" s="8">
        <v>-6212.9</v>
      </c>
      <c r="C193" s="7" t="s">
        <v>7</v>
      </c>
      <c r="D193" s="7"/>
      <c r="E193" s="7"/>
      <c r="H193" s="4"/>
    </row>
    <row r="194" spans="1:16" ht="14.25" customHeight="1">
      <c r="A194" s="5">
        <v>44827</v>
      </c>
      <c r="B194" s="8"/>
      <c r="C194" s="7" t="s">
        <v>4</v>
      </c>
      <c r="D194" s="7" t="s">
        <v>110</v>
      </c>
      <c r="E194" s="7"/>
      <c r="F194" s="40"/>
      <c r="G194" s="40"/>
      <c r="H194" s="4"/>
      <c r="I194" s="40"/>
      <c r="J194" s="40"/>
      <c r="K194" s="40"/>
      <c r="L194" s="40"/>
      <c r="M194" s="40"/>
      <c r="N194" s="40"/>
      <c r="O194" s="40"/>
      <c r="P194" s="40"/>
    </row>
    <row r="195" spans="1:16" ht="14.25" customHeight="1">
      <c r="A195" s="5">
        <v>44827</v>
      </c>
      <c r="B195" s="8"/>
      <c r="C195" s="7" t="s">
        <v>4</v>
      </c>
      <c r="D195" s="7" t="s">
        <v>111</v>
      </c>
      <c r="E195" s="7"/>
      <c r="F195" s="40"/>
      <c r="G195" s="40"/>
      <c r="H195" s="4"/>
      <c r="I195" s="40"/>
      <c r="J195" s="40"/>
      <c r="K195" s="40"/>
      <c r="L195" s="40"/>
      <c r="M195" s="40"/>
      <c r="N195" s="40"/>
      <c r="O195" s="40"/>
      <c r="P195" s="40"/>
    </row>
    <row r="196" spans="1:16" ht="14.25" customHeight="1">
      <c r="A196" s="5">
        <v>44827</v>
      </c>
      <c r="B196" s="8"/>
      <c r="C196" s="7" t="s">
        <v>4</v>
      </c>
      <c r="D196" s="7" t="s">
        <v>112</v>
      </c>
      <c r="E196" s="7"/>
      <c r="F196" s="40"/>
      <c r="G196" s="40"/>
      <c r="H196" s="4"/>
      <c r="I196" s="40"/>
      <c r="J196" s="40"/>
      <c r="K196" s="40"/>
      <c r="L196" s="40"/>
      <c r="M196" s="40"/>
      <c r="N196" s="40"/>
      <c r="O196" s="40"/>
      <c r="P196" s="40"/>
    </row>
    <row r="197" spans="1:16" ht="14.25" customHeight="1">
      <c r="A197" s="5">
        <v>44827</v>
      </c>
      <c r="B197" s="8">
        <v>10000</v>
      </c>
      <c r="C197" s="7" t="s">
        <v>3</v>
      </c>
      <c r="D197" s="7"/>
      <c r="E197" s="7"/>
      <c r="F197" s="40"/>
      <c r="G197" s="40"/>
      <c r="H197" s="4"/>
      <c r="I197" s="40"/>
      <c r="J197" s="40"/>
      <c r="K197" s="40"/>
      <c r="L197" s="40"/>
      <c r="M197" s="40"/>
      <c r="N197" s="40"/>
      <c r="O197" s="40"/>
      <c r="P197" s="40"/>
    </row>
    <row r="198" spans="1:16" ht="14.25" customHeight="1">
      <c r="A198" s="5">
        <v>44830</v>
      </c>
      <c r="B198" s="8">
        <v>10000</v>
      </c>
      <c r="C198" s="7" t="s">
        <v>3</v>
      </c>
      <c r="D198" s="7"/>
      <c r="E198" s="7"/>
      <c r="F198" s="40"/>
      <c r="G198" s="40"/>
      <c r="H198" s="4"/>
      <c r="I198" s="40"/>
      <c r="J198" s="40"/>
      <c r="K198" s="40"/>
      <c r="L198" s="40"/>
      <c r="M198" s="40"/>
      <c r="N198" s="40"/>
      <c r="O198" s="40"/>
      <c r="P198" s="40"/>
    </row>
    <row r="199" spans="1:16" ht="14.25" customHeight="1">
      <c r="A199" s="5">
        <v>44830</v>
      </c>
      <c r="B199" s="8"/>
      <c r="C199" s="7" t="s">
        <v>4</v>
      </c>
      <c r="D199" s="7" t="s">
        <v>113</v>
      </c>
      <c r="E199" s="7"/>
      <c r="F199" s="40"/>
      <c r="G199" s="40"/>
      <c r="H199" s="4"/>
      <c r="I199" s="40"/>
      <c r="J199" s="40"/>
      <c r="K199" s="40"/>
      <c r="L199" s="40"/>
      <c r="M199" s="40"/>
      <c r="N199" s="40"/>
      <c r="O199" s="40"/>
      <c r="P199" s="40"/>
    </row>
    <row r="200" spans="1:16" ht="14.25" customHeight="1">
      <c r="A200" s="5">
        <v>44831</v>
      </c>
      <c r="B200" s="8"/>
      <c r="C200" s="7" t="s">
        <v>4</v>
      </c>
      <c r="D200" s="7" t="s">
        <v>114</v>
      </c>
      <c r="E200" s="7"/>
      <c r="F200" s="40"/>
      <c r="G200" s="40"/>
      <c r="H200" s="4"/>
      <c r="I200" s="40"/>
      <c r="J200" s="40"/>
      <c r="K200" s="40"/>
      <c r="L200" s="40"/>
      <c r="M200" s="40"/>
      <c r="N200" s="40"/>
      <c r="O200" s="40"/>
      <c r="P200" s="40"/>
    </row>
    <row r="201" spans="1:16" ht="14.25" customHeight="1">
      <c r="A201" s="5">
        <v>44832</v>
      </c>
      <c r="B201" s="8">
        <v>-7193.93</v>
      </c>
      <c r="C201" s="7" t="s">
        <v>7</v>
      </c>
      <c r="D201" s="7"/>
      <c r="E201" s="7"/>
      <c r="F201" s="40"/>
      <c r="G201" s="40"/>
      <c r="H201" s="4"/>
      <c r="I201" s="40"/>
      <c r="J201" s="40"/>
      <c r="K201" s="40"/>
      <c r="L201" s="40"/>
      <c r="M201" s="40"/>
      <c r="N201" s="40"/>
      <c r="O201" s="40"/>
      <c r="P201" s="40"/>
    </row>
    <row r="202" spans="1:16" ht="14.25" customHeight="1">
      <c r="A202" s="5">
        <v>44875</v>
      </c>
      <c r="B202" s="8">
        <v>14904</v>
      </c>
      <c r="C202" s="7" t="s">
        <v>115</v>
      </c>
      <c r="D202" s="7"/>
      <c r="E202" s="7"/>
      <c r="F202" s="40"/>
      <c r="G202" s="40"/>
      <c r="H202" s="4"/>
      <c r="I202" s="40"/>
      <c r="J202" s="40"/>
      <c r="K202" s="40"/>
      <c r="L202" s="40"/>
      <c r="M202" s="40"/>
      <c r="N202" s="40"/>
      <c r="O202" s="40"/>
      <c r="P202" s="40"/>
    </row>
    <row r="203" spans="1:16" ht="14.25" customHeight="1">
      <c r="A203" s="5">
        <v>44876</v>
      </c>
      <c r="B203" s="8">
        <v>-15000</v>
      </c>
      <c r="C203" s="7" t="s">
        <v>7</v>
      </c>
      <c r="D203" s="7"/>
      <c r="E203" s="7"/>
      <c r="F203" s="40"/>
      <c r="G203" s="40"/>
      <c r="H203" s="4"/>
      <c r="I203" s="40"/>
      <c r="J203" s="40"/>
      <c r="K203" s="40"/>
      <c r="L203" s="40"/>
      <c r="M203" s="40"/>
      <c r="N203" s="40"/>
      <c r="O203" s="40"/>
      <c r="P203" s="40"/>
    </row>
    <row r="204" spans="1:16" ht="14.25" customHeight="1">
      <c r="A204" s="5">
        <v>44880</v>
      </c>
      <c r="B204" s="8">
        <v>-10000</v>
      </c>
      <c r="C204" s="7" t="s">
        <v>7</v>
      </c>
      <c r="D204" s="7"/>
      <c r="E204" s="7"/>
      <c r="F204" s="40"/>
      <c r="G204" s="40"/>
      <c r="H204" s="4"/>
      <c r="I204" s="40"/>
      <c r="J204" s="40"/>
      <c r="K204" s="40"/>
      <c r="L204" s="40"/>
      <c r="M204" s="40"/>
      <c r="N204" s="40"/>
      <c r="O204" s="40"/>
      <c r="P204" s="40"/>
    </row>
    <row r="205" spans="1:16" ht="14.25" customHeight="1">
      <c r="A205" s="5">
        <v>44880</v>
      </c>
      <c r="B205" s="8"/>
      <c r="C205" s="7" t="s">
        <v>4</v>
      </c>
      <c r="D205" s="7" t="s">
        <v>116</v>
      </c>
      <c r="E205" s="7"/>
      <c r="F205" s="40"/>
      <c r="G205" s="40"/>
      <c r="H205" s="4"/>
      <c r="I205" s="40"/>
      <c r="J205" s="40"/>
      <c r="K205" s="40"/>
      <c r="L205" s="40"/>
      <c r="M205" s="40"/>
      <c r="N205" s="40"/>
      <c r="O205" s="40"/>
      <c r="P205" s="40"/>
    </row>
    <row r="206" spans="1:16" ht="14.25" customHeight="1">
      <c r="A206" s="5">
        <v>44880</v>
      </c>
      <c r="B206" s="8"/>
      <c r="C206" s="7" t="s">
        <v>4</v>
      </c>
      <c r="D206" s="7" t="s">
        <v>117</v>
      </c>
      <c r="E206" s="7"/>
      <c r="F206" s="40"/>
      <c r="G206" s="40"/>
      <c r="H206" s="4"/>
      <c r="I206" s="40"/>
      <c r="J206" s="40"/>
      <c r="K206" s="40"/>
      <c r="L206" s="40"/>
      <c r="M206" s="40"/>
      <c r="N206" s="40"/>
      <c r="O206" s="40"/>
      <c r="P206" s="40"/>
    </row>
    <row r="207" spans="1:16" ht="14.25" customHeight="1">
      <c r="A207" s="5">
        <v>44884</v>
      </c>
      <c r="B207" s="8">
        <v>14652</v>
      </c>
      <c r="C207" s="7" t="s">
        <v>118</v>
      </c>
      <c r="D207" s="7"/>
      <c r="E207" s="7"/>
      <c r="F207" s="40"/>
      <c r="G207" s="40"/>
      <c r="H207" s="4"/>
      <c r="I207" s="40"/>
      <c r="J207" s="40"/>
      <c r="K207" s="40"/>
      <c r="L207" s="40"/>
      <c r="M207" s="40"/>
      <c r="N207" s="40"/>
      <c r="O207" s="40"/>
      <c r="P207" s="40"/>
    </row>
    <row r="208" spans="1:16" ht="14.25" customHeight="1">
      <c r="A208" s="5">
        <v>44894</v>
      </c>
      <c r="B208" s="8">
        <v>-55000</v>
      </c>
      <c r="C208" s="7" t="s">
        <v>7</v>
      </c>
      <c r="D208" s="7"/>
      <c r="E208" s="7"/>
      <c r="F208" s="40"/>
      <c r="G208" s="40"/>
      <c r="H208" s="4"/>
      <c r="I208" s="40"/>
      <c r="J208" s="40"/>
      <c r="K208" s="40"/>
      <c r="L208" s="40"/>
      <c r="M208" s="40"/>
      <c r="N208" s="40"/>
      <c r="O208" s="40"/>
      <c r="P208" s="40"/>
    </row>
    <row r="209" spans="1:16" ht="14.25" customHeight="1">
      <c r="A209" s="5">
        <v>44896</v>
      </c>
      <c r="B209" s="8">
        <v>-20000</v>
      </c>
      <c r="C209" s="7" t="s">
        <v>7</v>
      </c>
      <c r="D209" s="7"/>
      <c r="E209" s="7"/>
      <c r="F209" s="40"/>
      <c r="G209" s="40"/>
      <c r="H209" s="4"/>
      <c r="I209" s="40"/>
      <c r="J209" s="40"/>
      <c r="K209" s="40"/>
      <c r="L209" s="40"/>
      <c r="M209" s="40"/>
      <c r="N209" s="40"/>
      <c r="O209" s="40"/>
      <c r="P209" s="40"/>
    </row>
    <row r="210" spans="1:16" ht="14.25" customHeight="1">
      <c r="A210" s="5">
        <v>44900</v>
      </c>
      <c r="B210" s="8">
        <v>-7000</v>
      </c>
      <c r="C210" s="7" t="s">
        <v>7</v>
      </c>
      <c r="D210" s="7"/>
      <c r="E210" s="7"/>
      <c r="F210" s="40"/>
      <c r="G210" s="40"/>
      <c r="H210" s="4"/>
      <c r="I210" s="40"/>
      <c r="J210" s="40"/>
      <c r="K210" s="40"/>
      <c r="L210" s="40"/>
      <c r="M210" s="40"/>
      <c r="N210" s="40"/>
      <c r="O210" s="40"/>
      <c r="P210" s="40"/>
    </row>
    <row r="211" spans="1:16" ht="14.25" customHeight="1">
      <c r="A211" s="5">
        <v>44902</v>
      </c>
      <c r="B211" s="8">
        <v>-10000</v>
      </c>
      <c r="C211" s="7" t="s">
        <v>7</v>
      </c>
      <c r="D211" s="7"/>
      <c r="E211" s="7"/>
      <c r="F211" s="40"/>
      <c r="G211" s="40"/>
      <c r="H211" s="4"/>
      <c r="I211" s="40"/>
      <c r="J211" s="40"/>
      <c r="K211" s="40"/>
      <c r="L211" s="40"/>
      <c r="M211" s="40"/>
      <c r="N211" s="40"/>
      <c r="O211" s="40"/>
      <c r="P211" s="40"/>
    </row>
    <row r="212" spans="1:16" ht="14.25" customHeight="1">
      <c r="A212" s="5">
        <v>44903</v>
      </c>
      <c r="B212" s="8"/>
      <c r="C212" s="7" t="s">
        <v>119</v>
      </c>
      <c r="D212" s="7"/>
      <c r="E212" s="7"/>
      <c r="F212" s="40"/>
      <c r="G212" s="40"/>
      <c r="H212" s="4"/>
      <c r="I212" s="40"/>
      <c r="J212" s="40"/>
      <c r="K212" s="40"/>
      <c r="L212" s="40"/>
      <c r="M212" s="40"/>
      <c r="N212" s="40"/>
      <c r="O212" s="40"/>
      <c r="P212" s="40"/>
    </row>
    <row r="213" spans="1:16" ht="14.25" customHeight="1">
      <c r="A213" s="5">
        <v>44910</v>
      </c>
      <c r="B213" s="8">
        <v>-14000</v>
      </c>
      <c r="C213" s="7" t="s">
        <v>7</v>
      </c>
      <c r="D213" s="7"/>
      <c r="E213" s="7"/>
      <c r="F213" s="40"/>
      <c r="G213" s="40"/>
      <c r="H213" s="4"/>
      <c r="I213" s="40"/>
      <c r="J213" s="40"/>
      <c r="K213" s="40"/>
      <c r="L213" s="40"/>
      <c r="M213" s="40"/>
      <c r="N213" s="40"/>
      <c r="O213" s="40"/>
      <c r="P213" s="40"/>
    </row>
    <row r="214" spans="1:16" ht="14.25" customHeight="1">
      <c r="A214" s="5">
        <v>44915</v>
      </c>
      <c r="B214" s="8">
        <v>-15000</v>
      </c>
      <c r="C214" s="7" t="s">
        <v>7</v>
      </c>
      <c r="D214" s="7"/>
      <c r="E214" s="7"/>
      <c r="F214" s="40"/>
      <c r="G214" s="40"/>
      <c r="H214" s="4"/>
      <c r="I214" s="40"/>
      <c r="J214" s="40"/>
      <c r="K214" s="40"/>
      <c r="L214" s="40"/>
      <c r="M214" s="40"/>
      <c r="N214" s="40"/>
      <c r="O214" s="40"/>
      <c r="P214" s="40"/>
    </row>
    <row r="215" spans="1:16" ht="14.25" customHeight="1">
      <c r="A215" s="5">
        <v>44915</v>
      </c>
      <c r="B215" s="8">
        <v>14994</v>
      </c>
      <c r="C215" s="7" t="s">
        <v>120</v>
      </c>
      <c r="D215" s="7"/>
      <c r="E215" s="7"/>
      <c r="F215" s="40"/>
      <c r="G215" s="40"/>
      <c r="H215" s="4"/>
      <c r="I215" s="40"/>
      <c r="J215" s="40"/>
      <c r="K215" s="40"/>
      <c r="L215" s="40"/>
      <c r="M215" s="40"/>
      <c r="N215" s="40"/>
      <c r="O215" s="40"/>
      <c r="P215" s="40"/>
    </row>
    <row r="216" spans="1:16" ht="14.25" customHeight="1">
      <c r="A216" s="5">
        <v>44922</v>
      </c>
      <c r="B216" s="8">
        <v>14820</v>
      </c>
      <c r="C216" s="7" t="s">
        <v>121</v>
      </c>
      <c r="D216" s="7"/>
      <c r="E216" s="7"/>
      <c r="F216" s="40"/>
      <c r="G216" s="40"/>
      <c r="H216" s="4"/>
      <c r="I216" s="40"/>
      <c r="J216" s="40"/>
      <c r="K216" s="40"/>
      <c r="L216" s="40"/>
      <c r="M216" s="40"/>
      <c r="N216" s="40"/>
      <c r="O216" s="40"/>
      <c r="P216" s="40"/>
    </row>
    <row r="217" spans="1:16" ht="14.25" customHeight="1">
      <c r="A217" s="5">
        <v>44925</v>
      </c>
      <c r="B217" s="8"/>
      <c r="C217" s="71" t="s">
        <v>122</v>
      </c>
      <c r="D217" s="7"/>
      <c r="E217" s="7"/>
      <c r="F217" s="40"/>
      <c r="G217" s="40"/>
      <c r="H217" s="4"/>
      <c r="I217" s="40"/>
      <c r="J217" s="40"/>
      <c r="K217" s="40"/>
      <c r="L217" s="40"/>
      <c r="M217" s="40"/>
      <c r="N217" s="40"/>
      <c r="O217" s="40"/>
      <c r="P217" s="40"/>
    </row>
    <row r="218" spans="1:16" ht="14.25" customHeight="1">
      <c r="A218" s="5">
        <v>44928</v>
      </c>
      <c r="B218" s="8"/>
      <c r="C218" s="71" t="s">
        <v>123</v>
      </c>
      <c r="D218" s="7"/>
      <c r="E218" s="7"/>
      <c r="F218" s="40"/>
      <c r="G218" s="40"/>
      <c r="H218" s="4"/>
      <c r="I218" s="40"/>
      <c r="J218" s="40"/>
      <c r="K218" s="40"/>
      <c r="L218" s="40"/>
      <c r="M218" s="40"/>
      <c r="N218" s="40"/>
      <c r="O218" s="40"/>
      <c r="P218" s="40"/>
    </row>
    <row r="219" spans="1:16" ht="14.25" customHeight="1">
      <c r="A219" s="5">
        <v>44928</v>
      </c>
      <c r="B219" s="8"/>
      <c r="C219" s="71" t="s">
        <v>124</v>
      </c>
      <c r="D219" s="7"/>
      <c r="E219" s="7"/>
      <c r="F219" s="40"/>
      <c r="G219" s="40"/>
      <c r="H219" s="4"/>
      <c r="I219" s="40"/>
      <c r="J219" s="40"/>
      <c r="K219" s="40"/>
      <c r="L219" s="40"/>
      <c r="M219" s="40"/>
      <c r="N219" s="40"/>
      <c r="O219" s="40"/>
      <c r="P219" s="40"/>
    </row>
    <row r="220" spans="1:16" ht="14.25" customHeight="1">
      <c r="A220" s="5">
        <v>44933</v>
      </c>
      <c r="B220" s="8">
        <v>-2033.23</v>
      </c>
      <c r="C220" s="7" t="s">
        <v>7</v>
      </c>
      <c r="D220" s="7"/>
      <c r="E220" s="7"/>
      <c r="F220" s="40"/>
      <c r="G220" s="40"/>
      <c r="H220" s="4"/>
      <c r="I220" s="40"/>
      <c r="J220" s="40"/>
      <c r="K220" s="40"/>
      <c r="L220" s="40"/>
      <c r="M220" s="40"/>
      <c r="N220" s="40"/>
      <c r="O220" s="40"/>
      <c r="P220" s="40"/>
    </row>
    <row r="221" spans="1:16" ht="14.25" customHeight="1">
      <c r="A221" s="5">
        <v>44934</v>
      </c>
      <c r="B221" s="8">
        <v>2033</v>
      </c>
      <c r="C221" s="7" t="s">
        <v>3</v>
      </c>
      <c r="D221" s="7"/>
      <c r="E221" s="7"/>
      <c r="F221" s="40"/>
      <c r="G221" s="40"/>
      <c r="H221" s="4"/>
      <c r="I221" s="40"/>
      <c r="J221" s="40"/>
      <c r="K221" s="40"/>
      <c r="L221" s="40"/>
      <c r="M221" s="40"/>
      <c r="N221" s="40"/>
      <c r="O221" s="40"/>
      <c r="P221" s="40"/>
    </row>
    <row r="222" spans="1:16" ht="14.25" customHeight="1">
      <c r="A222" s="5">
        <v>44939</v>
      </c>
      <c r="B222" s="8"/>
      <c r="C222" s="71" t="s">
        <v>125</v>
      </c>
      <c r="D222" s="7"/>
      <c r="E222" s="7"/>
      <c r="F222" s="40"/>
      <c r="G222" s="40"/>
      <c r="H222" s="4"/>
      <c r="I222" s="40"/>
      <c r="J222" s="40"/>
      <c r="K222" s="40"/>
      <c r="L222" s="40"/>
      <c r="M222" s="40"/>
      <c r="N222" s="40"/>
      <c r="O222" s="40"/>
      <c r="P222" s="40"/>
    </row>
    <row r="223" spans="1:16" ht="14.25" customHeight="1">
      <c r="A223" s="5">
        <v>44944</v>
      </c>
      <c r="B223" s="8"/>
      <c r="C223" s="71" t="s">
        <v>126</v>
      </c>
      <c r="D223" s="7"/>
      <c r="E223" s="7"/>
      <c r="F223" s="40"/>
      <c r="G223" s="40"/>
      <c r="H223" s="4"/>
      <c r="I223" s="40"/>
      <c r="J223" s="40"/>
      <c r="K223" s="40"/>
      <c r="L223" s="40"/>
      <c r="M223" s="40"/>
      <c r="N223" s="40"/>
      <c r="O223" s="40"/>
      <c r="P223" s="40"/>
    </row>
    <row r="224" spans="1:16" ht="14.25" customHeight="1">
      <c r="A224" s="5">
        <v>44963</v>
      </c>
      <c r="B224" s="8">
        <v>2000</v>
      </c>
      <c r="C224" s="7" t="s">
        <v>3</v>
      </c>
      <c r="D224" s="7"/>
      <c r="E224" s="7"/>
      <c r="F224" s="40"/>
      <c r="G224" s="40"/>
      <c r="H224" s="4"/>
      <c r="I224" s="40"/>
      <c r="J224" s="40"/>
      <c r="K224" s="40"/>
      <c r="L224" s="40"/>
      <c r="M224" s="40"/>
      <c r="N224" s="40"/>
      <c r="O224" s="40"/>
      <c r="P224" s="40"/>
    </row>
    <row r="225" spans="1:16" ht="14.25" customHeight="1">
      <c r="A225" s="5">
        <v>44991</v>
      </c>
      <c r="B225" s="8"/>
      <c r="C225" s="7" t="s">
        <v>127</v>
      </c>
      <c r="D225" s="7"/>
      <c r="E225" s="7"/>
      <c r="F225" s="40"/>
      <c r="G225" s="40"/>
      <c r="H225" s="4"/>
      <c r="I225" s="40"/>
      <c r="J225" s="40"/>
      <c r="K225" s="40"/>
      <c r="L225" s="40"/>
      <c r="M225" s="40"/>
      <c r="N225" s="40"/>
      <c r="O225" s="40"/>
      <c r="P225" s="40"/>
    </row>
    <row r="226" spans="1:16" ht="14.25" customHeight="1">
      <c r="A226" s="5">
        <v>44993</v>
      </c>
      <c r="B226" s="8"/>
      <c r="C226" s="7" t="s">
        <v>128</v>
      </c>
      <c r="D226" s="7"/>
      <c r="E226" s="7"/>
      <c r="F226" s="40"/>
      <c r="G226" s="40"/>
      <c r="H226" s="4"/>
      <c r="I226" s="40"/>
      <c r="J226" s="40"/>
      <c r="K226" s="40"/>
      <c r="L226" s="40"/>
      <c r="M226" s="40"/>
      <c r="N226" s="40"/>
      <c r="O226" s="40"/>
      <c r="P226" s="40"/>
    </row>
    <row r="227" spans="1:16" ht="14.25" customHeight="1">
      <c r="A227" s="5"/>
      <c r="B227" s="8"/>
      <c r="C227" s="7"/>
      <c r="D227" s="7"/>
      <c r="E227" s="7"/>
      <c r="H227" s="4"/>
    </row>
    <row r="228" spans="1:16" ht="14.25" customHeight="1">
      <c r="A228" s="10" t="s">
        <v>8</v>
      </c>
      <c r="B228" s="11">
        <f>ROUND(SUM(B2:B227),2)</f>
        <v>985957.39</v>
      </c>
      <c r="C228" s="12">
        <f>SUMIF(C2:C227,"F&amp;O",B2:B227)</f>
        <v>0</v>
      </c>
      <c r="H228" s="4"/>
    </row>
    <row r="229" spans="1:16" ht="5.25" customHeight="1"/>
    <row r="230" spans="1:16" ht="14.25" customHeight="1">
      <c r="F230" s="13">
        <f>5.4%+0.5%</f>
        <v>5.9000000000000004E-2</v>
      </c>
    </row>
    <row r="231" spans="1:16" ht="14.25" customHeight="1">
      <c r="A231" s="14" t="s">
        <v>0</v>
      </c>
      <c r="B231" s="15" t="s">
        <v>9</v>
      </c>
      <c r="C231" s="14" t="s">
        <v>2</v>
      </c>
      <c r="D231" s="16" t="s">
        <v>129</v>
      </c>
      <c r="E231" s="16" t="s">
        <v>11</v>
      </c>
      <c r="F231" s="16" t="s">
        <v>12</v>
      </c>
      <c r="G231" s="16" t="s">
        <v>13</v>
      </c>
      <c r="H231" s="17"/>
      <c r="J231" s="72" t="s">
        <v>0</v>
      </c>
      <c r="K231" s="19" t="s">
        <v>14</v>
      </c>
      <c r="L231" s="20" t="s">
        <v>15</v>
      </c>
      <c r="M231" s="1" t="s">
        <v>2</v>
      </c>
    </row>
    <row r="232" spans="1:16" ht="14.25" customHeight="1">
      <c r="A232" s="21">
        <v>44148</v>
      </c>
      <c r="B232" s="22">
        <v>979.42000000000007</v>
      </c>
      <c r="C232" s="23" t="s">
        <v>33</v>
      </c>
      <c r="D232" s="24">
        <v>15723.49</v>
      </c>
      <c r="E232" s="25">
        <f>14760</f>
        <v>14760</v>
      </c>
      <c r="F232" s="24">
        <f t="shared" ref="F232:F982" si="0">IF(G232="","", ROUND(G232*F$230/365,2))</f>
        <v>34.49</v>
      </c>
      <c r="G232" s="26">
        <f t="shared" ref="G232:G982" si="1">IF(AND(D232="",E232=""),"",(A233-A232)*(D232+E232))</f>
        <v>213384.43</v>
      </c>
      <c r="H232" s="27" t="str">
        <f t="shared" ref="H232:H982" si="2">IF(OR(C232="",C232="R/O Adjustment",C232="IntraDay",C232="F&amp;O"),"","Positional")</f>
        <v>Positional</v>
      </c>
      <c r="J232" s="73"/>
      <c r="K232" s="31" t="s">
        <v>130</v>
      </c>
      <c r="L232" s="74">
        <v>15.93</v>
      </c>
      <c r="M232" s="31" t="s">
        <v>33</v>
      </c>
    </row>
    <row r="233" spans="1:16" ht="14.25" customHeight="1">
      <c r="A233" s="21">
        <v>44155</v>
      </c>
      <c r="B233" s="22">
        <v>2481.41</v>
      </c>
      <c r="C233" s="23" t="s">
        <v>34</v>
      </c>
      <c r="D233" s="24">
        <v>33188.97</v>
      </c>
      <c r="E233" s="25"/>
      <c r="F233" s="24">
        <f t="shared" si="0"/>
        <v>5.36</v>
      </c>
      <c r="G233" s="26">
        <f t="shared" si="1"/>
        <v>33188.97</v>
      </c>
      <c r="H233" s="27" t="str">
        <f t="shared" si="2"/>
        <v>Positional</v>
      </c>
      <c r="J233" s="73"/>
      <c r="K233" s="31" t="s">
        <v>130</v>
      </c>
      <c r="L233" s="74">
        <v>15.93</v>
      </c>
      <c r="M233" s="31" t="s">
        <v>34</v>
      </c>
    </row>
    <row r="234" spans="1:16" ht="14.25" customHeight="1">
      <c r="A234" s="21">
        <v>44156</v>
      </c>
      <c r="B234" s="22"/>
      <c r="C234" s="23" t="s">
        <v>131</v>
      </c>
      <c r="D234" s="24">
        <v>17481.41</v>
      </c>
      <c r="E234" s="25"/>
      <c r="F234" s="24">
        <f t="shared" si="0"/>
        <v>8.48</v>
      </c>
      <c r="G234" s="26">
        <f t="shared" si="1"/>
        <v>52444.229999999996</v>
      </c>
      <c r="H234" s="27" t="str">
        <f t="shared" si="2"/>
        <v/>
      </c>
      <c r="J234" s="73"/>
      <c r="K234" s="75" t="s">
        <v>130</v>
      </c>
      <c r="L234" s="74">
        <v>15.93</v>
      </c>
      <c r="M234" s="31" t="s">
        <v>132</v>
      </c>
    </row>
    <row r="235" spans="1:16" ht="14.25" customHeight="1">
      <c r="A235" s="21">
        <v>44159</v>
      </c>
      <c r="B235" s="22"/>
      <c r="C235" s="23" t="s">
        <v>131</v>
      </c>
      <c r="D235" s="24"/>
      <c r="E235" s="25"/>
      <c r="F235" s="24" t="str">
        <f t="shared" si="0"/>
        <v/>
      </c>
      <c r="G235" s="26" t="str">
        <f t="shared" si="1"/>
        <v/>
      </c>
      <c r="H235" s="27" t="str">
        <f t="shared" si="2"/>
        <v/>
      </c>
      <c r="J235" s="73"/>
      <c r="K235" s="31" t="s">
        <v>130</v>
      </c>
      <c r="L235" s="74">
        <v>15.93</v>
      </c>
      <c r="M235" s="31" t="s">
        <v>35</v>
      </c>
    </row>
    <row r="236" spans="1:16" ht="14.25" customHeight="1">
      <c r="A236" s="21">
        <v>44225</v>
      </c>
      <c r="B236" s="22"/>
      <c r="C236" s="23" t="s">
        <v>131</v>
      </c>
      <c r="D236" s="24">
        <v>986.42</v>
      </c>
      <c r="E236" s="25">
        <v>51353.2</v>
      </c>
      <c r="F236" s="24">
        <f t="shared" si="0"/>
        <v>33.840000000000003</v>
      </c>
      <c r="G236" s="26">
        <f t="shared" si="1"/>
        <v>209358.47999999998</v>
      </c>
      <c r="H236" s="27" t="str">
        <f t="shared" si="2"/>
        <v/>
      </c>
      <c r="J236" s="73"/>
      <c r="K236" s="31" t="s">
        <v>130</v>
      </c>
      <c r="L236" s="74">
        <v>15.93</v>
      </c>
      <c r="M236" s="31" t="s">
        <v>37</v>
      </c>
    </row>
    <row r="237" spans="1:16" ht="14.25" customHeight="1">
      <c r="A237" s="21">
        <v>44229</v>
      </c>
      <c r="B237" s="22">
        <v>364.87</v>
      </c>
      <c r="C237" s="23" t="s">
        <v>132</v>
      </c>
      <c r="D237" s="24"/>
      <c r="E237" s="25"/>
      <c r="F237" s="24" t="str">
        <f t="shared" si="0"/>
        <v/>
      </c>
      <c r="G237" s="26" t="str">
        <f t="shared" si="1"/>
        <v/>
      </c>
      <c r="H237" s="27" t="str">
        <f t="shared" si="2"/>
        <v>Positional</v>
      </c>
      <c r="J237" s="73"/>
      <c r="K237" s="31" t="s">
        <v>133</v>
      </c>
      <c r="L237" s="74">
        <v>59</v>
      </c>
      <c r="M237" s="31" t="s">
        <v>133</v>
      </c>
    </row>
    <row r="238" spans="1:16" ht="14.25" customHeight="1">
      <c r="A238" s="21">
        <v>44229</v>
      </c>
      <c r="B238" s="22">
        <v>5080.68</v>
      </c>
      <c r="C238" s="23" t="s">
        <v>35</v>
      </c>
      <c r="D238" s="24"/>
      <c r="E238" s="25"/>
      <c r="F238" s="24" t="str">
        <f t="shared" si="0"/>
        <v/>
      </c>
      <c r="G238" s="26" t="str">
        <f t="shared" si="1"/>
        <v/>
      </c>
      <c r="H238" s="27" t="str">
        <f t="shared" si="2"/>
        <v>Positional</v>
      </c>
      <c r="J238" s="73"/>
      <c r="K238" s="31" t="s">
        <v>130</v>
      </c>
      <c r="L238" s="74">
        <v>15.93</v>
      </c>
      <c r="M238" s="31" t="s">
        <v>134</v>
      </c>
    </row>
    <row r="239" spans="1:16" ht="14.25" customHeight="1">
      <c r="A239" s="21">
        <v>44229</v>
      </c>
      <c r="B239" s="22">
        <v>10602.23</v>
      </c>
      <c r="C239" s="23" t="s">
        <v>37</v>
      </c>
      <c r="D239" s="24"/>
      <c r="E239" s="25"/>
      <c r="F239" s="24" t="str">
        <f t="shared" si="0"/>
        <v/>
      </c>
      <c r="G239" s="26" t="str">
        <f t="shared" si="1"/>
        <v/>
      </c>
      <c r="H239" s="27" t="str">
        <f t="shared" si="2"/>
        <v>Positional</v>
      </c>
      <c r="J239" s="73"/>
      <c r="K239" s="31" t="s">
        <v>130</v>
      </c>
      <c r="L239" s="74">
        <v>15.93</v>
      </c>
      <c r="M239" s="31" t="s">
        <v>135</v>
      </c>
    </row>
    <row r="240" spans="1:16" ht="14.25" customHeight="1">
      <c r="A240" s="21">
        <v>44229</v>
      </c>
      <c r="B240" s="22">
        <v>100.15</v>
      </c>
      <c r="C240" s="23" t="s">
        <v>20</v>
      </c>
      <c r="D240" s="24">
        <v>55400.14</v>
      </c>
      <c r="E240" s="25">
        <v>27950</v>
      </c>
      <c r="F240" s="24">
        <f t="shared" si="0"/>
        <v>13.47</v>
      </c>
      <c r="G240" s="26">
        <f t="shared" si="1"/>
        <v>83350.14</v>
      </c>
      <c r="H240" s="27" t="str">
        <f t="shared" si="2"/>
        <v/>
      </c>
      <c r="J240" s="73"/>
      <c r="K240" s="31" t="s">
        <v>130</v>
      </c>
      <c r="L240" s="74">
        <v>15.93</v>
      </c>
      <c r="M240" s="31" t="s">
        <v>136</v>
      </c>
    </row>
    <row r="241" spans="1:13" ht="14.25" customHeight="1">
      <c r="A241" s="21">
        <v>44230</v>
      </c>
      <c r="B241" s="22">
        <v>1341.42</v>
      </c>
      <c r="C241" s="23" t="s">
        <v>20</v>
      </c>
      <c r="D241" s="24">
        <v>56741.56</v>
      </c>
      <c r="E241" s="25">
        <v>27950</v>
      </c>
      <c r="F241" s="24">
        <f t="shared" si="0"/>
        <v>13.69</v>
      </c>
      <c r="G241" s="26">
        <f t="shared" si="1"/>
        <v>84691.56</v>
      </c>
      <c r="H241" s="27" t="str">
        <f t="shared" si="2"/>
        <v/>
      </c>
      <c r="J241" s="73"/>
      <c r="K241" s="31" t="s">
        <v>130</v>
      </c>
      <c r="L241" s="74">
        <v>15.93</v>
      </c>
      <c r="M241" s="31" t="s">
        <v>137</v>
      </c>
    </row>
    <row r="242" spans="1:13" ht="14.25" customHeight="1">
      <c r="A242" s="21">
        <v>44231</v>
      </c>
      <c r="B242" s="22">
        <v>764.21</v>
      </c>
      <c r="C242" s="23" t="s">
        <v>20</v>
      </c>
      <c r="D242" s="24">
        <v>77505.77</v>
      </c>
      <c r="E242" s="25">
        <v>27950</v>
      </c>
      <c r="F242" s="24">
        <f t="shared" si="0"/>
        <v>17.05</v>
      </c>
      <c r="G242" s="26">
        <f t="shared" si="1"/>
        <v>105455.77</v>
      </c>
      <c r="H242" s="27" t="str">
        <f t="shared" si="2"/>
        <v/>
      </c>
      <c r="J242" s="73"/>
      <c r="K242" s="31" t="s">
        <v>133</v>
      </c>
      <c r="L242" s="74">
        <v>59</v>
      </c>
      <c r="M242" s="31" t="s">
        <v>133</v>
      </c>
    </row>
    <row r="243" spans="1:13" ht="14.25" customHeight="1">
      <c r="A243" s="21">
        <v>44232</v>
      </c>
      <c r="B243" s="22">
        <v>-2814.11</v>
      </c>
      <c r="C243" s="23" t="s">
        <v>20</v>
      </c>
      <c r="D243" s="24">
        <v>74691.66</v>
      </c>
      <c r="E243" s="25">
        <v>27950</v>
      </c>
      <c r="F243" s="24">
        <f t="shared" si="0"/>
        <v>49.77</v>
      </c>
      <c r="G243" s="26">
        <f t="shared" si="1"/>
        <v>307924.98</v>
      </c>
      <c r="H243" s="27" t="str">
        <f t="shared" si="2"/>
        <v/>
      </c>
      <c r="J243" s="73"/>
      <c r="K243" s="31" t="s">
        <v>130</v>
      </c>
      <c r="L243" s="74">
        <v>15.93</v>
      </c>
      <c r="M243" s="31" t="s">
        <v>138</v>
      </c>
    </row>
    <row r="244" spans="1:13" ht="14.25" customHeight="1">
      <c r="A244" s="21">
        <v>44235</v>
      </c>
      <c r="B244" s="22">
        <v>1521.43</v>
      </c>
      <c r="C244" s="23" t="s">
        <v>20</v>
      </c>
      <c r="D244" s="24">
        <v>76213.09</v>
      </c>
      <c r="E244" s="25">
        <v>27950</v>
      </c>
      <c r="F244" s="24">
        <f t="shared" si="0"/>
        <v>16.84</v>
      </c>
      <c r="G244" s="26">
        <f t="shared" si="1"/>
        <v>104163.09</v>
      </c>
      <c r="H244" s="27" t="str">
        <f t="shared" si="2"/>
        <v/>
      </c>
      <c r="J244" s="73"/>
      <c r="K244" s="31" t="s">
        <v>130</v>
      </c>
      <c r="L244" s="74">
        <v>15.93</v>
      </c>
      <c r="M244" s="31" t="s">
        <v>139</v>
      </c>
    </row>
    <row r="245" spans="1:13" ht="14.25" customHeight="1">
      <c r="A245" s="21">
        <v>44236</v>
      </c>
      <c r="B245" s="22">
        <v>1610.35</v>
      </c>
      <c r="C245" s="23" t="s">
        <v>20</v>
      </c>
      <c r="D245" s="24">
        <v>77823.44</v>
      </c>
      <c r="E245" s="25">
        <v>27950</v>
      </c>
      <c r="F245" s="24">
        <f t="shared" si="0"/>
        <v>17.100000000000001</v>
      </c>
      <c r="G245" s="26">
        <f t="shared" si="1"/>
        <v>105773.44</v>
      </c>
      <c r="H245" s="27" t="str">
        <f t="shared" si="2"/>
        <v/>
      </c>
      <c r="J245" s="73"/>
      <c r="K245" s="31" t="s">
        <v>130</v>
      </c>
      <c r="L245" s="74">
        <v>15.93</v>
      </c>
      <c r="M245" s="31" t="s">
        <v>140</v>
      </c>
    </row>
    <row r="246" spans="1:13" ht="14.25" customHeight="1">
      <c r="A246" s="21">
        <v>44237</v>
      </c>
      <c r="B246" s="22">
        <v>62.8</v>
      </c>
      <c r="C246" s="23" t="s">
        <v>20</v>
      </c>
      <c r="D246" s="24">
        <v>77886.25</v>
      </c>
      <c r="E246" s="25">
        <v>27950</v>
      </c>
      <c r="F246" s="24">
        <f t="shared" si="0"/>
        <v>17.11</v>
      </c>
      <c r="G246" s="26">
        <f t="shared" si="1"/>
        <v>105836.25</v>
      </c>
      <c r="H246" s="27" t="str">
        <f t="shared" si="2"/>
        <v/>
      </c>
      <c r="J246" s="73"/>
      <c r="K246" s="31" t="s">
        <v>130</v>
      </c>
      <c r="L246" s="74">
        <v>15.93</v>
      </c>
      <c r="M246" s="31" t="s">
        <v>141</v>
      </c>
    </row>
    <row r="247" spans="1:13" ht="14.25" customHeight="1">
      <c r="A247" s="21">
        <v>44238</v>
      </c>
      <c r="B247" s="22">
        <v>1870.74</v>
      </c>
      <c r="C247" s="23" t="s">
        <v>20</v>
      </c>
      <c r="D247" s="24">
        <v>79756.98</v>
      </c>
      <c r="E247" s="25">
        <v>27950</v>
      </c>
      <c r="F247" s="24">
        <f t="shared" si="0"/>
        <v>17.41</v>
      </c>
      <c r="G247" s="26">
        <f t="shared" si="1"/>
        <v>107706.98</v>
      </c>
      <c r="H247" s="27" t="str">
        <f t="shared" si="2"/>
        <v/>
      </c>
      <c r="J247" s="73"/>
      <c r="K247" s="31" t="s">
        <v>130</v>
      </c>
      <c r="L247" s="74">
        <v>15.93</v>
      </c>
      <c r="M247" s="31" t="s">
        <v>142</v>
      </c>
    </row>
    <row r="248" spans="1:13" ht="14.25" customHeight="1">
      <c r="A248" s="21">
        <v>44239</v>
      </c>
      <c r="B248" s="22">
        <v>1077.82</v>
      </c>
      <c r="C248" s="23" t="s">
        <v>20</v>
      </c>
      <c r="D248" s="24">
        <v>80834.81</v>
      </c>
      <c r="E248" s="25">
        <v>27950</v>
      </c>
      <c r="F248" s="24">
        <f t="shared" si="0"/>
        <v>52.75</v>
      </c>
      <c r="G248" s="26">
        <f t="shared" si="1"/>
        <v>326354.43</v>
      </c>
      <c r="H248" s="27" t="str">
        <f t="shared" si="2"/>
        <v/>
      </c>
      <c r="J248" s="73"/>
      <c r="K248" s="31" t="s">
        <v>130</v>
      </c>
      <c r="L248" s="74">
        <v>15.93</v>
      </c>
      <c r="M248" s="31" t="s">
        <v>143</v>
      </c>
    </row>
    <row r="249" spans="1:13" ht="14.25" customHeight="1">
      <c r="A249" s="21">
        <v>44242</v>
      </c>
      <c r="B249" s="22">
        <v>2612.0300000000002</v>
      </c>
      <c r="C249" s="23" t="s">
        <v>20</v>
      </c>
      <c r="D249" s="24">
        <v>83446.83</v>
      </c>
      <c r="E249" s="25">
        <v>27950</v>
      </c>
      <c r="F249" s="24">
        <f t="shared" si="0"/>
        <v>18.010000000000002</v>
      </c>
      <c r="G249" s="26">
        <f t="shared" si="1"/>
        <v>111396.83</v>
      </c>
      <c r="H249" s="27" t="str">
        <f t="shared" si="2"/>
        <v/>
      </c>
      <c r="J249" s="73"/>
      <c r="K249" s="31" t="s">
        <v>130</v>
      </c>
      <c r="L249" s="74">
        <v>15.93</v>
      </c>
      <c r="M249" s="31" t="s">
        <v>144</v>
      </c>
    </row>
    <row r="250" spans="1:13" ht="14.25" customHeight="1">
      <c r="A250" s="21">
        <v>44243</v>
      </c>
      <c r="B250" s="22">
        <v>-33069.800000000003</v>
      </c>
      <c r="C250" s="23" t="s">
        <v>145</v>
      </c>
      <c r="D250" s="24"/>
      <c r="E250" s="25"/>
      <c r="F250" s="24" t="str">
        <f t="shared" si="0"/>
        <v/>
      </c>
      <c r="G250" s="26" t="str">
        <f t="shared" si="1"/>
        <v/>
      </c>
      <c r="H250" s="27" t="str">
        <f t="shared" si="2"/>
        <v>Positional</v>
      </c>
      <c r="J250" s="73"/>
      <c r="K250" s="31" t="s">
        <v>130</v>
      </c>
      <c r="L250" s="74">
        <v>15.93</v>
      </c>
      <c r="M250" s="31" t="s">
        <v>146</v>
      </c>
    </row>
    <row r="251" spans="1:13" ht="14.25" customHeight="1">
      <c r="A251" s="21">
        <v>44243</v>
      </c>
      <c r="B251" s="22">
        <v>-1000.67</v>
      </c>
      <c r="C251" s="23" t="s">
        <v>20</v>
      </c>
      <c r="D251" s="24">
        <v>57036.36</v>
      </c>
      <c r="E251" s="25">
        <v>27950</v>
      </c>
      <c r="F251" s="24">
        <f t="shared" si="0"/>
        <v>13.74</v>
      </c>
      <c r="G251" s="26">
        <f t="shared" si="1"/>
        <v>84986.36</v>
      </c>
      <c r="H251" s="27" t="str">
        <f t="shared" si="2"/>
        <v/>
      </c>
      <c r="J251" s="73"/>
      <c r="K251" s="31" t="s">
        <v>130</v>
      </c>
      <c r="L251" s="74">
        <v>15.93</v>
      </c>
      <c r="M251" s="31" t="s">
        <v>38</v>
      </c>
    </row>
    <row r="252" spans="1:13" ht="14.25" customHeight="1">
      <c r="A252" s="21">
        <v>44244</v>
      </c>
      <c r="B252" s="22">
        <v>-2.92</v>
      </c>
      <c r="C252" s="23" t="s">
        <v>20</v>
      </c>
      <c r="D252" s="24">
        <v>57033.45</v>
      </c>
      <c r="E252" s="25">
        <v>27950</v>
      </c>
      <c r="F252" s="24">
        <f t="shared" si="0"/>
        <v>13.74</v>
      </c>
      <c r="G252" s="26">
        <f t="shared" si="1"/>
        <v>84983.45</v>
      </c>
      <c r="H252" s="27" t="str">
        <f t="shared" si="2"/>
        <v/>
      </c>
      <c r="J252" s="73"/>
      <c r="K252" s="31" t="s">
        <v>130</v>
      </c>
      <c r="L252" s="74">
        <v>15.93</v>
      </c>
      <c r="M252" s="73" t="s">
        <v>39</v>
      </c>
    </row>
    <row r="253" spans="1:13" ht="14.25" customHeight="1">
      <c r="A253" s="21">
        <v>44245</v>
      </c>
      <c r="B253" s="22">
        <v>-1563.6</v>
      </c>
      <c r="C253" s="23" t="s">
        <v>20</v>
      </c>
      <c r="D253" s="24">
        <v>13348.02</v>
      </c>
      <c r="E253" s="25">
        <v>69963.100000000006</v>
      </c>
      <c r="F253" s="24">
        <f t="shared" si="0"/>
        <v>13.47</v>
      </c>
      <c r="G253" s="26">
        <f t="shared" si="1"/>
        <v>83311.12000000001</v>
      </c>
      <c r="H253" s="27" t="str">
        <f t="shared" si="2"/>
        <v/>
      </c>
      <c r="J253" s="73"/>
      <c r="K253" s="31" t="s">
        <v>130</v>
      </c>
      <c r="L253" s="74">
        <v>15.93</v>
      </c>
      <c r="M253" s="73" t="s">
        <v>40</v>
      </c>
    </row>
    <row r="254" spans="1:13" ht="14.25" customHeight="1">
      <c r="A254" s="21">
        <v>44246</v>
      </c>
      <c r="B254" s="22">
        <v>-1009.91</v>
      </c>
      <c r="C254" s="23" t="s">
        <v>20</v>
      </c>
      <c r="D254" s="24">
        <v>12338.11</v>
      </c>
      <c r="E254" s="25">
        <v>69963.100000000006</v>
      </c>
      <c r="F254" s="24">
        <f t="shared" si="0"/>
        <v>39.909999999999997</v>
      </c>
      <c r="G254" s="26">
        <f t="shared" si="1"/>
        <v>246903.63</v>
      </c>
      <c r="H254" s="27" t="str">
        <f t="shared" si="2"/>
        <v/>
      </c>
      <c r="J254" s="73"/>
      <c r="K254" s="31" t="s">
        <v>130</v>
      </c>
      <c r="L254" s="74">
        <v>15.93</v>
      </c>
      <c r="M254" s="31" t="s">
        <v>147</v>
      </c>
    </row>
    <row r="255" spans="1:13" ht="14.25" customHeight="1">
      <c r="A255" s="21">
        <v>44249</v>
      </c>
      <c r="B255" s="22"/>
      <c r="C255" s="23" t="s">
        <v>131</v>
      </c>
      <c r="D255" s="24">
        <v>14678.11</v>
      </c>
      <c r="E255" s="25">
        <v>69963.100000000006</v>
      </c>
      <c r="F255" s="24">
        <f t="shared" si="0"/>
        <v>13.68</v>
      </c>
      <c r="G255" s="26">
        <f t="shared" si="1"/>
        <v>84641.21</v>
      </c>
      <c r="H255" s="27" t="str">
        <f t="shared" si="2"/>
        <v/>
      </c>
      <c r="J255" s="73"/>
      <c r="K255" s="31" t="s">
        <v>130</v>
      </c>
      <c r="L255" s="74">
        <v>15.93</v>
      </c>
      <c r="M255" s="31" t="s">
        <v>148</v>
      </c>
    </row>
    <row r="256" spans="1:13" ht="14.25" customHeight="1">
      <c r="A256" s="21">
        <v>44250</v>
      </c>
      <c r="B256" s="22">
        <v>573.91999999999996</v>
      </c>
      <c r="C256" s="23" t="s">
        <v>20</v>
      </c>
      <c r="D256" s="24">
        <v>15252.03</v>
      </c>
      <c r="E256" s="25">
        <v>69963.100000000006</v>
      </c>
      <c r="F256" s="24">
        <f t="shared" si="0"/>
        <v>13.77</v>
      </c>
      <c r="G256" s="26">
        <f t="shared" si="1"/>
        <v>85215.13</v>
      </c>
      <c r="H256" s="27" t="str">
        <f t="shared" si="2"/>
        <v/>
      </c>
      <c r="J256" s="73"/>
      <c r="K256" s="31" t="s">
        <v>130</v>
      </c>
      <c r="L256" s="74">
        <v>15.93</v>
      </c>
      <c r="M256" s="31" t="s">
        <v>149</v>
      </c>
    </row>
    <row r="257" spans="1:13" ht="14.25" customHeight="1">
      <c r="A257" s="21">
        <v>44251</v>
      </c>
      <c r="B257" s="22">
        <v>-99.39</v>
      </c>
      <c r="C257" s="23" t="s">
        <v>20</v>
      </c>
      <c r="D257" s="24">
        <v>25152.639999999999</v>
      </c>
      <c r="E257" s="25">
        <v>69963.100000000006</v>
      </c>
      <c r="F257" s="24">
        <f t="shared" si="0"/>
        <v>15.37</v>
      </c>
      <c r="G257" s="26">
        <f t="shared" si="1"/>
        <v>95115.74</v>
      </c>
      <c r="H257" s="27" t="str">
        <f t="shared" si="2"/>
        <v/>
      </c>
      <c r="J257" s="73"/>
      <c r="K257" s="31" t="s">
        <v>130</v>
      </c>
      <c r="L257" s="74">
        <v>15.93</v>
      </c>
      <c r="M257" s="31" t="s">
        <v>150</v>
      </c>
    </row>
    <row r="258" spans="1:13" ht="14.25" customHeight="1">
      <c r="A258" s="21">
        <v>44252</v>
      </c>
      <c r="B258" s="22">
        <v>-1526.29</v>
      </c>
      <c r="C258" s="23" t="s">
        <v>20</v>
      </c>
      <c r="D258" s="24">
        <v>23626.34</v>
      </c>
      <c r="E258" s="25">
        <v>69963.100000000006</v>
      </c>
      <c r="F258" s="24">
        <f t="shared" si="0"/>
        <v>15.13</v>
      </c>
      <c r="G258" s="26">
        <f t="shared" si="1"/>
        <v>93589.440000000002</v>
      </c>
      <c r="H258" s="27" t="str">
        <f t="shared" si="2"/>
        <v/>
      </c>
      <c r="J258" s="73"/>
      <c r="K258" s="31" t="s">
        <v>130</v>
      </c>
      <c r="L258" s="74">
        <v>15.93</v>
      </c>
      <c r="M258" s="31" t="s">
        <v>151</v>
      </c>
    </row>
    <row r="259" spans="1:13" ht="14.25" customHeight="1">
      <c r="A259" s="21">
        <v>44253</v>
      </c>
      <c r="B259" s="22">
        <v>-1694.46</v>
      </c>
      <c r="C259" s="23" t="s">
        <v>20</v>
      </c>
      <c r="D259" s="24">
        <v>21931.88</v>
      </c>
      <c r="E259" s="25">
        <v>69963.100000000006</v>
      </c>
      <c r="F259" s="24">
        <f t="shared" si="0"/>
        <v>44.56</v>
      </c>
      <c r="G259" s="26">
        <f t="shared" si="1"/>
        <v>275684.94000000006</v>
      </c>
      <c r="H259" s="27" t="str">
        <f t="shared" si="2"/>
        <v/>
      </c>
      <c r="J259" s="73"/>
      <c r="K259" s="31" t="s">
        <v>130</v>
      </c>
      <c r="L259" s="74">
        <v>15.93</v>
      </c>
      <c r="M259" s="31" t="s">
        <v>138</v>
      </c>
    </row>
    <row r="260" spans="1:13" ht="14.25" customHeight="1">
      <c r="A260" s="21">
        <v>44256</v>
      </c>
      <c r="B260" s="22">
        <v>896.33</v>
      </c>
      <c r="C260" s="23" t="s">
        <v>20</v>
      </c>
      <c r="D260" s="24">
        <v>31828.21</v>
      </c>
      <c r="E260" s="25">
        <v>69963.100000000006</v>
      </c>
      <c r="F260" s="24">
        <f t="shared" si="0"/>
        <v>16.45</v>
      </c>
      <c r="G260" s="26">
        <f t="shared" si="1"/>
        <v>101791.31</v>
      </c>
      <c r="H260" s="27" t="str">
        <f t="shared" si="2"/>
        <v/>
      </c>
      <c r="J260" s="73"/>
      <c r="K260" s="31" t="s">
        <v>130</v>
      </c>
      <c r="L260" s="74">
        <v>15.93</v>
      </c>
      <c r="M260" s="31" t="s">
        <v>152</v>
      </c>
    </row>
    <row r="261" spans="1:13" ht="14.25" customHeight="1">
      <c r="A261" s="21">
        <v>44257</v>
      </c>
      <c r="B261" s="22">
        <v>1561.12</v>
      </c>
      <c r="C261" s="23" t="s">
        <v>20</v>
      </c>
      <c r="D261" s="24">
        <v>10382.58</v>
      </c>
      <c r="E261" s="25">
        <v>92943.1</v>
      </c>
      <c r="F261" s="24">
        <f t="shared" si="0"/>
        <v>16.7</v>
      </c>
      <c r="G261" s="26">
        <f t="shared" si="1"/>
        <v>103325.68000000001</v>
      </c>
      <c r="H261" s="27" t="str">
        <f t="shared" si="2"/>
        <v/>
      </c>
      <c r="J261" s="73"/>
      <c r="K261" s="31" t="s">
        <v>130</v>
      </c>
      <c r="L261" s="74">
        <v>15.93</v>
      </c>
      <c r="M261" s="31" t="s">
        <v>153</v>
      </c>
    </row>
    <row r="262" spans="1:13" ht="14.25" customHeight="1">
      <c r="A262" s="21">
        <v>44258</v>
      </c>
      <c r="B262" s="22">
        <v>844.03</v>
      </c>
      <c r="C262" s="23" t="s">
        <v>20</v>
      </c>
      <c r="D262" s="24">
        <v>54863.4</v>
      </c>
      <c r="E262" s="25">
        <v>99298.1</v>
      </c>
      <c r="F262" s="24">
        <f t="shared" si="0"/>
        <v>24.92</v>
      </c>
      <c r="G262" s="26">
        <f t="shared" si="1"/>
        <v>154161.5</v>
      </c>
      <c r="H262" s="27" t="str">
        <f t="shared" si="2"/>
        <v/>
      </c>
      <c r="J262" s="73"/>
      <c r="K262" s="31" t="s">
        <v>130</v>
      </c>
      <c r="L262" s="74">
        <v>15.93</v>
      </c>
      <c r="M262" s="31" t="s">
        <v>154</v>
      </c>
    </row>
    <row r="263" spans="1:13" ht="14.25" customHeight="1">
      <c r="A263" s="21">
        <v>44259</v>
      </c>
      <c r="B263" s="22">
        <v>3353.54</v>
      </c>
      <c r="C263" s="23" t="s">
        <v>20</v>
      </c>
      <c r="D263" s="24">
        <v>58216.93</v>
      </c>
      <c r="E263" s="25">
        <v>99298.1</v>
      </c>
      <c r="F263" s="24">
        <f t="shared" si="0"/>
        <v>25.46</v>
      </c>
      <c r="G263" s="26">
        <f t="shared" si="1"/>
        <v>157515.03</v>
      </c>
      <c r="H263" s="27" t="str">
        <f t="shared" si="2"/>
        <v/>
      </c>
      <c r="J263" s="73"/>
      <c r="K263" s="31" t="s">
        <v>130</v>
      </c>
      <c r="L263" s="74">
        <v>15.93</v>
      </c>
      <c r="M263" s="73" t="s">
        <v>155</v>
      </c>
    </row>
    <row r="264" spans="1:13" ht="14.25" customHeight="1">
      <c r="A264" s="21">
        <v>44260</v>
      </c>
      <c r="B264" s="22">
        <v>-1950.63</v>
      </c>
      <c r="C264" s="23" t="s">
        <v>20</v>
      </c>
      <c r="D264" s="24">
        <v>56266.3</v>
      </c>
      <c r="E264" s="25">
        <v>99298.1</v>
      </c>
      <c r="F264" s="24">
        <f t="shared" si="0"/>
        <v>125.73</v>
      </c>
      <c r="G264" s="26">
        <f t="shared" si="1"/>
        <v>777822.00000000012</v>
      </c>
      <c r="H264" s="27" t="str">
        <f t="shared" si="2"/>
        <v/>
      </c>
      <c r="J264" s="73"/>
      <c r="K264" s="31" t="s">
        <v>130</v>
      </c>
      <c r="L264" s="74">
        <v>15.93</v>
      </c>
      <c r="M264" s="73" t="s">
        <v>156</v>
      </c>
    </row>
    <row r="265" spans="1:13" ht="14.25" customHeight="1">
      <c r="A265" s="21">
        <v>44265</v>
      </c>
      <c r="B265" s="22">
        <v>1199.44</v>
      </c>
      <c r="C265" s="23" t="s">
        <v>20</v>
      </c>
      <c r="D265" s="24">
        <v>67465.740000000005</v>
      </c>
      <c r="E265" s="25">
        <v>99298.1</v>
      </c>
      <c r="F265" s="24">
        <f t="shared" si="0"/>
        <v>26.96</v>
      </c>
      <c r="G265" s="26">
        <f t="shared" si="1"/>
        <v>166763.84000000003</v>
      </c>
      <c r="H265" s="27" t="str">
        <f t="shared" si="2"/>
        <v/>
      </c>
      <c r="J265" s="73"/>
      <c r="K265" s="31" t="s">
        <v>130</v>
      </c>
      <c r="L265" s="74">
        <v>15.93</v>
      </c>
      <c r="M265" s="73" t="s">
        <v>157</v>
      </c>
    </row>
    <row r="266" spans="1:13" ht="14.25" customHeight="1">
      <c r="A266" s="21">
        <v>44266</v>
      </c>
      <c r="B266" s="22"/>
      <c r="C266" s="23" t="s">
        <v>131</v>
      </c>
      <c r="D266" s="24">
        <v>117465.74</v>
      </c>
      <c r="E266" s="25">
        <v>99298.1</v>
      </c>
      <c r="F266" s="24">
        <f t="shared" si="0"/>
        <v>35.04</v>
      </c>
      <c r="G266" s="26">
        <f t="shared" si="1"/>
        <v>216763.84000000003</v>
      </c>
      <c r="H266" s="27" t="str">
        <f t="shared" si="2"/>
        <v/>
      </c>
      <c r="J266" s="73"/>
      <c r="K266" s="31" t="s">
        <v>130</v>
      </c>
      <c r="L266" s="74">
        <v>15.93</v>
      </c>
      <c r="M266" s="73" t="s">
        <v>158</v>
      </c>
    </row>
    <row r="267" spans="1:13" ht="14.25" customHeight="1">
      <c r="A267" s="21">
        <v>44267</v>
      </c>
      <c r="B267" s="22">
        <v>2609.9</v>
      </c>
      <c r="C267" s="23" t="s">
        <v>20</v>
      </c>
      <c r="D267" s="24">
        <v>95613.53</v>
      </c>
      <c r="E267" s="25">
        <v>123731.4</v>
      </c>
      <c r="F267" s="24">
        <f t="shared" si="0"/>
        <v>106.37</v>
      </c>
      <c r="G267" s="26">
        <f t="shared" si="1"/>
        <v>658034.79</v>
      </c>
      <c r="H267" s="27" t="str">
        <f t="shared" si="2"/>
        <v/>
      </c>
      <c r="J267" s="73"/>
      <c r="K267" s="31" t="s">
        <v>130</v>
      </c>
      <c r="L267" s="74">
        <v>15.93</v>
      </c>
      <c r="M267" s="73" t="s">
        <v>159</v>
      </c>
    </row>
    <row r="268" spans="1:13" ht="14.25" customHeight="1">
      <c r="A268" s="21">
        <v>44270</v>
      </c>
      <c r="B268" s="22">
        <v>521.05999999999995</v>
      </c>
      <c r="C268" s="23" t="s">
        <v>20</v>
      </c>
      <c r="D268" s="24">
        <v>96134.6</v>
      </c>
      <c r="E268" s="25">
        <v>123731.4</v>
      </c>
      <c r="F268" s="24">
        <f t="shared" si="0"/>
        <v>35.54</v>
      </c>
      <c r="G268" s="26">
        <f t="shared" si="1"/>
        <v>219866</v>
      </c>
      <c r="H268" s="27" t="str">
        <f t="shared" si="2"/>
        <v/>
      </c>
      <c r="J268" s="73"/>
      <c r="K268" s="31" t="s">
        <v>130</v>
      </c>
      <c r="L268" s="74">
        <v>15.93</v>
      </c>
      <c r="M268" s="73" t="s">
        <v>160</v>
      </c>
    </row>
    <row r="269" spans="1:13" ht="14.25" customHeight="1">
      <c r="A269" s="21">
        <v>44271</v>
      </c>
      <c r="B269" s="22">
        <v>3389.01</v>
      </c>
      <c r="C269" s="23" t="s">
        <v>20</v>
      </c>
      <c r="D269" s="24">
        <v>99523.61</v>
      </c>
      <c r="E269" s="25">
        <v>123731.4</v>
      </c>
      <c r="F269" s="24">
        <f t="shared" si="0"/>
        <v>36.090000000000003</v>
      </c>
      <c r="G269" s="26">
        <f t="shared" si="1"/>
        <v>223255.01</v>
      </c>
      <c r="H269" s="27" t="str">
        <f t="shared" si="2"/>
        <v/>
      </c>
      <c r="J269" s="73"/>
      <c r="K269" s="31" t="s">
        <v>130</v>
      </c>
      <c r="L269" s="74">
        <v>15.93</v>
      </c>
      <c r="M269" s="73" t="s">
        <v>161</v>
      </c>
    </row>
    <row r="270" spans="1:13" ht="14.25" customHeight="1">
      <c r="A270" s="21">
        <v>44272</v>
      </c>
      <c r="B270" s="22">
        <v>2826.09</v>
      </c>
      <c r="C270" s="23" t="s">
        <v>20</v>
      </c>
      <c r="D270" s="24">
        <v>102349.7</v>
      </c>
      <c r="E270" s="25">
        <v>123731.4</v>
      </c>
      <c r="F270" s="24">
        <f t="shared" si="0"/>
        <v>36.54</v>
      </c>
      <c r="G270" s="26">
        <f t="shared" si="1"/>
        <v>226081.09999999998</v>
      </c>
      <c r="H270" s="27" t="str">
        <f t="shared" si="2"/>
        <v/>
      </c>
      <c r="J270" s="73"/>
      <c r="K270" s="31" t="s">
        <v>130</v>
      </c>
      <c r="L270" s="74"/>
      <c r="M270" s="73" t="s">
        <v>162</v>
      </c>
    </row>
    <row r="271" spans="1:13" ht="14.25" customHeight="1">
      <c r="A271" s="21">
        <v>44273</v>
      </c>
      <c r="B271" s="22">
        <v>6640.88</v>
      </c>
      <c r="C271" s="23" t="s">
        <v>20</v>
      </c>
      <c r="D271" s="24">
        <v>123990.58</v>
      </c>
      <c r="E271" s="25">
        <v>123731.4</v>
      </c>
      <c r="F271" s="24">
        <f t="shared" si="0"/>
        <v>40.04</v>
      </c>
      <c r="G271" s="26">
        <f t="shared" si="1"/>
        <v>247721.97999999998</v>
      </c>
      <c r="H271" s="27" t="str">
        <f t="shared" si="2"/>
        <v/>
      </c>
      <c r="J271" s="73"/>
      <c r="K271" s="31" t="s">
        <v>130</v>
      </c>
      <c r="L271" s="74">
        <v>15.93</v>
      </c>
      <c r="M271" s="73" t="s">
        <v>163</v>
      </c>
    </row>
    <row r="272" spans="1:13" ht="14.25" customHeight="1">
      <c r="A272" s="21">
        <v>44274</v>
      </c>
      <c r="B272" s="22">
        <v>-21302.2</v>
      </c>
      <c r="C272" s="23" t="s">
        <v>20</v>
      </c>
      <c r="D272" s="24">
        <v>102688.38</v>
      </c>
      <c r="E272" s="25">
        <v>123731.4</v>
      </c>
      <c r="F272" s="24">
        <f t="shared" si="0"/>
        <v>109.8</v>
      </c>
      <c r="G272" s="26">
        <f t="shared" si="1"/>
        <v>679259.34</v>
      </c>
      <c r="H272" s="27" t="str">
        <f t="shared" si="2"/>
        <v/>
      </c>
      <c r="J272" s="73"/>
      <c r="K272" s="31" t="s">
        <v>130</v>
      </c>
      <c r="L272" s="74"/>
      <c r="M272" s="73" t="s">
        <v>164</v>
      </c>
    </row>
    <row r="273" spans="1:13" ht="14.25" customHeight="1">
      <c r="A273" s="21">
        <v>44277</v>
      </c>
      <c r="B273" s="22">
        <v>-9801.8799999999992</v>
      </c>
      <c r="C273" s="23" t="s">
        <v>20</v>
      </c>
      <c r="D273" s="24">
        <v>77886.490000000005</v>
      </c>
      <c r="E273" s="25">
        <v>123731.4</v>
      </c>
      <c r="F273" s="24">
        <f t="shared" si="0"/>
        <v>32.590000000000003</v>
      </c>
      <c r="G273" s="26">
        <f t="shared" si="1"/>
        <v>201617.89</v>
      </c>
      <c r="H273" s="27" t="str">
        <f t="shared" si="2"/>
        <v/>
      </c>
      <c r="J273" s="73"/>
      <c r="K273" s="31" t="s">
        <v>130</v>
      </c>
      <c r="L273" s="74">
        <v>15.93</v>
      </c>
      <c r="M273" s="31" t="s">
        <v>165</v>
      </c>
    </row>
    <row r="274" spans="1:13" ht="14.25" customHeight="1">
      <c r="A274" s="21">
        <v>44278</v>
      </c>
      <c r="B274" s="22">
        <v>85.89</v>
      </c>
      <c r="C274" s="23" t="s">
        <v>20</v>
      </c>
      <c r="D274" s="24">
        <v>92972.38</v>
      </c>
      <c r="E274" s="25">
        <v>123731.4</v>
      </c>
      <c r="F274" s="24">
        <f t="shared" si="0"/>
        <v>35.03</v>
      </c>
      <c r="G274" s="26">
        <f t="shared" si="1"/>
        <v>216703.78</v>
      </c>
      <c r="H274" s="27" t="str">
        <f t="shared" si="2"/>
        <v/>
      </c>
      <c r="J274" s="73"/>
      <c r="K274" s="31" t="s">
        <v>130</v>
      </c>
      <c r="L274" s="74"/>
      <c r="M274" s="31" t="s">
        <v>166</v>
      </c>
    </row>
    <row r="275" spans="1:13" ht="14.25" customHeight="1">
      <c r="A275" s="21">
        <v>44279</v>
      </c>
      <c r="B275" s="22">
        <v>1640.95</v>
      </c>
      <c r="C275" s="23" t="s">
        <v>20</v>
      </c>
      <c r="D275" s="24">
        <v>94613.33</v>
      </c>
      <c r="E275" s="25">
        <v>123731.4</v>
      </c>
      <c r="F275" s="24">
        <f t="shared" si="0"/>
        <v>35.29</v>
      </c>
      <c r="G275" s="26">
        <f t="shared" si="1"/>
        <v>218344.72999999998</v>
      </c>
      <c r="H275" s="27" t="str">
        <f t="shared" si="2"/>
        <v/>
      </c>
      <c r="J275" s="73"/>
      <c r="K275" s="31" t="s">
        <v>130</v>
      </c>
      <c r="L275" s="74">
        <v>15.93</v>
      </c>
      <c r="M275" s="31" t="s">
        <v>167</v>
      </c>
    </row>
    <row r="276" spans="1:13" ht="14.25" customHeight="1">
      <c r="A276" s="21">
        <v>44280</v>
      </c>
      <c r="B276" s="22">
        <v>2084.06</v>
      </c>
      <c r="C276" s="23" t="s">
        <v>20</v>
      </c>
      <c r="D276" s="24">
        <v>96697.4</v>
      </c>
      <c r="E276" s="25">
        <v>123731.4</v>
      </c>
      <c r="F276" s="24">
        <f t="shared" si="0"/>
        <v>35.630000000000003</v>
      </c>
      <c r="G276" s="26">
        <f t="shared" si="1"/>
        <v>220428.79999999999</v>
      </c>
      <c r="H276" s="27" t="str">
        <f t="shared" si="2"/>
        <v/>
      </c>
      <c r="J276" s="73"/>
      <c r="K276" s="31" t="s">
        <v>130</v>
      </c>
      <c r="L276" s="74">
        <v>15.93</v>
      </c>
      <c r="M276" s="31" t="s">
        <v>137</v>
      </c>
    </row>
    <row r="277" spans="1:13" ht="14.25" customHeight="1">
      <c r="A277" s="21">
        <v>44281</v>
      </c>
      <c r="B277" s="22">
        <v>2766.42</v>
      </c>
      <c r="C277" s="23" t="s">
        <v>20</v>
      </c>
      <c r="D277" s="24">
        <v>99463.83</v>
      </c>
      <c r="E277" s="25">
        <v>123731.4</v>
      </c>
      <c r="F277" s="24">
        <f t="shared" si="0"/>
        <v>144.31</v>
      </c>
      <c r="G277" s="26">
        <f t="shared" si="1"/>
        <v>892780.91999999993</v>
      </c>
      <c r="H277" s="27" t="str">
        <f t="shared" si="2"/>
        <v/>
      </c>
      <c r="J277" s="73"/>
      <c r="K277" s="28" t="s">
        <v>168</v>
      </c>
      <c r="L277" s="74">
        <v>4.82</v>
      </c>
      <c r="M277" s="31" t="s">
        <v>169</v>
      </c>
    </row>
    <row r="278" spans="1:13" ht="14.25" customHeight="1">
      <c r="A278" s="21">
        <v>44285</v>
      </c>
      <c r="B278" s="22">
        <v>9.08</v>
      </c>
      <c r="C278" s="23" t="s">
        <v>20</v>
      </c>
      <c r="D278" s="24">
        <v>74472.899999999994</v>
      </c>
      <c r="E278" s="25">
        <v>123731.4</v>
      </c>
      <c r="F278" s="24">
        <f t="shared" si="0"/>
        <v>32.04</v>
      </c>
      <c r="G278" s="26">
        <f t="shared" si="1"/>
        <v>198204.3</v>
      </c>
      <c r="H278" s="27" t="str">
        <f t="shared" si="2"/>
        <v/>
      </c>
      <c r="J278" s="73"/>
      <c r="K278" s="31" t="s">
        <v>130</v>
      </c>
      <c r="L278" s="74"/>
      <c r="M278" s="31" t="s">
        <v>158</v>
      </c>
    </row>
    <row r="279" spans="1:13" ht="14.25" customHeight="1">
      <c r="A279" s="21">
        <v>44286</v>
      </c>
      <c r="B279" s="22">
        <v>-46.65</v>
      </c>
      <c r="C279" s="23" t="s">
        <v>20</v>
      </c>
      <c r="D279" s="24">
        <v>74426.25</v>
      </c>
      <c r="E279" s="25">
        <v>123731.4</v>
      </c>
      <c r="F279" s="24">
        <f t="shared" si="0"/>
        <v>32.03</v>
      </c>
      <c r="G279" s="26">
        <f t="shared" si="1"/>
        <v>198157.65</v>
      </c>
      <c r="H279" s="27" t="str">
        <f t="shared" si="2"/>
        <v/>
      </c>
      <c r="J279" s="73"/>
      <c r="K279" s="31" t="s">
        <v>130</v>
      </c>
      <c r="L279" s="74">
        <v>15.93</v>
      </c>
      <c r="M279" s="31" t="s">
        <v>170</v>
      </c>
    </row>
    <row r="280" spans="1:13" ht="14.25" customHeight="1">
      <c r="A280" s="21">
        <v>44287</v>
      </c>
      <c r="B280" s="22">
        <v>-1086.24</v>
      </c>
      <c r="C280" s="23" t="s">
        <v>20</v>
      </c>
      <c r="D280" s="24"/>
      <c r="E280" s="25"/>
      <c r="F280" s="24" t="str">
        <f t="shared" si="0"/>
        <v/>
      </c>
      <c r="G280" s="26" t="str">
        <f t="shared" si="1"/>
        <v/>
      </c>
      <c r="H280" s="27" t="str">
        <f t="shared" si="2"/>
        <v/>
      </c>
      <c r="J280" s="73"/>
      <c r="K280" s="31" t="s">
        <v>130</v>
      </c>
      <c r="L280" s="74">
        <v>15.93</v>
      </c>
      <c r="M280" s="31" t="s">
        <v>171</v>
      </c>
    </row>
    <row r="281" spans="1:13" ht="14.25" customHeight="1">
      <c r="A281" s="21">
        <v>44287</v>
      </c>
      <c r="B281" s="22">
        <v>187.67</v>
      </c>
      <c r="C281" s="23" t="s">
        <v>134</v>
      </c>
      <c r="D281" s="24">
        <v>81516.08</v>
      </c>
      <c r="E281" s="25">
        <v>115736.4</v>
      </c>
      <c r="F281" s="24">
        <f t="shared" si="0"/>
        <v>127.54</v>
      </c>
      <c r="G281" s="26">
        <f t="shared" si="1"/>
        <v>789009.91999999993</v>
      </c>
      <c r="H281" s="27" t="str">
        <f t="shared" si="2"/>
        <v>Positional</v>
      </c>
      <c r="J281" s="73"/>
      <c r="K281" s="31" t="s">
        <v>130</v>
      </c>
      <c r="L281" s="74">
        <v>15.93</v>
      </c>
      <c r="M281" s="31" t="s">
        <v>172</v>
      </c>
    </row>
    <row r="282" spans="1:13" ht="14.25" customHeight="1">
      <c r="A282" s="21">
        <v>44291</v>
      </c>
      <c r="B282" s="22">
        <v>64.510000000000005</v>
      </c>
      <c r="C282" s="23" t="s">
        <v>20</v>
      </c>
      <c r="D282" s="24">
        <v>81580.58</v>
      </c>
      <c r="E282" s="25">
        <v>115736.4</v>
      </c>
      <c r="F282" s="24">
        <f t="shared" si="0"/>
        <v>31.9</v>
      </c>
      <c r="G282" s="26">
        <f t="shared" si="1"/>
        <v>197316.97999999998</v>
      </c>
      <c r="H282" s="27" t="str">
        <f t="shared" si="2"/>
        <v/>
      </c>
      <c r="J282" s="73"/>
      <c r="K282" s="31" t="s">
        <v>130</v>
      </c>
      <c r="L282" s="74">
        <v>15.93</v>
      </c>
      <c r="M282" s="31" t="s">
        <v>173</v>
      </c>
    </row>
    <row r="283" spans="1:13" ht="14.25" customHeight="1">
      <c r="A283" s="21">
        <v>44292</v>
      </c>
      <c r="B283" s="22">
        <v>637.24</v>
      </c>
      <c r="C283" s="23" t="s">
        <v>20</v>
      </c>
      <c r="D283" s="24">
        <v>82217.81</v>
      </c>
      <c r="E283" s="25">
        <v>115736.4</v>
      </c>
      <c r="F283" s="24">
        <f t="shared" si="0"/>
        <v>32</v>
      </c>
      <c r="G283" s="26">
        <f t="shared" si="1"/>
        <v>197954.21</v>
      </c>
      <c r="H283" s="27" t="str">
        <f t="shared" si="2"/>
        <v/>
      </c>
      <c r="J283" s="73"/>
      <c r="K283" s="31" t="s">
        <v>130</v>
      </c>
      <c r="L283" s="74">
        <v>15.93</v>
      </c>
      <c r="M283" s="31" t="s">
        <v>134</v>
      </c>
    </row>
    <row r="284" spans="1:13" ht="14.25" customHeight="1">
      <c r="A284" s="21">
        <v>44293</v>
      </c>
      <c r="B284" s="22">
        <v>-551.41</v>
      </c>
      <c r="C284" s="23" t="s">
        <v>20</v>
      </c>
      <c r="D284" s="24">
        <v>81666.39</v>
      </c>
      <c r="E284" s="25">
        <v>115736.4</v>
      </c>
      <c r="F284" s="24">
        <f t="shared" si="0"/>
        <v>31.91</v>
      </c>
      <c r="G284" s="26">
        <f t="shared" si="1"/>
        <v>197402.78999999998</v>
      </c>
      <c r="H284" s="27" t="str">
        <f t="shared" si="2"/>
        <v/>
      </c>
      <c r="J284" s="73"/>
      <c r="K284" s="31" t="s">
        <v>130</v>
      </c>
      <c r="L284" s="74">
        <v>15.93</v>
      </c>
      <c r="M284" s="31" t="s">
        <v>174</v>
      </c>
    </row>
    <row r="285" spans="1:13" ht="14.25" customHeight="1">
      <c r="A285" s="21">
        <v>44294</v>
      </c>
      <c r="B285" s="22">
        <v>-1652.9</v>
      </c>
      <c r="C285" s="23" t="s">
        <v>20</v>
      </c>
      <c r="D285" s="24">
        <v>80013.490000000005</v>
      </c>
      <c r="E285" s="25">
        <v>115736.4</v>
      </c>
      <c r="F285" s="24">
        <f t="shared" si="0"/>
        <v>31.64</v>
      </c>
      <c r="G285" s="26">
        <f t="shared" si="1"/>
        <v>195749.89</v>
      </c>
      <c r="H285" s="27" t="str">
        <f t="shared" si="2"/>
        <v/>
      </c>
      <c r="J285" s="73"/>
      <c r="K285" s="31" t="s">
        <v>130</v>
      </c>
      <c r="L285" s="74">
        <v>15.93</v>
      </c>
      <c r="M285" s="31" t="s">
        <v>175</v>
      </c>
    </row>
    <row r="286" spans="1:13" ht="14.25" customHeight="1">
      <c r="A286" s="21">
        <v>44295</v>
      </c>
      <c r="B286" s="22">
        <v>542.16</v>
      </c>
      <c r="C286" s="23" t="s">
        <v>20</v>
      </c>
      <c r="D286" s="24">
        <v>80555.649999999994</v>
      </c>
      <c r="E286" s="25">
        <v>115736.4</v>
      </c>
      <c r="F286" s="24">
        <f t="shared" si="0"/>
        <v>95.19</v>
      </c>
      <c r="G286" s="26">
        <f t="shared" si="1"/>
        <v>588876.14999999991</v>
      </c>
      <c r="H286" s="27" t="str">
        <f t="shared" si="2"/>
        <v/>
      </c>
      <c r="J286" s="73"/>
      <c r="K286" s="31" t="s">
        <v>130</v>
      </c>
      <c r="L286" s="74">
        <v>15.93</v>
      </c>
      <c r="M286" s="31" t="s">
        <v>176</v>
      </c>
    </row>
    <row r="287" spans="1:13" ht="14.25" customHeight="1">
      <c r="A287" s="21">
        <v>44298</v>
      </c>
      <c r="B287" s="22">
        <v>-5239.68</v>
      </c>
      <c r="C287" s="23" t="s">
        <v>20</v>
      </c>
      <c r="D287" s="24">
        <v>68667.98</v>
      </c>
      <c r="E287" s="25">
        <v>122376.4</v>
      </c>
      <c r="F287" s="24">
        <f t="shared" si="0"/>
        <v>30.88</v>
      </c>
      <c r="G287" s="26">
        <f t="shared" si="1"/>
        <v>191044.38</v>
      </c>
      <c r="H287" s="27" t="str">
        <f t="shared" si="2"/>
        <v/>
      </c>
      <c r="J287" s="73"/>
      <c r="K287" s="31" t="s">
        <v>130</v>
      </c>
      <c r="L287" s="74">
        <v>15.93</v>
      </c>
      <c r="M287" s="31" t="s">
        <v>177</v>
      </c>
    </row>
    <row r="288" spans="1:13" ht="14.25" customHeight="1">
      <c r="A288" s="21">
        <v>44299</v>
      </c>
      <c r="B288" s="22">
        <v>76.319999999999993</v>
      </c>
      <c r="C288" s="23" t="s">
        <v>20</v>
      </c>
      <c r="D288" s="24">
        <v>26714.29</v>
      </c>
      <c r="E288" s="25">
        <v>164256.70000000001</v>
      </c>
      <c r="F288" s="24">
        <f t="shared" si="0"/>
        <v>61.74</v>
      </c>
      <c r="G288" s="26">
        <f t="shared" si="1"/>
        <v>381941.98000000004</v>
      </c>
      <c r="H288" s="27" t="str">
        <f t="shared" si="2"/>
        <v/>
      </c>
      <c r="J288" s="73"/>
      <c r="K288" s="31" t="s">
        <v>130</v>
      </c>
      <c r="L288" s="74">
        <v>15.93</v>
      </c>
      <c r="M288" s="31" t="s">
        <v>178</v>
      </c>
    </row>
    <row r="289" spans="1:13" ht="14.25" customHeight="1">
      <c r="A289" s="21">
        <v>44301</v>
      </c>
      <c r="B289" s="22">
        <v>37.18</v>
      </c>
      <c r="C289" s="23" t="s">
        <v>20</v>
      </c>
      <c r="D289" s="24"/>
      <c r="E289" s="25"/>
      <c r="F289" s="24" t="str">
        <f t="shared" si="0"/>
        <v/>
      </c>
      <c r="G289" s="26" t="str">
        <f t="shared" si="1"/>
        <v/>
      </c>
      <c r="H289" s="27" t="str">
        <f t="shared" si="2"/>
        <v/>
      </c>
      <c r="J289" s="73"/>
      <c r="K289" s="31" t="s">
        <v>130</v>
      </c>
      <c r="L289" s="74">
        <v>15.93</v>
      </c>
      <c r="M289" s="31" t="s">
        <v>179</v>
      </c>
    </row>
    <row r="290" spans="1:13" ht="14.25" customHeight="1">
      <c r="A290" s="21">
        <v>44301</v>
      </c>
      <c r="B290" s="22">
        <v>185</v>
      </c>
      <c r="C290" s="23" t="s">
        <v>135</v>
      </c>
      <c r="D290" s="24">
        <v>33568.53</v>
      </c>
      <c r="E290" s="25">
        <v>155852.70000000001</v>
      </c>
      <c r="F290" s="24">
        <f t="shared" si="0"/>
        <v>30.62</v>
      </c>
      <c r="G290" s="26">
        <f t="shared" si="1"/>
        <v>189421.23</v>
      </c>
      <c r="H290" s="27" t="str">
        <f t="shared" si="2"/>
        <v>Positional</v>
      </c>
      <c r="J290" s="73"/>
      <c r="K290" s="31" t="s">
        <v>130</v>
      </c>
      <c r="L290" s="74">
        <v>15.93</v>
      </c>
      <c r="M290" s="31" t="s">
        <v>180</v>
      </c>
    </row>
    <row r="291" spans="1:13" ht="14.25" customHeight="1">
      <c r="A291" s="21">
        <v>44302</v>
      </c>
      <c r="B291" s="22">
        <v>-21.35</v>
      </c>
      <c r="C291" s="23" t="s">
        <v>20</v>
      </c>
      <c r="D291" s="24">
        <v>25891.17</v>
      </c>
      <c r="E291" s="25">
        <v>163500.20000000001</v>
      </c>
      <c r="F291" s="24">
        <f t="shared" si="0"/>
        <v>122.46</v>
      </c>
      <c r="G291" s="26">
        <f t="shared" si="1"/>
        <v>757565.48</v>
      </c>
      <c r="H291" s="27" t="str">
        <f t="shared" si="2"/>
        <v/>
      </c>
      <c r="J291" s="73"/>
      <c r="K291" s="31" t="s">
        <v>130</v>
      </c>
      <c r="L291" s="74">
        <v>15.93</v>
      </c>
      <c r="M291" s="31" t="s">
        <v>181</v>
      </c>
    </row>
    <row r="292" spans="1:13" ht="14.25" customHeight="1">
      <c r="A292" s="21">
        <v>44306</v>
      </c>
      <c r="B292" s="22">
        <v>250.54</v>
      </c>
      <c r="C292" s="23" t="s">
        <v>20</v>
      </c>
      <c r="D292" s="24">
        <v>26141.72</v>
      </c>
      <c r="E292" s="25">
        <v>163500.20000000001</v>
      </c>
      <c r="F292" s="24">
        <f t="shared" si="0"/>
        <v>61.31</v>
      </c>
      <c r="G292" s="26">
        <f t="shared" si="1"/>
        <v>379283.84</v>
      </c>
      <c r="H292" s="27" t="str">
        <f t="shared" si="2"/>
        <v/>
      </c>
      <c r="J292" s="73"/>
      <c r="K292" s="31" t="s">
        <v>130</v>
      </c>
      <c r="L292" s="74">
        <v>15.93</v>
      </c>
      <c r="M292" s="31" t="s">
        <v>182</v>
      </c>
    </row>
    <row r="293" spans="1:13" ht="14.25" customHeight="1">
      <c r="A293" s="21">
        <v>44308</v>
      </c>
      <c r="B293" s="22">
        <v>973</v>
      </c>
      <c r="C293" s="23" t="s">
        <v>136</v>
      </c>
      <c r="D293" s="24"/>
      <c r="E293" s="25"/>
      <c r="F293" s="24" t="str">
        <f t="shared" si="0"/>
        <v/>
      </c>
      <c r="G293" s="26" t="str">
        <f t="shared" si="1"/>
        <v/>
      </c>
      <c r="H293" s="27" t="str">
        <f t="shared" si="2"/>
        <v>Positional</v>
      </c>
      <c r="J293" s="73"/>
      <c r="K293" s="31" t="s">
        <v>130</v>
      </c>
      <c r="L293" s="74">
        <v>15.93</v>
      </c>
      <c r="M293" s="31" t="s">
        <v>183</v>
      </c>
    </row>
    <row r="294" spans="1:13" ht="14.25" customHeight="1">
      <c r="A294" s="21">
        <v>44308</v>
      </c>
      <c r="B294" s="22">
        <v>461</v>
      </c>
      <c r="C294" s="23" t="s">
        <v>137</v>
      </c>
      <c r="D294" s="24"/>
      <c r="E294" s="25"/>
      <c r="F294" s="24" t="str">
        <f t="shared" si="0"/>
        <v/>
      </c>
      <c r="G294" s="26" t="str">
        <f t="shared" si="1"/>
        <v/>
      </c>
      <c r="H294" s="27" t="str">
        <f t="shared" si="2"/>
        <v>Positional</v>
      </c>
      <c r="J294" s="73"/>
      <c r="K294" s="31" t="s">
        <v>130</v>
      </c>
      <c r="L294" s="74">
        <v>15.93</v>
      </c>
      <c r="M294" s="31" t="s">
        <v>184</v>
      </c>
    </row>
    <row r="295" spans="1:13" ht="14.25" customHeight="1">
      <c r="A295" s="21">
        <v>44308</v>
      </c>
      <c r="B295" s="22">
        <v>242.51</v>
      </c>
      <c r="C295" s="23" t="s">
        <v>20</v>
      </c>
      <c r="D295" s="24">
        <v>54204.37</v>
      </c>
      <c r="E295" s="25">
        <v>137114.9</v>
      </c>
      <c r="F295" s="24">
        <f t="shared" si="0"/>
        <v>30.93</v>
      </c>
      <c r="G295" s="26">
        <f t="shared" si="1"/>
        <v>191319.27</v>
      </c>
      <c r="H295" s="27" t="str">
        <f t="shared" si="2"/>
        <v/>
      </c>
      <c r="J295" s="73"/>
      <c r="K295" s="31" t="s">
        <v>130</v>
      </c>
      <c r="L295" s="74">
        <v>15.93</v>
      </c>
      <c r="M295" s="31" t="s">
        <v>185</v>
      </c>
    </row>
    <row r="296" spans="1:13" ht="14.25" customHeight="1">
      <c r="A296" s="21">
        <v>44309</v>
      </c>
      <c r="B296" s="22">
        <v>44.16</v>
      </c>
      <c r="C296" s="23" t="s">
        <v>20</v>
      </c>
      <c r="D296" s="24">
        <v>54189.53</v>
      </c>
      <c r="E296" s="25">
        <v>137114.9</v>
      </c>
      <c r="F296" s="24">
        <f t="shared" si="0"/>
        <v>92.77</v>
      </c>
      <c r="G296" s="26">
        <f t="shared" si="1"/>
        <v>573913.29</v>
      </c>
      <c r="H296" s="27" t="str">
        <f t="shared" si="2"/>
        <v/>
      </c>
      <c r="J296" s="73"/>
      <c r="K296" s="31" t="s">
        <v>130</v>
      </c>
      <c r="L296" s="74">
        <v>15.93</v>
      </c>
      <c r="M296" s="31" t="s">
        <v>186</v>
      </c>
    </row>
    <row r="297" spans="1:13" ht="14.25" customHeight="1">
      <c r="A297" s="21">
        <v>44312</v>
      </c>
      <c r="B297" s="22">
        <v>137.41999999999999</v>
      </c>
      <c r="C297" s="23" t="s">
        <v>20</v>
      </c>
      <c r="D297" s="24">
        <v>54326.96</v>
      </c>
      <c r="E297" s="25">
        <v>137114.9</v>
      </c>
      <c r="F297" s="24">
        <f t="shared" si="0"/>
        <v>30.95</v>
      </c>
      <c r="G297" s="26">
        <f t="shared" si="1"/>
        <v>191441.86</v>
      </c>
      <c r="H297" s="27" t="str">
        <f t="shared" si="2"/>
        <v/>
      </c>
      <c r="J297" s="73"/>
      <c r="K297" s="31" t="s">
        <v>130</v>
      </c>
      <c r="L297" s="74">
        <v>15.93</v>
      </c>
      <c r="M297" s="31" t="s">
        <v>187</v>
      </c>
    </row>
    <row r="298" spans="1:13" ht="14.25" customHeight="1">
      <c r="A298" s="21">
        <v>44313</v>
      </c>
      <c r="B298" s="22">
        <v>486</v>
      </c>
      <c r="C298" s="23" t="s">
        <v>138</v>
      </c>
      <c r="D298" s="24"/>
      <c r="E298" s="25"/>
      <c r="F298" s="24" t="str">
        <f t="shared" si="0"/>
        <v/>
      </c>
      <c r="G298" s="26" t="str">
        <f t="shared" si="1"/>
        <v/>
      </c>
      <c r="H298" s="27" t="str">
        <f t="shared" si="2"/>
        <v>Positional</v>
      </c>
      <c r="J298" s="73"/>
      <c r="K298" s="31" t="s">
        <v>130</v>
      </c>
      <c r="L298" s="74">
        <v>15.93</v>
      </c>
      <c r="M298" s="31" t="s">
        <v>41</v>
      </c>
    </row>
    <row r="299" spans="1:13" ht="14.25" customHeight="1">
      <c r="A299" s="21">
        <v>44313</v>
      </c>
      <c r="B299" s="22">
        <v>98.61</v>
      </c>
      <c r="C299" s="23" t="s">
        <v>20</v>
      </c>
      <c r="D299" s="24">
        <v>64025.64</v>
      </c>
      <c r="E299" s="25">
        <v>127994.9</v>
      </c>
      <c r="F299" s="24">
        <f t="shared" si="0"/>
        <v>31.04</v>
      </c>
      <c r="G299" s="26">
        <f t="shared" si="1"/>
        <v>192020.53999999998</v>
      </c>
      <c r="H299" s="27" t="str">
        <f t="shared" si="2"/>
        <v/>
      </c>
      <c r="J299" s="73"/>
      <c r="K299" s="31" t="s">
        <v>130</v>
      </c>
      <c r="L299" s="74">
        <v>15.93</v>
      </c>
      <c r="M299" s="31" t="s">
        <v>158</v>
      </c>
    </row>
    <row r="300" spans="1:13" ht="14.25" customHeight="1">
      <c r="A300" s="21">
        <v>44314</v>
      </c>
      <c r="B300" s="22">
        <v>192</v>
      </c>
      <c r="C300" s="23" t="s">
        <v>139</v>
      </c>
      <c r="D300" s="24"/>
      <c r="E300" s="25"/>
      <c r="F300" s="24" t="str">
        <f t="shared" si="0"/>
        <v/>
      </c>
      <c r="G300" s="26" t="str">
        <f t="shared" si="1"/>
        <v/>
      </c>
      <c r="H300" s="27" t="str">
        <f t="shared" si="2"/>
        <v>Positional</v>
      </c>
      <c r="J300" s="73"/>
      <c r="K300" s="31" t="s">
        <v>130</v>
      </c>
      <c r="L300" s="74">
        <v>15.93</v>
      </c>
      <c r="M300" s="73" t="s">
        <v>188</v>
      </c>
    </row>
    <row r="301" spans="1:13" ht="14.25" customHeight="1">
      <c r="A301" s="21">
        <v>44314</v>
      </c>
      <c r="B301" s="22">
        <v>145.84</v>
      </c>
      <c r="C301" s="23" t="s">
        <v>20</v>
      </c>
      <c r="D301" s="24">
        <v>57036.56</v>
      </c>
      <c r="E301" s="25">
        <v>135297.4</v>
      </c>
      <c r="F301" s="24">
        <f t="shared" si="0"/>
        <v>31.09</v>
      </c>
      <c r="G301" s="26">
        <f t="shared" si="1"/>
        <v>192333.96</v>
      </c>
      <c r="H301" s="27" t="str">
        <f t="shared" si="2"/>
        <v/>
      </c>
      <c r="J301" s="73"/>
      <c r="K301" s="31" t="s">
        <v>130</v>
      </c>
      <c r="L301" s="74">
        <v>15.93</v>
      </c>
      <c r="M301" s="73" t="s">
        <v>42</v>
      </c>
    </row>
    <row r="302" spans="1:13" ht="14.25" customHeight="1">
      <c r="A302" s="21">
        <v>44315</v>
      </c>
      <c r="B302" s="22">
        <v>198.79</v>
      </c>
      <c r="C302" s="23" t="s">
        <v>140</v>
      </c>
      <c r="D302" s="24"/>
      <c r="E302" s="25"/>
      <c r="F302" s="24" t="str">
        <f t="shared" si="0"/>
        <v/>
      </c>
      <c r="G302" s="26" t="str">
        <f t="shared" si="1"/>
        <v/>
      </c>
      <c r="H302" s="27" t="str">
        <f t="shared" si="2"/>
        <v>Positional</v>
      </c>
      <c r="J302" s="73"/>
      <c r="K302" s="31" t="s">
        <v>130</v>
      </c>
      <c r="L302" s="74">
        <v>15.93</v>
      </c>
      <c r="M302" s="31" t="s">
        <v>189</v>
      </c>
    </row>
    <row r="303" spans="1:13" ht="14.25" customHeight="1">
      <c r="A303" s="21">
        <v>44315</v>
      </c>
      <c r="B303" s="22">
        <v>122.46</v>
      </c>
      <c r="C303" s="23" t="s">
        <v>20</v>
      </c>
      <c r="D303" s="24">
        <v>66658.100000000006</v>
      </c>
      <c r="E303" s="25">
        <v>125992.4</v>
      </c>
      <c r="F303" s="24">
        <f t="shared" si="0"/>
        <v>31.14</v>
      </c>
      <c r="G303" s="26">
        <f t="shared" si="1"/>
        <v>192650.5</v>
      </c>
      <c r="H303" s="27" t="str">
        <f t="shared" si="2"/>
        <v/>
      </c>
      <c r="J303" s="73"/>
      <c r="K303" s="31" t="s">
        <v>130</v>
      </c>
      <c r="L303" s="74">
        <v>15.93</v>
      </c>
      <c r="M303" s="73" t="s">
        <v>43</v>
      </c>
    </row>
    <row r="304" spans="1:13" ht="14.25" customHeight="1">
      <c r="A304" s="21">
        <v>44316</v>
      </c>
      <c r="B304" s="22">
        <v>47.18</v>
      </c>
      <c r="C304" s="23" t="s">
        <v>20</v>
      </c>
      <c r="D304" s="24">
        <v>55512.28</v>
      </c>
      <c r="E304" s="25">
        <v>137172.4</v>
      </c>
      <c r="F304" s="24">
        <f t="shared" si="0"/>
        <v>93.44</v>
      </c>
      <c r="G304" s="26">
        <f t="shared" si="1"/>
        <v>578054.04</v>
      </c>
      <c r="H304" s="27" t="str">
        <f t="shared" si="2"/>
        <v/>
      </c>
      <c r="J304" s="73"/>
      <c r="K304" s="31" t="s">
        <v>130</v>
      </c>
      <c r="L304" s="74">
        <v>15.93</v>
      </c>
      <c r="M304" s="31" t="s">
        <v>190</v>
      </c>
    </row>
    <row r="305" spans="1:13" ht="14.25" customHeight="1">
      <c r="A305" s="21">
        <v>44319</v>
      </c>
      <c r="B305" s="22">
        <v>1314.06</v>
      </c>
      <c r="C305" s="23" t="s">
        <v>20</v>
      </c>
      <c r="D305" s="24">
        <v>56826.35</v>
      </c>
      <c r="E305" s="25">
        <v>137172.4</v>
      </c>
      <c r="F305" s="24">
        <f t="shared" si="0"/>
        <v>31.36</v>
      </c>
      <c r="G305" s="26">
        <f t="shared" si="1"/>
        <v>193998.75</v>
      </c>
      <c r="H305" s="27" t="str">
        <f t="shared" si="2"/>
        <v/>
      </c>
      <c r="J305" s="73"/>
      <c r="K305" s="31" t="s">
        <v>130</v>
      </c>
      <c r="L305" s="74">
        <v>15.93</v>
      </c>
      <c r="M305" s="31" t="s">
        <v>191</v>
      </c>
    </row>
    <row r="306" spans="1:13" ht="14.25" customHeight="1">
      <c r="A306" s="21">
        <v>44320</v>
      </c>
      <c r="B306" s="22">
        <v>475</v>
      </c>
      <c r="C306" s="23" t="s">
        <v>141</v>
      </c>
      <c r="D306" s="24"/>
      <c r="E306" s="25"/>
      <c r="F306" s="24" t="str">
        <f t="shared" si="0"/>
        <v/>
      </c>
      <c r="G306" s="26" t="str">
        <f t="shared" si="1"/>
        <v/>
      </c>
      <c r="H306" s="27" t="str">
        <f t="shared" si="2"/>
        <v>Positional</v>
      </c>
      <c r="J306" s="73"/>
      <c r="K306" s="31" t="s">
        <v>130</v>
      </c>
      <c r="L306" s="74">
        <v>15.93</v>
      </c>
      <c r="M306" s="31" t="s">
        <v>192</v>
      </c>
    </row>
    <row r="307" spans="1:13" ht="14.25" customHeight="1">
      <c r="A307" s="21">
        <v>44320</v>
      </c>
      <c r="B307" s="22">
        <v>535.08000000000004</v>
      </c>
      <c r="C307" s="23" t="s">
        <v>20</v>
      </c>
      <c r="D307" s="24">
        <v>51632.49</v>
      </c>
      <c r="E307" s="25">
        <v>143352.4</v>
      </c>
      <c r="F307" s="24">
        <f t="shared" si="0"/>
        <v>31.52</v>
      </c>
      <c r="G307" s="26">
        <f t="shared" si="1"/>
        <v>194984.88999999998</v>
      </c>
      <c r="H307" s="27" t="str">
        <f t="shared" si="2"/>
        <v/>
      </c>
      <c r="J307" s="73"/>
      <c r="K307" s="31" t="s">
        <v>130</v>
      </c>
      <c r="L307" s="74">
        <v>15.93</v>
      </c>
      <c r="M307" s="31" t="s">
        <v>150</v>
      </c>
    </row>
    <row r="308" spans="1:13" ht="14.25" customHeight="1">
      <c r="A308" s="21">
        <v>44321</v>
      </c>
      <c r="B308" s="22">
        <v>-814.81</v>
      </c>
      <c r="C308" s="23" t="s">
        <v>20</v>
      </c>
      <c r="D308" s="24">
        <v>36350.68</v>
      </c>
      <c r="E308" s="25">
        <v>157802.4</v>
      </c>
      <c r="F308" s="24">
        <f t="shared" si="0"/>
        <v>31.38</v>
      </c>
      <c r="G308" s="26">
        <f t="shared" si="1"/>
        <v>194153.08</v>
      </c>
      <c r="H308" s="27" t="str">
        <f t="shared" si="2"/>
        <v/>
      </c>
      <c r="J308" s="73"/>
      <c r="K308" s="31" t="s">
        <v>130</v>
      </c>
      <c r="L308" s="74">
        <v>15.93</v>
      </c>
      <c r="M308" s="31" t="s">
        <v>193</v>
      </c>
    </row>
    <row r="309" spans="1:13" ht="14.25" customHeight="1">
      <c r="A309" s="21">
        <v>44322</v>
      </c>
      <c r="B309" s="22">
        <v>23</v>
      </c>
      <c r="C309" s="23" t="s">
        <v>142</v>
      </c>
      <c r="D309" s="24"/>
      <c r="E309" s="25"/>
      <c r="F309" s="24" t="str">
        <f t="shared" si="0"/>
        <v/>
      </c>
      <c r="G309" s="26" t="str">
        <f t="shared" si="1"/>
        <v/>
      </c>
      <c r="H309" s="27" t="str">
        <f t="shared" si="2"/>
        <v>Positional</v>
      </c>
      <c r="J309" s="73"/>
      <c r="K309" s="31" t="s">
        <v>130</v>
      </c>
      <c r="L309" s="74">
        <v>15.93</v>
      </c>
      <c r="M309" s="31" t="s">
        <v>188</v>
      </c>
    </row>
    <row r="310" spans="1:13" ht="14.25" customHeight="1">
      <c r="A310" s="21">
        <v>44322</v>
      </c>
      <c r="B310" s="22">
        <v>-214.35</v>
      </c>
      <c r="C310" s="23" t="s">
        <v>20</v>
      </c>
      <c r="D310" s="24">
        <v>35843.4</v>
      </c>
      <c r="E310" s="25">
        <v>157802.4</v>
      </c>
      <c r="F310" s="24">
        <f t="shared" si="0"/>
        <v>31.3</v>
      </c>
      <c r="G310" s="26">
        <f t="shared" si="1"/>
        <v>193645.8</v>
      </c>
      <c r="H310" s="27" t="str">
        <f t="shared" si="2"/>
        <v/>
      </c>
      <c r="J310" s="73"/>
      <c r="K310" s="31" t="s">
        <v>130</v>
      </c>
      <c r="L310" s="74">
        <v>15.93</v>
      </c>
      <c r="M310" s="31" t="s">
        <v>194</v>
      </c>
    </row>
    <row r="311" spans="1:13" ht="14.25" customHeight="1">
      <c r="A311" s="21">
        <v>44323</v>
      </c>
      <c r="B311" s="22">
        <v>647</v>
      </c>
      <c r="C311" s="23" t="s">
        <v>143</v>
      </c>
      <c r="D311" s="24"/>
      <c r="E311" s="25"/>
      <c r="F311" s="24" t="str">
        <f t="shared" si="0"/>
        <v/>
      </c>
      <c r="G311" s="26" t="str">
        <f t="shared" si="1"/>
        <v/>
      </c>
      <c r="H311" s="27" t="str">
        <f t="shared" si="2"/>
        <v>Positional</v>
      </c>
      <c r="J311" s="73"/>
      <c r="K311" s="31" t="s">
        <v>130</v>
      </c>
      <c r="L311" s="74">
        <v>15.93</v>
      </c>
      <c r="M311" s="31" t="s">
        <v>195</v>
      </c>
    </row>
    <row r="312" spans="1:13" ht="14.25" customHeight="1">
      <c r="A312" s="21">
        <v>44323</v>
      </c>
      <c r="B312" s="22">
        <v>-615.05999999999995</v>
      </c>
      <c r="C312" s="23" t="s">
        <v>20</v>
      </c>
      <c r="D312" s="24">
        <v>29933.35</v>
      </c>
      <c r="E312" s="25">
        <v>164036.4</v>
      </c>
      <c r="F312" s="24">
        <f t="shared" si="0"/>
        <v>94.06</v>
      </c>
      <c r="G312" s="26">
        <f t="shared" si="1"/>
        <v>581909.25</v>
      </c>
      <c r="H312" s="27" t="str">
        <f t="shared" si="2"/>
        <v/>
      </c>
      <c r="J312" s="73"/>
      <c r="K312" s="31" t="s">
        <v>130</v>
      </c>
      <c r="L312" s="74">
        <v>15.93</v>
      </c>
      <c r="M312" s="31" t="s">
        <v>150</v>
      </c>
    </row>
    <row r="313" spans="1:13" ht="14.25" customHeight="1">
      <c r="A313" s="21">
        <v>44326</v>
      </c>
      <c r="B313" s="22">
        <v>423</v>
      </c>
      <c r="C313" s="23" t="s">
        <v>144</v>
      </c>
      <c r="D313" s="24"/>
      <c r="E313" s="25"/>
      <c r="F313" s="24" t="str">
        <f t="shared" si="0"/>
        <v/>
      </c>
      <c r="G313" s="26" t="str">
        <f t="shared" si="1"/>
        <v/>
      </c>
      <c r="H313" s="27" t="str">
        <f t="shared" si="2"/>
        <v>Positional</v>
      </c>
      <c r="J313" s="73"/>
      <c r="K313" s="31" t="s">
        <v>130</v>
      </c>
      <c r="L313" s="74">
        <v>15.93</v>
      </c>
      <c r="M313" s="31" t="s">
        <v>138</v>
      </c>
    </row>
    <row r="314" spans="1:13" ht="14.25" customHeight="1">
      <c r="A314" s="21">
        <v>44326</v>
      </c>
      <c r="B314" s="22">
        <v>611.90000000000146</v>
      </c>
      <c r="C314" s="23" t="s">
        <v>146</v>
      </c>
      <c r="D314" s="24"/>
      <c r="E314" s="25"/>
      <c r="F314" s="24" t="str">
        <f t="shared" si="0"/>
        <v/>
      </c>
      <c r="G314" s="26" t="str">
        <f t="shared" si="1"/>
        <v/>
      </c>
      <c r="H314" s="27" t="str">
        <f t="shared" si="2"/>
        <v>Positional</v>
      </c>
      <c r="J314" s="73"/>
      <c r="K314" s="31" t="s">
        <v>130</v>
      </c>
      <c r="L314" s="74">
        <v>15.93</v>
      </c>
      <c r="M314" s="31" t="s">
        <v>188</v>
      </c>
    </row>
    <row r="315" spans="1:13" ht="14.25" customHeight="1">
      <c r="A315" s="21">
        <v>44326</v>
      </c>
      <c r="B315" s="22">
        <v>-5184</v>
      </c>
      <c r="C315" s="23" t="s">
        <v>196</v>
      </c>
      <c r="D315" s="24"/>
      <c r="E315" s="25"/>
      <c r="F315" s="24" t="str">
        <f t="shared" si="0"/>
        <v/>
      </c>
      <c r="G315" s="26" t="str">
        <f t="shared" si="1"/>
        <v/>
      </c>
      <c r="H315" s="27" t="str">
        <f t="shared" si="2"/>
        <v>Positional</v>
      </c>
      <c r="J315" s="73"/>
      <c r="K315" s="31" t="s">
        <v>130</v>
      </c>
      <c r="L315" s="74">
        <v>15.93</v>
      </c>
      <c r="M315" s="31" t="s">
        <v>197</v>
      </c>
    </row>
    <row r="316" spans="1:13" ht="14.25" customHeight="1">
      <c r="A316" s="21">
        <v>44326</v>
      </c>
      <c r="B316" s="22">
        <v>-47.57</v>
      </c>
      <c r="C316" s="23" t="s">
        <v>20</v>
      </c>
      <c r="D316" s="24">
        <v>83056.98</v>
      </c>
      <c r="E316" s="25">
        <v>139715.04</v>
      </c>
      <c r="F316" s="24">
        <f t="shared" si="0"/>
        <v>36.01</v>
      </c>
      <c r="G316" s="26">
        <f t="shared" si="1"/>
        <v>222772.02000000002</v>
      </c>
      <c r="H316" s="27" t="str">
        <f t="shared" si="2"/>
        <v/>
      </c>
      <c r="J316" s="73"/>
      <c r="K316" s="31" t="s">
        <v>130</v>
      </c>
      <c r="L316" s="74">
        <v>15.93</v>
      </c>
      <c r="M316" s="31" t="s">
        <v>198</v>
      </c>
    </row>
    <row r="317" spans="1:13" ht="14.25" customHeight="1">
      <c r="A317" s="21">
        <v>44327</v>
      </c>
      <c r="B317" s="22">
        <v>0.36</v>
      </c>
      <c r="C317" s="23" t="s">
        <v>16</v>
      </c>
      <c r="D317" s="24">
        <v>25324.41</v>
      </c>
      <c r="E317" s="25">
        <v>190064.92</v>
      </c>
      <c r="F317" s="24">
        <f t="shared" si="0"/>
        <v>34.82</v>
      </c>
      <c r="G317" s="26">
        <f t="shared" si="1"/>
        <v>215389.33000000002</v>
      </c>
      <c r="H317" s="27" t="str">
        <f t="shared" si="2"/>
        <v/>
      </c>
      <c r="J317" s="73"/>
      <c r="K317" s="31" t="s">
        <v>130</v>
      </c>
      <c r="L317" s="74">
        <v>15.93</v>
      </c>
      <c r="M317" s="31" t="s">
        <v>199</v>
      </c>
    </row>
    <row r="318" spans="1:13" ht="14.25" customHeight="1">
      <c r="A318" s="21">
        <v>44328</v>
      </c>
      <c r="B318" s="22">
        <v>1128</v>
      </c>
      <c r="C318" s="23" t="s">
        <v>147</v>
      </c>
      <c r="D318" s="24"/>
      <c r="E318" s="25"/>
      <c r="F318" s="24" t="str">
        <f t="shared" si="0"/>
        <v/>
      </c>
      <c r="G318" s="26" t="str">
        <f t="shared" si="1"/>
        <v/>
      </c>
      <c r="H318" s="27" t="str">
        <f t="shared" si="2"/>
        <v>Positional</v>
      </c>
      <c r="J318" s="73"/>
      <c r="K318" s="31" t="s">
        <v>200</v>
      </c>
      <c r="L318" s="74">
        <v>29.5</v>
      </c>
      <c r="M318" s="31" t="s">
        <v>201</v>
      </c>
    </row>
    <row r="319" spans="1:13" ht="14.25" customHeight="1">
      <c r="A319" s="21">
        <v>44328</v>
      </c>
      <c r="B319" s="22">
        <v>-0.19</v>
      </c>
      <c r="C319" s="23" t="s">
        <v>16</v>
      </c>
      <c r="D319" s="24">
        <v>19381.43</v>
      </c>
      <c r="E319" s="25">
        <v>177863.1</v>
      </c>
      <c r="F319" s="24">
        <f t="shared" si="0"/>
        <v>63.77</v>
      </c>
      <c r="G319" s="26">
        <f t="shared" si="1"/>
        <v>394489.06</v>
      </c>
      <c r="H319" s="27" t="str">
        <f t="shared" si="2"/>
        <v/>
      </c>
      <c r="J319" s="73"/>
      <c r="K319" s="31" t="s">
        <v>130</v>
      </c>
      <c r="L319" s="74">
        <v>15.93</v>
      </c>
      <c r="M319" s="31" t="s">
        <v>202</v>
      </c>
    </row>
    <row r="320" spans="1:13" ht="14.25" customHeight="1">
      <c r="A320" s="21">
        <v>44330</v>
      </c>
      <c r="B320" s="22">
        <v>254</v>
      </c>
      <c r="C320" s="23" t="s">
        <v>148</v>
      </c>
      <c r="D320" s="24"/>
      <c r="E320" s="25"/>
      <c r="F320" s="24" t="str">
        <f t="shared" si="0"/>
        <v/>
      </c>
      <c r="G320" s="26" t="str">
        <f t="shared" si="1"/>
        <v/>
      </c>
      <c r="H320" s="27" t="str">
        <f t="shared" si="2"/>
        <v>Positional</v>
      </c>
      <c r="J320" s="73"/>
      <c r="K320" s="31" t="s">
        <v>130</v>
      </c>
      <c r="L320" s="74">
        <v>15.93</v>
      </c>
      <c r="M320" s="31" t="s">
        <v>203</v>
      </c>
    </row>
    <row r="321" spans="1:13" ht="14.25" customHeight="1">
      <c r="A321" s="21">
        <v>44330</v>
      </c>
      <c r="B321" s="22">
        <v>267.01</v>
      </c>
      <c r="C321" s="23" t="s">
        <v>20</v>
      </c>
      <c r="D321" s="24">
        <v>33053.51</v>
      </c>
      <c r="E321" s="25">
        <v>184688.1</v>
      </c>
      <c r="F321" s="24">
        <f t="shared" si="0"/>
        <v>105.59</v>
      </c>
      <c r="G321" s="26">
        <f t="shared" si="1"/>
        <v>653224.83000000007</v>
      </c>
      <c r="H321" s="27" t="str">
        <f t="shared" si="2"/>
        <v/>
      </c>
      <c r="J321" s="73"/>
      <c r="K321" s="31" t="s">
        <v>204</v>
      </c>
      <c r="L321" s="74"/>
      <c r="M321" s="31"/>
    </row>
    <row r="322" spans="1:13" ht="14.25" customHeight="1">
      <c r="A322" s="21">
        <v>44333</v>
      </c>
      <c r="B322" s="22">
        <v>-4201.8300000000017</v>
      </c>
      <c r="C322" s="23" t="s">
        <v>149</v>
      </c>
      <c r="D322" s="24"/>
      <c r="E322" s="25"/>
      <c r="F322" s="24" t="str">
        <f t="shared" si="0"/>
        <v/>
      </c>
      <c r="G322" s="26" t="str">
        <f t="shared" si="1"/>
        <v/>
      </c>
      <c r="H322" s="27" t="str">
        <f t="shared" si="2"/>
        <v>Positional</v>
      </c>
      <c r="J322" s="73"/>
      <c r="K322" s="31" t="s">
        <v>130</v>
      </c>
      <c r="L322" s="74">
        <v>15.93</v>
      </c>
      <c r="M322" s="31" t="s">
        <v>205</v>
      </c>
    </row>
    <row r="323" spans="1:13" ht="14.25" customHeight="1">
      <c r="A323" s="21">
        <v>44333</v>
      </c>
      <c r="B323" s="22">
        <v>257.89999999999998</v>
      </c>
      <c r="C323" s="23" t="s">
        <v>20</v>
      </c>
      <c r="D323" s="24">
        <v>64373.48</v>
      </c>
      <c r="E323" s="25">
        <v>151214</v>
      </c>
      <c r="F323" s="24">
        <f t="shared" si="0"/>
        <v>34.85</v>
      </c>
      <c r="G323" s="26">
        <f t="shared" si="1"/>
        <v>215587.48</v>
      </c>
      <c r="H323" s="27" t="str">
        <f t="shared" si="2"/>
        <v/>
      </c>
      <c r="J323" s="73"/>
      <c r="K323" s="31" t="s">
        <v>130</v>
      </c>
      <c r="L323" s="74">
        <v>15.93</v>
      </c>
      <c r="M323" s="31" t="s">
        <v>206</v>
      </c>
    </row>
    <row r="324" spans="1:13" ht="14.25" customHeight="1">
      <c r="A324" s="21">
        <v>44334</v>
      </c>
      <c r="B324" s="22">
        <v>175</v>
      </c>
      <c r="C324" s="23" t="s">
        <v>150</v>
      </c>
      <c r="D324" s="24"/>
      <c r="E324" s="25"/>
      <c r="F324" s="24" t="str">
        <f t="shared" si="0"/>
        <v/>
      </c>
      <c r="G324" s="26" t="str">
        <f t="shared" si="1"/>
        <v/>
      </c>
      <c r="H324" s="27" t="str">
        <f t="shared" si="2"/>
        <v>Positional</v>
      </c>
      <c r="J324" s="73"/>
      <c r="K324" s="31" t="s">
        <v>130</v>
      </c>
      <c r="L324" s="74">
        <v>15.93</v>
      </c>
      <c r="M324" s="31" t="s">
        <v>207</v>
      </c>
    </row>
    <row r="325" spans="1:13" ht="14.25" customHeight="1">
      <c r="A325" s="21">
        <v>44334</v>
      </c>
      <c r="B325" s="22">
        <v>876</v>
      </c>
      <c r="C325" s="23" t="s">
        <v>151</v>
      </c>
      <c r="D325" s="24"/>
      <c r="E325" s="25"/>
      <c r="F325" s="24" t="str">
        <f t="shared" si="0"/>
        <v/>
      </c>
      <c r="G325" s="26" t="str">
        <f t="shared" si="1"/>
        <v/>
      </c>
      <c r="H325" s="27" t="str">
        <f t="shared" si="2"/>
        <v>Positional</v>
      </c>
      <c r="J325" s="73"/>
      <c r="K325" s="31" t="s">
        <v>130</v>
      </c>
      <c r="L325" s="74">
        <v>15.93</v>
      </c>
      <c r="M325" s="31" t="s">
        <v>208</v>
      </c>
    </row>
    <row r="326" spans="1:13" ht="14.25" customHeight="1">
      <c r="A326" s="21">
        <v>44334</v>
      </c>
      <c r="B326" s="22">
        <v>475</v>
      </c>
      <c r="C326" s="23" t="s">
        <v>138</v>
      </c>
      <c r="D326" s="24"/>
      <c r="E326" s="25"/>
      <c r="F326" s="24" t="str">
        <f t="shared" si="0"/>
        <v/>
      </c>
      <c r="G326" s="26" t="str">
        <f t="shared" si="1"/>
        <v/>
      </c>
      <c r="H326" s="27" t="str">
        <f t="shared" si="2"/>
        <v>Positional</v>
      </c>
      <c r="J326" s="73"/>
      <c r="K326" s="31" t="s">
        <v>130</v>
      </c>
      <c r="L326" s="74">
        <v>15.93</v>
      </c>
      <c r="M326" s="31" t="s">
        <v>209</v>
      </c>
    </row>
    <row r="327" spans="1:13" ht="14.25" customHeight="1">
      <c r="A327" s="21">
        <v>44334</v>
      </c>
      <c r="B327" s="22">
        <v>41.579999999999927</v>
      </c>
      <c r="C327" s="23" t="s">
        <v>152</v>
      </c>
      <c r="D327" s="24"/>
      <c r="E327" s="25"/>
      <c r="F327" s="24" t="str">
        <f t="shared" si="0"/>
        <v/>
      </c>
      <c r="G327" s="26" t="str">
        <f t="shared" si="1"/>
        <v/>
      </c>
      <c r="H327" s="27" t="str">
        <f t="shared" si="2"/>
        <v>Positional</v>
      </c>
      <c r="J327" s="73"/>
      <c r="K327" s="31" t="s">
        <v>130</v>
      </c>
      <c r="L327" s="74">
        <v>15.93</v>
      </c>
      <c r="M327" s="31" t="s">
        <v>210</v>
      </c>
    </row>
    <row r="328" spans="1:13" ht="14.25" customHeight="1">
      <c r="A328" s="21">
        <v>44334</v>
      </c>
      <c r="B328" s="22">
        <v>618</v>
      </c>
      <c r="C328" s="23" t="s">
        <v>153</v>
      </c>
      <c r="D328" s="24"/>
      <c r="E328" s="25"/>
      <c r="F328" s="24" t="str">
        <f t="shared" si="0"/>
        <v/>
      </c>
      <c r="G328" s="26" t="str">
        <f t="shared" si="1"/>
        <v/>
      </c>
      <c r="H328" s="27" t="str">
        <f t="shared" si="2"/>
        <v>Positional</v>
      </c>
      <c r="J328" s="73"/>
      <c r="K328" s="31" t="s">
        <v>130</v>
      </c>
      <c r="L328" s="74">
        <v>15.93</v>
      </c>
      <c r="M328" s="31" t="s">
        <v>211</v>
      </c>
    </row>
    <row r="329" spans="1:13" ht="14.25" customHeight="1">
      <c r="A329" s="21">
        <v>44334</v>
      </c>
      <c r="B329" s="22">
        <v>244</v>
      </c>
      <c r="C329" s="23" t="s">
        <v>154</v>
      </c>
      <c r="D329" s="24"/>
      <c r="E329" s="25"/>
      <c r="F329" s="24" t="str">
        <f t="shared" si="0"/>
        <v/>
      </c>
      <c r="G329" s="26" t="str">
        <f t="shared" si="1"/>
        <v/>
      </c>
      <c r="H329" s="27" t="str">
        <f t="shared" si="2"/>
        <v>Positional</v>
      </c>
      <c r="J329" s="73"/>
      <c r="K329" s="31" t="s">
        <v>130</v>
      </c>
      <c r="L329" s="74">
        <v>15.93</v>
      </c>
      <c r="M329" s="31" t="s">
        <v>212</v>
      </c>
    </row>
    <row r="330" spans="1:13" ht="14.25" customHeight="1">
      <c r="A330" s="21">
        <v>44334</v>
      </c>
      <c r="B330" s="22">
        <v>-0.68</v>
      </c>
      <c r="C330" s="23" t="s">
        <v>16</v>
      </c>
      <c r="D330" s="24">
        <v>95121.15</v>
      </c>
      <c r="E330" s="25">
        <v>121749</v>
      </c>
      <c r="F330" s="24">
        <f t="shared" si="0"/>
        <v>35.06</v>
      </c>
      <c r="G330" s="26">
        <f t="shared" si="1"/>
        <v>216870.15</v>
      </c>
      <c r="H330" s="27" t="str">
        <f t="shared" si="2"/>
        <v/>
      </c>
      <c r="J330" s="73"/>
      <c r="K330" s="28" t="s">
        <v>213</v>
      </c>
      <c r="L330" s="74">
        <v>29.5</v>
      </c>
      <c r="M330" s="31"/>
    </row>
    <row r="331" spans="1:13" ht="14.25" customHeight="1">
      <c r="A331" s="21">
        <v>44335</v>
      </c>
      <c r="B331" s="22">
        <v>114</v>
      </c>
      <c r="C331" s="23" t="s">
        <v>155</v>
      </c>
      <c r="D331" s="24"/>
      <c r="E331" s="25"/>
      <c r="F331" s="24" t="str">
        <f t="shared" si="0"/>
        <v/>
      </c>
      <c r="G331" s="26" t="str">
        <f t="shared" si="1"/>
        <v/>
      </c>
      <c r="H331" s="27" t="str">
        <f t="shared" si="2"/>
        <v>Positional</v>
      </c>
      <c r="J331" s="73"/>
      <c r="K331" s="31" t="s">
        <v>130</v>
      </c>
      <c r="L331" s="74">
        <v>15.93</v>
      </c>
      <c r="M331" s="31" t="s">
        <v>214</v>
      </c>
    </row>
    <row r="332" spans="1:13" ht="14.25" customHeight="1">
      <c r="A332" s="21">
        <v>44335</v>
      </c>
      <c r="B332" s="22">
        <v>274</v>
      </c>
      <c r="C332" s="23" t="s">
        <v>156</v>
      </c>
      <c r="D332" s="24"/>
      <c r="E332" s="25"/>
      <c r="F332" s="24" t="str">
        <f t="shared" si="0"/>
        <v/>
      </c>
      <c r="G332" s="26" t="str">
        <f t="shared" si="1"/>
        <v/>
      </c>
      <c r="H332" s="27" t="str">
        <f t="shared" si="2"/>
        <v>Positional</v>
      </c>
      <c r="J332" s="73"/>
      <c r="K332" s="31" t="s">
        <v>130</v>
      </c>
      <c r="L332" s="74">
        <v>15.93</v>
      </c>
      <c r="M332" s="31" t="s">
        <v>215</v>
      </c>
    </row>
    <row r="333" spans="1:13" ht="14.25" customHeight="1">
      <c r="A333" s="21">
        <v>44335</v>
      </c>
      <c r="B333" s="22">
        <v>260.52</v>
      </c>
      <c r="C333" s="23" t="s">
        <v>20</v>
      </c>
      <c r="D333" s="24">
        <v>63782.879999999997</v>
      </c>
      <c r="E333" s="25">
        <v>153499.5</v>
      </c>
      <c r="F333" s="24">
        <f t="shared" si="0"/>
        <v>35.119999999999997</v>
      </c>
      <c r="G333" s="26">
        <f t="shared" si="1"/>
        <v>217282.38</v>
      </c>
      <c r="H333" s="27" t="str">
        <f t="shared" si="2"/>
        <v/>
      </c>
      <c r="J333" s="73"/>
      <c r="K333" s="31" t="s">
        <v>130</v>
      </c>
      <c r="L333" s="74">
        <v>15.93</v>
      </c>
      <c r="M333" s="31" t="s">
        <v>216</v>
      </c>
    </row>
    <row r="334" spans="1:13" ht="14.25" customHeight="1">
      <c r="A334" s="21">
        <v>44336</v>
      </c>
      <c r="B334" s="22">
        <v>-210</v>
      </c>
      <c r="C334" s="23" t="s">
        <v>157</v>
      </c>
      <c r="D334" s="24"/>
      <c r="E334" s="25"/>
      <c r="F334" s="24" t="str">
        <f t="shared" si="0"/>
        <v/>
      </c>
      <c r="G334" s="26" t="str">
        <f t="shared" si="1"/>
        <v/>
      </c>
      <c r="H334" s="27" t="str">
        <f t="shared" si="2"/>
        <v>Positional</v>
      </c>
      <c r="J334" s="73"/>
      <c r="K334" s="31" t="s">
        <v>130</v>
      </c>
      <c r="L334" s="74">
        <v>15.93</v>
      </c>
      <c r="M334" s="31" t="s">
        <v>217</v>
      </c>
    </row>
    <row r="335" spans="1:13" ht="14.25" customHeight="1">
      <c r="A335" s="21">
        <v>44336</v>
      </c>
      <c r="B335" s="22">
        <v>-248.06</v>
      </c>
      <c r="C335" s="23" t="s">
        <v>20</v>
      </c>
      <c r="D335" s="24">
        <v>56749.89</v>
      </c>
      <c r="E335" s="25">
        <v>160300</v>
      </c>
      <c r="F335" s="24">
        <f t="shared" si="0"/>
        <v>35.08</v>
      </c>
      <c r="G335" s="26">
        <f t="shared" si="1"/>
        <v>217049.89</v>
      </c>
      <c r="H335" s="27" t="str">
        <f t="shared" si="2"/>
        <v/>
      </c>
      <c r="J335" s="73"/>
      <c r="K335" s="31" t="s">
        <v>130</v>
      </c>
      <c r="L335" s="74">
        <v>15.93</v>
      </c>
      <c r="M335" s="31" t="s">
        <v>138</v>
      </c>
    </row>
    <row r="336" spans="1:13" ht="14.25" customHeight="1">
      <c r="A336" s="21">
        <v>44337</v>
      </c>
      <c r="B336" s="22">
        <v>203</v>
      </c>
      <c r="C336" s="23" t="s">
        <v>158</v>
      </c>
      <c r="D336" s="24"/>
      <c r="E336" s="25"/>
      <c r="F336" s="24" t="str">
        <f t="shared" si="0"/>
        <v/>
      </c>
      <c r="G336" s="26" t="str">
        <f t="shared" si="1"/>
        <v/>
      </c>
      <c r="H336" s="27" t="str">
        <f t="shared" si="2"/>
        <v>Positional</v>
      </c>
      <c r="J336" s="73"/>
      <c r="K336" s="31" t="s">
        <v>130</v>
      </c>
      <c r="L336" s="74">
        <v>15.93</v>
      </c>
      <c r="M336" s="31" t="s">
        <v>218</v>
      </c>
    </row>
    <row r="337" spans="1:13" ht="14.25" customHeight="1">
      <c r="A337" s="21">
        <v>44337</v>
      </c>
      <c r="B337" s="22">
        <v>67</v>
      </c>
      <c r="C337" s="23" t="s">
        <v>159</v>
      </c>
      <c r="D337" s="24"/>
      <c r="E337" s="25"/>
      <c r="F337" s="24" t="str">
        <f t="shared" si="0"/>
        <v/>
      </c>
      <c r="G337" s="26" t="str">
        <f t="shared" si="1"/>
        <v/>
      </c>
      <c r="H337" s="27" t="str">
        <f t="shared" si="2"/>
        <v>Positional</v>
      </c>
      <c r="J337" s="73"/>
      <c r="K337" s="31" t="s">
        <v>130</v>
      </c>
      <c r="L337" s="74">
        <v>15.93</v>
      </c>
      <c r="M337" s="31" t="s">
        <v>219</v>
      </c>
    </row>
    <row r="338" spans="1:13" ht="14.25" customHeight="1">
      <c r="A338" s="21">
        <v>44337</v>
      </c>
      <c r="B338" s="22">
        <v>136.4</v>
      </c>
      <c r="C338" s="23" t="s">
        <v>20</v>
      </c>
      <c r="D338" s="24">
        <v>65679.44</v>
      </c>
      <c r="E338" s="25">
        <v>151755</v>
      </c>
      <c r="F338" s="24">
        <f t="shared" si="0"/>
        <v>105.44</v>
      </c>
      <c r="G338" s="26">
        <f t="shared" si="1"/>
        <v>652303.32000000007</v>
      </c>
      <c r="H338" s="27" t="str">
        <f t="shared" si="2"/>
        <v/>
      </c>
      <c r="J338" s="73"/>
      <c r="K338" s="31" t="s">
        <v>130</v>
      </c>
      <c r="L338" s="74">
        <v>15.93</v>
      </c>
      <c r="M338" s="31" t="s">
        <v>220</v>
      </c>
    </row>
    <row r="339" spans="1:13" ht="14.25" customHeight="1">
      <c r="A339" s="21">
        <v>44340</v>
      </c>
      <c r="B339" s="22">
        <v>242</v>
      </c>
      <c r="C339" s="23" t="s">
        <v>160</v>
      </c>
      <c r="D339" s="24"/>
      <c r="E339" s="25"/>
      <c r="F339" s="24" t="str">
        <f t="shared" si="0"/>
        <v/>
      </c>
      <c r="G339" s="26" t="str">
        <f t="shared" si="1"/>
        <v/>
      </c>
      <c r="H339" s="27" t="str">
        <f t="shared" si="2"/>
        <v>Positional</v>
      </c>
      <c r="J339" s="73"/>
      <c r="K339" s="31" t="s">
        <v>130</v>
      </c>
      <c r="L339" s="74">
        <v>15.93</v>
      </c>
      <c r="M339" s="31" t="s">
        <v>45</v>
      </c>
    </row>
    <row r="340" spans="1:13" ht="14.25" customHeight="1">
      <c r="A340" s="21">
        <v>44340</v>
      </c>
      <c r="B340" s="22">
        <v>202</v>
      </c>
      <c r="C340" s="23" t="s">
        <v>161</v>
      </c>
      <c r="D340" s="24"/>
      <c r="E340" s="25"/>
      <c r="F340" s="24" t="str">
        <f t="shared" si="0"/>
        <v/>
      </c>
      <c r="G340" s="26" t="str">
        <f t="shared" si="1"/>
        <v/>
      </c>
      <c r="H340" s="27" t="str">
        <f t="shared" si="2"/>
        <v>Positional</v>
      </c>
      <c r="J340" s="73"/>
      <c r="K340" s="31" t="s">
        <v>130</v>
      </c>
      <c r="L340" s="74">
        <v>15.93</v>
      </c>
      <c r="M340" s="31" t="s">
        <v>221</v>
      </c>
    </row>
    <row r="341" spans="1:13" ht="14.25" customHeight="1">
      <c r="A341" s="21">
        <v>44340</v>
      </c>
      <c r="B341" s="22">
        <v>183</v>
      </c>
      <c r="C341" s="23" t="s">
        <v>162</v>
      </c>
      <c r="D341" s="24"/>
      <c r="E341" s="25"/>
      <c r="F341" s="24" t="str">
        <f t="shared" si="0"/>
        <v/>
      </c>
      <c r="G341" s="26" t="str">
        <f t="shared" si="1"/>
        <v/>
      </c>
      <c r="H341" s="27" t="str">
        <f t="shared" si="2"/>
        <v>Positional</v>
      </c>
      <c r="J341" s="73"/>
      <c r="K341" s="31" t="s">
        <v>130</v>
      </c>
      <c r="L341" s="74">
        <v>15.93</v>
      </c>
      <c r="M341" s="31" t="s">
        <v>222</v>
      </c>
    </row>
    <row r="342" spans="1:13" ht="14.25" customHeight="1">
      <c r="A342" s="21">
        <v>44340</v>
      </c>
      <c r="B342" s="22">
        <v>-26.42</v>
      </c>
      <c r="C342" s="23" t="s">
        <v>20</v>
      </c>
      <c r="D342" s="24">
        <v>88795.15</v>
      </c>
      <c r="E342" s="25">
        <v>129235</v>
      </c>
      <c r="F342" s="24">
        <f t="shared" si="0"/>
        <v>35.24</v>
      </c>
      <c r="G342" s="26">
        <f t="shared" si="1"/>
        <v>218030.15</v>
      </c>
      <c r="H342" s="27" t="str">
        <f t="shared" si="2"/>
        <v/>
      </c>
      <c r="J342" s="73"/>
      <c r="K342" s="31" t="s">
        <v>130</v>
      </c>
      <c r="L342" s="74">
        <v>15.93</v>
      </c>
      <c r="M342" s="31" t="s">
        <v>223</v>
      </c>
    </row>
    <row r="343" spans="1:13" ht="14.25" customHeight="1">
      <c r="A343" s="21">
        <v>44341</v>
      </c>
      <c r="B343" s="22">
        <v>917</v>
      </c>
      <c r="C343" s="23" t="s">
        <v>163</v>
      </c>
      <c r="D343" s="24"/>
      <c r="E343" s="25"/>
      <c r="F343" s="24" t="str">
        <f t="shared" si="0"/>
        <v/>
      </c>
      <c r="G343" s="26" t="str">
        <f t="shared" si="1"/>
        <v/>
      </c>
      <c r="H343" s="27" t="str">
        <f t="shared" si="2"/>
        <v>Positional</v>
      </c>
      <c r="J343" s="73"/>
      <c r="K343" s="31" t="s">
        <v>130</v>
      </c>
      <c r="L343" s="74">
        <v>15.93</v>
      </c>
      <c r="M343" s="31" t="s">
        <v>203</v>
      </c>
    </row>
    <row r="344" spans="1:13" ht="14.25" customHeight="1">
      <c r="A344" s="21">
        <v>44341</v>
      </c>
      <c r="B344" s="22">
        <v>85.81</v>
      </c>
      <c r="C344" s="23" t="s">
        <v>20</v>
      </c>
      <c r="D344" s="24">
        <v>61698.03</v>
      </c>
      <c r="E344" s="25">
        <v>157285</v>
      </c>
      <c r="F344" s="24">
        <f t="shared" si="0"/>
        <v>35.4</v>
      </c>
      <c r="G344" s="26">
        <f t="shared" si="1"/>
        <v>218983.03</v>
      </c>
      <c r="H344" s="27" t="str">
        <f t="shared" si="2"/>
        <v/>
      </c>
      <c r="J344" s="73"/>
      <c r="K344" s="31" t="s">
        <v>130</v>
      </c>
      <c r="L344" s="74">
        <v>15.93</v>
      </c>
      <c r="M344" s="31" t="s">
        <v>224</v>
      </c>
    </row>
    <row r="345" spans="1:13" ht="14.25" customHeight="1">
      <c r="A345" s="21">
        <v>44342</v>
      </c>
      <c r="B345" s="22">
        <v>101</v>
      </c>
      <c r="C345" s="23" t="s">
        <v>164</v>
      </c>
      <c r="D345" s="24"/>
      <c r="E345" s="25"/>
      <c r="F345" s="24" t="str">
        <f t="shared" si="0"/>
        <v/>
      </c>
      <c r="G345" s="26" t="str">
        <f t="shared" si="1"/>
        <v/>
      </c>
      <c r="H345" s="27" t="str">
        <f t="shared" si="2"/>
        <v>Positional</v>
      </c>
      <c r="J345" s="73"/>
      <c r="K345" s="31" t="s">
        <v>130</v>
      </c>
      <c r="L345" s="74">
        <v>15.93</v>
      </c>
      <c r="M345" s="31" t="s">
        <v>225</v>
      </c>
    </row>
    <row r="346" spans="1:13" ht="14.25" customHeight="1">
      <c r="A346" s="21">
        <v>44342</v>
      </c>
      <c r="B346" s="22">
        <v>75.23</v>
      </c>
      <c r="C346" s="23" t="s">
        <v>20</v>
      </c>
      <c r="D346" s="24">
        <v>47707.26</v>
      </c>
      <c r="E346" s="25">
        <v>171435</v>
      </c>
      <c r="F346" s="24">
        <f t="shared" si="0"/>
        <v>35.42</v>
      </c>
      <c r="G346" s="26">
        <f t="shared" si="1"/>
        <v>219142.26</v>
      </c>
      <c r="H346" s="27" t="str">
        <f t="shared" si="2"/>
        <v/>
      </c>
      <c r="J346" s="73"/>
      <c r="K346" s="31" t="s">
        <v>130</v>
      </c>
      <c r="L346" s="74">
        <v>15.93</v>
      </c>
      <c r="M346" s="31" t="s">
        <v>226</v>
      </c>
    </row>
    <row r="347" spans="1:13" ht="14.25" customHeight="1">
      <c r="A347" s="21">
        <v>44343</v>
      </c>
      <c r="B347" s="22">
        <v>497</v>
      </c>
      <c r="C347" s="23" t="s">
        <v>165</v>
      </c>
      <c r="D347" s="24"/>
      <c r="E347" s="25"/>
      <c r="F347" s="24" t="str">
        <f t="shared" si="0"/>
        <v/>
      </c>
      <c r="G347" s="26" t="str">
        <f t="shared" si="1"/>
        <v/>
      </c>
      <c r="H347" s="27" t="str">
        <f t="shared" si="2"/>
        <v>Positional</v>
      </c>
      <c r="J347" s="73"/>
      <c r="K347" s="31" t="s">
        <v>130</v>
      </c>
      <c r="L347" s="74">
        <v>15.93</v>
      </c>
      <c r="M347" s="31" t="s">
        <v>227</v>
      </c>
    </row>
    <row r="348" spans="1:13" ht="14.25" customHeight="1">
      <c r="A348" s="21">
        <v>44343</v>
      </c>
      <c r="B348" s="22">
        <v>-28.59</v>
      </c>
      <c r="C348" s="23" t="s">
        <v>20</v>
      </c>
      <c r="D348" s="24">
        <v>28556.74</v>
      </c>
      <c r="E348" s="25">
        <v>191015</v>
      </c>
      <c r="F348" s="24">
        <f t="shared" si="0"/>
        <v>35.49</v>
      </c>
      <c r="G348" s="26">
        <f t="shared" si="1"/>
        <v>219571.74</v>
      </c>
      <c r="H348" s="27" t="str">
        <f t="shared" si="2"/>
        <v/>
      </c>
      <c r="J348" s="73"/>
      <c r="K348" s="31" t="s">
        <v>130</v>
      </c>
      <c r="L348" s="74">
        <v>15.93</v>
      </c>
      <c r="M348" s="31" t="s">
        <v>228</v>
      </c>
    </row>
    <row r="349" spans="1:13" ht="14.25" customHeight="1">
      <c r="A349" s="21">
        <v>44344</v>
      </c>
      <c r="B349" s="22">
        <v>227</v>
      </c>
      <c r="C349" s="23" t="s">
        <v>166</v>
      </c>
      <c r="D349" s="24"/>
      <c r="E349" s="25"/>
      <c r="F349" s="24" t="str">
        <f t="shared" si="0"/>
        <v/>
      </c>
      <c r="G349" s="26" t="str">
        <f t="shared" si="1"/>
        <v/>
      </c>
      <c r="H349" s="27" t="str">
        <f t="shared" si="2"/>
        <v>Positional</v>
      </c>
      <c r="J349" s="73"/>
      <c r="K349" s="31" t="s">
        <v>130</v>
      </c>
      <c r="L349" s="74">
        <v>15.93</v>
      </c>
      <c r="M349" s="31" t="s">
        <v>217</v>
      </c>
    </row>
    <row r="350" spans="1:13" ht="14.25" customHeight="1">
      <c r="A350" s="21">
        <v>44344</v>
      </c>
      <c r="B350" s="22">
        <v>455</v>
      </c>
      <c r="C350" s="23" t="s">
        <v>167</v>
      </c>
      <c r="D350" s="24"/>
      <c r="E350" s="25"/>
      <c r="F350" s="24" t="str">
        <f t="shared" si="0"/>
        <v/>
      </c>
      <c r="G350" s="26" t="str">
        <f t="shared" si="1"/>
        <v/>
      </c>
      <c r="H350" s="27" t="str">
        <f t="shared" si="2"/>
        <v>Positional</v>
      </c>
      <c r="J350" s="73"/>
      <c r="K350" s="31" t="s">
        <v>130</v>
      </c>
      <c r="L350" s="74">
        <v>15.93</v>
      </c>
      <c r="M350" s="31" t="s">
        <v>229</v>
      </c>
    </row>
    <row r="351" spans="1:13" ht="14.25" customHeight="1">
      <c r="A351" s="21">
        <v>44344</v>
      </c>
      <c r="B351" s="22">
        <v>0.27</v>
      </c>
      <c r="C351" s="23" t="s">
        <v>16</v>
      </c>
      <c r="D351" s="24">
        <v>20517.080000000002</v>
      </c>
      <c r="E351" s="25">
        <v>199710</v>
      </c>
      <c r="F351" s="24">
        <f t="shared" si="0"/>
        <v>106.8</v>
      </c>
      <c r="G351" s="26">
        <f t="shared" si="1"/>
        <v>660681.24</v>
      </c>
      <c r="H351" s="27" t="str">
        <f t="shared" si="2"/>
        <v/>
      </c>
      <c r="J351" s="73"/>
      <c r="K351" s="31" t="s">
        <v>130</v>
      </c>
      <c r="L351" s="74">
        <v>15.93</v>
      </c>
      <c r="M351" s="31" t="s">
        <v>230</v>
      </c>
    </row>
    <row r="352" spans="1:13" ht="14.25" customHeight="1">
      <c r="A352" s="21">
        <v>44347</v>
      </c>
      <c r="B352" s="22">
        <v>689</v>
      </c>
      <c r="C352" s="23" t="s">
        <v>137</v>
      </c>
      <c r="D352" s="24"/>
      <c r="E352" s="25"/>
      <c r="F352" s="24" t="str">
        <f t="shared" si="0"/>
        <v/>
      </c>
      <c r="G352" s="26" t="str">
        <f t="shared" si="1"/>
        <v/>
      </c>
      <c r="H352" s="27" t="str">
        <f t="shared" si="2"/>
        <v>Positional</v>
      </c>
      <c r="J352" s="73"/>
      <c r="K352" s="31" t="s">
        <v>130</v>
      </c>
      <c r="L352" s="74">
        <v>15.93</v>
      </c>
      <c r="M352" s="31" t="s">
        <v>231</v>
      </c>
    </row>
    <row r="353" spans="1:13" ht="14.25" customHeight="1">
      <c r="A353" s="21">
        <v>44347</v>
      </c>
      <c r="B353" s="22">
        <v>0.3</v>
      </c>
      <c r="C353" s="23" t="s">
        <v>16</v>
      </c>
      <c r="D353" s="24">
        <v>36954.629999999997</v>
      </c>
      <c r="E353" s="25">
        <v>183960</v>
      </c>
      <c r="F353" s="24">
        <f t="shared" si="0"/>
        <v>35.71</v>
      </c>
      <c r="G353" s="26">
        <f t="shared" si="1"/>
        <v>220914.63</v>
      </c>
      <c r="H353" s="27" t="str">
        <f t="shared" si="2"/>
        <v/>
      </c>
      <c r="J353" s="73"/>
      <c r="K353" s="31" t="s">
        <v>130</v>
      </c>
      <c r="L353" s="74">
        <v>15.93</v>
      </c>
      <c r="M353" s="31" t="s">
        <v>232</v>
      </c>
    </row>
    <row r="354" spans="1:13" ht="14.25" customHeight="1">
      <c r="A354" s="21">
        <v>44348</v>
      </c>
      <c r="B354" s="22">
        <v>-0.14000000000000001</v>
      </c>
      <c r="C354" s="23" t="s">
        <v>16</v>
      </c>
      <c r="D354" s="24">
        <v>3164.49</v>
      </c>
      <c r="E354" s="25">
        <v>217710</v>
      </c>
      <c r="F354" s="24">
        <f t="shared" si="0"/>
        <v>35.700000000000003</v>
      </c>
      <c r="G354" s="26">
        <f t="shared" si="1"/>
        <v>220874.49</v>
      </c>
      <c r="H354" s="27" t="str">
        <f t="shared" si="2"/>
        <v/>
      </c>
      <c r="J354" s="73"/>
      <c r="K354" s="31" t="s">
        <v>130</v>
      </c>
      <c r="L354" s="74">
        <v>15.93</v>
      </c>
      <c r="M354" s="31" t="s">
        <v>233</v>
      </c>
    </row>
    <row r="355" spans="1:13" ht="14.25" customHeight="1">
      <c r="A355" s="21">
        <v>44349</v>
      </c>
      <c r="B355" s="22">
        <v>452</v>
      </c>
      <c r="C355" s="23" t="s">
        <v>158</v>
      </c>
      <c r="D355" s="24"/>
      <c r="E355" s="25"/>
      <c r="F355" s="24" t="str">
        <f t="shared" si="0"/>
        <v/>
      </c>
      <c r="G355" s="26" t="str">
        <f t="shared" si="1"/>
        <v/>
      </c>
      <c r="H355" s="27" t="str">
        <f t="shared" si="2"/>
        <v>Positional</v>
      </c>
      <c r="J355" s="73"/>
      <c r="K355" s="31" t="s">
        <v>130</v>
      </c>
      <c r="L355" s="74">
        <v>15.93</v>
      </c>
      <c r="M355" s="31" t="s">
        <v>234</v>
      </c>
    </row>
    <row r="356" spans="1:13" ht="14.25" customHeight="1">
      <c r="A356" s="21">
        <v>44349</v>
      </c>
      <c r="B356" s="22">
        <v>467</v>
      </c>
      <c r="C356" s="23" t="s">
        <v>235</v>
      </c>
      <c r="D356" s="24"/>
      <c r="E356" s="25"/>
      <c r="F356" s="24" t="str">
        <f t="shared" si="0"/>
        <v/>
      </c>
      <c r="G356" s="26" t="str">
        <f t="shared" si="1"/>
        <v/>
      </c>
      <c r="H356" s="27" t="str">
        <f t="shared" si="2"/>
        <v>Positional</v>
      </c>
      <c r="J356" s="73"/>
      <c r="K356" s="31" t="s">
        <v>236</v>
      </c>
      <c r="L356" s="74">
        <v>88.5</v>
      </c>
      <c r="M356" s="31"/>
    </row>
    <row r="357" spans="1:13" ht="14.25" customHeight="1">
      <c r="A357" s="21">
        <v>44349</v>
      </c>
      <c r="B357" s="22">
        <v>0.84</v>
      </c>
      <c r="C357" s="23" t="s">
        <v>16</v>
      </c>
      <c r="D357" s="24">
        <v>16773.39</v>
      </c>
      <c r="E357" s="25">
        <v>205020</v>
      </c>
      <c r="F357" s="24">
        <f t="shared" si="0"/>
        <v>35.85</v>
      </c>
      <c r="G357" s="26">
        <f t="shared" si="1"/>
        <v>221793.39</v>
      </c>
      <c r="H357" s="27" t="str">
        <f t="shared" si="2"/>
        <v/>
      </c>
      <c r="J357" s="73"/>
      <c r="K357" s="31" t="s">
        <v>130</v>
      </c>
      <c r="L357" s="74">
        <v>15.93</v>
      </c>
      <c r="M357" s="31" t="s">
        <v>233</v>
      </c>
    </row>
    <row r="358" spans="1:13" ht="14.25" customHeight="1">
      <c r="A358" s="21">
        <v>44350</v>
      </c>
      <c r="B358" s="22">
        <v>0.61</v>
      </c>
      <c r="C358" s="23" t="s">
        <v>16</v>
      </c>
      <c r="D358" s="24">
        <v>5309.99</v>
      </c>
      <c r="E358" s="25">
        <v>216470</v>
      </c>
      <c r="F358" s="24">
        <f t="shared" si="0"/>
        <v>35.85</v>
      </c>
      <c r="G358" s="26">
        <f t="shared" si="1"/>
        <v>221779.99</v>
      </c>
      <c r="H358" s="27" t="str">
        <f t="shared" si="2"/>
        <v/>
      </c>
      <c r="J358" s="73"/>
      <c r="K358" s="31" t="s">
        <v>130</v>
      </c>
      <c r="L358" s="74">
        <v>15.93</v>
      </c>
      <c r="M358" s="31" t="s">
        <v>237</v>
      </c>
    </row>
    <row r="359" spans="1:13" ht="14.25" customHeight="1">
      <c r="A359" s="21">
        <v>44351</v>
      </c>
      <c r="B359" s="22">
        <v>297</v>
      </c>
      <c r="C359" s="23" t="s">
        <v>171</v>
      </c>
      <c r="D359" s="24"/>
      <c r="E359" s="25"/>
      <c r="F359" s="24" t="str">
        <f t="shared" si="0"/>
        <v/>
      </c>
      <c r="G359" s="26" t="str">
        <f t="shared" si="1"/>
        <v/>
      </c>
      <c r="H359" s="27" t="str">
        <f t="shared" si="2"/>
        <v>Positional</v>
      </c>
      <c r="J359" s="73"/>
      <c r="K359" s="31" t="s">
        <v>130</v>
      </c>
      <c r="L359" s="74">
        <v>15.93</v>
      </c>
      <c r="M359" s="31" t="s">
        <v>214</v>
      </c>
    </row>
    <row r="360" spans="1:13" ht="14.25" customHeight="1">
      <c r="A360" s="21">
        <v>44351</v>
      </c>
      <c r="B360" s="22">
        <v>0.22</v>
      </c>
      <c r="C360" s="23" t="s">
        <v>16</v>
      </c>
      <c r="D360" s="24">
        <v>6442.28</v>
      </c>
      <c r="E360" s="25">
        <v>215620</v>
      </c>
      <c r="F360" s="24">
        <f t="shared" si="0"/>
        <v>107.68</v>
      </c>
      <c r="G360" s="26">
        <f t="shared" si="1"/>
        <v>666186.84</v>
      </c>
      <c r="H360" s="27" t="str">
        <f t="shared" si="2"/>
        <v/>
      </c>
      <c r="J360" s="73"/>
      <c r="K360" s="31" t="s">
        <v>130</v>
      </c>
      <c r="L360" s="74">
        <v>15.93</v>
      </c>
      <c r="M360" s="31" t="s">
        <v>238</v>
      </c>
    </row>
    <row r="361" spans="1:13" ht="14.25" customHeight="1">
      <c r="A361" s="21">
        <v>44354</v>
      </c>
      <c r="B361" s="22">
        <v>848</v>
      </c>
      <c r="C361" s="23" t="s">
        <v>172</v>
      </c>
      <c r="D361" s="24"/>
      <c r="E361" s="25"/>
      <c r="F361" s="24" t="str">
        <f t="shared" si="0"/>
        <v/>
      </c>
      <c r="G361" s="26" t="str">
        <f t="shared" si="1"/>
        <v/>
      </c>
      <c r="H361" s="27" t="str">
        <f t="shared" si="2"/>
        <v>Positional</v>
      </c>
      <c r="J361" s="73"/>
      <c r="K361" s="31" t="s">
        <v>130</v>
      </c>
      <c r="L361" s="74">
        <v>15.93</v>
      </c>
      <c r="M361" s="31" t="s">
        <v>239</v>
      </c>
    </row>
    <row r="362" spans="1:13" ht="14.25" customHeight="1">
      <c r="A362" s="21">
        <v>44354</v>
      </c>
      <c r="B362" s="22">
        <v>802</v>
      </c>
      <c r="C362" s="23" t="s">
        <v>173</v>
      </c>
      <c r="D362" s="24"/>
      <c r="E362" s="25"/>
      <c r="F362" s="24" t="str">
        <f t="shared" si="0"/>
        <v/>
      </c>
      <c r="G362" s="26" t="str">
        <f t="shared" si="1"/>
        <v/>
      </c>
      <c r="H362" s="27" t="str">
        <f t="shared" si="2"/>
        <v>Positional</v>
      </c>
      <c r="J362" s="73"/>
      <c r="K362" s="31" t="s">
        <v>130</v>
      </c>
      <c r="L362" s="74">
        <v>15.93</v>
      </c>
      <c r="M362" s="31" t="s">
        <v>227</v>
      </c>
    </row>
    <row r="363" spans="1:13" ht="14.25" customHeight="1">
      <c r="A363" s="21">
        <v>44354</v>
      </c>
      <c r="B363" s="22">
        <v>0.41</v>
      </c>
      <c r="C363" s="23" t="s">
        <v>16</v>
      </c>
      <c r="D363" s="24">
        <v>47507.460000000043</v>
      </c>
      <c r="E363" s="25">
        <v>176220</v>
      </c>
      <c r="F363" s="24">
        <f t="shared" si="0"/>
        <v>36.159999999999997</v>
      </c>
      <c r="G363" s="26">
        <f t="shared" si="1"/>
        <v>223727.46000000005</v>
      </c>
      <c r="H363" s="27" t="str">
        <f t="shared" si="2"/>
        <v/>
      </c>
      <c r="J363" s="73"/>
      <c r="K363" s="31" t="s">
        <v>130</v>
      </c>
      <c r="L363" s="74">
        <v>15.93</v>
      </c>
      <c r="M363" s="31" t="s">
        <v>240</v>
      </c>
    </row>
    <row r="364" spans="1:13" ht="14.25" customHeight="1">
      <c r="A364" s="21">
        <v>44355</v>
      </c>
      <c r="B364" s="22">
        <v>-0.4</v>
      </c>
      <c r="C364" s="23" t="s">
        <v>16</v>
      </c>
      <c r="D364" s="24">
        <v>35793.43</v>
      </c>
      <c r="E364" s="25">
        <v>187920</v>
      </c>
      <c r="F364" s="24">
        <f t="shared" si="0"/>
        <v>36.159999999999997</v>
      </c>
      <c r="G364" s="26">
        <f t="shared" si="1"/>
        <v>223713.43</v>
      </c>
      <c r="H364" s="27" t="str">
        <f t="shared" si="2"/>
        <v/>
      </c>
      <c r="J364" s="73"/>
      <c r="K364" s="31" t="s">
        <v>130</v>
      </c>
      <c r="L364" s="74">
        <v>15.93</v>
      </c>
      <c r="M364" s="31" t="s">
        <v>241</v>
      </c>
    </row>
    <row r="365" spans="1:13" ht="14.25" customHeight="1">
      <c r="A365" s="21">
        <v>44356</v>
      </c>
      <c r="B365" s="22">
        <v>122</v>
      </c>
      <c r="C365" s="23" t="s">
        <v>134</v>
      </c>
      <c r="D365" s="24"/>
      <c r="E365" s="25"/>
      <c r="F365" s="24" t="str">
        <f t="shared" si="0"/>
        <v/>
      </c>
      <c r="G365" s="26" t="str">
        <f t="shared" si="1"/>
        <v/>
      </c>
      <c r="H365" s="27" t="str">
        <f t="shared" si="2"/>
        <v>Positional</v>
      </c>
      <c r="J365" s="73"/>
      <c r="K365" s="31" t="s">
        <v>130</v>
      </c>
      <c r="L365" s="74">
        <v>15.93</v>
      </c>
      <c r="M365" s="31" t="s">
        <v>242</v>
      </c>
    </row>
    <row r="366" spans="1:13" ht="14.25" customHeight="1">
      <c r="A366" s="21">
        <v>44356</v>
      </c>
      <c r="B366" s="22">
        <v>941</v>
      </c>
      <c r="C366" s="23" t="s">
        <v>174</v>
      </c>
      <c r="D366" s="24"/>
      <c r="E366" s="25"/>
      <c r="F366" s="24" t="str">
        <f t="shared" si="0"/>
        <v/>
      </c>
      <c r="G366" s="26" t="str">
        <f t="shared" si="1"/>
        <v/>
      </c>
      <c r="H366" s="27" t="str">
        <f t="shared" si="2"/>
        <v>Positional</v>
      </c>
      <c r="J366" s="73"/>
      <c r="K366" s="31" t="s">
        <v>130</v>
      </c>
      <c r="L366" s="74">
        <v>15.93</v>
      </c>
      <c r="M366" s="31" t="s">
        <v>234</v>
      </c>
    </row>
    <row r="367" spans="1:13" ht="14.25" customHeight="1">
      <c r="A367" s="21">
        <v>44356</v>
      </c>
      <c r="B367" s="22">
        <v>627</v>
      </c>
      <c r="C367" s="23" t="s">
        <v>175</v>
      </c>
      <c r="D367" s="24"/>
      <c r="E367" s="25"/>
      <c r="F367" s="24" t="str">
        <f t="shared" si="0"/>
        <v/>
      </c>
      <c r="G367" s="26" t="str">
        <f t="shared" si="1"/>
        <v/>
      </c>
      <c r="H367" s="27" t="str">
        <f t="shared" si="2"/>
        <v>Positional</v>
      </c>
      <c r="J367" s="73"/>
      <c r="K367" s="31" t="s">
        <v>130</v>
      </c>
      <c r="L367" s="74">
        <v>15.93</v>
      </c>
      <c r="M367" s="31" t="s">
        <v>243</v>
      </c>
    </row>
    <row r="368" spans="1:13" ht="14.25" customHeight="1">
      <c r="A368" s="21">
        <v>44356</v>
      </c>
      <c r="B368" s="22">
        <v>1073</v>
      </c>
      <c r="C368" s="23" t="s">
        <v>176</v>
      </c>
      <c r="D368" s="24"/>
      <c r="E368" s="25"/>
      <c r="F368" s="24" t="str">
        <f t="shared" si="0"/>
        <v/>
      </c>
      <c r="G368" s="26" t="str">
        <f t="shared" si="1"/>
        <v/>
      </c>
      <c r="H368" s="27" t="str">
        <f t="shared" si="2"/>
        <v>Positional</v>
      </c>
      <c r="J368" s="73"/>
      <c r="K368" s="31" t="s">
        <v>130</v>
      </c>
      <c r="L368" s="74">
        <v>15.93</v>
      </c>
      <c r="M368" s="31" t="s">
        <v>220</v>
      </c>
    </row>
    <row r="369" spans="1:13" ht="14.25" customHeight="1">
      <c r="A369" s="21">
        <v>44356</v>
      </c>
      <c r="B369" s="22">
        <v>14.91</v>
      </c>
      <c r="C369" s="23" t="s">
        <v>20</v>
      </c>
      <c r="D369" s="24">
        <v>55219.56</v>
      </c>
      <c r="E369" s="25">
        <v>169445</v>
      </c>
      <c r="F369" s="24">
        <f t="shared" si="0"/>
        <v>36.32</v>
      </c>
      <c r="G369" s="26">
        <f t="shared" si="1"/>
        <v>224664.56</v>
      </c>
      <c r="H369" s="27" t="str">
        <f t="shared" si="2"/>
        <v/>
      </c>
      <c r="J369" s="73"/>
      <c r="K369" s="31" t="s">
        <v>130</v>
      </c>
      <c r="L369" s="74">
        <v>15.93</v>
      </c>
      <c r="M369" s="31" t="s">
        <v>244</v>
      </c>
    </row>
    <row r="370" spans="1:13" ht="14.25" customHeight="1">
      <c r="A370" s="21">
        <v>44357</v>
      </c>
      <c r="B370" s="22">
        <v>792.76</v>
      </c>
      <c r="C370" s="23" t="s">
        <v>20</v>
      </c>
      <c r="D370" s="24">
        <v>18186.38</v>
      </c>
      <c r="E370" s="25">
        <v>207210</v>
      </c>
      <c r="F370" s="24">
        <f t="shared" si="0"/>
        <v>36.43</v>
      </c>
      <c r="G370" s="26">
        <f t="shared" si="1"/>
        <v>225396.38</v>
      </c>
      <c r="H370" s="27" t="str">
        <f t="shared" si="2"/>
        <v/>
      </c>
      <c r="J370" s="73"/>
      <c r="K370" s="31" t="s">
        <v>130</v>
      </c>
      <c r="L370" s="74">
        <v>15.93</v>
      </c>
      <c r="M370" s="31" t="s">
        <v>245</v>
      </c>
    </row>
    <row r="371" spans="1:13" ht="14.25" customHeight="1">
      <c r="A371" s="21">
        <v>44358</v>
      </c>
      <c r="B371" s="22">
        <v>304</v>
      </c>
      <c r="C371" s="23" t="s">
        <v>177</v>
      </c>
      <c r="D371" s="24"/>
      <c r="E371" s="25"/>
      <c r="F371" s="24" t="str">
        <f t="shared" si="0"/>
        <v/>
      </c>
      <c r="G371" s="26" t="str">
        <f t="shared" si="1"/>
        <v/>
      </c>
      <c r="H371" s="27" t="str">
        <f t="shared" si="2"/>
        <v>Positional</v>
      </c>
      <c r="J371" s="73"/>
      <c r="K371" s="31" t="s">
        <v>130</v>
      </c>
      <c r="L371" s="74">
        <v>15.93</v>
      </c>
      <c r="M371" s="31" t="s">
        <v>246</v>
      </c>
    </row>
    <row r="372" spans="1:13" ht="14.25" customHeight="1">
      <c r="A372" s="21">
        <v>44358</v>
      </c>
      <c r="B372" s="22">
        <v>86</v>
      </c>
      <c r="C372" s="23" t="s">
        <v>178</v>
      </c>
      <c r="D372" s="24"/>
      <c r="E372" s="25"/>
      <c r="F372" s="24" t="str">
        <f t="shared" si="0"/>
        <v/>
      </c>
      <c r="G372" s="26" t="str">
        <f t="shared" si="1"/>
        <v/>
      </c>
      <c r="H372" s="27" t="str">
        <f t="shared" si="2"/>
        <v>Positional</v>
      </c>
      <c r="J372" s="73"/>
      <c r="K372" s="31" t="s">
        <v>130</v>
      </c>
      <c r="L372" s="74">
        <v>15.93</v>
      </c>
      <c r="M372" s="31" t="s">
        <v>247</v>
      </c>
    </row>
    <row r="373" spans="1:13" ht="14.25" customHeight="1">
      <c r="A373" s="21">
        <v>44358</v>
      </c>
      <c r="B373" s="22">
        <v>324</v>
      </c>
      <c r="C373" s="23" t="s">
        <v>179</v>
      </c>
      <c r="D373" s="24"/>
      <c r="E373" s="25"/>
      <c r="F373" s="24" t="str">
        <f t="shared" si="0"/>
        <v/>
      </c>
      <c r="G373" s="26" t="str">
        <f t="shared" si="1"/>
        <v/>
      </c>
      <c r="H373" s="27" t="str">
        <f t="shared" si="2"/>
        <v>Positional</v>
      </c>
      <c r="J373" s="73"/>
      <c r="K373" s="31" t="s">
        <v>130</v>
      </c>
      <c r="L373" s="74">
        <v>15.93</v>
      </c>
      <c r="M373" s="31" t="s">
        <v>248</v>
      </c>
    </row>
    <row r="374" spans="1:13" ht="14.25" customHeight="1">
      <c r="A374" s="21">
        <v>44358</v>
      </c>
      <c r="B374" s="22">
        <v>454.31</v>
      </c>
      <c r="C374" s="23" t="s">
        <v>20</v>
      </c>
      <c r="D374" s="24">
        <v>36542.9</v>
      </c>
      <c r="E374" s="25">
        <v>189995</v>
      </c>
      <c r="F374" s="24">
        <f t="shared" si="0"/>
        <v>109.86</v>
      </c>
      <c r="G374" s="26">
        <f t="shared" si="1"/>
        <v>679613.7</v>
      </c>
      <c r="H374" s="27" t="str">
        <f t="shared" si="2"/>
        <v/>
      </c>
      <c r="J374" s="73"/>
      <c r="K374" s="31" t="s">
        <v>130</v>
      </c>
      <c r="L374" s="74">
        <v>15.93</v>
      </c>
      <c r="M374" s="31" t="s">
        <v>249</v>
      </c>
    </row>
    <row r="375" spans="1:13" ht="14.25" customHeight="1">
      <c r="A375" s="21">
        <v>44361</v>
      </c>
      <c r="B375" s="22">
        <v>109</v>
      </c>
      <c r="C375" s="23" t="s">
        <v>180</v>
      </c>
      <c r="D375" s="24"/>
      <c r="E375" s="25"/>
      <c r="F375" s="24" t="str">
        <f t="shared" si="0"/>
        <v/>
      </c>
      <c r="G375" s="26" t="str">
        <f t="shared" si="1"/>
        <v/>
      </c>
      <c r="H375" s="27" t="str">
        <f t="shared" si="2"/>
        <v>Positional</v>
      </c>
      <c r="J375" s="73"/>
      <c r="K375" s="31" t="s">
        <v>130</v>
      </c>
      <c r="L375" s="74">
        <v>15.93</v>
      </c>
      <c r="M375" s="31" t="s">
        <v>250</v>
      </c>
    </row>
    <row r="376" spans="1:13" ht="14.25" customHeight="1">
      <c r="A376" s="21">
        <v>44361</v>
      </c>
      <c r="B376" s="22">
        <v>210</v>
      </c>
      <c r="C376" s="23" t="s">
        <v>181</v>
      </c>
      <c r="D376" s="24"/>
      <c r="E376" s="25"/>
      <c r="F376" s="24" t="str">
        <f t="shared" si="0"/>
        <v/>
      </c>
      <c r="G376" s="26" t="str">
        <f t="shared" si="1"/>
        <v/>
      </c>
      <c r="H376" s="27" t="str">
        <f t="shared" si="2"/>
        <v>Positional</v>
      </c>
      <c r="J376" s="73"/>
      <c r="K376" s="31" t="s">
        <v>251</v>
      </c>
      <c r="L376" s="74">
        <v>0.99</v>
      </c>
      <c r="M376" s="31"/>
    </row>
    <row r="377" spans="1:13" ht="14.25" customHeight="1">
      <c r="A377" s="21">
        <v>44361</v>
      </c>
      <c r="B377" s="22">
        <v>1.36</v>
      </c>
      <c r="C377" s="23" t="s">
        <v>16</v>
      </c>
      <c r="D377" s="24">
        <v>15420.41</v>
      </c>
      <c r="E377" s="25">
        <v>211380</v>
      </c>
      <c r="F377" s="24">
        <f t="shared" si="0"/>
        <v>36.659999999999997</v>
      </c>
      <c r="G377" s="26">
        <f t="shared" si="1"/>
        <v>226800.41</v>
      </c>
      <c r="H377" s="27" t="str">
        <f t="shared" si="2"/>
        <v/>
      </c>
      <c r="J377" s="73"/>
      <c r="K377" s="31" t="s">
        <v>130</v>
      </c>
      <c r="L377" s="74">
        <v>15.93</v>
      </c>
      <c r="M377" s="31" t="s">
        <v>252</v>
      </c>
    </row>
    <row r="378" spans="1:13" ht="14.25" customHeight="1">
      <c r="A378" s="21">
        <v>44362</v>
      </c>
      <c r="B378" s="22">
        <v>0.49</v>
      </c>
      <c r="C378" s="23" t="s">
        <v>16</v>
      </c>
      <c r="D378" s="24">
        <v>502.9</v>
      </c>
      <c r="E378" s="25">
        <v>226280</v>
      </c>
      <c r="F378" s="24">
        <f t="shared" si="0"/>
        <v>36.659999999999997</v>
      </c>
      <c r="G378" s="26">
        <f t="shared" si="1"/>
        <v>226782.9</v>
      </c>
      <c r="H378" s="27" t="str">
        <f t="shared" si="2"/>
        <v/>
      </c>
      <c r="J378" s="73"/>
      <c r="K378" s="31" t="s">
        <v>130</v>
      </c>
      <c r="L378" s="74">
        <v>15.93</v>
      </c>
      <c r="M378" s="31" t="s">
        <v>253</v>
      </c>
    </row>
    <row r="379" spans="1:13" ht="14.25" customHeight="1">
      <c r="A379" s="21">
        <v>44363</v>
      </c>
      <c r="B379" s="22">
        <v>779</v>
      </c>
      <c r="C379" s="23" t="s">
        <v>182</v>
      </c>
      <c r="D379" s="24"/>
      <c r="E379" s="25"/>
      <c r="F379" s="24" t="str">
        <f t="shared" si="0"/>
        <v/>
      </c>
      <c r="G379" s="26" t="str">
        <f t="shared" si="1"/>
        <v/>
      </c>
      <c r="H379" s="27" t="str">
        <f t="shared" si="2"/>
        <v>Positional</v>
      </c>
      <c r="J379" s="73"/>
      <c r="K379" s="31" t="s">
        <v>130</v>
      </c>
      <c r="L379" s="74">
        <v>15.93</v>
      </c>
      <c r="M379" s="31" t="s">
        <v>254</v>
      </c>
    </row>
    <row r="380" spans="1:13" ht="14.25" customHeight="1">
      <c r="A380" s="21">
        <v>44363</v>
      </c>
      <c r="B380" s="22">
        <v>0.11</v>
      </c>
      <c r="C380" s="23" t="s">
        <v>16</v>
      </c>
      <c r="D380" s="24">
        <v>21690.07</v>
      </c>
      <c r="E380" s="25">
        <v>205880</v>
      </c>
      <c r="F380" s="24">
        <f t="shared" si="0"/>
        <v>36.79</v>
      </c>
      <c r="G380" s="26">
        <f t="shared" si="1"/>
        <v>227570.07</v>
      </c>
      <c r="H380" s="27" t="str">
        <f t="shared" si="2"/>
        <v/>
      </c>
      <c r="J380" s="73"/>
      <c r="K380" s="31" t="s">
        <v>130</v>
      </c>
      <c r="L380" s="74">
        <v>15.93</v>
      </c>
      <c r="M380" s="31" t="s">
        <v>255</v>
      </c>
    </row>
    <row r="381" spans="1:13" ht="14.25" customHeight="1">
      <c r="A381" s="21">
        <v>44364</v>
      </c>
      <c r="B381" s="22">
        <v>458</v>
      </c>
      <c r="C381" s="23" t="s">
        <v>183</v>
      </c>
      <c r="D381" s="24"/>
      <c r="E381" s="25"/>
      <c r="F381" s="24" t="str">
        <f t="shared" si="0"/>
        <v/>
      </c>
      <c r="G381" s="26" t="str">
        <f t="shared" si="1"/>
        <v/>
      </c>
      <c r="H381" s="27" t="str">
        <f t="shared" si="2"/>
        <v>Positional</v>
      </c>
      <c r="J381" s="73"/>
      <c r="K381" s="31" t="s">
        <v>130</v>
      </c>
      <c r="L381" s="74">
        <v>15.93</v>
      </c>
      <c r="M381" s="31" t="s">
        <v>256</v>
      </c>
    </row>
    <row r="382" spans="1:13" ht="14.25" customHeight="1">
      <c r="A382" s="21">
        <v>44364</v>
      </c>
      <c r="B382" s="22">
        <v>288</v>
      </c>
      <c r="C382" s="23" t="s">
        <v>184</v>
      </c>
      <c r="D382" s="24"/>
      <c r="E382" s="25"/>
      <c r="F382" s="24" t="str">
        <f t="shared" si="0"/>
        <v/>
      </c>
      <c r="G382" s="26" t="str">
        <f t="shared" si="1"/>
        <v/>
      </c>
      <c r="H382" s="27" t="str">
        <f t="shared" si="2"/>
        <v>Positional</v>
      </c>
      <c r="J382" s="73"/>
      <c r="K382" s="31" t="s">
        <v>130</v>
      </c>
      <c r="L382" s="74">
        <v>15.93</v>
      </c>
      <c r="M382" s="31" t="s">
        <v>252</v>
      </c>
    </row>
    <row r="383" spans="1:13" ht="14.25" customHeight="1">
      <c r="A383" s="21">
        <v>44364</v>
      </c>
      <c r="B383" s="22">
        <v>-0.48</v>
      </c>
      <c r="C383" s="23" t="s">
        <v>16</v>
      </c>
      <c r="D383" s="24">
        <v>29397.73</v>
      </c>
      <c r="E383" s="25">
        <v>198895</v>
      </c>
      <c r="F383" s="24">
        <f t="shared" si="0"/>
        <v>36.9</v>
      </c>
      <c r="G383" s="26">
        <f t="shared" si="1"/>
        <v>228292.73</v>
      </c>
      <c r="H383" s="27" t="str">
        <f t="shared" si="2"/>
        <v/>
      </c>
      <c r="J383" s="73"/>
      <c r="K383" s="31" t="s">
        <v>130</v>
      </c>
      <c r="L383" s="74">
        <v>15.93</v>
      </c>
      <c r="M383" s="31" t="s">
        <v>221</v>
      </c>
    </row>
    <row r="384" spans="1:13" ht="14.25" customHeight="1">
      <c r="A384" s="21">
        <v>44365</v>
      </c>
      <c r="B384" s="22">
        <v>73</v>
      </c>
      <c r="C384" s="23" t="s">
        <v>185</v>
      </c>
      <c r="D384" s="24"/>
      <c r="E384" s="25"/>
      <c r="F384" s="24" t="str">
        <f t="shared" si="0"/>
        <v/>
      </c>
      <c r="G384" s="26" t="str">
        <f t="shared" si="1"/>
        <v/>
      </c>
      <c r="H384" s="27" t="str">
        <f t="shared" si="2"/>
        <v>Positional</v>
      </c>
      <c r="J384" s="73"/>
      <c r="K384" s="31" t="s">
        <v>130</v>
      </c>
      <c r="L384" s="74">
        <v>15.93</v>
      </c>
      <c r="M384" s="31" t="s">
        <v>257</v>
      </c>
    </row>
    <row r="385" spans="1:13" ht="14.25" customHeight="1">
      <c r="A385" s="21">
        <v>44365</v>
      </c>
      <c r="B385" s="22">
        <v>17</v>
      </c>
      <c r="C385" s="23" t="s">
        <v>186</v>
      </c>
      <c r="D385" s="24"/>
      <c r="E385" s="25"/>
      <c r="F385" s="24" t="str">
        <f t="shared" si="0"/>
        <v/>
      </c>
      <c r="G385" s="26" t="str">
        <f t="shared" si="1"/>
        <v/>
      </c>
      <c r="H385" s="27" t="str">
        <f t="shared" si="2"/>
        <v>Positional</v>
      </c>
      <c r="J385" s="73"/>
      <c r="K385" s="31" t="s">
        <v>130</v>
      </c>
      <c r="L385" s="74">
        <v>15.93</v>
      </c>
      <c r="M385" s="31" t="s">
        <v>258</v>
      </c>
    </row>
    <row r="386" spans="1:13" ht="14.25" customHeight="1">
      <c r="A386" s="21">
        <v>44365</v>
      </c>
      <c r="B386" s="22">
        <v>244.58</v>
      </c>
      <c r="C386" s="23" t="s">
        <v>20</v>
      </c>
      <c r="D386" s="24">
        <v>50852.44</v>
      </c>
      <c r="E386" s="25">
        <v>197745</v>
      </c>
      <c r="F386" s="24">
        <f t="shared" si="0"/>
        <v>120.55</v>
      </c>
      <c r="G386" s="26">
        <f t="shared" si="1"/>
        <v>745792.32000000007</v>
      </c>
      <c r="H386" s="27" t="str">
        <f t="shared" si="2"/>
        <v/>
      </c>
      <c r="J386" s="73"/>
      <c r="K386" s="31" t="s">
        <v>130</v>
      </c>
      <c r="L386" s="74">
        <v>15.93</v>
      </c>
      <c r="M386" s="31" t="s">
        <v>259</v>
      </c>
    </row>
    <row r="387" spans="1:13" ht="14.25" customHeight="1">
      <c r="A387" s="21">
        <v>44368</v>
      </c>
      <c r="B387" s="22">
        <v>460</v>
      </c>
      <c r="C387" s="23" t="s">
        <v>187</v>
      </c>
      <c r="D387" s="24"/>
      <c r="E387" s="25"/>
      <c r="F387" s="24" t="str">
        <f t="shared" si="0"/>
        <v/>
      </c>
      <c r="G387" s="26" t="str">
        <f t="shared" si="1"/>
        <v/>
      </c>
      <c r="H387" s="27" t="str">
        <f t="shared" si="2"/>
        <v>Positional</v>
      </c>
      <c r="J387" s="73"/>
      <c r="K387" s="31" t="s">
        <v>130</v>
      </c>
      <c r="L387" s="74">
        <v>15.93</v>
      </c>
      <c r="M387" s="31" t="s">
        <v>252</v>
      </c>
    </row>
    <row r="388" spans="1:13" ht="14.25" customHeight="1">
      <c r="A388" s="21">
        <v>44368</v>
      </c>
      <c r="B388" s="22">
        <v>-0.87</v>
      </c>
      <c r="C388" s="23" t="s">
        <v>16</v>
      </c>
      <c r="D388" s="24">
        <v>37719.629999999997</v>
      </c>
      <c r="E388" s="25">
        <v>211305</v>
      </c>
      <c r="F388" s="24">
        <f t="shared" si="0"/>
        <v>40.25</v>
      </c>
      <c r="G388" s="26">
        <f t="shared" si="1"/>
        <v>249024.63</v>
      </c>
      <c r="H388" s="27" t="str">
        <f t="shared" si="2"/>
        <v/>
      </c>
      <c r="J388" s="73"/>
      <c r="K388" s="31" t="s">
        <v>130</v>
      </c>
      <c r="L388" s="74">
        <v>15.93</v>
      </c>
      <c r="M388" s="31" t="s">
        <v>260</v>
      </c>
    </row>
    <row r="389" spans="1:13" ht="14.25" customHeight="1">
      <c r="A389" s="21">
        <v>44369</v>
      </c>
      <c r="B389" s="22">
        <v>0.51</v>
      </c>
      <c r="C389" s="23" t="s">
        <v>16</v>
      </c>
      <c r="D389" s="24">
        <v>23002.13</v>
      </c>
      <c r="E389" s="25">
        <v>226005</v>
      </c>
      <c r="F389" s="24">
        <f t="shared" si="0"/>
        <v>40.25</v>
      </c>
      <c r="G389" s="26">
        <f t="shared" si="1"/>
        <v>249007.13</v>
      </c>
      <c r="H389" s="27" t="str">
        <f t="shared" si="2"/>
        <v/>
      </c>
      <c r="J389" s="73"/>
      <c r="K389" s="31" t="s">
        <v>130</v>
      </c>
      <c r="L389" s="74">
        <v>15.93</v>
      </c>
      <c r="M389" s="31" t="s">
        <v>261</v>
      </c>
    </row>
    <row r="390" spans="1:13" ht="14.25" customHeight="1">
      <c r="A390" s="21">
        <v>44370</v>
      </c>
      <c r="B390" s="22">
        <v>-125.61</v>
      </c>
      <c r="C390" s="23" t="s">
        <v>20</v>
      </c>
      <c r="D390" s="24">
        <v>47876.51</v>
      </c>
      <c r="E390" s="25">
        <v>254616</v>
      </c>
      <c r="F390" s="24">
        <f t="shared" si="0"/>
        <v>48.9</v>
      </c>
      <c r="G390" s="26">
        <f t="shared" si="1"/>
        <v>302492.51</v>
      </c>
      <c r="H390" s="27" t="str">
        <f t="shared" si="2"/>
        <v/>
      </c>
      <c r="J390" s="73"/>
      <c r="K390" s="31" t="s">
        <v>130</v>
      </c>
      <c r="L390" s="74">
        <v>15.93</v>
      </c>
      <c r="M390" s="31" t="s">
        <v>257</v>
      </c>
    </row>
    <row r="391" spans="1:13" ht="14.25" customHeight="1">
      <c r="A391" s="21">
        <v>44371</v>
      </c>
      <c r="B391" s="22">
        <v>1411</v>
      </c>
      <c r="C391" s="23" t="s">
        <v>41</v>
      </c>
      <c r="D391" s="24"/>
      <c r="E391" s="25"/>
      <c r="F391" s="24" t="str">
        <f t="shared" si="0"/>
        <v/>
      </c>
      <c r="G391" s="26" t="str">
        <f t="shared" si="1"/>
        <v/>
      </c>
      <c r="H391" s="27" t="str">
        <f t="shared" si="2"/>
        <v>Positional</v>
      </c>
      <c r="J391" s="73"/>
      <c r="K391" s="31" t="s">
        <v>130</v>
      </c>
      <c r="L391" s="74">
        <v>15.93</v>
      </c>
      <c r="M391" s="31" t="s">
        <v>183</v>
      </c>
    </row>
    <row r="392" spans="1:13" ht="14.25" customHeight="1">
      <c r="A392" s="21">
        <v>44371</v>
      </c>
      <c r="B392" s="22">
        <v>245.01</v>
      </c>
      <c r="C392" s="23" t="s">
        <v>20</v>
      </c>
      <c r="D392" s="24">
        <v>39953.599999999999</v>
      </c>
      <c r="E392" s="25">
        <v>264150</v>
      </c>
      <c r="F392" s="24">
        <f t="shared" si="0"/>
        <v>49.16</v>
      </c>
      <c r="G392" s="26">
        <f t="shared" si="1"/>
        <v>304103.59999999998</v>
      </c>
      <c r="H392" s="27" t="str">
        <f t="shared" si="2"/>
        <v/>
      </c>
      <c r="J392" s="73"/>
      <c r="K392" s="31" t="s">
        <v>130</v>
      </c>
      <c r="L392" s="74">
        <v>15.93</v>
      </c>
      <c r="M392" s="31" t="s">
        <v>262</v>
      </c>
    </row>
    <row r="393" spans="1:13" ht="14.25" customHeight="1">
      <c r="A393" s="21">
        <v>44372</v>
      </c>
      <c r="B393" s="22">
        <v>9</v>
      </c>
      <c r="C393" s="23" t="s">
        <v>158</v>
      </c>
      <c r="D393" s="24"/>
      <c r="E393" s="25"/>
      <c r="F393" s="24" t="str">
        <f t="shared" si="0"/>
        <v/>
      </c>
      <c r="G393" s="26" t="str">
        <f t="shared" si="1"/>
        <v/>
      </c>
      <c r="H393" s="27" t="str">
        <f t="shared" si="2"/>
        <v>Positional</v>
      </c>
      <c r="J393" s="73"/>
      <c r="K393" s="31" t="s">
        <v>130</v>
      </c>
      <c r="L393" s="74">
        <v>15.93</v>
      </c>
      <c r="M393" s="31" t="s">
        <v>263</v>
      </c>
    </row>
    <row r="394" spans="1:13" ht="14.25" customHeight="1">
      <c r="A394" s="21">
        <v>44372</v>
      </c>
      <c r="B394" s="22">
        <v>220</v>
      </c>
      <c r="C394" s="23" t="s">
        <v>188</v>
      </c>
      <c r="D394" s="24"/>
      <c r="E394" s="25"/>
      <c r="F394" s="24" t="str">
        <f t="shared" si="0"/>
        <v/>
      </c>
      <c r="G394" s="26" t="str">
        <f t="shared" si="1"/>
        <v/>
      </c>
      <c r="H394" s="27" t="str">
        <f t="shared" si="2"/>
        <v>Positional</v>
      </c>
      <c r="J394" s="73"/>
      <c r="K394" s="31" t="s">
        <v>130</v>
      </c>
      <c r="L394" s="74">
        <v>15.93</v>
      </c>
      <c r="M394" s="31" t="s">
        <v>264</v>
      </c>
    </row>
    <row r="395" spans="1:13" ht="14.25" customHeight="1">
      <c r="A395" s="21">
        <v>44372</v>
      </c>
      <c r="B395" s="22">
        <v>783.21</v>
      </c>
      <c r="C395" s="23" t="s">
        <v>20</v>
      </c>
      <c r="D395" s="24">
        <v>44929.87</v>
      </c>
      <c r="E395" s="25">
        <v>275155</v>
      </c>
      <c r="F395" s="24">
        <f t="shared" si="0"/>
        <v>155.22</v>
      </c>
      <c r="G395" s="26">
        <f t="shared" si="1"/>
        <v>960254.61</v>
      </c>
      <c r="H395" s="27" t="str">
        <f t="shared" si="2"/>
        <v/>
      </c>
      <c r="J395" s="73"/>
      <c r="K395" s="31" t="s">
        <v>130</v>
      </c>
      <c r="L395" s="74">
        <v>15.93</v>
      </c>
      <c r="M395" s="31" t="s">
        <v>265</v>
      </c>
    </row>
    <row r="396" spans="1:13" ht="14.25" customHeight="1">
      <c r="A396" s="21">
        <v>44375</v>
      </c>
      <c r="B396" s="22">
        <v>5544</v>
      </c>
      <c r="C396" s="23" t="s">
        <v>42</v>
      </c>
      <c r="D396" s="24"/>
      <c r="E396" s="25"/>
      <c r="F396" s="24" t="str">
        <f t="shared" si="0"/>
        <v/>
      </c>
      <c r="G396" s="26" t="str">
        <f t="shared" si="1"/>
        <v/>
      </c>
      <c r="H396" s="27" t="str">
        <f t="shared" si="2"/>
        <v>Positional</v>
      </c>
      <c r="J396" s="73"/>
      <c r="K396" s="31" t="s">
        <v>130</v>
      </c>
      <c r="L396" s="74">
        <v>15.93</v>
      </c>
      <c r="M396" s="31" t="s">
        <v>266</v>
      </c>
    </row>
    <row r="397" spans="1:13" ht="14.25" customHeight="1">
      <c r="A397" s="21">
        <v>44375</v>
      </c>
      <c r="B397" s="22">
        <v>416</v>
      </c>
      <c r="C397" s="23" t="s">
        <v>189</v>
      </c>
      <c r="D397" s="24"/>
      <c r="E397" s="25"/>
      <c r="F397" s="24" t="str">
        <f t="shared" si="0"/>
        <v/>
      </c>
      <c r="G397" s="26" t="str">
        <f t="shared" si="1"/>
        <v/>
      </c>
      <c r="H397" s="27" t="str">
        <f t="shared" si="2"/>
        <v>Positional</v>
      </c>
      <c r="J397" s="73"/>
      <c r="K397" s="31" t="s">
        <v>130</v>
      </c>
      <c r="L397" s="74">
        <v>15.93</v>
      </c>
      <c r="M397" s="31" t="s">
        <v>261</v>
      </c>
    </row>
    <row r="398" spans="1:13" ht="14.25" customHeight="1">
      <c r="A398" s="21">
        <v>44375</v>
      </c>
      <c r="B398" s="22">
        <v>3447</v>
      </c>
      <c r="C398" s="23" t="s">
        <v>43</v>
      </c>
      <c r="D398" s="24"/>
      <c r="E398" s="25"/>
      <c r="F398" s="24" t="str">
        <f t="shared" si="0"/>
        <v/>
      </c>
      <c r="G398" s="26" t="str">
        <f t="shared" si="1"/>
        <v/>
      </c>
      <c r="H398" s="27" t="str">
        <f t="shared" si="2"/>
        <v>Positional</v>
      </c>
      <c r="J398" s="73"/>
      <c r="K398" s="31" t="s">
        <v>267</v>
      </c>
      <c r="L398" s="74">
        <v>10.62</v>
      </c>
      <c r="M398" s="31"/>
    </row>
    <row r="399" spans="1:13" ht="14.25" customHeight="1">
      <c r="A399" s="21">
        <v>44375</v>
      </c>
      <c r="B399" s="22">
        <v>224.14000000000001</v>
      </c>
      <c r="C399" s="23" t="s">
        <v>20</v>
      </c>
      <c r="D399" s="24">
        <v>48781.3</v>
      </c>
      <c r="E399" s="25">
        <v>280830</v>
      </c>
      <c r="F399" s="24">
        <f t="shared" si="0"/>
        <v>53.28</v>
      </c>
      <c r="G399" s="26">
        <f t="shared" si="1"/>
        <v>329611.3</v>
      </c>
      <c r="H399" s="27" t="str">
        <f t="shared" si="2"/>
        <v/>
      </c>
      <c r="J399" s="73"/>
      <c r="K399" s="31" t="s">
        <v>130</v>
      </c>
      <c r="L399" s="74">
        <v>15.93</v>
      </c>
      <c r="M399" s="31" t="s">
        <v>268</v>
      </c>
    </row>
    <row r="400" spans="1:13" ht="14.25" customHeight="1">
      <c r="A400" s="21">
        <v>44376</v>
      </c>
      <c r="B400" s="22">
        <v>206</v>
      </c>
      <c r="C400" s="23" t="s">
        <v>190</v>
      </c>
      <c r="D400" s="24"/>
      <c r="E400" s="25"/>
      <c r="F400" s="24" t="str">
        <f t="shared" si="0"/>
        <v/>
      </c>
      <c r="G400" s="26" t="str">
        <f t="shared" si="1"/>
        <v/>
      </c>
      <c r="H400" s="27" t="str">
        <f t="shared" si="2"/>
        <v>Positional</v>
      </c>
      <c r="J400" s="73"/>
      <c r="K400" s="31" t="s">
        <v>130</v>
      </c>
      <c r="L400" s="74">
        <v>15.93</v>
      </c>
      <c r="M400" s="31" t="s">
        <v>195</v>
      </c>
    </row>
    <row r="401" spans="1:13" ht="14.25" customHeight="1">
      <c r="A401" s="21">
        <v>44376</v>
      </c>
      <c r="B401" s="22">
        <v>733</v>
      </c>
      <c r="C401" s="23" t="s">
        <v>191</v>
      </c>
      <c r="D401" s="24"/>
      <c r="E401" s="25"/>
      <c r="F401" s="24" t="str">
        <f t="shared" si="0"/>
        <v/>
      </c>
      <c r="G401" s="26" t="str">
        <f t="shared" si="1"/>
        <v/>
      </c>
      <c r="H401" s="27" t="str">
        <f t="shared" si="2"/>
        <v>Positional</v>
      </c>
      <c r="J401" s="73"/>
      <c r="K401" s="31" t="s">
        <v>130</v>
      </c>
      <c r="L401" s="74">
        <v>15.93</v>
      </c>
      <c r="M401" s="31" t="s">
        <v>269</v>
      </c>
    </row>
    <row r="402" spans="1:13" ht="14.25" customHeight="1">
      <c r="A402" s="21">
        <v>44376</v>
      </c>
      <c r="B402" s="22">
        <v>547.92000000000007</v>
      </c>
      <c r="C402" s="23" t="s">
        <v>20</v>
      </c>
      <c r="D402" s="24">
        <v>54131.360000000001</v>
      </c>
      <c r="E402" s="25">
        <v>276940</v>
      </c>
      <c r="F402" s="24">
        <f t="shared" si="0"/>
        <v>53.52</v>
      </c>
      <c r="G402" s="26">
        <f t="shared" si="1"/>
        <v>331071.35999999999</v>
      </c>
      <c r="H402" s="27" t="str">
        <f t="shared" si="2"/>
        <v/>
      </c>
      <c r="J402" s="73"/>
      <c r="K402" s="31" t="s">
        <v>130</v>
      </c>
      <c r="L402" s="74">
        <v>15.93</v>
      </c>
      <c r="M402" s="31" t="s">
        <v>270</v>
      </c>
    </row>
    <row r="403" spans="1:13" ht="14.25" customHeight="1">
      <c r="A403" s="21">
        <v>44377</v>
      </c>
      <c r="B403" s="22">
        <v>241</v>
      </c>
      <c r="C403" s="23" t="s">
        <v>192</v>
      </c>
      <c r="D403" s="24"/>
      <c r="E403" s="25"/>
      <c r="F403" s="24" t="str">
        <f t="shared" si="0"/>
        <v/>
      </c>
      <c r="G403" s="26" t="str">
        <f t="shared" si="1"/>
        <v/>
      </c>
      <c r="H403" s="27" t="str">
        <f t="shared" si="2"/>
        <v>Positional</v>
      </c>
      <c r="J403" s="73"/>
      <c r="K403" s="31" t="s">
        <v>130</v>
      </c>
      <c r="L403" s="74">
        <v>15.93</v>
      </c>
      <c r="M403" s="31" t="s">
        <v>271</v>
      </c>
    </row>
    <row r="404" spans="1:13" ht="14.25" customHeight="1">
      <c r="A404" s="21">
        <v>44377</v>
      </c>
      <c r="B404" s="22">
        <v>83</v>
      </c>
      <c r="C404" s="23" t="s">
        <v>150</v>
      </c>
      <c r="D404" s="24"/>
      <c r="E404" s="25"/>
      <c r="F404" s="24" t="str">
        <f t="shared" si="0"/>
        <v/>
      </c>
      <c r="G404" s="26" t="str">
        <f t="shared" si="1"/>
        <v/>
      </c>
      <c r="H404" s="27" t="str">
        <f t="shared" si="2"/>
        <v>Positional</v>
      </c>
      <c r="J404" s="73"/>
      <c r="K404" s="31" t="s">
        <v>130</v>
      </c>
      <c r="L404" s="74">
        <v>15.93</v>
      </c>
      <c r="M404" s="31" t="s">
        <v>272</v>
      </c>
    </row>
    <row r="405" spans="1:13" ht="14.25" customHeight="1">
      <c r="A405" s="21">
        <v>44377</v>
      </c>
      <c r="B405" s="22">
        <v>632</v>
      </c>
      <c r="C405" s="23" t="s">
        <v>193</v>
      </c>
      <c r="D405" s="24"/>
      <c r="E405" s="25"/>
      <c r="F405" s="24" t="str">
        <f t="shared" si="0"/>
        <v/>
      </c>
      <c r="G405" s="26" t="str">
        <f t="shared" si="1"/>
        <v/>
      </c>
      <c r="H405" s="27" t="str">
        <f t="shared" si="2"/>
        <v>Positional</v>
      </c>
      <c r="J405" s="73"/>
      <c r="K405" s="31" t="s">
        <v>130</v>
      </c>
      <c r="L405" s="74">
        <v>15.93</v>
      </c>
      <c r="M405" s="31" t="s">
        <v>272</v>
      </c>
    </row>
    <row r="406" spans="1:13" ht="14.25" customHeight="1">
      <c r="A406" s="21">
        <v>44377</v>
      </c>
      <c r="B406" s="22">
        <v>218.59</v>
      </c>
      <c r="C406" s="23" t="s">
        <v>20</v>
      </c>
      <c r="D406" s="24">
        <v>67963.16</v>
      </c>
      <c r="E406" s="25">
        <v>264250</v>
      </c>
      <c r="F406" s="24">
        <f t="shared" si="0"/>
        <v>53.7</v>
      </c>
      <c r="G406" s="26">
        <f t="shared" si="1"/>
        <v>332213.16000000003</v>
      </c>
      <c r="H406" s="27" t="str">
        <f t="shared" si="2"/>
        <v/>
      </c>
      <c r="J406" s="73"/>
      <c r="K406" s="31" t="s">
        <v>130</v>
      </c>
      <c r="L406" s="74">
        <v>15.93</v>
      </c>
      <c r="M406" s="31" t="s">
        <v>260</v>
      </c>
    </row>
    <row r="407" spans="1:13" ht="14.25" customHeight="1">
      <c r="A407" s="21">
        <v>44378</v>
      </c>
      <c r="B407" s="22">
        <v>-1738</v>
      </c>
      <c r="C407" s="23" t="s">
        <v>188</v>
      </c>
      <c r="D407" s="24"/>
      <c r="E407" s="25"/>
      <c r="F407" s="24" t="str">
        <f t="shared" si="0"/>
        <v/>
      </c>
      <c r="G407" s="26" t="str">
        <f t="shared" si="1"/>
        <v/>
      </c>
      <c r="H407" s="27" t="str">
        <f t="shared" si="2"/>
        <v>Positional</v>
      </c>
      <c r="J407" s="73"/>
      <c r="K407" s="31" t="s">
        <v>130</v>
      </c>
      <c r="L407" s="74">
        <v>15.93</v>
      </c>
      <c r="M407" s="31" t="s">
        <v>266</v>
      </c>
    </row>
    <row r="408" spans="1:13" ht="14.25" customHeight="1">
      <c r="A408" s="21">
        <v>44378</v>
      </c>
      <c r="B408" s="22">
        <v>333.23</v>
      </c>
      <c r="C408" s="23" t="s">
        <v>20</v>
      </c>
      <c r="D408" s="24">
        <v>37212.449999999997</v>
      </c>
      <c r="E408" s="25">
        <v>293545</v>
      </c>
      <c r="F408" s="24">
        <f t="shared" si="0"/>
        <v>53.46</v>
      </c>
      <c r="G408" s="26">
        <f t="shared" si="1"/>
        <v>330757.45</v>
      </c>
      <c r="H408" s="27" t="str">
        <f t="shared" si="2"/>
        <v/>
      </c>
      <c r="J408" s="73"/>
      <c r="K408" s="31" t="s">
        <v>130</v>
      </c>
      <c r="L408" s="74">
        <v>15.93</v>
      </c>
      <c r="M408" s="31" t="s">
        <v>273</v>
      </c>
    </row>
    <row r="409" spans="1:13" ht="14.25" customHeight="1">
      <c r="A409" s="21">
        <v>44379</v>
      </c>
      <c r="B409" s="22">
        <v>614</v>
      </c>
      <c r="C409" s="23" t="s">
        <v>194</v>
      </c>
      <c r="D409" s="24"/>
      <c r="E409" s="25"/>
      <c r="F409" s="24" t="str">
        <f t="shared" si="0"/>
        <v/>
      </c>
      <c r="G409" s="26" t="str">
        <f t="shared" si="1"/>
        <v/>
      </c>
      <c r="H409" s="27" t="str">
        <f t="shared" si="2"/>
        <v>Positional</v>
      </c>
      <c r="J409" s="73"/>
      <c r="K409" s="31" t="s">
        <v>130</v>
      </c>
      <c r="L409" s="74">
        <v>15.93</v>
      </c>
      <c r="M409" s="31" t="s">
        <v>260</v>
      </c>
    </row>
    <row r="410" spans="1:13" ht="14.25" customHeight="1">
      <c r="A410" s="21">
        <v>44379</v>
      </c>
      <c r="B410" s="22">
        <v>-520.39</v>
      </c>
      <c r="C410" s="23" t="s">
        <v>20</v>
      </c>
      <c r="D410" s="24">
        <v>28255.06</v>
      </c>
      <c r="E410" s="25">
        <v>307580</v>
      </c>
      <c r="F410" s="24">
        <f t="shared" si="0"/>
        <v>162.86000000000001</v>
      </c>
      <c r="G410" s="26">
        <f t="shared" si="1"/>
        <v>1007505.1799999999</v>
      </c>
      <c r="H410" s="27" t="str">
        <f t="shared" si="2"/>
        <v/>
      </c>
      <c r="J410" s="73"/>
      <c r="K410" s="31" t="s">
        <v>130</v>
      </c>
      <c r="L410" s="74">
        <v>15.93</v>
      </c>
      <c r="M410" s="31" t="s">
        <v>274</v>
      </c>
    </row>
    <row r="411" spans="1:13" ht="14.25" customHeight="1">
      <c r="A411" s="21">
        <v>44382</v>
      </c>
      <c r="B411" s="22">
        <v>407</v>
      </c>
      <c r="C411" s="23" t="s">
        <v>195</v>
      </c>
      <c r="D411" s="24"/>
      <c r="E411" s="25"/>
      <c r="F411" s="24" t="str">
        <f t="shared" si="0"/>
        <v/>
      </c>
      <c r="G411" s="26" t="str">
        <f t="shared" si="1"/>
        <v/>
      </c>
      <c r="H411" s="27" t="str">
        <f t="shared" si="2"/>
        <v>Positional</v>
      </c>
      <c r="J411" s="73"/>
      <c r="K411" s="31" t="s">
        <v>130</v>
      </c>
      <c r="L411" s="74">
        <v>15.93</v>
      </c>
      <c r="M411" s="31" t="s">
        <v>275</v>
      </c>
    </row>
    <row r="412" spans="1:13" ht="14.25" customHeight="1">
      <c r="A412" s="21">
        <v>44382</v>
      </c>
      <c r="B412" s="22">
        <v>220</v>
      </c>
      <c r="C412" s="23" t="s">
        <v>150</v>
      </c>
      <c r="D412" s="24"/>
      <c r="E412" s="25"/>
      <c r="F412" s="24" t="str">
        <f t="shared" si="0"/>
        <v/>
      </c>
      <c r="G412" s="26" t="str">
        <f t="shared" si="1"/>
        <v/>
      </c>
      <c r="H412" s="27" t="str">
        <f t="shared" si="2"/>
        <v>Positional</v>
      </c>
      <c r="J412" s="73"/>
      <c r="K412" s="31" t="s">
        <v>130</v>
      </c>
      <c r="L412" s="74">
        <v>15.93</v>
      </c>
      <c r="M412" s="31" t="s">
        <v>276</v>
      </c>
    </row>
    <row r="413" spans="1:13" ht="14.25" customHeight="1">
      <c r="A413" s="21">
        <v>44382</v>
      </c>
      <c r="B413" s="22">
        <v>0.1</v>
      </c>
      <c r="C413" s="23" t="s">
        <v>16</v>
      </c>
      <c r="D413" s="24">
        <v>21956.38</v>
      </c>
      <c r="E413" s="25">
        <v>290580</v>
      </c>
      <c r="F413" s="24">
        <f t="shared" si="0"/>
        <v>50.52</v>
      </c>
      <c r="G413" s="26">
        <f t="shared" si="1"/>
        <v>312536.38</v>
      </c>
      <c r="H413" s="27" t="str">
        <f t="shared" si="2"/>
        <v/>
      </c>
      <c r="J413" s="73"/>
      <c r="K413" s="31" t="s">
        <v>130</v>
      </c>
      <c r="L413" s="74">
        <v>15.93</v>
      </c>
      <c r="M413" s="31" t="s">
        <v>277</v>
      </c>
    </row>
    <row r="414" spans="1:13" ht="14.25" customHeight="1">
      <c r="A414" s="21">
        <v>44383</v>
      </c>
      <c r="B414" s="22">
        <v>243</v>
      </c>
      <c r="C414" s="23" t="s">
        <v>138</v>
      </c>
      <c r="D414" s="24"/>
      <c r="E414" s="25"/>
      <c r="F414" s="24" t="str">
        <f t="shared" si="0"/>
        <v/>
      </c>
      <c r="G414" s="26" t="str">
        <f t="shared" si="1"/>
        <v/>
      </c>
      <c r="H414" s="27" t="str">
        <f t="shared" si="2"/>
        <v>Positional</v>
      </c>
      <c r="J414" s="73"/>
      <c r="K414" s="31" t="s">
        <v>130</v>
      </c>
      <c r="L414" s="74">
        <v>15.93</v>
      </c>
      <c r="M414" s="31" t="s">
        <v>278</v>
      </c>
    </row>
    <row r="415" spans="1:13" ht="14.25" customHeight="1">
      <c r="A415" s="21">
        <v>44383</v>
      </c>
      <c r="B415" s="22">
        <v>34.660000000000004</v>
      </c>
      <c r="C415" s="23" t="s">
        <v>20</v>
      </c>
      <c r="D415" s="24">
        <v>2617.11</v>
      </c>
      <c r="E415" s="25">
        <v>310156.79999999999</v>
      </c>
      <c r="F415" s="24">
        <f t="shared" si="0"/>
        <v>101.12</v>
      </c>
      <c r="G415" s="26">
        <f t="shared" si="1"/>
        <v>625547.81999999995</v>
      </c>
      <c r="H415" s="27" t="str">
        <f t="shared" si="2"/>
        <v/>
      </c>
      <c r="J415" s="73"/>
      <c r="K415" s="31" t="s">
        <v>130</v>
      </c>
      <c r="L415" s="74">
        <v>15.93</v>
      </c>
      <c r="M415" s="31" t="s">
        <v>279</v>
      </c>
    </row>
    <row r="416" spans="1:13" ht="14.25" customHeight="1">
      <c r="A416" s="21">
        <v>44385</v>
      </c>
      <c r="B416" s="22">
        <v>-0.09</v>
      </c>
      <c r="C416" s="23" t="s">
        <v>16</v>
      </c>
      <c r="D416" s="24">
        <v>585.01</v>
      </c>
      <c r="E416" s="25">
        <v>312186.8</v>
      </c>
      <c r="F416" s="24">
        <f t="shared" si="0"/>
        <v>50.56</v>
      </c>
      <c r="G416" s="26">
        <f t="shared" si="1"/>
        <v>312771.81</v>
      </c>
      <c r="H416" s="27" t="str">
        <f t="shared" si="2"/>
        <v/>
      </c>
      <c r="J416" s="73"/>
      <c r="K416" s="31" t="s">
        <v>130</v>
      </c>
      <c r="L416" s="74">
        <v>15.93</v>
      </c>
      <c r="M416" s="31" t="s">
        <v>280</v>
      </c>
    </row>
    <row r="417" spans="1:13" ht="14.25" customHeight="1">
      <c r="A417" s="21">
        <v>44386</v>
      </c>
      <c r="B417" s="22">
        <v>621</v>
      </c>
      <c r="C417" s="23" t="s">
        <v>188</v>
      </c>
      <c r="D417" s="24"/>
      <c r="E417" s="25"/>
      <c r="F417" s="24" t="str">
        <f t="shared" si="0"/>
        <v/>
      </c>
      <c r="G417" s="26" t="str">
        <f t="shared" si="1"/>
        <v/>
      </c>
      <c r="H417" s="27" t="str">
        <f t="shared" si="2"/>
        <v>Positional</v>
      </c>
      <c r="J417" s="73"/>
      <c r="K417" s="31" t="s">
        <v>130</v>
      </c>
      <c r="L417" s="74">
        <v>15.93</v>
      </c>
      <c r="M417" s="31" t="s">
        <v>281</v>
      </c>
    </row>
    <row r="418" spans="1:13" ht="14.25" customHeight="1">
      <c r="A418" s="21">
        <v>44386</v>
      </c>
      <c r="B418" s="22">
        <v>554</v>
      </c>
      <c r="C418" s="23" t="s">
        <v>197</v>
      </c>
      <c r="D418" s="24"/>
      <c r="E418" s="25"/>
      <c r="F418" s="24" t="str">
        <f t="shared" si="0"/>
        <v/>
      </c>
      <c r="G418" s="26" t="str">
        <f t="shared" si="1"/>
        <v/>
      </c>
      <c r="H418" s="27" t="str">
        <f t="shared" si="2"/>
        <v>Positional</v>
      </c>
      <c r="J418" s="73"/>
      <c r="K418" s="31" t="s">
        <v>130</v>
      </c>
      <c r="L418" s="74">
        <v>15.93</v>
      </c>
      <c r="M418" s="31" t="s">
        <v>282</v>
      </c>
    </row>
    <row r="419" spans="1:13" ht="14.25" customHeight="1">
      <c r="A419" s="21">
        <v>44386</v>
      </c>
      <c r="B419" s="22">
        <v>0.74</v>
      </c>
      <c r="C419" s="23" t="s">
        <v>16</v>
      </c>
      <c r="D419" s="24">
        <v>44467.9</v>
      </c>
      <c r="E419" s="25">
        <v>279486.8</v>
      </c>
      <c r="F419" s="24">
        <f t="shared" si="0"/>
        <v>52.37</v>
      </c>
      <c r="G419" s="26">
        <f t="shared" si="1"/>
        <v>323954.7</v>
      </c>
      <c r="H419" s="27" t="str">
        <f t="shared" si="2"/>
        <v/>
      </c>
      <c r="J419" s="73"/>
      <c r="K419" s="31" t="s">
        <v>130</v>
      </c>
      <c r="L419" s="74">
        <v>15.93</v>
      </c>
      <c r="M419" s="31" t="s">
        <v>283</v>
      </c>
    </row>
    <row r="420" spans="1:13" ht="14.25" customHeight="1">
      <c r="A420" s="21">
        <v>44387</v>
      </c>
      <c r="B420" s="22"/>
      <c r="C420" s="23" t="s">
        <v>131</v>
      </c>
      <c r="D420" s="24">
        <v>34467.9</v>
      </c>
      <c r="E420" s="25">
        <v>279486.8</v>
      </c>
      <c r="F420" s="24">
        <f t="shared" si="0"/>
        <v>101.5</v>
      </c>
      <c r="G420" s="26">
        <f t="shared" si="1"/>
        <v>627909.4</v>
      </c>
      <c r="H420" s="27" t="str">
        <f t="shared" si="2"/>
        <v/>
      </c>
      <c r="J420" s="73"/>
      <c r="K420" s="31" t="s">
        <v>130</v>
      </c>
      <c r="L420" s="74">
        <v>15.93</v>
      </c>
      <c r="M420" s="31" t="s">
        <v>284</v>
      </c>
    </row>
    <row r="421" spans="1:13" ht="14.25" customHeight="1">
      <c r="A421" s="21">
        <v>44389</v>
      </c>
      <c r="B421" s="22">
        <v>0.37</v>
      </c>
      <c r="C421" s="23" t="s">
        <v>16</v>
      </c>
      <c r="D421" s="24">
        <v>17152.27</v>
      </c>
      <c r="E421" s="25">
        <v>296781.8</v>
      </c>
      <c r="F421" s="24">
        <f t="shared" si="0"/>
        <v>50.75</v>
      </c>
      <c r="G421" s="26">
        <f t="shared" si="1"/>
        <v>313934.07</v>
      </c>
      <c r="H421" s="27" t="str">
        <f t="shared" si="2"/>
        <v/>
      </c>
      <c r="J421" s="73"/>
      <c r="K421" s="31" t="s">
        <v>130</v>
      </c>
      <c r="L421" s="74">
        <v>15.93</v>
      </c>
      <c r="M421" s="31" t="s">
        <v>285</v>
      </c>
    </row>
    <row r="422" spans="1:13" ht="14.25" customHeight="1">
      <c r="A422" s="21">
        <v>44390</v>
      </c>
      <c r="B422" s="22">
        <v>-0.17</v>
      </c>
      <c r="C422" s="23" t="s">
        <v>16</v>
      </c>
      <c r="D422" s="24">
        <v>12371.1</v>
      </c>
      <c r="E422" s="25">
        <v>301556.8</v>
      </c>
      <c r="F422" s="24">
        <f t="shared" si="0"/>
        <v>50.74</v>
      </c>
      <c r="G422" s="26">
        <f t="shared" si="1"/>
        <v>313927.89999999997</v>
      </c>
      <c r="H422" s="27" t="str">
        <f t="shared" si="2"/>
        <v/>
      </c>
      <c r="J422" s="73"/>
      <c r="K422" s="31" t="s">
        <v>236</v>
      </c>
      <c r="L422" s="74">
        <v>88.5</v>
      </c>
      <c r="M422" s="31"/>
    </row>
    <row r="423" spans="1:13" ht="14.25" customHeight="1">
      <c r="A423" s="21">
        <v>44391</v>
      </c>
      <c r="B423" s="22">
        <v>-0.4</v>
      </c>
      <c r="C423" s="23" t="s">
        <v>16</v>
      </c>
      <c r="D423" s="24">
        <v>2258.69</v>
      </c>
      <c r="E423" s="25">
        <v>311656.8</v>
      </c>
      <c r="F423" s="24">
        <f t="shared" si="0"/>
        <v>50.74</v>
      </c>
      <c r="G423" s="26">
        <f t="shared" si="1"/>
        <v>313915.49</v>
      </c>
      <c r="H423" s="27" t="str">
        <f t="shared" si="2"/>
        <v/>
      </c>
      <c r="J423" s="73"/>
      <c r="K423" s="31" t="s">
        <v>130</v>
      </c>
      <c r="L423" s="74">
        <v>15.93</v>
      </c>
      <c r="M423" s="31" t="s">
        <v>286</v>
      </c>
    </row>
    <row r="424" spans="1:13" ht="14.25" customHeight="1">
      <c r="A424" s="21">
        <v>44392</v>
      </c>
      <c r="B424" s="22">
        <v>158</v>
      </c>
      <c r="C424" s="23" t="s">
        <v>198</v>
      </c>
      <c r="D424" s="24"/>
      <c r="E424" s="25"/>
      <c r="F424" s="24" t="str">
        <f t="shared" si="0"/>
        <v/>
      </c>
      <c r="G424" s="26" t="str">
        <f t="shared" si="1"/>
        <v/>
      </c>
      <c r="H424" s="27" t="str">
        <f t="shared" si="2"/>
        <v>Positional</v>
      </c>
      <c r="J424" s="73"/>
      <c r="K424" s="31" t="s">
        <v>130</v>
      </c>
      <c r="L424" s="74">
        <v>15.93</v>
      </c>
      <c r="M424" s="31" t="s">
        <v>279</v>
      </c>
    </row>
    <row r="425" spans="1:13" ht="14.25" customHeight="1">
      <c r="A425" s="21">
        <v>44392</v>
      </c>
      <c r="B425" s="22">
        <v>-0.08</v>
      </c>
      <c r="C425" s="23" t="s">
        <v>16</v>
      </c>
      <c r="D425" s="24">
        <v>4432.68</v>
      </c>
      <c r="E425" s="25">
        <v>309626.8</v>
      </c>
      <c r="F425" s="24">
        <f t="shared" si="0"/>
        <v>50.77</v>
      </c>
      <c r="G425" s="26">
        <f t="shared" si="1"/>
        <v>314059.48</v>
      </c>
      <c r="H425" s="27" t="str">
        <f t="shared" si="2"/>
        <v/>
      </c>
      <c r="J425" s="73"/>
      <c r="K425" s="31" t="s">
        <v>130</v>
      </c>
      <c r="L425" s="74">
        <v>15.93</v>
      </c>
      <c r="M425" s="31" t="s">
        <v>287</v>
      </c>
    </row>
    <row r="426" spans="1:13" ht="14.25" customHeight="1">
      <c r="A426" s="21">
        <v>44393</v>
      </c>
      <c r="B426" s="22">
        <v>727</v>
      </c>
      <c r="C426" s="23" t="s">
        <v>199</v>
      </c>
      <c r="D426" s="24"/>
      <c r="E426" s="25"/>
      <c r="F426" s="24" t="str">
        <f t="shared" si="0"/>
        <v/>
      </c>
      <c r="G426" s="26" t="str">
        <f t="shared" si="1"/>
        <v/>
      </c>
      <c r="H426" s="27" t="str">
        <f t="shared" si="2"/>
        <v>Positional</v>
      </c>
      <c r="J426" s="73"/>
      <c r="K426" s="31" t="s">
        <v>130</v>
      </c>
      <c r="L426" s="74">
        <v>15.93</v>
      </c>
      <c r="M426" s="31" t="s">
        <v>288</v>
      </c>
    </row>
    <row r="427" spans="1:13" ht="14.25" customHeight="1">
      <c r="A427" s="21">
        <v>44393</v>
      </c>
      <c r="B427" s="22">
        <v>45.62</v>
      </c>
      <c r="C427" s="23" t="s">
        <v>20</v>
      </c>
      <c r="D427" s="24">
        <v>6510.37</v>
      </c>
      <c r="E427" s="25">
        <v>308306.8</v>
      </c>
      <c r="F427" s="24">
        <f t="shared" si="0"/>
        <v>152.66</v>
      </c>
      <c r="G427" s="26">
        <f t="shared" si="1"/>
        <v>944451.51</v>
      </c>
      <c r="H427" s="27" t="str">
        <f t="shared" si="2"/>
        <v/>
      </c>
      <c r="J427" s="73"/>
      <c r="K427" s="31" t="s">
        <v>130</v>
      </c>
      <c r="L427" s="74">
        <v>15.93</v>
      </c>
      <c r="M427" s="31" t="s">
        <v>289</v>
      </c>
    </row>
    <row r="428" spans="1:13" ht="14.25" customHeight="1">
      <c r="A428" s="21">
        <v>44396</v>
      </c>
      <c r="B428" s="22">
        <v>-0.1</v>
      </c>
      <c r="C428" s="23" t="s">
        <v>16</v>
      </c>
      <c r="D428" s="24">
        <v>3847.77</v>
      </c>
      <c r="E428" s="25">
        <v>310936.8</v>
      </c>
      <c r="F428" s="24">
        <f t="shared" si="0"/>
        <v>203.53</v>
      </c>
      <c r="G428" s="26">
        <f t="shared" si="1"/>
        <v>1259138.28</v>
      </c>
      <c r="H428" s="27" t="str">
        <f t="shared" si="2"/>
        <v/>
      </c>
      <c r="J428" s="73"/>
      <c r="K428" s="31" t="s">
        <v>130</v>
      </c>
      <c r="L428" s="74">
        <v>15.93</v>
      </c>
      <c r="M428" s="31" t="s">
        <v>290</v>
      </c>
    </row>
    <row r="429" spans="1:13" ht="14.25" customHeight="1">
      <c r="A429" s="21">
        <v>44400</v>
      </c>
      <c r="B429" s="22">
        <v>0.42</v>
      </c>
      <c r="C429" s="23" t="s">
        <v>16</v>
      </c>
      <c r="D429" s="24">
        <v>1758.19</v>
      </c>
      <c r="E429" s="25">
        <v>313024.3</v>
      </c>
      <c r="F429" s="24">
        <f t="shared" si="0"/>
        <v>254.41</v>
      </c>
      <c r="G429" s="26">
        <f t="shared" si="1"/>
        <v>1573912.45</v>
      </c>
      <c r="H429" s="27" t="str">
        <f t="shared" si="2"/>
        <v/>
      </c>
      <c r="J429" s="73"/>
      <c r="K429" s="31" t="s">
        <v>130</v>
      </c>
      <c r="L429" s="74">
        <v>15.93</v>
      </c>
      <c r="M429" s="31" t="s">
        <v>291</v>
      </c>
    </row>
    <row r="430" spans="1:13" ht="14.25" customHeight="1">
      <c r="A430" s="21">
        <v>44405</v>
      </c>
      <c r="B430" s="22">
        <v>283</v>
      </c>
      <c r="C430" s="23" t="s">
        <v>202</v>
      </c>
      <c r="D430" s="24"/>
      <c r="E430" s="25"/>
      <c r="F430" s="24" t="str">
        <f t="shared" si="0"/>
        <v/>
      </c>
      <c r="G430" s="26" t="str">
        <f t="shared" si="1"/>
        <v/>
      </c>
      <c r="H430" s="27" t="str">
        <f t="shared" si="2"/>
        <v>Positional</v>
      </c>
      <c r="J430" s="73"/>
      <c r="K430" s="31" t="s">
        <v>130</v>
      </c>
      <c r="L430" s="74">
        <v>15.93</v>
      </c>
      <c r="M430" s="31" t="s">
        <v>292</v>
      </c>
    </row>
    <row r="431" spans="1:13" ht="14.25" customHeight="1">
      <c r="A431" s="21">
        <v>44405</v>
      </c>
      <c r="B431" s="22">
        <v>-0.09</v>
      </c>
      <c r="C431" s="23" t="s">
        <v>16</v>
      </c>
      <c r="D431" s="24">
        <v>4115.17</v>
      </c>
      <c r="E431" s="25">
        <v>310936.8</v>
      </c>
      <c r="F431" s="24">
        <f t="shared" si="0"/>
        <v>50.93</v>
      </c>
      <c r="G431" s="26">
        <f t="shared" si="1"/>
        <v>315051.96999999997</v>
      </c>
      <c r="H431" s="27" t="str">
        <f t="shared" si="2"/>
        <v/>
      </c>
      <c r="J431" s="73"/>
      <c r="K431" s="31" t="s">
        <v>293</v>
      </c>
      <c r="L431" s="74">
        <v>88.5</v>
      </c>
      <c r="M431" s="31" t="s">
        <v>294</v>
      </c>
    </row>
    <row r="432" spans="1:13" ht="14.25" customHeight="1">
      <c r="A432" s="21">
        <v>44406</v>
      </c>
      <c r="B432" s="22">
        <v>0.91</v>
      </c>
      <c r="C432" s="23" t="s">
        <v>16</v>
      </c>
      <c r="D432" s="24">
        <v>1813.08</v>
      </c>
      <c r="E432" s="25">
        <v>313236.8</v>
      </c>
      <c r="F432" s="24">
        <f t="shared" si="0"/>
        <v>50.93</v>
      </c>
      <c r="G432" s="26">
        <f t="shared" si="1"/>
        <v>315049.88</v>
      </c>
      <c r="H432" s="27" t="str">
        <f t="shared" si="2"/>
        <v/>
      </c>
      <c r="J432" s="73"/>
      <c r="K432" s="28" t="s">
        <v>295</v>
      </c>
      <c r="L432" s="74">
        <v>23.6</v>
      </c>
      <c r="M432" s="31" t="s">
        <v>296</v>
      </c>
    </row>
    <row r="433" spans="1:13" ht="14.25" customHeight="1">
      <c r="A433" s="21">
        <v>44407</v>
      </c>
      <c r="B433" s="22">
        <v>334.55</v>
      </c>
      <c r="C433" s="23" t="s">
        <v>20</v>
      </c>
      <c r="D433" s="24">
        <v>3868.63</v>
      </c>
      <c r="E433" s="25">
        <v>316511.8</v>
      </c>
      <c r="F433" s="24">
        <f t="shared" si="0"/>
        <v>155.36000000000001</v>
      </c>
      <c r="G433" s="26">
        <f t="shared" si="1"/>
        <v>961141.29</v>
      </c>
      <c r="H433" s="27" t="str">
        <f t="shared" si="2"/>
        <v/>
      </c>
      <c r="J433" s="73"/>
      <c r="K433" s="31" t="s">
        <v>130</v>
      </c>
      <c r="L433" s="74">
        <v>15.93</v>
      </c>
      <c r="M433" s="31" t="s">
        <v>297</v>
      </c>
    </row>
    <row r="434" spans="1:13" ht="14.25" customHeight="1">
      <c r="A434" s="21">
        <v>44410</v>
      </c>
      <c r="B434" s="22">
        <v>95</v>
      </c>
      <c r="C434" s="23" t="s">
        <v>203</v>
      </c>
      <c r="D434" s="24"/>
      <c r="E434" s="25"/>
      <c r="F434" s="24" t="str">
        <f t="shared" si="0"/>
        <v/>
      </c>
      <c r="G434" s="26" t="str">
        <f t="shared" si="1"/>
        <v/>
      </c>
      <c r="H434" s="27" t="str">
        <f t="shared" si="2"/>
        <v>Positional</v>
      </c>
      <c r="J434" s="73"/>
      <c r="K434" s="31" t="s">
        <v>130</v>
      </c>
      <c r="L434" s="74">
        <v>15.93</v>
      </c>
      <c r="M434" s="31" t="s">
        <v>280</v>
      </c>
    </row>
    <row r="435" spans="1:13" ht="14.25" customHeight="1">
      <c r="A435" s="21">
        <v>44410</v>
      </c>
      <c r="B435" s="22">
        <v>0.43</v>
      </c>
      <c r="C435" s="23" t="s">
        <v>16</v>
      </c>
      <c r="D435" s="24">
        <v>19020.13</v>
      </c>
      <c r="E435" s="25">
        <v>306451.8</v>
      </c>
      <c r="F435" s="24">
        <f t="shared" si="0"/>
        <v>52.61</v>
      </c>
      <c r="G435" s="26">
        <f t="shared" si="1"/>
        <v>325471.93</v>
      </c>
      <c r="H435" s="27" t="str">
        <f t="shared" si="2"/>
        <v/>
      </c>
      <c r="J435" s="73"/>
      <c r="K435" s="31" t="s">
        <v>130</v>
      </c>
      <c r="L435" s="74">
        <v>15.93</v>
      </c>
      <c r="M435" s="31" t="s">
        <v>298</v>
      </c>
    </row>
    <row r="436" spans="1:13" ht="14.25" customHeight="1">
      <c r="A436" s="21">
        <v>44411</v>
      </c>
      <c r="B436" s="22">
        <v>-0.17</v>
      </c>
      <c r="C436" s="23" t="s">
        <v>16</v>
      </c>
      <c r="D436" s="24">
        <v>10875.91</v>
      </c>
      <c r="E436" s="25">
        <v>309589.3</v>
      </c>
      <c r="F436" s="24">
        <f t="shared" si="0"/>
        <v>51.8</v>
      </c>
      <c r="G436" s="26">
        <f t="shared" si="1"/>
        <v>320465.20999999996</v>
      </c>
      <c r="H436" s="27" t="str">
        <f t="shared" si="2"/>
        <v/>
      </c>
      <c r="J436" s="73"/>
      <c r="K436" s="31" t="s">
        <v>130</v>
      </c>
      <c r="L436" s="74">
        <v>15.93</v>
      </c>
      <c r="M436" s="31" t="s">
        <v>299</v>
      </c>
    </row>
    <row r="437" spans="1:13" ht="14.25" customHeight="1">
      <c r="A437" s="21">
        <v>44412</v>
      </c>
      <c r="B437" s="22">
        <v>258</v>
      </c>
      <c r="C437" s="23" t="s">
        <v>205</v>
      </c>
      <c r="D437" s="24"/>
      <c r="E437" s="25"/>
      <c r="F437" s="24" t="str">
        <f t="shared" si="0"/>
        <v/>
      </c>
      <c r="G437" s="26" t="str">
        <f t="shared" si="1"/>
        <v/>
      </c>
      <c r="H437" s="27" t="str">
        <f t="shared" si="2"/>
        <v>Positional</v>
      </c>
      <c r="J437" s="73"/>
      <c r="K437" s="31" t="s">
        <v>130</v>
      </c>
      <c r="L437" s="74">
        <v>15.93</v>
      </c>
      <c r="M437" s="31" t="s">
        <v>300</v>
      </c>
    </row>
    <row r="438" spans="1:13" ht="14.25" customHeight="1">
      <c r="A438" s="21">
        <v>44412</v>
      </c>
      <c r="B438" s="22">
        <v>-0.17</v>
      </c>
      <c r="C438" s="23" t="s">
        <v>16</v>
      </c>
      <c r="D438" s="24">
        <v>15704.81</v>
      </c>
      <c r="E438" s="25">
        <v>305007.5</v>
      </c>
      <c r="F438" s="24">
        <f t="shared" si="0"/>
        <v>51.84</v>
      </c>
      <c r="G438" s="26">
        <f t="shared" si="1"/>
        <v>320712.31</v>
      </c>
      <c r="H438" s="27" t="str">
        <f t="shared" si="2"/>
        <v/>
      </c>
      <c r="J438" s="73"/>
      <c r="K438" s="31" t="s">
        <v>130</v>
      </c>
      <c r="L438" s="74">
        <v>15.93</v>
      </c>
      <c r="M438" s="31" t="s">
        <v>273</v>
      </c>
    </row>
    <row r="439" spans="1:13" ht="14.25" customHeight="1">
      <c r="A439" s="21">
        <v>44413</v>
      </c>
      <c r="B439" s="22">
        <v>94.68</v>
      </c>
      <c r="C439" s="23" t="s">
        <v>20</v>
      </c>
      <c r="D439" s="24">
        <v>15799.5</v>
      </c>
      <c r="E439" s="25">
        <v>305007.5</v>
      </c>
      <c r="F439" s="24">
        <f t="shared" si="0"/>
        <v>51.86</v>
      </c>
      <c r="G439" s="26">
        <f t="shared" si="1"/>
        <v>320807</v>
      </c>
      <c r="H439" s="27" t="str">
        <f t="shared" si="2"/>
        <v/>
      </c>
      <c r="J439" s="73"/>
      <c r="K439" s="31" t="s">
        <v>130</v>
      </c>
      <c r="L439" s="74">
        <v>15.93</v>
      </c>
      <c r="M439" s="31" t="s">
        <v>301</v>
      </c>
    </row>
    <row r="440" spans="1:13" ht="14.25" customHeight="1">
      <c r="A440" s="21">
        <v>44414</v>
      </c>
      <c r="B440" s="22">
        <v>-230.09</v>
      </c>
      <c r="C440" s="23" t="s">
        <v>20</v>
      </c>
      <c r="D440" s="24">
        <v>15569.41</v>
      </c>
      <c r="E440" s="25">
        <v>305007.5</v>
      </c>
      <c r="F440" s="24">
        <f t="shared" si="0"/>
        <v>155.46</v>
      </c>
      <c r="G440" s="26">
        <f t="shared" si="1"/>
        <v>961730.73</v>
      </c>
      <c r="H440" s="27" t="str">
        <f t="shared" si="2"/>
        <v/>
      </c>
      <c r="J440" s="73"/>
      <c r="K440" s="31" t="s">
        <v>130</v>
      </c>
      <c r="L440" s="74"/>
      <c r="M440" s="31" t="s">
        <v>302</v>
      </c>
    </row>
    <row r="441" spans="1:13" ht="14.25" customHeight="1">
      <c r="A441" s="21">
        <v>44417</v>
      </c>
      <c r="B441" s="22">
        <v>0.7</v>
      </c>
      <c r="C441" s="23" t="s">
        <v>16</v>
      </c>
      <c r="D441" s="24">
        <v>7070.12</v>
      </c>
      <c r="E441" s="25">
        <v>313497.5</v>
      </c>
      <c r="F441" s="24">
        <f t="shared" si="0"/>
        <v>362.72</v>
      </c>
      <c r="G441" s="26">
        <f t="shared" si="1"/>
        <v>2243973.34</v>
      </c>
      <c r="H441" s="27" t="str">
        <f t="shared" si="2"/>
        <v/>
      </c>
      <c r="J441" s="73"/>
      <c r="K441" s="31" t="s">
        <v>130</v>
      </c>
      <c r="L441" s="74">
        <v>15.93</v>
      </c>
      <c r="M441" s="31" t="s">
        <v>303</v>
      </c>
    </row>
    <row r="442" spans="1:13" ht="14.25" customHeight="1">
      <c r="A442" s="21">
        <v>44424</v>
      </c>
      <c r="B442" s="22">
        <v>-0.19</v>
      </c>
      <c r="C442" s="23" t="s">
        <v>16</v>
      </c>
      <c r="D442" s="24">
        <v>2799.93</v>
      </c>
      <c r="E442" s="25">
        <v>317762.5</v>
      </c>
      <c r="F442" s="24">
        <f t="shared" si="0"/>
        <v>466.35</v>
      </c>
      <c r="G442" s="26">
        <f t="shared" si="1"/>
        <v>2885061.87</v>
      </c>
      <c r="H442" s="27" t="str">
        <f t="shared" si="2"/>
        <v/>
      </c>
      <c r="J442" s="73"/>
      <c r="K442" s="31" t="s">
        <v>130</v>
      </c>
      <c r="L442" s="74">
        <v>15.93</v>
      </c>
      <c r="M442" s="31" t="s">
        <v>59</v>
      </c>
    </row>
    <row r="443" spans="1:13" ht="14.25" customHeight="1">
      <c r="A443" s="21">
        <v>44433</v>
      </c>
      <c r="B443" s="22">
        <v>-1.01</v>
      </c>
      <c r="C443" s="23" t="s">
        <v>16</v>
      </c>
      <c r="D443" s="24">
        <v>1950.91</v>
      </c>
      <c r="E443" s="25">
        <v>333429.5</v>
      </c>
      <c r="F443" s="24">
        <f t="shared" si="0"/>
        <v>54.21</v>
      </c>
      <c r="G443" s="26">
        <f t="shared" si="1"/>
        <v>335380.40999999997</v>
      </c>
      <c r="H443" s="27" t="str">
        <f t="shared" si="2"/>
        <v/>
      </c>
      <c r="J443" s="73"/>
      <c r="K443" s="31" t="s">
        <v>130</v>
      </c>
      <c r="L443" s="74">
        <v>15.93</v>
      </c>
      <c r="M443" s="31" t="s">
        <v>304</v>
      </c>
    </row>
    <row r="444" spans="1:13" ht="14.25" customHeight="1">
      <c r="A444" s="21">
        <v>44434</v>
      </c>
      <c r="B444" s="22">
        <v>5</v>
      </c>
      <c r="C444" s="23" t="s">
        <v>206</v>
      </c>
      <c r="D444" s="24"/>
      <c r="E444" s="25"/>
      <c r="F444" s="24" t="str">
        <f t="shared" si="0"/>
        <v/>
      </c>
      <c r="G444" s="26" t="str">
        <f t="shared" si="1"/>
        <v/>
      </c>
      <c r="H444" s="27" t="str">
        <f t="shared" si="2"/>
        <v>Positional</v>
      </c>
      <c r="J444" s="73"/>
      <c r="K444" s="31" t="s">
        <v>130</v>
      </c>
      <c r="L444" s="74">
        <v>15.93</v>
      </c>
      <c r="M444" s="31" t="s">
        <v>305</v>
      </c>
    </row>
    <row r="445" spans="1:13" ht="14.25" customHeight="1">
      <c r="A445" s="21">
        <v>44434</v>
      </c>
      <c r="B445" s="22">
        <v>0.44</v>
      </c>
      <c r="C445" s="23" t="s">
        <v>16</v>
      </c>
      <c r="D445" s="24">
        <v>2966.43</v>
      </c>
      <c r="E445" s="25">
        <v>332404.5</v>
      </c>
      <c r="F445" s="24">
        <f t="shared" si="0"/>
        <v>271.05</v>
      </c>
      <c r="G445" s="26">
        <f t="shared" si="1"/>
        <v>1676854.65</v>
      </c>
      <c r="H445" s="27" t="str">
        <f t="shared" si="2"/>
        <v/>
      </c>
      <c r="J445" s="73"/>
      <c r="K445" s="28" t="s">
        <v>306</v>
      </c>
      <c r="L445" s="74">
        <v>23.6</v>
      </c>
      <c r="M445" s="31" t="s">
        <v>307</v>
      </c>
    </row>
    <row r="446" spans="1:13" ht="14.25" customHeight="1">
      <c r="A446" s="21">
        <v>44439</v>
      </c>
      <c r="B446" s="22">
        <v>491</v>
      </c>
      <c r="C446" s="23" t="s">
        <v>207</v>
      </c>
      <c r="D446" s="24"/>
      <c r="E446" s="25"/>
      <c r="F446" s="24" t="str">
        <f t="shared" si="0"/>
        <v/>
      </c>
      <c r="G446" s="26" t="str">
        <f t="shared" si="1"/>
        <v/>
      </c>
      <c r="H446" s="27" t="str">
        <f t="shared" si="2"/>
        <v>Positional</v>
      </c>
      <c r="J446" s="73"/>
      <c r="K446" s="31" t="s">
        <v>308</v>
      </c>
      <c r="L446" s="74">
        <v>499</v>
      </c>
      <c r="M446" s="31"/>
    </row>
    <row r="447" spans="1:13" ht="14.25" customHeight="1">
      <c r="A447" s="21">
        <v>44439</v>
      </c>
      <c r="B447" s="22">
        <v>16.5</v>
      </c>
      <c r="C447" s="23" t="s">
        <v>20</v>
      </c>
      <c r="D447" s="24">
        <v>11958</v>
      </c>
      <c r="E447" s="25">
        <v>332404.5</v>
      </c>
      <c r="F447" s="24">
        <f t="shared" si="0"/>
        <v>55.66</v>
      </c>
      <c r="G447" s="26">
        <f t="shared" si="1"/>
        <v>344362.5</v>
      </c>
      <c r="H447" s="27" t="str">
        <f t="shared" si="2"/>
        <v/>
      </c>
      <c r="J447" s="73"/>
      <c r="K447" s="31" t="s">
        <v>267</v>
      </c>
      <c r="L447" s="74">
        <v>10.62</v>
      </c>
      <c r="M447" s="31"/>
    </row>
    <row r="448" spans="1:13" ht="14.25" customHeight="1">
      <c r="A448" s="21">
        <v>44440</v>
      </c>
      <c r="B448" s="22">
        <v>309</v>
      </c>
      <c r="C448" s="23" t="s">
        <v>208</v>
      </c>
      <c r="D448" s="24"/>
      <c r="E448" s="25"/>
      <c r="F448" s="24" t="str">
        <f t="shared" si="0"/>
        <v/>
      </c>
      <c r="G448" s="26" t="str">
        <f t="shared" si="1"/>
        <v/>
      </c>
      <c r="H448" s="27" t="str">
        <f t="shared" si="2"/>
        <v>Positional</v>
      </c>
      <c r="J448" s="73"/>
      <c r="K448" s="31" t="s">
        <v>130</v>
      </c>
      <c r="L448" s="74">
        <v>15.93</v>
      </c>
      <c r="M448" s="31" t="s">
        <v>309</v>
      </c>
    </row>
    <row r="449" spans="1:13" ht="14.25" customHeight="1">
      <c r="A449" s="21">
        <v>44440</v>
      </c>
      <c r="B449" s="22">
        <v>-2547</v>
      </c>
      <c r="C449" s="23" t="s">
        <v>209</v>
      </c>
      <c r="D449" s="24"/>
      <c r="E449" s="25"/>
      <c r="F449" s="24" t="str">
        <f t="shared" si="0"/>
        <v/>
      </c>
      <c r="G449" s="26" t="str">
        <f t="shared" si="1"/>
        <v/>
      </c>
      <c r="H449" s="27" t="str">
        <f t="shared" si="2"/>
        <v>Positional</v>
      </c>
      <c r="J449" s="73"/>
      <c r="K449" s="31" t="s">
        <v>130</v>
      </c>
      <c r="L449" s="74">
        <v>15.93</v>
      </c>
      <c r="M449" s="31" t="s">
        <v>310</v>
      </c>
    </row>
    <row r="450" spans="1:13" ht="14.25" customHeight="1">
      <c r="A450" s="21">
        <v>44440</v>
      </c>
      <c r="B450" s="22">
        <v>-385.16</v>
      </c>
      <c r="C450" s="23" t="s">
        <v>20</v>
      </c>
      <c r="D450" s="24">
        <v>23519.97</v>
      </c>
      <c r="E450" s="25">
        <v>309714.5</v>
      </c>
      <c r="F450" s="24">
        <f t="shared" si="0"/>
        <v>53.87</v>
      </c>
      <c r="G450" s="26">
        <f t="shared" si="1"/>
        <v>333234.46999999997</v>
      </c>
      <c r="H450" s="27" t="str">
        <f t="shared" si="2"/>
        <v/>
      </c>
      <c r="J450" s="73"/>
      <c r="K450" s="31" t="s">
        <v>130</v>
      </c>
      <c r="L450" s="74">
        <v>15.93</v>
      </c>
      <c r="M450" s="31" t="s">
        <v>311</v>
      </c>
    </row>
    <row r="451" spans="1:13" ht="14.25" customHeight="1">
      <c r="A451" s="21">
        <v>44441</v>
      </c>
      <c r="B451" s="22">
        <v>-1916.81</v>
      </c>
      <c r="C451" s="23" t="s">
        <v>20</v>
      </c>
      <c r="D451" s="24">
        <v>15292.16</v>
      </c>
      <c r="E451" s="25">
        <v>330999.5</v>
      </c>
      <c r="F451" s="24">
        <f t="shared" si="0"/>
        <v>55.98</v>
      </c>
      <c r="G451" s="26">
        <f t="shared" si="1"/>
        <v>346291.66</v>
      </c>
      <c r="H451" s="27" t="str">
        <f t="shared" si="2"/>
        <v/>
      </c>
      <c r="J451" s="73"/>
      <c r="K451" s="31" t="s">
        <v>130</v>
      </c>
      <c r="L451" s="74">
        <v>15.93</v>
      </c>
      <c r="M451" s="31" t="s">
        <v>312</v>
      </c>
    </row>
    <row r="452" spans="1:13" ht="14.25" customHeight="1">
      <c r="A452" s="21">
        <v>44442</v>
      </c>
      <c r="B452" s="22">
        <v>546</v>
      </c>
      <c r="C452" s="23" t="s">
        <v>210</v>
      </c>
      <c r="D452" s="24"/>
      <c r="E452" s="25"/>
      <c r="F452" s="24" t="str">
        <f t="shared" si="0"/>
        <v/>
      </c>
      <c r="G452" s="26" t="str">
        <f t="shared" si="1"/>
        <v/>
      </c>
      <c r="H452" s="27" t="str">
        <f t="shared" si="2"/>
        <v>Positional</v>
      </c>
      <c r="J452" s="73"/>
      <c r="K452" s="31" t="s">
        <v>130</v>
      </c>
      <c r="L452" s="74">
        <v>15.93</v>
      </c>
      <c r="M452" s="31" t="s">
        <v>313</v>
      </c>
    </row>
    <row r="453" spans="1:13" ht="14.25" customHeight="1">
      <c r="A453" s="21">
        <v>44442</v>
      </c>
      <c r="B453" s="22">
        <v>-0.01</v>
      </c>
      <c r="C453" s="23" t="s">
        <v>16</v>
      </c>
      <c r="D453" s="24">
        <v>27227.15</v>
      </c>
      <c r="E453" s="25">
        <v>319624.5</v>
      </c>
      <c r="F453" s="24">
        <f t="shared" si="0"/>
        <v>168.2</v>
      </c>
      <c r="G453" s="26">
        <f t="shared" si="1"/>
        <v>1040554.9500000001</v>
      </c>
      <c r="H453" s="27" t="str">
        <f t="shared" si="2"/>
        <v/>
      </c>
      <c r="J453" s="73"/>
      <c r="K453" s="31" t="s">
        <v>130</v>
      </c>
      <c r="L453" s="74">
        <v>15.93</v>
      </c>
      <c r="M453" s="31" t="s">
        <v>314</v>
      </c>
    </row>
    <row r="454" spans="1:13" ht="14.25" customHeight="1">
      <c r="A454" s="21">
        <v>44445</v>
      </c>
      <c r="B454" s="22">
        <v>285</v>
      </c>
      <c r="C454" s="23" t="s">
        <v>211</v>
      </c>
      <c r="D454" s="24"/>
      <c r="E454" s="25"/>
      <c r="F454" s="24" t="str">
        <f t="shared" si="0"/>
        <v/>
      </c>
      <c r="G454" s="26" t="str">
        <f t="shared" si="1"/>
        <v/>
      </c>
      <c r="H454" s="27" t="str">
        <f t="shared" si="2"/>
        <v>Positional</v>
      </c>
      <c r="J454" s="73"/>
      <c r="K454" s="31" t="s">
        <v>130</v>
      </c>
      <c r="L454" s="74">
        <v>15.93</v>
      </c>
      <c r="M454" s="31" t="s">
        <v>315</v>
      </c>
    </row>
    <row r="455" spans="1:13" ht="14.25" customHeight="1">
      <c r="A455" s="21">
        <v>44445</v>
      </c>
      <c r="B455" s="22">
        <v>-0.57999999999999996</v>
      </c>
      <c r="C455" s="23" t="s">
        <v>16</v>
      </c>
      <c r="D455" s="24">
        <v>7160.71</v>
      </c>
      <c r="E455" s="25">
        <v>339919.5</v>
      </c>
      <c r="F455" s="24">
        <f t="shared" si="0"/>
        <v>112.21</v>
      </c>
      <c r="G455" s="26">
        <f t="shared" si="1"/>
        <v>694160.42</v>
      </c>
      <c r="H455" s="27" t="str">
        <f t="shared" si="2"/>
        <v/>
      </c>
      <c r="J455" s="73"/>
      <c r="K455" s="31" t="s">
        <v>130</v>
      </c>
      <c r="L455" s="74">
        <v>15.93</v>
      </c>
      <c r="M455" s="31" t="s">
        <v>316</v>
      </c>
    </row>
    <row r="456" spans="1:13" ht="14.25" customHeight="1">
      <c r="A456" s="21">
        <v>44447</v>
      </c>
      <c r="B456" s="22">
        <v>61.1</v>
      </c>
      <c r="C456" s="23" t="s">
        <v>20</v>
      </c>
      <c r="D456" s="24">
        <v>7221.81</v>
      </c>
      <c r="E456" s="25">
        <v>339919.5</v>
      </c>
      <c r="F456" s="24">
        <f t="shared" si="0"/>
        <v>280.57</v>
      </c>
      <c r="G456" s="26">
        <f t="shared" si="1"/>
        <v>1735706.55</v>
      </c>
      <c r="H456" s="27" t="str">
        <f t="shared" si="2"/>
        <v/>
      </c>
      <c r="J456" s="73">
        <v>44707</v>
      </c>
      <c r="K456" s="31" t="s">
        <v>317</v>
      </c>
      <c r="L456" s="74">
        <v>35.4</v>
      </c>
      <c r="M456" s="28"/>
    </row>
    <row r="457" spans="1:13" ht="14.25" customHeight="1">
      <c r="A457" s="21">
        <v>44452</v>
      </c>
      <c r="B457" s="22">
        <v>761</v>
      </c>
      <c r="C457" s="23" t="s">
        <v>212</v>
      </c>
      <c r="D457" s="24"/>
      <c r="E457" s="25"/>
      <c r="F457" s="24" t="str">
        <f t="shared" si="0"/>
        <v/>
      </c>
      <c r="G457" s="26" t="str">
        <f t="shared" si="1"/>
        <v/>
      </c>
      <c r="H457" s="27" t="str">
        <f t="shared" si="2"/>
        <v>Positional</v>
      </c>
      <c r="J457" s="73"/>
      <c r="K457" s="31" t="s">
        <v>130</v>
      </c>
      <c r="L457" s="74">
        <v>15.93</v>
      </c>
      <c r="M457" s="31" t="s">
        <v>311</v>
      </c>
    </row>
    <row r="458" spans="1:13" ht="14.25" customHeight="1">
      <c r="A458" s="21">
        <v>44452</v>
      </c>
      <c r="B458" s="22">
        <v>0.8</v>
      </c>
      <c r="C458" s="23" t="s">
        <v>16</v>
      </c>
      <c r="D458" s="24">
        <v>30896.68</v>
      </c>
      <c r="E458" s="25">
        <v>317017.5</v>
      </c>
      <c r="F458" s="24">
        <f t="shared" si="0"/>
        <v>56.24</v>
      </c>
      <c r="G458" s="26">
        <f t="shared" si="1"/>
        <v>347914.18</v>
      </c>
      <c r="H458" s="27" t="str">
        <f t="shared" si="2"/>
        <v/>
      </c>
      <c r="J458" s="73"/>
      <c r="K458" s="31" t="s">
        <v>130</v>
      </c>
      <c r="L458" s="74">
        <v>15.93</v>
      </c>
      <c r="M458" s="31" t="s">
        <v>318</v>
      </c>
    </row>
    <row r="459" spans="1:13" ht="14.25" customHeight="1">
      <c r="A459" s="21">
        <v>44453</v>
      </c>
      <c r="B459" s="22">
        <v>17.059999999999999</v>
      </c>
      <c r="C459" s="23" t="s">
        <v>20</v>
      </c>
      <c r="D459" s="24">
        <v>30884.240000000002</v>
      </c>
      <c r="E459" s="25">
        <v>317017.5</v>
      </c>
      <c r="F459" s="24">
        <f t="shared" si="0"/>
        <v>56.24</v>
      </c>
      <c r="G459" s="26">
        <f t="shared" si="1"/>
        <v>347901.74</v>
      </c>
      <c r="H459" s="27" t="str">
        <f t="shared" si="2"/>
        <v/>
      </c>
      <c r="J459" s="73"/>
      <c r="K459" s="31" t="s">
        <v>130</v>
      </c>
      <c r="L459" s="74">
        <v>15.93</v>
      </c>
      <c r="M459" s="31" t="s">
        <v>318</v>
      </c>
    </row>
    <row r="460" spans="1:13" ht="14.25" customHeight="1">
      <c r="A460" s="21">
        <v>44454</v>
      </c>
      <c r="B460" s="22">
        <v>129</v>
      </c>
      <c r="C460" s="23" t="s">
        <v>214</v>
      </c>
      <c r="D460" s="24"/>
      <c r="E460" s="25"/>
      <c r="F460" s="24" t="str">
        <f t="shared" si="0"/>
        <v/>
      </c>
      <c r="G460" s="26" t="str">
        <f t="shared" si="1"/>
        <v/>
      </c>
      <c r="H460" s="27" t="str">
        <f t="shared" si="2"/>
        <v>Positional</v>
      </c>
      <c r="J460" s="73"/>
      <c r="K460" s="31" t="s">
        <v>130</v>
      </c>
      <c r="L460" s="74">
        <v>15.93</v>
      </c>
      <c r="M460" s="31" t="s">
        <v>318</v>
      </c>
    </row>
    <row r="461" spans="1:13" ht="14.25" customHeight="1">
      <c r="A461" s="21">
        <v>44454</v>
      </c>
      <c r="B461" s="22">
        <v>364.16</v>
      </c>
      <c r="C461" s="23" t="s">
        <v>20</v>
      </c>
      <c r="D461" s="24">
        <v>24528.47</v>
      </c>
      <c r="E461" s="25">
        <v>323797.5</v>
      </c>
      <c r="F461" s="24">
        <f t="shared" si="0"/>
        <v>56.3</v>
      </c>
      <c r="G461" s="26">
        <f t="shared" si="1"/>
        <v>348325.97</v>
      </c>
      <c r="H461" s="27" t="str">
        <f t="shared" si="2"/>
        <v/>
      </c>
      <c r="J461" s="73">
        <v>44715</v>
      </c>
      <c r="K461" s="31" t="s">
        <v>319</v>
      </c>
      <c r="L461" s="74">
        <v>23.6</v>
      </c>
      <c r="M461" s="31" t="s">
        <v>320</v>
      </c>
    </row>
    <row r="462" spans="1:13" ht="14.25" customHeight="1">
      <c r="A462" s="21">
        <v>44455</v>
      </c>
      <c r="B462" s="22">
        <v>2709</v>
      </c>
      <c r="C462" s="23" t="s">
        <v>215</v>
      </c>
      <c r="D462" s="24"/>
      <c r="E462" s="25"/>
      <c r="F462" s="24" t="str">
        <f t="shared" si="0"/>
        <v/>
      </c>
      <c r="G462" s="26" t="str">
        <f t="shared" si="1"/>
        <v/>
      </c>
      <c r="H462" s="27" t="str">
        <f t="shared" si="2"/>
        <v>Positional</v>
      </c>
      <c r="J462" s="73"/>
      <c r="K462" s="31" t="s">
        <v>130</v>
      </c>
      <c r="L462" s="74">
        <v>15.93</v>
      </c>
      <c r="M462" s="31" t="s">
        <v>321</v>
      </c>
    </row>
    <row r="463" spans="1:13" ht="14.25" customHeight="1">
      <c r="A463" s="21">
        <v>44455</v>
      </c>
      <c r="B463" s="22">
        <v>194</v>
      </c>
      <c r="C463" s="23" t="s">
        <v>216</v>
      </c>
      <c r="D463" s="24"/>
      <c r="E463" s="25"/>
      <c r="F463" s="24" t="str">
        <f t="shared" si="0"/>
        <v/>
      </c>
      <c r="G463" s="26" t="str">
        <f t="shared" si="1"/>
        <v/>
      </c>
      <c r="H463" s="27" t="str">
        <f t="shared" si="2"/>
        <v>Positional</v>
      </c>
      <c r="J463" s="73">
        <v>44726</v>
      </c>
      <c r="K463" s="31" t="s">
        <v>319</v>
      </c>
      <c r="L463" s="74">
        <v>23.6</v>
      </c>
      <c r="M463" s="31" t="s">
        <v>322</v>
      </c>
    </row>
    <row r="464" spans="1:13" ht="14.25" customHeight="1">
      <c r="A464" s="21">
        <v>44455</v>
      </c>
      <c r="B464" s="22">
        <v>-2015.67</v>
      </c>
      <c r="C464" s="23" t="s">
        <v>20</v>
      </c>
      <c r="D464" s="24">
        <v>44063.95</v>
      </c>
      <c r="E464" s="25">
        <v>281167.5</v>
      </c>
      <c r="F464" s="24">
        <f t="shared" si="0"/>
        <v>52.57</v>
      </c>
      <c r="G464" s="26">
        <f t="shared" si="1"/>
        <v>325231.45</v>
      </c>
      <c r="H464" s="27" t="str">
        <f t="shared" si="2"/>
        <v/>
      </c>
      <c r="J464" s="73">
        <v>44727</v>
      </c>
      <c r="K464" s="31" t="s">
        <v>323</v>
      </c>
      <c r="L464" s="74">
        <v>8.31</v>
      </c>
      <c r="M464" s="31" t="s">
        <v>324</v>
      </c>
    </row>
    <row r="465" spans="1:13" ht="14.25" customHeight="1">
      <c r="A465" s="21">
        <v>44456</v>
      </c>
      <c r="B465" s="22">
        <v>77.349999999999994</v>
      </c>
      <c r="C465" s="23" t="s">
        <v>20</v>
      </c>
      <c r="D465" s="24">
        <v>44125.37</v>
      </c>
      <c r="E465" s="25">
        <v>281867.5</v>
      </c>
      <c r="F465" s="24">
        <f t="shared" si="0"/>
        <v>158.08000000000001</v>
      </c>
      <c r="G465" s="26">
        <f t="shared" si="1"/>
        <v>977978.61</v>
      </c>
      <c r="H465" s="27" t="str">
        <f t="shared" si="2"/>
        <v/>
      </c>
      <c r="J465" s="73">
        <v>44736</v>
      </c>
      <c r="K465" s="31" t="s">
        <v>323</v>
      </c>
      <c r="L465" s="74">
        <v>10.31</v>
      </c>
      <c r="M465" s="31" t="s">
        <v>325</v>
      </c>
    </row>
    <row r="466" spans="1:13" ht="14.25" customHeight="1">
      <c r="A466" s="21">
        <v>44459</v>
      </c>
      <c r="B466" s="22">
        <v>0.04</v>
      </c>
      <c r="C466" s="23" t="s">
        <v>16</v>
      </c>
      <c r="D466" s="24">
        <v>18645.419999999998</v>
      </c>
      <c r="E466" s="25">
        <v>307317.5</v>
      </c>
      <c r="F466" s="24">
        <f t="shared" si="0"/>
        <v>52.69</v>
      </c>
      <c r="G466" s="26">
        <f t="shared" si="1"/>
        <v>325962.92</v>
      </c>
      <c r="H466" s="27" t="str">
        <f t="shared" si="2"/>
        <v/>
      </c>
      <c r="J466" s="73"/>
      <c r="K466" s="31" t="s">
        <v>130</v>
      </c>
      <c r="L466" s="74">
        <v>15.93</v>
      </c>
      <c r="M466" s="31" t="s">
        <v>326</v>
      </c>
    </row>
    <row r="467" spans="1:13" ht="14.25" customHeight="1">
      <c r="A467" s="21">
        <v>44460</v>
      </c>
      <c r="B467" s="22">
        <v>474</v>
      </c>
      <c r="C467" s="23" t="s">
        <v>138</v>
      </c>
      <c r="D467" s="24"/>
      <c r="E467" s="25"/>
      <c r="F467" s="24" t="str">
        <f t="shared" si="0"/>
        <v/>
      </c>
      <c r="G467" s="26" t="str">
        <f t="shared" si="1"/>
        <v/>
      </c>
      <c r="H467" s="27" t="str">
        <f t="shared" si="2"/>
        <v>Positional</v>
      </c>
      <c r="J467" s="73"/>
      <c r="K467" s="31" t="s">
        <v>130</v>
      </c>
      <c r="L467" s="74">
        <v>15.93</v>
      </c>
      <c r="M467" s="31" t="s">
        <v>326</v>
      </c>
    </row>
    <row r="468" spans="1:13" ht="14.25" customHeight="1">
      <c r="A468" s="21">
        <v>44460</v>
      </c>
      <c r="B468" s="22">
        <v>627</v>
      </c>
      <c r="C468" s="23" t="s">
        <v>218</v>
      </c>
      <c r="D468" s="24"/>
      <c r="E468" s="25"/>
      <c r="F468" s="24" t="str">
        <f t="shared" si="0"/>
        <v/>
      </c>
      <c r="G468" s="26" t="str">
        <f t="shared" si="1"/>
        <v/>
      </c>
      <c r="H468" s="27" t="str">
        <f t="shared" si="2"/>
        <v>Positional</v>
      </c>
      <c r="J468" s="73"/>
      <c r="K468" s="31" t="s">
        <v>130</v>
      </c>
      <c r="L468" s="74">
        <v>15.93</v>
      </c>
      <c r="M468" s="31" t="s">
        <v>327</v>
      </c>
    </row>
    <row r="469" spans="1:13" ht="14.25" customHeight="1">
      <c r="A469" s="21">
        <v>44460</v>
      </c>
      <c r="B469" s="22">
        <v>371.25</v>
      </c>
      <c r="C469" s="23" t="s">
        <v>20</v>
      </c>
      <c r="D469" s="24">
        <v>34690.800000000003</v>
      </c>
      <c r="E469" s="25">
        <v>292730.5</v>
      </c>
      <c r="F469" s="24">
        <f t="shared" si="0"/>
        <v>52.93</v>
      </c>
      <c r="G469" s="26">
        <f t="shared" si="1"/>
        <v>327421.3</v>
      </c>
      <c r="H469" s="27" t="str">
        <f t="shared" si="2"/>
        <v/>
      </c>
      <c r="J469" s="73"/>
      <c r="K469" s="31" t="s">
        <v>130</v>
      </c>
      <c r="L469" s="74">
        <v>15.93</v>
      </c>
      <c r="M469" s="31" t="s">
        <v>328</v>
      </c>
    </row>
    <row r="470" spans="1:13" ht="14.25" customHeight="1">
      <c r="A470" s="21">
        <v>44461</v>
      </c>
      <c r="B470" s="22">
        <v>347</v>
      </c>
      <c r="C470" s="23" t="s">
        <v>219</v>
      </c>
      <c r="D470" s="24"/>
      <c r="E470" s="25"/>
      <c r="F470" s="24" t="str">
        <f t="shared" si="0"/>
        <v/>
      </c>
      <c r="G470" s="26" t="str">
        <f t="shared" si="1"/>
        <v/>
      </c>
      <c r="H470" s="27" t="str">
        <f t="shared" si="2"/>
        <v>Positional</v>
      </c>
      <c r="J470" s="73"/>
      <c r="K470" s="31" t="s">
        <v>130</v>
      </c>
      <c r="L470" s="74">
        <v>15.93</v>
      </c>
      <c r="M470" s="31" t="s">
        <v>329</v>
      </c>
    </row>
    <row r="471" spans="1:13" ht="14.25" customHeight="1">
      <c r="A471" s="21">
        <v>44461</v>
      </c>
      <c r="B471" s="22">
        <v>187.15</v>
      </c>
      <c r="C471" s="23" t="s">
        <v>20</v>
      </c>
      <c r="D471" s="24">
        <v>34638.949999999997</v>
      </c>
      <c r="E471" s="25">
        <v>293315.5</v>
      </c>
      <c r="F471" s="24">
        <f t="shared" si="0"/>
        <v>53.01</v>
      </c>
      <c r="G471" s="26">
        <f t="shared" si="1"/>
        <v>327954.45</v>
      </c>
      <c r="H471" s="27" t="str">
        <f t="shared" si="2"/>
        <v/>
      </c>
      <c r="J471" s="73"/>
      <c r="K471" s="31" t="s">
        <v>130</v>
      </c>
      <c r="L471" s="74">
        <v>15.93</v>
      </c>
      <c r="M471" s="31" t="s">
        <v>282</v>
      </c>
    </row>
    <row r="472" spans="1:13" ht="14.25" customHeight="1">
      <c r="A472" s="21">
        <v>44462</v>
      </c>
      <c r="B472" s="22">
        <v>345</v>
      </c>
      <c r="C472" s="23" t="s">
        <v>220</v>
      </c>
      <c r="D472" s="24"/>
      <c r="E472" s="25"/>
      <c r="F472" s="24" t="str">
        <f t="shared" si="0"/>
        <v/>
      </c>
      <c r="G472" s="26" t="str">
        <f t="shared" si="1"/>
        <v/>
      </c>
      <c r="H472" s="27" t="str">
        <f t="shared" si="2"/>
        <v>Positional</v>
      </c>
      <c r="J472" s="73"/>
      <c r="K472" s="31" t="s">
        <v>130</v>
      </c>
      <c r="L472" s="74">
        <v>15.93</v>
      </c>
      <c r="M472" s="31" t="s">
        <v>273</v>
      </c>
    </row>
    <row r="473" spans="1:13" ht="14.25" customHeight="1">
      <c r="A473" s="21">
        <v>44462</v>
      </c>
      <c r="B473" s="22">
        <v>10.77</v>
      </c>
      <c r="C473" s="23" t="s">
        <v>20</v>
      </c>
      <c r="D473" s="24">
        <v>38061.86</v>
      </c>
      <c r="E473" s="25">
        <v>305010.5</v>
      </c>
      <c r="F473" s="24">
        <f t="shared" si="0"/>
        <v>55.46</v>
      </c>
      <c r="G473" s="26">
        <f t="shared" si="1"/>
        <v>343072.36</v>
      </c>
      <c r="H473" s="27" t="str">
        <f t="shared" si="2"/>
        <v/>
      </c>
      <c r="J473" s="73"/>
      <c r="K473" s="31" t="s">
        <v>130</v>
      </c>
      <c r="L473" s="74">
        <v>15.93</v>
      </c>
      <c r="M473" s="31" t="s">
        <v>330</v>
      </c>
    </row>
    <row r="474" spans="1:13" ht="14.25" customHeight="1">
      <c r="A474" s="21">
        <v>44463</v>
      </c>
      <c r="B474" s="22">
        <v>1863</v>
      </c>
      <c r="C474" s="23" t="s">
        <v>45</v>
      </c>
      <c r="D474" s="24"/>
      <c r="E474" s="25"/>
      <c r="F474" s="24" t="str">
        <f t="shared" si="0"/>
        <v/>
      </c>
      <c r="G474" s="26" t="str">
        <f t="shared" si="1"/>
        <v/>
      </c>
      <c r="H474" s="27" t="str">
        <f t="shared" si="2"/>
        <v>Positional</v>
      </c>
      <c r="J474" s="73"/>
      <c r="K474" s="31" t="s">
        <v>130</v>
      </c>
      <c r="L474" s="74">
        <v>15.93</v>
      </c>
      <c r="M474" s="31" t="s">
        <v>331</v>
      </c>
    </row>
    <row r="475" spans="1:13" ht="14.25" customHeight="1">
      <c r="A475" s="21">
        <v>44463</v>
      </c>
      <c r="B475" s="22">
        <v>-5.95</v>
      </c>
      <c r="C475" s="23" t="s">
        <v>20</v>
      </c>
      <c r="D475" s="24">
        <v>29917.98</v>
      </c>
      <c r="E475" s="25">
        <v>314965.5</v>
      </c>
      <c r="F475" s="24">
        <f t="shared" si="0"/>
        <v>222.99</v>
      </c>
      <c r="G475" s="26">
        <f t="shared" si="1"/>
        <v>1379533.92</v>
      </c>
      <c r="H475" s="27" t="str">
        <f t="shared" si="2"/>
        <v/>
      </c>
      <c r="J475" s="73"/>
      <c r="K475" s="31" t="s">
        <v>130</v>
      </c>
      <c r="L475" s="74">
        <v>15.93</v>
      </c>
      <c r="M475" s="31" t="s">
        <v>282</v>
      </c>
    </row>
    <row r="476" spans="1:13" ht="14.25" customHeight="1">
      <c r="A476" s="21">
        <v>44467</v>
      </c>
      <c r="B476" s="22">
        <v>64.010000000000005</v>
      </c>
      <c r="C476" s="23" t="s">
        <v>20</v>
      </c>
      <c r="D476" s="24">
        <v>6924.99</v>
      </c>
      <c r="E476" s="25">
        <v>337995.5</v>
      </c>
      <c r="F476" s="24">
        <f t="shared" si="0"/>
        <v>55.75</v>
      </c>
      <c r="G476" s="26">
        <f t="shared" si="1"/>
        <v>344920.49</v>
      </c>
      <c r="H476" s="27" t="str">
        <f t="shared" si="2"/>
        <v/>
      </c>
      <c r="J476" s="73"/>
      <c r="K476" s="31" t="s">
        <v>130</v>
      </c>
      <c r="L476" s="74">
        <v>15.93</v>
      </c>
      <c r="M476" s="31" t="s">
        <v>273</v>
      </c>
    </row>
    <row r="477" spans="1:13" ht="14.25" customHeight="1">
      <c r="A477" s="21">
        <v>44468</v>
      </c>
      <c r="B477" s="22">
        <v>219.62</v>
      </c>
      <c r="C477" s="23" t="s">
        <v>20</v>
      </c>
      <c r="D477" s="24">
        <v>7144.61</v>
      </c>
      <c r="E477" s="25">
        <v>337995.5</v>
      </c>
      <c r="F477" s="24">
        <f t="shared" si="0"/>
        <v>55.79</v>
      </c>
      <c r="G477" s="26">
        <f t="shared" si="1"/>
        <v>345140.11</v>
      </c>
      <c r="H477" s="27" t="str">
        <f t="shared" si="2"/>
        <v/>
      </c>
      <c r="J477" s="73"/>
      <c r="K477" s="31" t="s">
        <v>130</v>
      </c>
      <c r="L477" s="74">
        <v>15.93</v>
      </c>
      <c r="M477" s="31" t="s">
        <v>332</v>
      </c>
    </row>
    <row r="478" spans="1:13" ht="14.25" customHeight="1">
      <c r="A478" s="21">
        <v>44469</v>
      </c>
      <c r="B478" s="22">
        <v>3</v>
      </c>
      <c r="C478" s="23" t="s">
        <v>221</v>
      </c>
      <c r="D478" s="24"/>
      <c r="E478" s="25"/>
      <c r="F478" s="24" t="str">
        <f t="shared" si="0"/>
        <v/>
      </c>
      <c r="G478" s="26" t="str">
        <f t="shared" si="1"/>
        <v/>
      </c>
      <c r="H478" s="27" t="str">
        <f t="shared" si="2"/>
        <v>Positional</v>
      </c>
      <c r="J478" s="73">
        <v>44778</v>
      </c>
      <c r="K478" s="31" t="s">
        <v>319</v>
      </c>
      <c r="L478" s="74">
        <v>23.6</v>
      </c>
      <c r="M478" s="76" t="s">
        <v>333</v>
      </c>
    </row>
    <row r="479" spans="1:13" ht="14.25" customHeight="1">
      <c r="A479" s="21">
        <v>44469</v>
      </c>
      <c r="B479" s="22">
        <v>0.46</v>
      </c>
      <c r="C479" s="23" t="s">
        <v>16</v>
      </c>
      <c r="D479" s="24">
        <v>8313.14</v>
      </c>
      <c r="E479" s="25">
        <v>336745.5</v>
      </c>
      <c r="F479" s="24">
        <f t="shared" si="0"/>
        <v>55.78</v>
      </c>
      <c r="G479" s="26">
        <f t="shared" si="1"/>
        <v>345058.64</v>
      </c>
      <c r="H479" s="27" t="str">
        <f t="shared" si="2"/>
        <v/>
      </c>
      <c r="J479" s="73"/>
      <c r="K479" s="28" t="s">
        <v>130</v>
      </c>
      <c r="L479" s="74">
        <v>15.93</v>
      </c>
      <c r="M479" s="31" t="s">
        <v>334</v>
      </c>
    </row>
    <row r="480" spans="1:13" ht="14.25" customHeight="1">
      <c r="A480" s="21">
        <v>44470</v>
      </c>
      <c r="B480" s="22">
        <v>-0.68</v>
      </c>
      <c r="C480" s="23" t="s">
        <v>16</v>
      </c>
      <c r="D480" s="24">
        <v>718.47</v>
      </c>
      <c r="E480" s="25">
        <v>344330.85</v>
      </c>
      <c r="F480" s="24">
        <f t="shared" si="0"/>
        <v>167.33</v>
      </c>
      <c r="G480" s="26">
        <f t="shared" si="1"/>
        <v>1035147.9599999998</v>
      </c>
      <c r="H480" s="27" t="str">
        <f t="shared" si="2"/>
        <v/>
      </c>
      <c r="J480" s="73"/>
      <c r="K480" s="28" t="s">
        <v>130</v>
      </c>
      <c r="L480" s="74">
        <v>15.93</v>
      </c>
      <c r="M480" s="31" t="s">
        <v>335</v>
      </c>
    </row>
    <row r="481" spans="1:13" ht="14.25" customHeight="1">
      <c r="A481" s="21">
        <v>44473</v>
      </c>
      <c r="B481" s="22">
        <v>413</v>
      </c>
      <c r="C481" s="23" t="s">
        <v>222</v>
      </c>
      <c r="D481" s="24"/>
      <c r="E481" s="25"/>
      <c r="F481" s="24" t="str">
        <f t="shared" si="0"/>
        <v/>
      </c>
      <c r="G481" s="26" t="str">
        <f t="shared" si="1"/>
        <v/>
      </c>
      <c r="H481" s="27" t="str">
        <f t="shared" si="2"/>
        <v>Positional</v>
      </c>
      <c r="J481" s="73"/>
      <c r="K481" s="28" t="s">
        <v>130</v>
      </c>
      <c r="L481" s="74">
        <v>15.93</v>
      </c>
      <c r="M481" s="31" t="s">
        <v>336</v>
      </c>
    </row>
    <row r="482" spans="1:13" ht="14.25" customHeight="1">
      <c r="A482" s="21">
        <v>44473</v>
      </c>
      <c r="B482" s="22">
        <v>116</v>
      </c>
      <c r="C482" s="23" t="s">
        <v>223</v>
      </c>
      <c r="D482" s="24"/>
      <c r="E482" s="25"/>
      <c r="F482" s="24" t="str">
        <f t="shared" si="0"/>
        <v/>
      </c>
      <c r="G482" s="26" t="str">
        <f t="shared" si="1"/>
        <v/>
      </c>
      <c r="H482" s="27" t="str">
        <f t="shared" si="2"/>
        <v>Positional</v>
      </c>
      <c r="J482" s="73"/>
      <c r="K482" s="28" t="s">
        <v>130</v>
      </c>
      <c r="L482" s="74">
        <v>15.93</v>
      </c>
      <c r="M482" s="31" t="s">
        <v>260</v>
      </c>
    </row>
    <row r="483" spans="1:13" ht="14.25" customHeight="1">
      <c r="A483" s="21">
        <v>44473</v>
      </c>
      <c r="B483" s="22">
        <v>0.08</v>
      </c>
      <c r="C483" s="23" t="s">
        <v>16</v>
      </c>
      <c r="D483" s="24">
        <v>3144.62</v>
      </c>
      <c r="E483" s="25">
        <v>342419.7</v>
      </c>
      <c r="F483" s="24">
        <f t="shared" si="0"/>
        <v>55.86</v>
      </c>
      <c r="G483" s="26">
        <f t="shared" si="1"/>
        <v>345564.32</v>
      </c>
      <c r="H483" s="27" t="str">
        <f t="shared" si="2"/>
        <v/>
      </c>
      <c r="J483" s="73"/>
      <c r="K483" s="28" t="s">
        <v>130</v>
      </c>
      <c r="L483" s="74">
        <v>15.93</v>
      </c>
      <c r="M483" s="77" t="s">
        <v>337</v>
      </c>
    </row>
    <row r="484" spans="1:13" ht="14.25" customHeight="1">
      <c r="A484" s="21">
        <v>44474</v>
      </c>
      <c r="B484" s="22">
        <v>467</v>
      </c>
      <c r="C484" s="23" t="s">
        <v>203</v>
      </c>
      <c r="D484" s="24"/>
      <c r="E484" s="25"/>
      <c r="F484" s="24" t="str">
        <f t="shared" si="0"/>
        <v/>
      </c>
      <c r="G484" s="26" t="str">
        <f t="shared" si="1"/>
        <v/>
      </c>
      <c r="H484" s="27" t="str">
        <f t="shared" si="2"/>
        <v>Positional</v>
      </c>
      <c r="J484" s="73">
        <v>44792</v>
      </c>
      <c r="K484" s="31" t="s">
        <v>323</v>
      </c>
      <c r="L484" s="74">
        <v>6.2</v>
      </c>
      <c r="M484" s="31" t="s">
        <v>338</v>
      </c>
    </row>
    <row r="485" spans="1:13" ht="14.25" customHeight="1">
      <c r="A485" s="21">
        <v>44474</v>
      </c>
      <c r="B485" s="22">
        <v>39</v>
      </c>
      <c r="C485" s="23" t="s">
        <v>224</v>
      </c>
      <c r="D485" s="24"/>
      <c r="E485" s="25"/>
      <c r="F485" s="24" t="str">
        <f t="shared" si="0"/>
        <v/>
      </c>
      <c r="G485" s="26" t="str">
        <f t="shared" si="1"/>
        <v/>
      </c>
      <c r="H485" s="27" t="str">
        <f t="shared" si="2"/>
        <v>Positional</v>
      </c>
      <c r="J485" s="73"/>
      <c r="K485" s="28" t="s">
        <v>130</v>
      </c>
      <c r="L485" s="74">
        <v>15.93</v>
      </c>
      <c r="M485" s="31" t="s">
        <v>339</v>
      </c>
    </row>
    <row r="486" spans="1:13" ht="14.25" customHeight="1">
      <c r="A486" s="21">
        <v>44474</v>
      </c>
      <c r="B486" s="22">
        <v>0.33</v>
      </c>
      <c r="C486" s="23" t="s">
        <v>16</v>
      </c>
      <c r="D486" s="24">
        <v>30855.16</v>
      </c>
      <c r="E486" s="25">
        <v>315199.7</v>
      </c>
      <c r="F486" s="24">
        <f t="shared" si="0"/>
        <v>111.88</v>
      </c>
      <c r="G486" s="26">
        <f t="shared" si="1"/>
        <v>692109.72</v>
      </c>
      <c r="H486" s="27" t="str">
        <f t="shared" si="2"/>
        <v/>
      </c>
      <c r="J486" s="73"/>
      <c r="K486" s="28" t="s">
        <v>130</v>
      </c>
      <c r="L486" s="74">
        <v>15.93</v>
      </c>
      <c r="M486" s="31" t="s">
        <v>340</v>
      </c>
    </row>
    <row r="487" spans="1:13" ht="14.25" customHeight="1">
      <c r="A487" s="21">
        <v>44476</v>
      </c>
      <c r="B487" s="22">
        <v>153</v>
      </c>
      <c r="C487" s="23" t="s">
        <v>225</v>
      </c>
      <c r="D487" s="24"/>
      <c r="E487" s="25"/>
      <c r="F487" s="24" t="str">
        <f t="shared" si="0"/>
        <v/>
      </c>
      <c r="G487" s="26" t="str">
        <f t="shared" si="1"/>
        <v/>
      </c>
      <c r="H487" s="27" t="str">
        <f t="shared" si="2"/>
        <v>Positional</v>
      </c>
      <c r="J487" s="73"/>
      <c r="K487" s="28" t="s">
        <v>130</v>
      </c>
      <c r="L487" s="74">
        <v>15.93</v>
      </c>
      <c r="M487" s="31" t="s">
        <v>341</v>
      </c>
    </row>
    <row r="488" spans="1:13" ht="14.25" customHeight="1">
      <c r="A488" s="21">
        <v>44476</v>
      </c>
      <c r="B488" s="22">
        <v>-0.34</v>
      </c>
      <c r="C488" s="23" t="s">
        <v>16</v>
      </c>
      <c r="D488" s="24">
        <v>38705.89</v>
      </c>
      <c r="E488" s="25">
        <v>307584.7</v>
      </c>
      <c r="F488" s="24">
        <f t="shared" si="0"/>
        <v>55.98</v>
      </c>
      <c r="G488" s="26">
        <f t="shared" si="1"/>
        <v>346290.59</v>
      </c>
      <c r="H488" s="27" t="str">
        <f t="shared" si="2"/>
        <v/>
      </c>
      <c r="J488" s="73"/>
      <c r="K488" s="28" t="s">
        <v>130</v>
      </c>
      <c r="L488" s="74">
        <v>15.93</v>
      </c>
      <c r="M488" s="31" t="s">
        <v>340</v>
      </c>
    </row>
    <row r="489" spans="1:13" ht="14.25" customHeight="1">
      <c r="A489" s="21">
        <v>44477</v>
      </c>
      <c r="B489" s="22">
        <v>70</v>
      </c>
      <c r="C489" s="23" t="s">
        <v>226</v>
      </c>
      <c r="D489" s="24"/>
      <c r="E489" s="25"/>
      <c r="F489" s="24" t="str">
        <f t="shared" si="0"/>
        <v/>
      </c>
      <c r="G489" s="26" t="str">
        <f t="shared" si="1"/>
        <v/>
      </c>
      <c r="H489" s="27" t="str">
        <f t="shared" si="2"/>
        <v>Positional</v>
      </c>
      <c r="J489" s="73"/>
      <c r="K489" s="28" t="s">
        <v>130</v>
      </c>
      <c r="L489" s="74">
        <v>15.93</v>
      </c>
      <c r="M489" s="31" t="s">
        <v>342</v>
      </c>
    </row>
    <row r="490" spans="1:13" ht="14.25" customHeight="1">
      <c r="A490" s="21">
        <v>44477</v>
      </c>
      <c r="B490" s="22">
        <v>435</v>
      </c>
      <c r="C490" s="23" t="s">
        <v>227</v>
      </c>
      <c r="D490" s="24"/>
      <c r="E490" s="25"/>
      <c r="F490" s="24" t="str">
        <f t="shared" si="0"/>
        <v/>
      </c>
      <c r="G490" s="26" t="str">
        <f t="shared" si="1"/>
        <v/>
      </c>
      <c r="H490" s="27" t="str">
        <f t="shared" si="2"/>
        <v>Positional</v>
      </c>
      <c r="J490" s="73"/>
      <c r="K490" s="28" t="s">
        <v>130</v>
      </c>
      <c r="L490" s="74">
        <v>15.93</v>
      </c>
      <c r="M490" s="31" t="s">
        <v>339</v>
      </c>
    </row>
    <row r="491" spans="1:13" ht="14.25" customHeight="1">
      <c r="A491" s="21">
        <v>44477</v>
      </c>
      <c r="B491" s="22">
        <v>457</v>
      </c>
      <c r="C491" s="23" t="s">
        <v>228</v>
      </c>
      <c r="D491" s="24"/>
      <c r="E491" s="25"/>
      <c r="F491" s="24" t="str">
        <f t="shared" si="0"/>
        <v/>
      </c>
      <c r="G491" s="26" t="str">
        <f t="shared" si="1"/>
        <v/>
      </c>
      <c r="H491" s="27" t="str">
        <f t="shared" si="2"/>
        <v>Positional</v>
      </c>
      <c r="J491" s="73"/>
      <c r="K491" s="28" t="s">
        <v>130</v>
      </c>
      <c r="L491" s="74">
        <v>15.93</v>
      </c>
      <c r="M491" s="31" t="s">
        <v>343</v>
      </c>
    </row>
    <row r="492" spans="1:13" ht="14.25" customHeight="1">
      <c r="A492" s="21">
        <v>44477</v>
      </c>
      <c r="B492" s="22">
        <v>75.099999999999994</v>
      </c>
      <c r="C492" s="23" t="s">
        <v>20</v>
      </c>
      <c r="D492" s="24">
        <v>53214.21</v>
      </c>
      <c r="E492" s="25">
        <v>308322.7</v>
      </c>
      <c r="F492" s="24">
        <f t="shared" si="0"/>
        <v>175.32</v>
      </c>
      <c r="G492" s="26">
        <f t="shared" si="1"/>
        <v>1084610.73</v>
      </c>
      <c r="H492" s="27" t="str">
        <f t="shared" si="2"/>
        <v/>
      </c>
      <c r="J492" s="73"/>
      <c r="K492" s="28" t="s">
        <v>130</v>
      </c>
      <c r="L492" s="74">
        <v>15.93</v>
      </c>
      <c r="M492" s="31" t="s">
        <v>344</v>
      </c>
    </row>
    <row r="493" spans="1:13" ht="14.25" customHeight="1">
      <c r="A493" s="21">
        <v>44480</v>
      </c>
      <c r="B493" s="22">
        <v>184.64</v>
      </c>
      <c r="C493" s="23" t="s">
        <v>20</v>
      </c>
      <c r="D493" s="24">
        <v>10028.85</v>
      </c>
      <c r="E493" s="25">
        <v>321697.7</v>
      </c>
      <c r="F493" s="24">
        <f t="shared" si="0"/>
        <v>53.62</v>
      </c>
      <c r="G493" s="26">
        <f t="shared" si="1"/>
        <v>331726.55</v>
      </c>
      <c r="H493" s="27" t="str">
        <f t="shared" si="2"/>
        <v/>
      </c>
      <c r="J493" s="73"/>
      <c r="K493" s="28" t="s">
        <v>130</v>
      </c>
      <c r="L493" s="74">
        <v>15.93</v>
      </c>
      <c r="M493" s="31" t="s">
        <v>345</v>
      </c>
    </row>
    <row r="494" spans="1:13" ht="14.25" customHeight="1">
      <c r="A494" s="21">
        <v>44481</v>
      </c>
      <c r="B494" s="22">
        <v>225.51</v>
      </c>
      <c r="C494" s="23" t="s">
        <v>20</v>
      </c>
      <c r="D494" s="24">
        <v>10233.36</v>
      </c>
      <c r="E494" s="25">
        <v>321697.7</v>
      </c>
      <c r="F494" s="24">
        <f t="shared" si="0"/>
        <v>53.65</v>
      </c>
      <c r="G494" s="26">
        <f t="shared" si="1"/>
        <v>331931.06</v>
      </c>
      <c r="H494" s="27" t="str">
        <f t="shared" si="2"/>
        <v/>
      </c>
      <c r="J494" s="73"/>
      <c r="K494" s="28" t="s">
        <v>130</v>
      </c>
      <c r="L494" s="74">
        <v>15.93</v>
      </c>
      <c r="M494" s="31" t="s">
        <v>346</v>
      </c>
    </row>
    <row r="495" spans="1:13" ht="14.25" customHeight="1">
      <c r="A495" s="21">
        <v>44482</v>
      </c>
      <c r="B495" s="22">
        <v>108.16</v>
      </c>
      <c r="C495" s="23" t="s">
        <v>20</v>
      </c>
      <c r="D495" s="24">
        <v>4280.59</v>
      </c>
      <c r="E495" s="25">
        <v>328110.2</v>
      </c>
      <c r="F495" s="24">
        <f t="shared" si="0"/>
        <v>53.73</v>
      </c>
      <c r="G495" s="26">
        <f t="shared" si="1"/>
        <v>332390.79000000004</v>
      </c>
      <c r="H495" s="27" t="str">
        <f t="shared" si="2"/>
        <v/>
      </c>
      <c r="J495" s="73"/>
      <c r="K495" s="28" t="s">
        <v>130</v>
      </c>
      <c r="L495" s="74">
        <v>15.93</v>
      </c>
      <c r="M495" s="31" t="s">
        <v>245</v>
      </c>
    </row>
    <row r="496" spans="1:13" ht="14.25" customHeight="1">
      <c r="A496" s="21">
        <v>44483</v>
      </c>
      <c r="B496" s="22">
        <v>-0.3</v>
      </c>
      <c r="C496" s="23" t="s">
        <v>20</v>
      </c>
      <c r="D496" s="24">
        <v>4280.29</v>
      </c>
      <c r="E496" s="25">
        <v>328110.2</v>
      </c>
      <c r="F496" s="24">
        <f t="shared" si="0"/>
        <v>214.92</v>
      </c>
      <c r="G496" s="26">
        <f t="shared" si="1"/>
        <v>1329561.96</v>
      </c>
      <c r="H496" s="27" t="str">
        <f t="shared" si="2"/>
        <v/>
      </c>
      <c r="J496" s="73">
        <v>44817</v>
      </c>
      <c r="K496" s="28" t="s">
        <v>130</v>
      </c>
      <c r="L496" s="74">
        <v>15.93</v>
      </c>
      <c r="M496" s="31" t="s">
        <v>108</v>
      </c>
    </row>
    <row r="497" spans="1:13" ht="14.25" customHeight="1">
      <c r="A497" s="21">
        <v>44487</v>
      </c>
      <c r="B497" s="22">
        <v>365</v>
      </c>
      <c r="C497" s="23" t="s">
        <v>229</v>
      </c>
      <c r="D497" s="24"/>
      <c r="E497" s="25"/>
      <c r="F497" s="24" t="str">
        <f t="shared" si="0"/>
        <v/>
      </c>
      <c r="G497" s="26" t="str">
        <f t="shared" si="1"/>
        <v/>
      </c>
      <c r="H497" s="27" t="str">
        <f t="shared" si="2"/>
        <v>Positional</v>
      </c>
      <c r="J497" s="73">
        <v>44817</v>
      </c>
      <c r="K497" s="28" t="s">
        <v>130</v>
      </c>
      <c r="L497" s="74">
        <v>15.93</v>
      </c>
      <c r="M497" s="31" t="s">
        <v>347</v>
      </c>
    </row>
    <row r="498" spans="1:13" ht="14.25" customHeight="1">
      <c r="A498" s="21">
        <v>44487</v>
      </c>
      <c r="B498" s="22">
        <v>327</v>
      </c>
      <c r="C498" s="23" t="s">
        <v>230</v>
      </c>
      <c r="D498" s="24"/>
      <c r="E498" s="25"/>
      <c r="F498" s="24" t="str">
        <f t="shared" si="0"/>
        <v/>
      </c>
      <c r="G498" s="26" t="str">
        <f t="shared" si="1"/>
        <v/>
      </c>
      <c r="H498" s="27" t="str">
        <f t="shared" si="2"/>
        <v>Positional</v>
      </c>
      <c r="J498" s="73">
        <v>44817</v>
      </c>
      <c r="K498" s="28" t="s">
        <v>130</v>
      </c>
      <c r="L498" s="74">
        <v>15.93</v>
      </c>
      <c r="M498" s="31" t="s">
        <v>348</v>
      </c>
    </row>
    <row r="499" spans="1:13" ht="14.25" customHeight="1">
      <c r="A499" s="21">
        <v>44487</v>
      </c>
      <c r="B499" s="22">
        <v>69</v>
      </c>
      <c r="C499" s="23" t="s">
        <v>231</v>
      </c>
      <c r="D499" s="24"/>
      <c r="E499" s="25"/>
      <c r="F499" s="24" t="str">
        <f t="shared" si="0"/>
        <v/>
      </c>
      <c r="G499" s="26" t="str">
        <f t="shared" si="1"/>
        <v/>
      </c>
      <c r="H499" s="27" t="str">
        <f t="shared" si="2"/>
        <v>Positional</v>
      </c>
      <c r="J499" s="73">
        <v>44818</v>
      </c>
      <c r="K499" s="28" t="s">
        <v>130</v>
      </c>
      <c r="L499" s="74">
        <v>15.93</v>
      </c>
      <c r="M499" s="31" t="s">
        <v>349</v>
      </c>
    </row>
    <row r="500" spans="1:13" ht="14.25" customHeight="1">
      <c r="A500" s="21">
        <v>44487</v>
      </c>
      <c r="B500" s="22">
        <v>131</v>
      </c>
      <c r="C500" s="23" t="s">
        <v>232</v>
      </c>
      <c r="D500" s="24"/>
      <c r="E500" s="25"/>
      <c r="F500" s="24" t="str">
        <f t="shared" si="0"/>
        <v/>
      </c>
      <c r="G500" s="26" t="str">
        <f t="shared" si="1"/>
        <v/>
      </c>
      <c r="H500" s="27" t="str">
        <f t="shared" si="2"/>
        <v>Positional</v>
      </c>
      <c r="J500" s="73">
        <v>44823</v>
      </c>
      <c r="K500" s="28" t="s">
        <v>130</v>
      </c>
      <c r="L500" s="74">
        <v>15.93</v>
      </c>
      <c r="M500" s="31" t="s">
        <v>350</v>
      </c>
    </row>
    <row r="501" spans="1:13" ht="14.25" customHeight="1">
      <c r="A501" s="21">
        <v>44487</v>
      </c>
      <c r="B501" s="22">
        <v>269.52</v>
      </c>
      <c r="C501" s="23" t="s">
        <v>20</v>
      </c>
      <c r="D501" s="24">
        <v>13744.08</v>
      </c>
      <c r="E501" s="25">
        <v>319754.2</v>
      </c>
      <c r="F501" s="24">
        <f t="shared" si="0"/>
        <v>53.91</v>
      </c>
      <c r="G501" s="26">
        <f t="shared" si="1"/>
        <v>333498.28000000003</v>
      </c>
      <c r="H501" s="27" t="str">
        <f t="shared" si="2"/>
        <v/>
      </c>
      <c r="J501" s="73">
        <v>44823</v>
      </c>
      <c r="K501" s="28" t="s">
        <v>130</v>
      </c>
      <c r="L501" s="74">
        <v>15.93</v>
      </c>
      <c r="M501" s="31" t="s">
        <v>351</v>
      </c>
    </row>
    <row r="502" spans="1:13" ht="14.25" customHeight="1">
      <c r="A502" s="21">
        <v>44488</v>
      </c>
      <c r="B502" s="22">
        <v>673</v>
      </c>
      <c r="C502" s="23" t="s">
        <v>233</v>
      </c>
      <c r="D502" s="24"/>
      <c r="E502" s="25"/>
      <c r="F502" s="24" t="str">
        <f t="shared" si="0"/>
        <v/>
      </c>
      <c r="G502" s="26" t="str">
        <f t="shared" si="1"/>
        <v/>
      </c>
      <c r="H502" s="27" t="str">
        <f t="shared" si="2"/>
        <v>Positional</v>
      </c>
      <c r="J502" s="73">
        <v>44824</v>
      </c>
      <c r="K502" s="28" t="s">
        <v>130</v>
      </c>
      <c r="L502" s="74">
        <v>15.93</v>
      </c>
      <c r="M502" s="31" t="s">
        <v>265</v>
      </c>
    </row>
    <row r="503" spans="1:13" ht="14.25" customHeight="1">
      <c r="A503" s="21">
        <v>44488</v>
      </c>
      <c r="B503" s="22">
        <v>154.93</v>
      </c>
      <c r="C503" s="23" t="s">
        <v>20</v>
      </c>
      <c r="D503" s="24">
        <v>20601.09</v>
      </c>
      <c r="E503" s="25">
        <v>313716.7</v>
      </c>
      <c r="F503" s="24">
        <f t="shared" si="0"/>
        <v>54.04</v>
      </c>
      <c r="G503" s="26">
        <f t="shared" si="1"/>
        <v>334317.79000000004</v>
      </c>
      <c r="H503" s="27" t="str">
        <f t="shared" si="2"/>
        <v/>
      </c>
      <c r="J503" s="73">
        <v>44859</v>
      </c>
      <c r="K503" s="28" t="s">
        <v>130</v>
      </c>
      <c r="L503" s="74">
        <v>15.93</v>
      </c>
      <c r="M503" s="31" t="s">
        <v>352</v>
      </c>
    </row>
    <row r="504" spans="1:13" ht="14.25" customHeight="1">
      <c r="A504" s="21">
        <v>44489</v>
      </c>
      <c r="B504" s="22">
        <v>357.14</v>
      </c>
      <c r="C504" s="23" t="s">
        <v>20</v>
      </c>
      <c r="D504" s="24">
        <v>31205.24</v>
      </c>
      <c r="E504" s="25">
        <v>333446.7</v>
      </c>
      <c r="F504" s="24">
        <f t="shared" si="0"/>
        <v>58.94</v>
      </c>
      <c r="G504" s="26">
        <f t="shared" si="1"/>
        <v>364651.94</v>
      </c>
      <c r="H504" s="27" t="str">
        <f t="shared" si="2"/>
        <v/>
      </c>
      <c r="J504" s="73"/>
      <c r="K504" s="31" t="s">
        <v>353</v>
      </c>
      <c r="L504" s="74"/>
      <c r="M504" s="31"/>
    </row>
    <row r="505" spans="1:13" ht="14.25" customHeight="1">
      <c r="A505" s="21">
        <v>44490</v>
      </c>
      <c r="B505" s="22">
        <v>117.53</v>
      </c>
      <c r="C505" s="23" t="s">
        <v>20</v>
      </c>
      <c r="D505" s="24">
        <v>9406.76</v>
      </c>
      <c r="E505" s="25">
        <v>355236.7</v>
      </c>
      <c r="F505" s="24">
        <f t="shared" si="0"/>
        <v>58.94</v>
      </c>
      <c r="G505" s="26">
        <f t="shared" si="1"/>
        <v>364643.46</v>
      </c>
      <c r="H505" s="27" t="str">
        <f t="shared" si="2"/>
        <v/>
      </c>
      <c r="J505" s="73">
        <v>44865</v>
      </c>
      <c r="K505" s="28" t="s">
        <v>130</v>
      </c>
      <c r="L505" s="74">
        <v>15.93</v>
      </c>
      <c r="M505" s="31" t="s">
        <v>354</v>
      </c>
    </row>
    <row r="506" spans="1:13" ht="14.25" customHeight="1">
      <c r="A506" s="21">
        <v>44491</v>
      </c>
      <c r="B506" s="22">
        <v>248.01</v>
      </c>
      <c r="C506" s="23" t="s">
        <v>20</v>
      </c>
      <c r="D506" s="24">
        <v>4427.76</v>
      </c>
      <c r="E506" s="25">
        <v>354278</v>
      </c>
      <c r="F506" s="24">
        <f t="shared" si="0"/>
        <v>173.95</v>
      </c>
      <c r="G506" s="26">
        <f t="shared" si="1"/>
        <v>1076117.28</v>
      </c>
      <c r="H506" s="27" t="str">
        <f t="shared" si="2"/>
        <v/>
      </c>
      <c r="J506" s="73">
        <v>44876</v>
      </c>
      <c r="K506" s="28" t="s">
        <v>130</v>
      </c>
      <c r="L506" s="74">
        <v>15.93</v>
      </c>
      <c r="M506" s="31" t="s">
        <v>115</v>
      </c>
    </row>
    <row r="507" spans="1:13" ht="14.25" customHeight="1">
      <c r="A507" s="21">
        <v>44494</v>
      </c>
      <c r="B507" s="22">
        <v>794</v>
      </c>
      <c r="C507" s="23" t="s">
        <v>234</v>
      </c>
      <c r="D507" s="24"/>
      <c r="E507" s="25"/>
      <c r="F507" s="24" t="str">
        <f t="shared" si="0"/>
        <v/>
      </c>
      <c r="G507" s="26" t="str">
        <f t="shared" si="1"/>
        <v/>
      </c>
      <c r="H507" s="27" t="str">
        <f t="shared" si="2"/>
        <v>Positional</v>
      </c>
      <c r="J507" s="73">
        <v>44876</v>
      </c>
      <c r="K507" s="28" t="s">
        <v>355</v>
      </c>
      <c r="L507" s="74">
        <v>118</v>
      </c>
      <c r="M507" s="31"/>
    </row>
    <row r="508" spans="1:13" ht="14.25" customHeight="1">
      <c r="A508" s="21">
        <v>44494</v>
      </c>
      <c r="B508" s="22">
        <v>-0.33</v>
      </c>
      <c r="C508" s="23" t="s">
        <v>16</v>
      </c>
      <c r="D508" s="24">
        <v>11978.51</v>
      </c>
      <c r="E508" s="25">
        <v>347505</v>
      </c>
      <c r="F508" s="24">
        <f t="shared" si="0"/>
        <v>58.11</v>
      </c>
      <c r="G508" s="26">
        <f t="shared" si="1"/>
        <v>359483.51</v>
      </c>
      <c r="H508" s="27" t="str">
        <f t="shared" si="2"/>
        <v/>
      </c>
      <c r="J508" s="73">
        <v>44879</v>
      </c>
      <c r="K508" s="28" t="s">
        <v>130</v>
      </c>
      <c r="L508" s="74">
        <v>15.93</v>
      </c>
      <c r="M508" s="31" t="s">
        <v>356</v>
      </c>
    </row>
    <row r="509" spans="1:13" ht="14.25" customHeight="1">
      <c r="A509" s="21">
        <v>44495</v>
      </c>
      <c r="B509" s="22">
        <v>516.21</v>
      </c>
      <c r="C509" s="23" t="s">
        <v>20</v>
      </c>
      <c r="D509" s="24">
        <v>14494.71</v>
      </c>
      <c r="E509" s="25">
        <v>347505</v>
      </c>
      <c r="F509" s="24">
        <f t="shared" si="0"/>
        <v>58.52</v>
      </c>
      <c r="G509" s="26">
        <f t="shared" si="1"/>
        <v>361999.71</v>
      </c>
      <c r="H509" s="27" t="str">
        <f t="shared" si="2"/>
        <v/>
      </c>
      <c r="J509" s="73">
        <v>44879</v>
      </c>
      <c r="K509" s="28" t="s">
        <v>130</v>
      </c>
      <c r="L509" s="74">
        <v>15.93</v>
      </c>
      <c r="M509" s="31" t="s">
        <v>357</v>
      </c>
    </row>
    <row r="510" spans="1:13" ht="14.25" customHeight="1">
      <c r="A510" s="21">
        <v>44496</v>
      </c>
      <c r="B510" s="22">
        <v>310.35000000000002</v>
      </c>
      <c r="C510" s="23" t="s">
        <v>20</v>
      </c>
      <c r="D510" s="24">
        <v>4793.07</v>
      </c>
      <c r="E510" s="25">
        <v>357517</v>
      </c>
      <c r="F510" s="24">
        <f t="shared" si="0"/>
        <v>58.57</v>
      </c>
      <c r="G510" s="26">
        <f t="shared" si="1"/>
        <v>362310.07</v>
      </c>
      <c r="H510" s="27" t="str">
        <f t="shared" si="2"/>
        <v/>
      </c>
      <c r="J510" s="73">
        <v>44880</v>
      </c>
      <c r="K510" s="28" t="s">
        <v>130</v>
      </c>
      <c r="L510" s="74">
        <v>15.93</v>
      </c>
      <c r="M510" s="31" t="s">
        <v>358</v>
      </c>
    </row>
    <row r="511" spans="1:13" ht="14.25" customHeight="1">
      <c r="A511" s="21">
        <v>44497</v>
      </c>
      <c r="B511" s="22">
        <v>-0.75</v>
      </c>
      <c r="C511" s="23" t="s">
        <v>16</v>
      </c>
      <c r="D511" s="24">
        <v>1011.82</v>
      </c>
      <c r="E511" s="25">
        <v>401209</v>
      </c>
      <c r="F511" s="24">
        <f t="shared" si="0"/>
        <v>65.02</v>
      </c>
      <c r="G511" s="26">
        <f t="shared" si="1"/>
        <v>402220.82</v>
      </c>
      <c r="H511" s="27" t="str">
        <f t="shared" si="2"/>
        <v/>
      </c>
      <c r="J511" s="73">
        <v>44880</v>
      </c>
      <c r="K511" s="28" t="s">
        <v>130</v>
      </c>
      <c r="L511" s="74">
        <v>15.93</v>
      </c>
      <c r="M511" s="31" t="s">
        <v>357</v>
      </c>
    </row>
    <row r="512" spans="1:13" ht="14.25" customHeight="1">
      <c r="A512" s="21">
        <v>44498</v>
      </c>
      <c r="B512" s="22">
        <v>0.01</v>
      </c>
      <c r="C512" s="23" t="s">
        <v>16</v>
      </c>
      <c r="D512" s="24">
        <v>219.83</v>
      </c>
      <c r="E512" s="25">
        <v>402001</v>
      </c>
      <c r="F512" s="24">
        <f t="shared" si="0"/>
        <v>195.05</v>
      </c>
      <c r="G512" s="26">
        <f t="shared" si="1"/>
        <v>1206662.49</v>
      </c>
      <c r="H512" s="27" t="str">
        <f t="shared" si="2"/>
        <v/>
      </c>
      <c r="J512" s="73">
        <v>44889</v>
      </c>
      <c r="K512" s="28" t="s">
        <v>130</v>
      </c>
      <c r="L512" s="74">
        <v>15.93</v>
      </c>
      <c r="M512" s="31" t="s">
        <v>359</v>
      </c>
    </row>
    <row r="513" spans="1:16" ht="14.25" customHeight="1">
      <c r="A513" s="21">
        <v>44501</v>
      </c>
      <c r="B513" s="22">
        <v>534</v>
      </c>
      <c r="C513" s="23" t="s">
        <v>233</v>
      </c>
      <c r="D513" s="24"/>
      <c r="E513" s="25"/>
      <c r="F513" s="24" t="str">
        <f t="shared" si="0"/>
        <v/>
      </c>
      <c r="G513" s="26" t="str">
        <f t="shared" si="1"/>
        <v/>
      </c>
      <c r="H513" s="27" t="str">
        <f t="shared" si="2"/>
        <v>Positional</v>
      </c>
      <c r="J513" s="73">
        <v>44889</v>
      </c>
      <c r="K513" s="28" t="s">
        <v>130</v>
      </c>
      <c r="L513" s="74">
        <v>15.93</v>
      </c>
      <c r="M513" s="31" t="s">
        <v>247</v>
      </c>
    </row>
    <row r="514" spans="1:16" ht="14.25" customHeight="1">
      <c r="A514" s="21">
        <v>44501</v>
      </c>
      <c r="B514" s="22">
        <v>0.69</v>
      </c>
      <c r="C514" s="23" t="s">
        <v>16</v>
      </c>
      <c r="D514" s="24">
        <v>7446.59</v>
      </c>
      <c r="E514" s="25">
        <v>395293</v>
      </c>
      <c r="F514" s="24">
        <f t="shared" si="0"/>
        <v>65.099999999999994</v>
      </c>
      <c r="G514" s="26">
        <f t="shared" si="1"/>
        <v>402739.59</v>
      </c>
      <c r="H514" s="27" t="str">
        <f t="shared" si="2"/>
        <v/>
      </c>
      <c r="J514" s="73">
        <v>44889</v>
      </c>
      <c r="K514" s="28" t="s">
        <v>130</v>
      </c>
      <c r="L514" s="74">
        <v>15.93</v>
      </c>
      <c r="M514" s="31" t="s">
        <v>118</v>
      </c>
    </row>
    <row r="515" spans="1:16" ht="14.25" customHeight="1">
      <c r="A515" s="21">
        <v>44502</v>
      </c>
      <c r="B515" s="22">
        <v>1428</v>
      </c>
      <c r="C515" s="23" t="s">
        <v>237</v>
      </c>
      <c r="D515" s="24"/>
      <c r="E515" s="25"/>
      <c r="F515" s="24" t="str">
        <f t="shared" si="0"/>
        <v/>
      </c>
      <c r="G515" s="26" t="str">
        <f t="shared" si="1"/>
        <v/>
      </c>
      <c r="H515" s="27" t="str">
        <f t="shared" si="2"/>
        <v>Positional</v>
      </c>
      <c r="J515" s="73">
        <v>44890</v>
      </c>
      <c r="K515" s="28" t="s">
        <v>130</v>
      </c>
      <c r="L515" s="74">
        <v>15.93</v>
      </c>
      <c r="M515" s="31" t="s">
        <v>360</v>
      </c>
    </row>
    <row r="516" spans="1:16" ht="14.25" customHeight="1">
      <c r="A516" s="21">
        <v>44502</v>
      </c>
      <c r="B516" s="22">
        <v>164</v>
      </c>
      <c r="C516" s="23" t="s">
        <v>214</v>
      </c>
      <c r="D516" s="24"/>
      <c r="E516" s="25"/>
      <c r="F516" s="24" t="str">
        <f t="shared" si="0"/>
        <v/>
      </c>
      <c r="G516" s="26" t="str">
        <f t="shared" si="1"/>
        <v/>
      </c>
      <c r="H516" s="27" t="str">
        <f t="shared" si="2"/>
        <v>Positional</v>
      </c>
      <c r="J516" s="73">
        <v>44896</v>
      </c>
      <c r="K516" s="28" t="s">
        <v>130</v>
      </c>
      <c r="L516" s="74">
        <v>15.93</v>
      </c>
      <c r="M516" s="31" t="s">
        <v>361</v>
      </c>
    </row>
    <row r="517" spans="1:16" ht="14.25" customHeight="1">
      <c r="A517" s="21">
        <v>44502</v>
      </c>
      <c r="B517" s="22">
        <v>-0.81</v>
      </c>
      <c r="C517" s="23" t="s">
        <v>16</v>
      </c>
      <c r="D517" s="24">
        <v>29915.919999999998</v>
      </c>
      <c r="E517" s="25">
        <v>374383</v>
      </c>
      <c r="F517" s="24">
        <f t="shared" si="0"/>
        <v>65.349999999999994</v>
      </c>
      <c r="G517" s="26">
        <f t="shared" si="1"/>
        <v>404298.92</v>
      </c>
      <c r="H517" s="27" t="str">
        <f t="shared" si="2"/>
        <v/>
      </c>
      <c r="J517" s="73">
        <v>44897</v>
      </c>
      <c r="K517" s="28" t="s">
        <v>130</v>
      </c>
      <c r="L517" s="74">
        <v>15.93</v>
      </c>
      <c r="M517" s="31" t="s">
        <v>362</v>
      </c>
    </row>
    <row r="518" spans="1:16" ht="14.25" customHeight="1">
      <c r="A518" s="21">
        <v>44503</v>
      </c>
      <c r="B518" s="22">
        <v>-2057.9299999999998</v>
      </c>
      <c r="C518" s="23" t="s">
        <v>4</v>
      </c>
      <c r="D518" s="24">
        <v>27857.99</v>
      </c>
      <c r="E518" s="25">
        <v>374383</v>
      </c>
      <c r="F518" s="24">
        <f t="shared" si="0"/>
        <v>325.10000000000002</v>
      </c>
      <c r="G518" s="26">
        <f t="shared" si="1"/>
        <v>2011204.95</v>
      </c>
      <c r="H518" s="27" t="str">
        <f t="shared" si="2"/>
        <v/>
      </c>
      <c r="I518" s="4"/>
      <c r="J518" s="73">
        <v>44901</v>
      </c>
      <c r="K518" s="28" t="s">
        <v>130</v>
      </c>
      <c r="L518" s="74">
        <v>15.93</v>
      </c>
      <c r="M518" s="31" t="s">
        <v>363</v>
      </c>
      <c r="N518" s="4"/>
      <c r="O518" s="4"/>
      <c r="P518" s="4"/>
    </row>
    <row r="519" spans="1:16" ht="14.25" customHeight="1">
      <c r="A519" s="21">
        <v>44508</v>
      </c>
      <c r="B519" s="22">
        <v>322</v>
      </c>
      <c r="C519" s="23" t="s">
        <v>238</v>
      </c>
      <c r="D519" s="24"/>
      <c r="E519" s="25"/>
      <c r="F519" s="24" t="str">
        <f t="shared" si="0"/>
        <v/>
      </c>
      <c r="G519" s="26" t="str">
        <f t="shared" si="1"/>
        <v/>
      </c>
      <c r="H519" s="27" t="str">
        <f t="shared" si="2"/>
        <v>Positional</v>
      </c>
      <c r="J519" s="73">
        <v>44903</v>
      </c>
      <c r="K519" s="28" t="s">
        <v>130</v>
      </c>
      <c r="L519" s="74">
        <v>15.93</v>
      </c>
      <c r="M519" s="31" t="s">
        <v>364</v>
      </c>
    </row>
    <row r="520" spans="1:16" ht="14.25" customHeight="1">
      <c r="A520" s="21">
        <v>44508</v>
      </c>
      <c r="B520" s="22">
        <v>-1.26</v>
      </c>
      <c r="C520" s="23" t="s">
        <v>16</v>
      </c>
      <c r="D520" s="24">
        <v>19941.8</v>
      </c>
      <c r="E520" s="25">
        <v>367604</v>
      </c>
      <c r="F520" s="24">
        <f t="shared" si="0"/>
        <v>62.64</v>
      </c>
      <c r="G520" s="26">
        <f t="shared" si="1"/>
        <v>387545.8</v>
      </c>
      <c r="H520" s="27" t="str">
        <f t="shared" si="2"/>
        <v/>
      </c>
      <c r="J520" s="73">
        <v>44907</v>
      </c>
      <c r="K520" s="28" t="s">
        <v>130</v>
      </c>
      <c r="L520" s="74">
        <v>15.93</v>
      </c>
      <c r="M520" s="31" t="s">
        <v>365</v>
      </c>
    </row>
    <row r="521" spans="1:16" ht="14.25" customHeight="1">
      <c r="A521" s="32">
        <v>44509</v>
      </c>
      <c r="B521" s="22">
        <v>15</v>
      </c>
      <c r="C521" s="23" t="s">
        <v>239</v>
      </c>
      <c r="D521" s="24"/>
      <c r="E521" s="25"/>
      <c r="F521" s="24" t="str">
        <f t="shared" si="0"/>
        <v/>
      </c>
      <c r="G521" s="26" t="str">
        <f t="shared" si="1"/>
        <v/>
      </c>
      <c r="H521" s="27" t="str">
        <f t="shared" si="2"/>
        <v>Positional</v>
      </c>
      <c r="J521" s="73">
        <v>44907</v>
      </c>
      <c r="K521" s="28" t="s">
        <v>130</v>
      </c>
      <c r="L521" s="74">
        <v>15.93</v>
      </c>
      <c r="M521" s="31" t="s">
        <v>366</v>
      </c>
    </row>
    <row r="522" spans="1:16" ht="14.25" customHeight="1">
      <c r="A522" s="32">
        <v>44509</v>
      </c>
      <c r="B522" s="22">
        <v>193</v>
      </c>
      <c r="C522" s="23" t="s">
        <v>227</v>
      </c>
      <c r="D522" s="24"/>
      <c r="E522" s="25"/>
      <c r="F522" s="24" t="str">
        <f t="shared" si="0"/>
        <v/>
      </c>
      <c r="G522" s="26" t="str">
        <f t="shared" si="1"/>
        <v/>
      </c>
      <c r="H522" s="27" t="str">
        <f t="shared" si="2"/>
        <v>Positional</v>
      </c>
      <c r="J522" s="73">
        <v>44909</v>
      </c>
      <c r="K522" s="28" t="s">
        <v>130</v>
      </c>
      <c r="L522" s="74">
        <v>15.93</v>
      </c>
      <c r="M522" s="31" t="s">
        <v>367</v>
      </c>
    </row>
    <row r="523" spans="1:16" ht="14.25" customHeight="1">
      <c r="A523" s="32">
        <v>44509</v>
      </c>
      <c r="B523" s="22">
        <v>83</v>
      </c>
      <c r="C523" s="23" t="s">
        <v>240</v>
      </c>
      <c r="D523" s="24"/>
      <c r="E523" s="25"/>
      <c r="F523" s="24" t="str">
        <f t="shared" si="0"/>
        <v/>
      </c>
      <c r="G523" s="26" t="str">
        <f t="shared" si="1"/>
        <v/>
      </c>
      <c r="H523" s="27" t="str">
        <f t="shared" si="2"/>
        <v>Positional</v>
      </c>
      <c r="J523" s="73">
        <v>44908</v>
      </c>
      <c r="K523" s="31" t="s">
        <v>293</v>
      </c>
      <c r="L523" s="74">
        <v>88.5</v>
      </c>
      <c r="M523" s="31" t="s">
        <v>368</v>
      </c>
    </row>
    <row r="524" spans="1:16" ht="14.25" customHeight="1">
      <c r="A524" s="32">
        <v>44509</v>
      </c>
      <c r="B524" s="22">
        <v>200</v>
      </c>
      <c r="C524" s="23" t="s">
        <v>241</v>
      </c>
      <c r="D524" s="24"/>
      <c r="E524" s="25"/>
      <c r="F524" s="24" t="str">
        <f t="shared" si="0"/>
        <v/>
      </c>
      <c r="G524" s="26" t="str">
        <f t="shared" si="1"/>
        <v/>
      </c>
      <c r="H524" s="27" t="str">
        <f t="shared" si="2"/>
        <v>Positional</v>
      </c>
      <c r="J524" s="73">
        <v>44925</v>
      </c>
      <c r="K524" s="28" t="s">
        <v>130</v>
      </c>
      <c r="L524" s="74">
        <v>15.93</v>
      </c>
      <c r="M524" s="31" t="s">
        <v>364</v>
      </c>
    </row>
    <row r="525" spans="1:16" ht="14.25" customHeight="1">
      <c r="A525" s="32">
        <v>44509</v>
      </c>
      <c r="B525" s="22">
        <v>49</v>
      </c>
      <c r="C525" s="23" t="s">
        <v>242</v>
      </c>
      <c r="D525" s="24"/>
      <c r="E525" s="25"/>
      <c r="F525" s="24" t="str">
        <f t="shared" si="0"/>
        <v/>
      </c>
      <c r="G525" s="26" t="str">
        <f t="shared" si="1"/>
        <v/>
      </c>
      <c r="H525" s="27" t="str">
        <f t="shared" si="2"/>
        <v>Positional</v>
      </c>
      <c r="J525" s="73">
        <v>44928</v>
      </c>
      <c r="K525" s="28" t="s">
        <v>130</v>
      </c>
      <c r="L525" s="74">
        <v>15.93</v>
      </c>
      <c r="M525" s="31" t="s">
        <v>369</v>
      </c>
    </row>
    <row r="526" spans="1:16" ht="14.25" customHeight="1">
      <c r="A526" s="32">
        <v>44509</v>
      </c>
      <c r="B526" s="22">
        <v>148</v>
      </c>
      <c r="C526" s="23" t="s">
        <v>234</v>
      </c>
      <c r="D526" s="24"/>
      <c r="E526" s="25"/>
      <c r="F526" s="24" t="str">
        <f t="shared" si="0"/>
        <v/>
      </c>
      <c r="G526" s="26" t="str">
        <f t="shared" si="1"/>
        <v/>
      </c>
      <c r="H526" s="27" t="str">
        <f t="shared" si="2"/>
        <v>Positional</v>
      </c>
      <c r="J526" s="73">
        <v>44939</v>
      </c>
      <c r="K526" s="28" t="s">
        <v>130</v>
      </c>
      <c r="L526" s="74">
        <v>15.93</v>
      </c>
      <c r="M526" s="31" t="s">
        <v>370</v>
      </c>
    </row>
    <row r="527" spans="1:16" ht="14.25" customHeight="1">
      <c r="A527" s="32">
        <v>44509</v>
      </c>
      <c r="B527" s="22">
        <v>61.89</v>
      </c>
      <c r="C527" s="23" t="s">
        <v>20</v>
      </c>
      <c r="D527" s="24">
        <v>34737.040000000001</v>
      </c>
      <c r="E527" s="25">
        <v>343479</v>
      </c>
      <c r="F527" s="24">
        <f t="shared" si="0"/>
        <v>61.14</v>
      </c>
      <c r="G527" s="26">
        <f t="shared" si="1"/>
        <v>378216.04</v>
      </c>
      <c r="H527" s="27" t="str">
        <f t="shared" si="2"/>
        <v/>
      </c>
      <c r="J527" s="73">
        <v>44942</v>
      </c>
      <c r="K527" s="28" t="s">
        <v>130</v>
      </c>
      <c r="L527" s="74">
        <v>15.93</v>
      </c>
      <c r="M527" s="31" t="s">
        <v>120</v>
      </c>
    </row>
    <row r="528" spans="1:16" ht="14.25" customHeight="1">
      <c r="A528" s="32">
        <v>44510</v>
      </c>
      <c r="B528" s="22">
        <v>148.49</v>
      </c>
      <c r="C528" s="23" t="s">
        <v>20</v>
      </c>
      <c r="D528" s="24">
        <v>27610.59</v>
      </c>
      <c r="E528" s="25">
        <v>350738</v>
      </c>
      <c r="F528" s="24">
        <f t="shared" si="0"/>
        <v>61.16</v>
      </c>
      <c r="G528" s="26">
        <f t="shared" si="1"/>
        <v>378348.59</v>
      </c>
      <c r="H528" s="27" t="str">
        <f t="shared" si="2"/>
        <v/>
      </c>
      <c r="J528" s="73">
        <v>44943</v>
      </c>
      <c r="K528" s="28" t="s">
        <v>130</v>
      </c>
      <c r="L528" s="74">
        <v>15.93</v>
      </c>
      <c r="M528" s="31" t="s">
        <v>371</v>
      </c>
    </row>
    <row r="529" spans="1:13" ht="14.25" customHeight="1">
      <c r="A529" s="32">
        <v>44511</v>
      </c>
      <c r="B529" s="22">
        <v>188.3</v>
      </c>
      <c r="C529" s="23" t="s">
        <v>20</v>
      </c>
      <c r="D529" s="24">
        <v>531.89</v>
      </c>
      <c r="E529" s="25">
        <v>378005</v>
      </c>
      <c r="F529" s="24">
        <f t="shared" si="0"/>
        <v>61.19</v>
      </c>
      <c r="G529" s="26">
        <f t="shared" si="1"/>
        <v>378536.89</v>
      </c>
      <c r="H529" s="27" t="str">
        <f t="shared" si="2"/>
        <v/>
      </c>
      <c r="J529" s="73">
        <v>44944</v>
      </c>
      <c r="K529" s="28" t="s">
        <v>130</v>
      </c>
      <c r="L529" s="74">
        <v>15.93</v>
      </c>
      <c r="M529" s="31" t="s">
        <v>372</v>
      </c>
    </row>
    <row r="530" spans="1:13" ht="14.25" customHeight="1">
      <c r="A530" s="32">
        <v>44512</v>
      </c>
      <c r="B530" s="22">
        <v>1329</v>
      </c>
      <c r="C530" s="23" t="s">
        <v>243</v>
      </c>
      <c r="D530" s="24"/>
      <c r="E530" s="25"/>
      <c r="F530" s="24" t="str">
        <f t="shared" si="0"/>
        <v/>
      </c>
      <c r="G530" s="26" t="str">
        <f t="shared" si="1"/>
        <v/>
      </c>
      <c r="H530" s="27" t="str">
        <f t="shared" si="2"/>
        <v>Positional</v>
      </c>
      <c r="J530" s="73">
        <v>44946</v>
      </c>
      <c r="K530" s="28" t="s">
        <v>130</v>
      </c>
      <c r="L530" s="74">
        <v>15.93</v>
      </c>
      <c r="M530" s="31" t="s">
        <v>373</v>
      </c>
    </row>
    <row r="531" spans="1:13" ht="14.25" customHeight="1">
      <c r="A531" s="32">
        <v>44512</v>
      </c>
      <c r="B531" s="22">
        <v>95</v>
      </c>
      <c r="C531" s="23" t="s">
        <v>220</v>
      </c>
      <c r="D531" s="24"/>
      <c r="E531" s="25"/>
      <c r="F531" s="24" t="str">
        <f t="shared" si="0"/>
        <v/>
      </c>
      <c r="G531" s="26" t="str">
        <f t="shared" si="1"/>
        <v/>
      </c>
      <c r="H531" s="27" t="str">
        <f t="shared" si="2"/>
        <v>Positional</v>
      </c>
      <c r="J531" s="73">
        <v>44949</v>
      </c>
      <c r="K531" s="28" t="s">
        <v>130</v>
      </c>
      <c r="L531" s="74"/>
      <c r="M531" s="31" t="s">
        <v>372</v>
      </c>
    </row>
    <row r="532" spans="1:13" ht="14.25" customHeight="1">
      <c r="A532" s="32">
        <v>44512</v>
      </c>
      <c r="B532" s="22">
        <v>-349.79</v>
      </c>
      <c r="C532" s="23" t="s">
        <v>20</v>
      </c>
      <c r="D532" s="24">
        <v>35903.24</v>
      </c>
      <c r="E532" s="25">
        <v>353676</v>
      </c>
      <c r="F532" s="24">
        <f t="shared" si="0"/>
        <v>188.92</v>
      </c>
      <c r="G532" s="26">
        <f t="shared" si="1"/>
        <v>1168737.72</v>
      </c>
      <c r="H532" s="27" t="str">
        <f t="shared" si="2"/>
        <v/>
      </c>
      <c r="J532" s="73">
        <v>44949</v>
      </c>
      <c r="K532" s="28" t="s">
        <v>130</v>
      </c>
      <c r="L532" s="74">
        <v>15.93</v>
      </c>
      <c r="M532" s="31" t="s">
        <v>374</v>
      </c>
    </row>
    <row r="533" spans="1:13" ht="14.25" customHeight="1">
      <c r="A533" s="32">
        <v>44515</v>
      </c>
      <c r="B533" s="22">
        <v>0.35</v>
      </c>
      <c r="C533" s="23" t="s">
        <v>16</v>
      </c>
      <c r="D533" s="24">
        <v>7572.58</v>
      </c>
      <c r="E533" s="25">
        <v>382007</v>
      </c>
      <c r="F533" s="24">
        <f t="shared" si="0"/>
        <v>62.97</v>
      </c>
      <c r="G533" s="26">
        <f t="shared" si="1"/>
        <v>389579.58</v>
      </c>
      <c r="H533" s="27" t="str">
        <f t="shared" si="2"/>
        <v/>
      </c>
      <c r="J533" s="73">
        <v>44950</v>
      </c>
      <c r="K533" s="28" t="s">
        <v>130</v>
      </c>
      <c r="L533" s="74"/>
      <c r="M533" s="31" t="s">
        <v>375</v>
      </c>
    </row>
    <row r="534" spans="1:13" ht="14.25" customHeight="1">
      <c r="A534" s="32">
        <v>44516</v>
      </c>
      <c r="B534" s="22">
        <v>150.61000000000001</v>
      </c>
      <c r="C534" s="23" t="s">
        <v>20</v>
      </c>
      <c r="D534" s="24">
        <v>4449.2</v>
      </c>
      <c r="E534" s="25">
        <v>398181</v>
      </c>
      <c r="F534" s="24">
        <f t="shared" si="0"/>
        <v>65.08</v>
      </c>
      <c r="G534" s="26">
        <f t="shared" si="1"/>
        <v>402630.2</v>
      </c>
      <c r="H534" s="27" t="str">
        <f t="shared" si="2"/>
        <v/>
      </c>
      <c r="J534" s="73">
        <v>44950</v>
      </c>
      <c r="K534" s="28" t="s">
        <v>130</v>
      </c>
      <c r="L534" s="74">
        <v>15.93</v>
      </c>
      <c r="M534" s="31" t="s">
        <v>292</v>
      </c>
    </row>
    <row r="535" spans="1:13" ht="14.25" customHeight="1">
      <c r="A535" s="32">
        <v>44517</v>
      </c>
      <c r="B535" s="22">
        <v>499</v>
      </c>
      <c r="C535" s="23" t="s">
        <v>244</v>
      </c>
      <c r="D535" s="24"/>
      <c r="E535" s="25"/>
      <c r="F535" s="24" t="str">
        <f t="shared" si="0"/>
        <v/>
      </c>
      <c r="G535" s="26" t="str">
        <f t="shared" si="1"/>
        <v/>
      </c>
      <c r="H535" s="27" t="str">
        <f t="shared" si="2"/>
        <v>Positional</v>
      </c>
      <c r="J535" s="73">
        <v>44953</v>
      </c>
      <c r="K535" s="28" t="s">
        <v>130</v>
      </c>
      <c r="L535" s="74"/>
      <c r="M535" s="31" t="s">
        <v>364</v>
      </c>
    </row>
    <row r="536" spans="1:13" ht="14.25" customHeight="1">
      <c r="A536" s="32">
        <v>44517</v>
      </c>
      <c r="B536" s="22">
        <v>237</v>
      </c>
      <c r="C536" s="23" t="s">
        <v>245</v>
      </c>
      <c r="D536" s="24"/>
      <c r="E536" s="25"/>
      <c r="F536" s="24" t="str">
        <f t="shared" si="0"/>
        <v/>
      </c>
      <c r="G536" s="26" t="str">
        <f t="shared" si="1"/>
        <v/>
      </c>
      <c r="H536" s="27" t="str">
        <f t="shared" si="2"/>
        <v>Positional</v>
      </c>
      <c r="J536" s="73">
        <v>44991</v>
      </c>
      <c r="K536" s="28" t="s">
        <v>130</v>
      </c>
      <c r="L536" s="74">
        <v>15.93</v>
      </c>
      <c r="M536" s="31" t="s">
        <v>376</v>
      </c>
    </row>
    <row r="537" spans="1:13" ht="14.25" customHeight="1">
      <c r="A537" s="32">
        <v>44517</v>
      </c>
      <c r="B537" s="22">
        <v>112.9</v>
      </c>
      <c r="C537" s="23" t="s">
        <v>20</v>
      </c>
      <c r="D537" s="24">
        <v>19360.240000000002</v>
      </c>
      <c r="E537" s="25">
        <v>388087</v>
      </c>
      <c r="F537" s="24">
        <f t="shared" si="0"/>
        <v>65.86</v>
      </c>
      <c r="G537" s="26">
        <f t="shared" si="1"/>
        <v>407447.24</v>
      </c>
      <c r="H537" s="27" t="str">
        <f t="shared" si="2"/>
        <v/>
      </c>
      <c r="J537" s="73">
        <v>44993</v>
      </c>
      <c r="K537" s="28" t="s">
        <v>130</v>
      </c>
      <c r="L537" s="74">
        <v>15.93</v>
      </c>
      <c r="M537" s="31" t="s">
        <v>377</v>
      </c>
    </row>
    <row r="538" spans="1:13" ht="14.25" customHeight="1">
      <c r="A538" s="32">
        <v>44518</v>
      </c>
      <c r="B538" s="22">
        <v>135.76</v>
      </c>
      <c r="C538" s="23" t="s">
        <v>20</v>
      </c>
      <c r="D538" s="24">
        <v>7286.01</v>
      </c>
      <c r="E538" s="25">
        <v>399416</v>
      </c>
      <c r="F538" s="24">
        <f t="shared" si="0"/>
        <v>394.45</v>
      </c>
      <c r="G538" s="26">
        <f t="shared" si="1"/>
        <v>2440212.06</v>
      </c>
      <c r="H538" s="27" t="str">
        <f t="shared" si="2"/>
        <v/>
      </c>
      <c r="J538" s="73"/>
      <c r="K538" s="28"/>
      <c r="L538" s="74"/>
      <c r="M538" s="31"/>
    </row>
    <row r="539" spans="1:13" ht="14.25" customHeight="1">
      <c r="A539" s="32">
        <v>44524</v>
      </c>
      <c r="B539" s="22">
        <v>257.60000000000002</v>
      </c>
      <c r="C539" s="23" t="s">
        <v>20</v>
      </c>
      <c r="D539" s="24">
        <v>2543.61</v>
      </c>
      <c r="E539" s="25">
        <v>399416</v>
      </c>
      <c r="F539" s="24">
        <f t="shared" si="0"/>
        <v>64.97</v>
      </c>
      <c r="G539" s="26">
        <f t="shared" si="1"/>
        <v>401959.61</v>
      </c>
      <c r="H539" s="27" t="str">
        <f t="shared" si="2"/>
        <v/>
      </c>
      <c r="J539" s="73"/>
      <c r="K539" s="28"/>
      <c r="L539" s="74"/>
      <c r="M539" s="31"/>
    </row>
    <row r="540" spans="1:13" ht="14.25" customHeight="1">
      <c r="A540" s="32">
        <v>44525</v>
      </c>
      <c r="B540" s="22">
        <v>-8</v>
      </c>
      <c r="C540" s="23" t="s">
        <v>246</v>
      </c>
      <c r="D540" s="24"/>
      <c r="E540" s="25"/>
      <c r="F540" s="24" t="str">
        <f t="shared" si="0"/>
        <v/>
      </c>
      <c r="G540" s="26" t="str">
        <f t="shared" si="1"/>
        <v/>
      </c>
      <c r="H540" s="27" t="str">
        <f t="shared" si="2"/>
        <v>Positional</v>
      </c>
      <c r="J540" s="73"/>
      <c r="K540" s="28"/>
      <c r="L540" s="74"/>
      <c r="M540" s="31"/>
    </row>
    <row r="541" spans="1:13" ht="14.25" customHeight="1">
      <c r="A541" s="32">
        <v>44525</v>
      </c>
      <c r="B541" s="22">
        <v>-0.02</v>
      </c>
      <c r="C541" s="23" t="s">
        <v>16</v>
      </c>
      <c r="D541" s="24">
        <v>14702.66</v>
      </c>
      <c r="E541" s="25">
        <v>387233</v>
      </c>
      <c r="F541" s="24">
        <f t="shared" si="0"/>
        <v>64.97</v>
      </c>
      <c r="G541" s="26">
        <f t="shared" si="1"/>
        <v>401935.66</v>
      </c>
      <c r="H541" s="27" t="str">
        <f t="shared" si="2"/>
        <v/>
      </c>
      <c r="J541" s="73"/>
      <c r="K541" s="28"/>
      <c r="L541" s="74"/>
      <c r="M541" s="31"/>
    </row>
    <row r="542" spans="1:13" ht="14.25" customHeight="1">
      <c r="A542" s="32">
        <v>44526</v>
      </c>
      <c r="B542" s="22">
        <v>1.31</v>
      </c>
      <c r="C542" s="23" t="s">
        <v>16</v>
      </c>
      <c r="D542" s="24">
        <v>313.95999999999998</v>
      </c>
      <c r="E542" s="25">
        <v>403623</v>
      </c>
      <c r="F542" s="24">
        <f t="shared" si="0"/>
        <v>261.18</v>
      </c>
      <c r="G542" s="26">
        <f t="shared" si="1"/>
        <v>1615747.84</v>
      </c>
      <c r="H542" s="27" t="str">
        <f t="shared" si="2"/>
        <v/>
      </c>
      <c r="J542" s="73"/>
      <c r="K542" s="28"/>
      <c r="L542" s="74"/>
      <c r="M542" s="31"/>
    </row>
    <row r="543" spans="1:13" ht="14.25" customHeight="1">
      <c r="A543" s="32">
        <v>44530</v>
      </c>
      <c r="B543" s="22">
        <v>-36</v>
      </c>
      <c r="C543" s="23" t="s">
        <v>247</v>
      </c>
      <c r="D543" s="24"/>
      <c r="E543" s="25"/>
      <c r="F543" s="24" t="str">
        <f t="shared" si="0"/>
        <v/>
      </c>
      <c r="G543" s="26" t="str">
        <f t="shared" si="1"/>
        <v/>
      </c>
      <c r="H543" s="27" t="str">
        <f t="shared" si="2"/>
        <v>Positional</v>
      </c>
      <c r="J543" s="73"/>
      <c r="K543" s="28"/>
      <c r="L543" s="74"/>
      <c r="M543" s="31"/>
    </row>
    <row r="544" spans="1:13" ht="14.25" customHeight="1">
      <c r="A544" s="32">
        <v>44530</v>
      </c>
      <c r="B544" s="22">
        <v>21.96</v>
      </c>
      <c r="C544" s="23" t="s">
        <v>20</v>
      </c>
      <c r="D544" s="24">
        <v>7413</v>
      </c>
      <c r="E544" s="25">
        <v>396494</v>
      </c>
      <c r="F544" s="24">
        <f t="shared" si="0"/>
        <v>65.290000000000006</v>
      </c>
      <c r="G544" s="26">
        <f t="shared" si="1"/>
        <v>403907</v>
      </c>
      <c r="H544" s="27" t="str">
        <f t="shared" si="2"/>
        <v/>
      </c>
      <c r="J544" s="73"/>
      <c r="K544" s="28"/>
      <c r="L544" s="74"/>
      <c r="M544" s="31"/>
    </row>
    <row r="545" spans="1:13" ht="14.25" customHeight="1">
      <c r="A545" s="32">
        <v>44531</v>
      </c>
      <c r="B545" s="22">
        <v>55</v>
      </c>
      <c r="C545" s="23" t="s">
        <v>248</v>
      </c>
      <c r="D545" s="24"/>
      <c r="E545" s="25"/>
      <c r="F545" s="24" t="str">
        <f t="shared" si="0"/>
        <v/>
      </c>
      <c r="G545" s="26" t="str">
        <f t="shared" si="1"/>
        <v/>
      </c>
      <c r="H545" s="27" t="str">
        <f t="shared" si="2"/>
        <v>Positional</v>
      </c>
      <c r="J545" s="73"/>
      <c r="K545" s="28"/>
      <c r="L545" s="74"/>
      <c r="M545" s="31"/>
    </row>
    <row r="546" spans="1:13" ht="14.25" customHeight="1">
      <c r="A546" s="32">
        <v>44531</v>
      </c>
      <c r="B546" s="22">
        <v>-0.40999999999985448</v>
      </c>
      <c r="C546" s="23" t="s">
        <v>16</v>
      </c>
      <c r="D546" s="24">
        <v>18098.66</v>
      </c>
      <c r="E546" s="25">
        <v>385847</v>
      </c>
      <c r="F546" s="24">
        <f t="shared" si="0"/>
        <v>65.3</v>
      </c>
      <c r="G546" s="26">
        <f t="shared" si="1"/>
        <v>403945.66</v>
      </c>
      <c r="H546" s="27" t="str">
        <f t="shared" si="2"/>
        <v/>
      </c>
      <c r="J546" s="73"/>
      <c r="K546" s="28"/>
      <c r="L546" s="74"/>
      <c r="M546" s="31"/>
    </row>
    <row r="547" spans="1:13" ht="14.25" customHeight="1">
      <c r="A547" s="32">
        <v>44532</v>
      </c>
      <c r="B547" s="22">
        <v>8</v>
      </c>
      <c r="C547" s="23" t="s">
        <v>249</v>
      </c>
      <c r="D547" s="24"/>
      <c r="E547" s="25"/>
      <c r="F547" s="24" t="str">
        <f t="shared" si="0"/>
        <v/>
      </c>
      <c r="G547" s="26" t="str">
        <f t="shared" si="1"/>
        <v/>
      </c>
      <c r="H547" s="27" t="str">
        <f t="shared" si="2"/>
        <v>Positional</v>
      </c>
      <c r="J547" s="73"/>
      <c r="K547" s="28"/>
      <c r="L547" s="74"/>
      <c r="M547" s="31"/>
    </row>
    <row r="548" spans="1:13" ht="14.25" customHeight="1">
      <c r="A548" s="32">
        <v>44532</v>
      </c>
      <c r="B548" s="22">
        <v>271</v>
      </c>
      <c r="C548" s="23" t="s">
        <v>250</v>
      </c>
      <c r="D548" s="24"/>
      <c r="E548" s="25"/>
      <c r="F548" s="24" t="str">
        <f t="shared" si="0"/>
        <v/>
      </c>
      <c r="G548" s="26" t="str">
        <f t="shared" si="1"/>
        <v/>
      </c>
      <c r="H548" s="27" t="str">
        <f t="shared" si="2"/>
        <v>Positional</v>
      </c>
      <c r="J548" s="73"/>
      <c r="K548" s="28"/>
      <c r="L548" s="74"/>
      <c r="M548" s="31"/>
    </row>
    <row r="549" spans="1:13" ht="14.25" customHeight="1">
      <c r="A549" s="32">
        <v>44532</v>
      </c>
      <c r="B549" s="22">
        <v>-0.31</v>
      </c>
      <c r="C549" s="23" t="s">
        <v>16</v>
      </c>
      <c r="D549" s="24">
        <v>25937.51</v>
      </c>
      <c r="E549" s="25">
        <v>378254</v>
      </c>
      <c r="F549" s="24">
        <f t="shared" si="0"/>
        <v>65.34</v>
      </c>
      <c r="G549" s="26">
        <f t="shared" si="1"/>
        <v>404191.51</v>
      </c>
      <c r="H549" s="27" t="str">
        <f t="shared" si="2"/>
        <v/>
      </c>
      <c r="J549" s="73"/>
      <c r="K549" s="28"/>
      <c r="L549" s="74"/>
      <c r="M549" s="31"/>
    </row>
    <row r="550" spans="1:13" ht="14.25" customHeight="1">
      <c r="A550" s="32">
        <v>44533</v>
      </c>
      <c r="B550" s="22">
        <v>-1109</v>
      </c>
      <c r="C550" s="23" t="s">
        <v>252</v>
      </c>
      <c r="D550" s="24"/>
      <c r="E550" s="25"/>
      <c r="F550" s="24" t="str">
        <f t="shared" si="0"/>
        <v/>
      </c>
      <c r="G550" s="26" t="str">
        <f t="shared" si="1"/>
        <v/>
      </c>
      <c r="H550" s="27" t="str">
        <f t="shared" si="2"/>
        <v>Positional</v>
      </c>
      <c r="J550" s="73"/>
      <c r="K550" s="28"/>
      <c r="L550" s="74"/>
      <c r="M550" s="31"/>
    </row>
    <row r="551" spans="1:13" ht="14.25" customHeight="1">
      <c r="A551" s="32">
        <v>44533</v>
      </c>
      <c r="B551" s="22">
        <v>-43.11</v>
      </c>
      <c r="C551" s="23" t="s">
        <v>20</v>
      </c>
      <c r="D551" s="24">
        <v>27202.47</v>
      </c>
      <c r="E551" s="25">
        <v>383430</v>
      </c>
      <c r="F551" s="24">
        <f t="shared" si="0"/>
        <v>199.13</v>
      </c>
      <c r="G551" s="26">
        <f t="shared" si="1"/>
        <v>1231897.4099999999</v>
      </c>
      <c r="H551" s="27" t="str">
        <f t="shared" si="2"/>
        <v/>
      </c>
      <c r="J551" s="73"/>
      <c r="K551" s="28"/>
      <c r="L551" s="74"/>
      <c r="M551" s="31"/>
    </row>
    <row r="552" spans="1:13" ht="14.25" customHeight="1">
      <c r="A552" s="32">
        <v>44536</v>
      </c>
      <c r="B552" s="22">
        <v>-0.27</v>
      </c>
      <c r="C552" s="23" t="s">
        <v>16</v>
      </c>
      <c r="D552" s="24">
        <v>1593.2</v>
      </c>
      <c r="E552" s="25">
        <v>383430</v>
      </c>
      <c r="F552" s="24">
        <f t="shared" si="0"/>
        <v>62.24</v>
      </c>
      <c r="G552" s="26">
        <f t="shared" si="1"/>
        <v>385023.2</v>
      </c>
      <c r="H552" s="27" t="str">
        <f t="shared" si="2"/>
        <v/>
      </c>
      <c r="J552" s="73"/>
      <c r="K552" s="28"/>
      <c r="L552" s="74"/>
      <c r="M552" s="31"/>
    </row>
    <row r="553" spans="1:13" ht="14.25" customHeight="1">
      <c r="A553" s="32">
        <v>44537</v>
      </c>
      <c r="B553" s="22">
        <v>133</v>
      </c>
      <c r="C553" s="23" t="s">
        <v>253</v>
      </c>
      <c r="D553" s="24"/>
      <c r="E553" s="25"/>
      <c r="F553" s="24" t="str">
        <f t="shared" si="0"/>
        <v/>
      </c>
      <c r="G553" s="26" t="str">
        <f t="shared" si="1"/>
        <v/>
      </c>
      <c r="H553" s="27" t="str">
        <f t="shared" si="2"/>
        <v>Positional</v>
      </c>
      <c r="J553" s="73"/>
      <c r="K553" s="28"/>
      <c r="L553" s="74"/>
      <c r="M553" s="31"/>
    </row>
    <row r="554" spans="1:13" ht="14.25" customHeight="1">
      <c r="A554" s="32">
        <v>44537</v>
      </c>
      <c r="B554" s="22">
        <v>10</v>
      </c>
      <c r="C554" s="23" t="s">
        <v>254</v>
      </c>
      <c r="D554" s="24"/>
      <c r="E554" s="25"/>
      <c r="F554" s="24" t="str">
        <f t="shared" si="0"/>
        <v/>
      </c>
      <c r="G554" s="26" t="str">
        <f t="shared" si="1"/>
        <v/>
      </c>
      <c r="H554" s="27" t="str">
        <f t="shared" si="2"/>
        <v>Positional</v>
      </c>
      <c r="J554" s="73"/>
      <c r="K554" s="28"/>
      <c r="L554" s="74"/>
      <c r="M554" s="31"/>
    </row>
    <row r="555" spans="1:13" ht="14.25" customHeight="1">
      <c r="A555" s="32">
        <v>44537</v>
      </c>
      <c r="B555" s="22">
        <v>-11.66</v>
      </c>
      <c r="C555" s="23" t="s">
        <v>20</v>
      </c>
      <c r="D555" s="24">
        <v>16275.62</v>
      </c>
      <c r="E555" s="25">
        <v>368863</v>
      </c>
      <c r="F555" s="24">
        <f t="shared" si="0"/>
        <v>62.26</v>
      </c>
      <c r="G555" s="26">
        <f t="shared" si="1"/>
        <v>385138.62</v>
      </c>
      <c r="H555" s="27" t="str">
        <f t="shared" si="2"/>
        <v/>
      </c>
      <c r="J555" s="73"/>
      <c r="K555" s="28"/>
      <c r="L555" s="74"/>
      <c r="M555" s="31"/>
    </row>
    <row r="556" spans="1:13" ht="14.25" customHeight="1">
      <c r="A556" s="32">
        <v>44538</v>
      </c>
      <c r="B556" s="22">
        <v>122</v>
      </c>
      <c r="C556" s="23" t="s">
        <v>255</v>
      </c>
      <c r="D556" s="24"/>
      <c r="E556" s="25"/>
      <c r="F556" s="24" t="str">
        <f t="shared" si="0"/>
        <v/>
      </c>
      <c r="G556" s="26" t="str">
        <f t="shared" si="1"/>
        <v/>
      </c>
      <c r="H556" s="27" t="str">
        <f t="shared" si="2"/>
        <v>Positional</v>
      </c>
      <c r="J556" s="73"/>
      <c r="K556" s="28"/>
      <c r="L556" s="74"/>
      <c r="M556" s="31"/>
    </row>
    <row r="557" spans="1:13" ht="14.25" customHeight="1">
      <c r="A557" s="32">
        <v>44538</v>
      </c>
      <c r="B557" s="22">
        <v>191.3</v>
      </c>
      <c r="C557" s="23" t="s">
        <v>20</v>
      </c>
      <c r="D557" s="24">
        <v>19831.05</v>
      </c>
      <c r="E557" s="25">
        <v>365589</v>
      </c>
      <c r="F557" s="24">
        <f t="shared" si="0"/>
        <v>62.3</v>
      </c>
      <c r="G557" s="26">
        <f t="shared" si="1"/>
        <v>385420.05</v>
      </c>
      <c r="H557" s="27" t="str">
        <f t="shared" si="2"/>
        <v/>
      </c>
      <c r="J557" s="73"/>
      <c r="K557" s="28"/>
      <c r="L557" s="74"/>
      <c r="M557" s="31"/>
    </row>
    <row r="558" spans="1:13" ht="14.25" customHeight="1">
      <c r="A558" s="32">
        <v>44539</v>
      </c>
      <c r="B558" s="22">
        <v>-4951</v>
      </c>
      <c r="C558" s="23" t="s">
        <v>256</v>
      </c>
      <c r="D558" s="24"/>
      <c r="E558" s="25"/>
      <c r="F558" s="24" t="str">
        <f t="shared" si="0"/>
        <v/>
      </c>
      <c r="G558" s="26" t="str">
        <f t="shared" si="1"/>
        <v/>
      </c>
      <c r="H558" s="27" t="str">
        <f t="shared" si="2"/>
        <v>Positional</v>
      </c>
      <c r="J558" s="73"/>
      <c r="K558" s="28"/>
      <c r="L558" s="74"/>
      <c r="M558" s="31"/>
    </row>
    <row r="559" spans="1:13" ht="14.25" customHeight="1">
      <c r="A559" s="32">
        <v>44539</v>
      </c>
      <c r="B559" s="22">
        <v>49.59</v>
      </c>
      <c r="C559" s="23" t="s">
        <v>20</v>
      </c>
      <c r="D559" s="24">
        <v>19005.7</v>
      </c>
      <c r="E559" s="25">
        <v>351497</v>
      </c>
      <c r="F559" s="24">
        <f t="shared" si="0"/>
        <v>239.56</v>
      </c>
      <c r="G559" s="26">
        <f t="shared" si="1"/>
        <v>1482010.8</v>
      </c>
      <c r="H559" s="27" t="str">
        <f t="shared" si="2"/>
        <v/>
      </c>
      <c r="J559" s="73"/>
      <c r="K559" s="28"/>
      <c r="L559" s="74"/>
      <c r="M559" s="31"/>
    </row>
    <row r="560" spans="1:13" ht="14.25" customHeight="1">
      <c r="A560" s="32">
        <v>44543</v>
      </c>
      <c r="B560" s="22">
        <v>244.8</v>
      </c>
      <c r="C560" s="23" t="s">
        <v>20</v>
      </c>
      <c r="D560" s="24">
        <v>250.5</v>
      </c>
      <c r="E560" s="25">
        <v>351641</v>
      </c>
      <c r="F560" s="24">
        <f t="shared" si="0"/>
        <v>227.52</v>
      </c>
      <c r="G560" s="26">
        <f t="shared" si="1"/>
        <v>1407566</v>
      </c>
      <c r="H560" s="27" t="str">
        <f t="shared" si="2"/>
        <v/>
      </c>
      <c r="J560" s="73"/>
      <c r="K560" s="28"/>
      <c r="L560" s="74"/>
      <c r="M560" s="31"/>
    </row>
    <row r="561" spans="1:13" ht="14.25" customHeight="1">
      <c r="A561" s="32">
        <v>44547</v>
      </c>
      <c r="B561" s="22">
        <v>-0.33</v>
      </c>
      <c r="C561" s="23" t="s">
        <v>16</v>
      </c>
      <c r="D561" s="24">
        <v>591.16999999999996</v>
      </c>
      <c r="E561" s="25">
        <v>359300</v>
      </c>
      <c r="F561" s="24">
        <f t="shared" si="0"/>
        <v>174.52</v>
      </c>
      <c r="G561" s="26">
        <f t="shared" si="1"/>
        <v>1079673.51</v>
      </c>
      <c r="H561" s="27" t="str">
        <f t="shared" si="2"/>
        <v/>
      </c>
      <c r="J561" s="73"/>
      <c r="K561" s="28"/>
      <c r="L561" s="74"/>
      <c r="M561" s="31"/>
    </row>
    <row r="562" spans="1:13" ht="14.25" customHeight="1">
      <c r="A562" s="32">
        <v>44550</v>
      </c>
      <c r="B562" s="22">
        <v>-0.28999999999999998</v>
      </c>
      <c r="C562" s="23" t="s">
        <v>16</v>
      </c>
      <c r="D562" s="24">
        <v>932.88</v>
      </c>
      <c r="E562" s="25">
        <v>365958</v>
      </c>
      <c r="F562" s="24">
        <f t="shared" si="0"/>
        <v>118.61</v>
      </c>
      <c r="G562" s="26">
        <f t="shared" si="1"/>
        <v>733781.76</v>
      </c>
      <c r="H562" s="27" t="str">
        <f t="shared" si="2"/>
        <v/>
      </c>
      <c r="J562" s="73"/>
      <c r="K562" s="28"/>
      <c r="L562" s="74"/>
      <c r="M562" s="31"/>
    </row>
    <row r="563" spans="1:13" ht="14.25" customHeight="1">
      <c r="A563" s="32">
        <v>44552</v>
      </c>
      <c r="B563" s="22">
        <v>94.74</v>
      </c>
      <c r="C563" s="23" t="s">
        <v>20</v>
      </c>
      <c r="D563" s="24">
        <v>3027.62</v>
      </c>
      <c r="E563" s="25">
        <v>365958</v>
      </c>
      <c r="F563" s="24">
        <f t="shared" si="0"/>
        <v>59.64</v>
      </c>
      <c r="G563" s="26">
        <f t="shared" si="1"/>
        <v>368985.62</v>
      </c>
      <c r="H563" s="27" t="str">
        <f t="shared" si="2"/>
        <v/>
      </c>
      <c r="J563" s="73"/>
      <c r="K563" s="28"/>
      <c r="L563" s="74"/>
      <c r="M563" s="31"/>
    </row>
    <row r="564" spans="1:13" ht="14.25" customHeight="1">
      <c r="A564" s="32">
        <v>44553</v>
      </c>
      <c r="B564" s="22">
        <v>209.96</v>
      </c>
      <c r="C564" s="23" t="s">
        <v>20</v>
      </c>
      <c r="D564" s="24">
        <v>6237.58</v>
      </c>
      <c r="E564" s="25">
        <v>365958</v>
      </c>
      <c r="F564" s="24">
        <f t="shared" si="0"/>
        <v>60.16</v>
      </c>
      <c r="G564" s="26">
        <f t="shared" si="1"/>
        <v>372195.58</v>
      </c>
      <c r="H564" s="27" t="str">
        <f t="shared" si="2"/>
        <v/>
      </c>
      <c r="J564" s="73"/>
      <c r="K564" s="28"/>
      <c r="L564" s="74"/>
      <c r="M564" s="31"/>
    </row>
    <row r="565" spans="1:13" ht="14.25" customHeight="1">
      <c r="A565" s="32">
        <v>44554</v>
      </c>
      <c r="B565" s="22">
        <v>0.94</v>
      </c>
      <c r="C565" s="23" t="s">
        <v>16</v>
      </c>
      <c r="D565" s="24">
        <v>4886.5200000000004</v>
      </c>
      <c r="E565" s="25">
        <v>367310</v>
      </c>
      <c r="F565" s="24">
        <f t="shared" si="0"/>
        <v>180.49</v>
      </c>
      <c r="G565" s="26">
        <f t="shared" si="1"/>
        <v>1116589.56</v>
      </c>
      <c r="H565" s="27" t="str">
        <f t="shared" si="2"/>
        <v/>
      </c>
      <c r="J565" s="73"/>
      <c r="K565" s="28"/>
      <c r="L565" s="74"/>
      <c r="M565" s="31"/>
    </row>
    <row r="566" spans="1:13" ht="14.25" customHeight="1">
      <c r="A566" s="32">
        <v>44557</v>
      </c>
      <c r="B566" s="22">
        <v>71</v>
      </c>
      <c r="C566" s="23" t="s">
        <v>252</v>
      </c>
      <c r="D566" s="24"/>
      <c r="E566" s="25"/>
      <c r="F566" s="24" t="str">
        <f t="shared" si="0"/>
        <v/>
      </c>
      <c r="G566" s="26" t="str">
        <f t="shared" si="1"/>
        <v/>
      </c>
      <c r="H566" s="27" t="str">
        <f t="shared" si="2"/>
        <v>Positional</v>
      </c>
      <c r="J566" s="73"/>
      <c r="K566" s="28"/>
      <c r="L566" s="74"/>
      <c r="M566" s="31"/>
    </row>
    <row r="567" spans="1:13" ht="14.25" customHeight="1">
      <c r="A567" s="32">
        <v>44557</v>
      </c>
      <c r="B567" s="22">
        <v>230</v>
      </c>
      <c r="C567" s="23" t="s">
        <v>221</v>
      </c>
      <c r="D567" s="24"/>
      <c r="E567" s="25"/>
      <c r="F567" s="24" t="str">
        <f t="shared" si="0"/>
        <v/>
      </c>
      <c r="G567" s="26" t="str">
        <f t="shared" si="1"/>
        <v/>
      </c>
      <c r="H567" s="27" t="str">
        <f t="shared" si="2"/>
        <v>Positional</v>
      </c>
      <c r="J567" s="73"/>
      <c r="K567" s="28"/>
      <c r="L567" s="74"/>
      <c r="M567" s="31"/>
    </row>
    <row r="568" spans="1:13" ht="14.25" customHeight="1">
      <c r="A568" s="32">
        <v>44557</v>
      </c>
      <c r="B568" s="22">
        <v>-625</v>
      </c>
      <c r="C568" s="23" t="s">
        <v>257</v>
      </c>
      <c r="D568" s="24"/>
      <c r="E568" s="25"/>
      <c r="F568" s="24" t="str">
        <f t="shared" si="0"/>
        <v/>
      </c>
      <c r="G568" s="26" t="str">
        <f t="shared" si="1"/>
        <v/>
      </c>
      <c r="H568" s="27" t="str">
        <f t="shared" si="2"/>
        <v>Positional</v>
      </c>
      <c r="J568" s="73"/>
      <c r="K568" s="28"/>
      <c r="L568" s="74"/>
      <c r="M568" s="31"/>
    </row>
    <row r="569" spans="1:13" ht="14.25" customHeight="1">
      <c r="A569" s="32">
        <v>44557</v>
      </c>
      <c r="B569" s="22">
        <v>-1311</v>
      </c>
      <c r="C569" s="23" t="s">
        <v>258</v>
      </c>
      <c r="D569" s="24">
        <v>40508.800000000003</v>
      </c>
      <c r="E569" s="25">
        <v>337989</v>
      </c>
      <c r="F569" s="24">
        <f t="shared" si="0"/>
        <v>61.18</v>
      </c>
      <c r="G569" s="26">
        <f t="shared" si="1"/>
        <v>378497.8</v>
      </c>
      <c r="H569" s="27" t="str">
        <f t="shared" si="2"/>
        <v>Positional</v>
      </c>
      <c r="J569" s="73"/>
      <c r="K569" s="28"/>
      <c r="L569" s="74"/>
      <c r="M569" s="31"/>
    </row>
    <row r="570" spans="1:13" ht="14.25" customHeight="1">
      <c r="A570" s="32">
        <v>44558</v>
      </c>
      <c r="B570" s="22">
        <v>140</v>
      </c>
      <c r="C570" s="23" t="s">
        <v>259</v>
      </c>
      <c r="D570" s="24"/>
      <c r="E570" s="25"/>
      <c r="F570" s="24" t="str">
        <f t="shared" si="0"/>
        <v/>
      </c>
      <c r="G570" s="26" t="str">
        <f t="shared" si="1"/>
        <v/>
      </c>
      <c r="H570" s="27" t="str">
        <f t="shared" si="2"/>
        <v>Positional</v>
      </c>
      <c r="J570" s="73"/>
      <c r="K570" s="28"/>
      <c r="L570" s="74"/>
      <c r="M570" s="31"/>
    </row>
    <row r="571" spans="1:13" ht="14.25" customHeight="1">
      <c r="A571" s="32">
        <v>44558</v>
      </c>
      <c r="B571" s="22">
        <v>-960</v>
      </c>
      <c r="C571" s="23" t="s">
        <v>252</v>
      </c>
      <c r="D571" s="24"/>
      <c r="E571" s="25"/>
      <c r="F571" s="24" t="str">
        <f t="shared" si="0"/>
        <v/>
      </c>
      <c r="G571" s="26" t="str">
        <f t="shared" si="1"/>
        <v/>
      </c>
      <c r="H571" s="27" t="str">
        <f t="shared" si="2"/>
        <v>Positional</v>
      </c>
      <c r="J571" s="73"/>
      <c r="K571" s="28"/>
      <c r="L571" s="74"/>
      <c r="M571" s="31"/>
    </row>
    <row r="572" spans="1:13" ht="14.25" customHeight="1">
      <c r="A572" s="32">
        <v>44558</v>
      </c>
      <c r="B572" s="22">
        <v>76.63</v>
      </c>
      <c r="C572" s="23" t="s">
        <v>20</v>
      </c>
      <c r="D572" s="24">
        <v>22768.58</v>
      </c>
      <c r="E572" s="25">
        <v>354954</v>
      </c>
      <c r="F572" s="24">
        <f t="shared" si="0"/>
        <v>61.06</v>
      </c>
      <c r="G572" s="26">
        <f t="shared" si="1"/>
        <v>377722.58</v>
      </c>
      <c r="H572" s="27" t="str">
        <f t="shared" si="2"/>
        <v/>
      </c>
      <c r="J572" s="73"/>
      <c r="K572" s="28"/>
      <c r="L572" s="74"/>
      <c r="M572" s="31"/>
    </row>
    <row r="573" spans="1:13" ht="14.25" customHeight="1">
      <c r="A573" s="32">
        <v>44559</v>
      </c>
      <c r="B573" s="22">
        <v>62.13</v>
      </c>
      <c r="C573" s="23" t="s">
        <v>20</v>
      </c>
      <c r="D573" s="24"/>
      <c r="E573" s="25"/>
      <c r="F573" s="24" t="str">
        <f t="shared" si="0"/>
        <v/>
      </c>
      <c r="G573" s="26" t="str">
        <f t="shared" si="1"/>
        <v/>
      </c>
      <c r="H573" s="27" t="str">
        <f t="shared" si="2"/>
        <v/>
      </c>
      <c r="J573" s="73"/>
      <c r="K573" s="28"/>
      <c r="L573" s="74"/>
      <c r="M573" s="31"/>
    </row>
    <row r="574" spans="1:13" ht="14.25" customHeight="1">
      <c r="A574" s="32">
        <v>44559</v>
      </c>
      <c r="B574" s="22">
        <v>992</v>
      </c>
      <c r="C574" s="23" t="s">
        <v>260</v>
      </c>
      <c r="D574" s="24">
        <v>28461.79</v>
      </c>
      <c r="E574" s="25">
        <v>350299</v>
      </c>
      <c r="F574" s="24">
        <f t="shared" si="0"/>
        <v>61.22</v>
      </c>
      <c r="G574" s="26">
        <f t="shared" si="1"/>
        <v>378760.79</v>
      </c>
      <c r="H574" s="27" t="str">
        <f t="shared" si="2"/>
        <v>Positional</v>
      </c>
      <c r="J574" s="73"/>
      <c r="K574" s="28"/>
      <c r="L574" s="74"/>
      <c r="M574" s="31"/>
    </row>
    <row r="575" spans="1:13" ht="14.25" customHeight="1">
      <c r="A575" s="32">
        <v>44560</v>
      </c>
      <c r="B575" s="22">
        <v>-0.38</v>
      </c>
      <c r="C575" s="23" t="s">
        <v>16</v>
      </c>
      <c r="D575" s="24">
        <v>17548.41</v>
      </c>
      <c r="E575" s="25">
        <v>361212</v>
      </c>
      <c r="F575" s="24">
        <f t="shared" si="0"/>
        <v>61.22</v>
      </c>
      <c r="G575" s="26">
        <f t="shared" si="1"/>
        <v>378760.41</v>
      </c>
      <c r="H575" s="27" t="str">
        <f t="shared" si="2"/>
        <v/>
      </c>
      <c r="J575" s="73"/>
      <c r="K575" s="28"/>
      <c r="L575" s="74"/>
      <c r="M575" s="31"/>
    </row>
    <row r="576" spans="1:13" ht="14.25" customHeight="1">
      <c r="A576" s="32">
        <v>44561</v>
      </c>
      <c r="B576" s="22">
        <v>189</v>
      </c>
      <c r="C576" s="23" t="s">
        <v>261</v>
      </c>
      <c r="D576" s="24"/>
      <c r="E576" s="25"/>
      <c r="F576" s="24" t="str">
        <f t="shared" si="0"/>
        <v/>
      </c>
      <c r="G576" s="26" t="str">
        <f t="shared" si="1"/>
        <v/>
      </c>
      <c r="H576" s="27" t="str">
        <f t="shared" si="2"/>
        <v>Positional</v>
      </c>
      <c r="J576" s="73"/>
      <c r="K576" s="28"/>
      <c r="L576" s="74"/>
      <c r="M576" s="31"/>
    </row>
    <row r="577" spans="1:13" ht="14.25" customHeight="1">
      <c r="A577" s="32">
        <v>44561</v>
      </c>
      <c r="B577" s="22">
        <v>396</v>
      </c>
      <c r="C577" s="23" t="s">
        <v>378</v>
      </c>
      <c r="D577" s="24"/>
      <c r="E577" s="25"/>
      <c r="F577" s="24" t="str">
        <f t="shared" si="0"/>
        <v/>
      </c>
      <c r="G577" s="26" t="str">
        <f t="shared" si="1"/>
        <v/>
      </c>
      <c r="H577" s="27" t="str">
        <f t="shared" si="2"/>
        <v>Positional</v>
      </c>
      <c r="J577" s="73"/>
      <c r="K577" s="28"/>
      <c r="L577" s="74"/>
      <c r="M577" s="31"/>
    </row>
    <row r="578" spans="1:13" ht="14.25" customHeight="1">
      <c r="A578" s="32">
        <v>44561</v>
      </c>
      <c r="B578" s="22">
        <v>177.19</v>
      </c>
      <c r="C578" s="23" t="s">
        <v>20</v>
      </c>
      <c r="D578" s="24">
        <v>42378.74</v>
      </c>
      <c r="E578" s="25">
        <v>337112</v>
      </c>
      <c r="F578" s="24">
        <f t="shared" si="0"/>
        <v>184.03</v>
      </c>
      <c r="G578" s="26">
        <f t="shared" si="1"/>
        <v>1138472.22</v>
      </c>
      <c r="H578" s="27" t="str">
        <f t="shared" si="2"/>
        <v/>
      </c>
      <c r="J578" s="73"/>
      <c r="K578" s="28"/>
      <c r="L578" s="74"/>
      <c r="M578" s="31"/>
    </row>
    <row r="579" spans="1:13" ht="14.25" customHeight="1">
      <c r="A579" s="32">
        <v>44564</v>
      </c>
      <c r="B579" s="22">
        <v>-993</v>
      </c>
      <c r="C579" s="23" t="s">
        <v>183</v>
      </c>
      <c r="D579" s="24"/>
      <c r="E579" s="25"/>
      <c r="F579" s="24" t="str">
        <f t="shared" si="0"/>
        <v/>
      </c>
      <c r="G579" s="26" t="str">
        <f t="shared" si="1"/>
        <v/>
      </c>
      <c r="H579" s="27" t="str">
        <f t="shared" si="2"/>
        <v>Positional</v>
      </c>
      <c r="J579" s="73"/>
      <c r="K579" s="28"/>
      <c r="L579" s="74"/>
      <c r="M579" s="31"/>
    </row>
    <row r="580" spans="1:13" ht="14.25" customHeight="1">
      <c r="A580" s="32">
        <v>44564</v>
      </c>
      <c r="B580" s="22">
        <v>36.03</v>
      </c>
      <c r="C580" s="23" t="s">
        <v>20</v>
      </c>
      <c r="D580" s="24">
        <v>39887.910000000003</v>
      </c>
      <c r="E580" s="25">
        <v>338614</v>
      </c>
      <c r="F580" s="24">
        <f t="shared" si="0"/>
        <v>61.18</v>
      </c>
      <c r="G580" s="26">
        <f t="shared" si="1"/>
        <v>378501.91000000003</v>
      </c>
      <c r="H580" s="27" t="str">
        <f t="shared" si="2"/>
        <v/>
      </c>
      <c r="J580" s="73"/>
      <c r="K580" s="28"/>
      <c r="L580" s="74"/>
      <c r="M580" s="31"/>
    </row>
    <row r="581" spans="1:13" ht="14.25" customHeight="1">
      <c r="A581" s="32">
        <v>44565</v>
      </c>
      <c r="B581" s="22">
        <v>163</v>
      </c>
      <c r="C581" s="23" t="s">
        <v>263</v>
      </c>
      <c r="D581" s="24"/>
      <c r="E581" s="25"/>
      <c r="F581" s="24" t="str">
        <f t="shared" si="0"/>
        <v/>
      </c>
      <c r="G581" s="26" t="str">
        <f t="shared" si="1"/>
        <v/>
      </c>
      <c r="H581" s="27" t="str">
        <f t="shared" si="2"/>
        <v>Positional</v>
      </c>
      <c r="J581" s="73"/>
      <c r="K581" s="28"/>
      <c r="L581" s="74"/>
      <c r="M581" s="31"/>
    </row>
    <row r="582" spans="1:13" ht="14.25" customHeight="1">
      <c r="A582" s="32">
        <v>44565</v>
      </c>
      <c r="B582" s="22">
        <f>-730+3</f>
        <v>-727</v>
      </c>
      <c r="C582" s="23" t="s">
        <v>264</v>
      </c>
      <c r="D582" s="24"/>
      <c r="E582" s="25"/>
      <c r="F582" s="24" t="str">
        <f t="shared" si="0"/>
        <v/>
      </c>
      <c r="G582" s="26" t="str">
        <f t="shared" si="1"/>
        <v/>
      </c>
      <c r="H582" s="27" t="str">
        <f t="shared" si="2"/>
        <v>Positional</v>
      </c>
      <c r="J582" s="73"/>
      <c r="K582" s="28"/>
      <c r="L582" s="74"/>
      <c r="M582" s="31"/>
    </row>
    <row r="583" spans="1:13" ht="14.25" customHeight="1">
      <c r="A583" s="32">
        <v>44565</v>
      </c>
      <c r="B583" s="22">
        <v>41.69</v>
      </c>
      <c r="C583" s="23" t="s">
        <v>20</v>
      </c>
      <c r="D583" s="24">
        <v>35069.78</v>
      </c>
      <c r="E583" s="25">
        <v>342881</v>
      </c>
      <c r="F583" s="24">
        <f t="shared" si="0"/>
        <v>61.09</v>
      </c>
      <c r="G583" s="26">
        <f t="shared" si="1"/>
        <v>377950.78</v>
      </c>
      <c r="H583" s="27" t="str">
        <f t="shared" si="2"/>
        <v/>
      </c>
      <c r="J583" s="73"/>
      <c r="K583" s="28"/>
      <c r="L583" s="74"/>
      <c r="M583" s="31"/>
    </row>
    <row r="584" spans="1:13" ht="14.25" customHeight="1">
      <c r="A584" s="32">
        <v>44566</v>
      </c>
      <c r="B584" s="22">
        <v>-113</v>
      </c>
      <c r="C584" s="23" t="s">
        <v>265</v>
      </c>
      <c r="D584" s="24"/>
      <c r="E584" s="25"/>
      <c r="F584" s="24" t="str">
        <f t="shared" si="0"/>
        <v/>
      </c>
      <c r="G584" s="26" t="str">
        <f t="shared" si="1"/>
        <v/>
      </c>
      <c r="H584" s="27" t="str">
        <f t="shared" si="2"/>
        <v>Positional</v>
      </c>
      <c r="J584" s="73"/>
      <c r="K584" s="28"/>
      <c r="L584" s="74"/>
      <c r="M584" s="31"/>
    </row>
    <row r="585" spans="1:13" ht="14.25" customHeight="1">
      <c r="A585" s="32">
        <v>44566</v>
      </c>
      <c r="B585" s="22">
        <v>496</v>
      </c>
      <c r="C585" s="23" t="s">
        <v>266</v>
      </c>
      <c r="D585" s="24"/>
      <c r="E585" s="25"/>
      <c r="F585" s="24" t="str">
        <f t="shared" si="0"/>
        <v/>
      </c>
      <c r="G585" s="26" t="str">
        <f t="shared" si="1"/>
        <v/>
      </c>
      <c r="H585" s="27" t="str">
        <f t="shared" si="2"/>
        <v>Positional</v>
      </c>
      <c r="J585" s="73"/>
      <c r="K585" s="28"/>
      <c r="L585" s="74"/>
      <c r="M585" s="31"/>
    </row>
    <row r="586" spans="1:13" ht="14.25" customHeight="1">
      <c r="A586" s="32">
        <v>44566</v>
      </c>
      <c r="B586" s="22">
        <v>-55.95</v>
      </c>
      <c r="C586" s="23" t="s">
        <v>20</v>
      </c>
      <c r="D586" s="24">
        <v>70791.97</v>
      </c>
      <c r="E586" s="25">
        <v>307454</v>
      </c>
      <c r="F586" s="24">
        <f t="shared" si="0"/>
        <v>61.14</v>
      </c>
      <c r="G586" s="26">
        <f t="shared" si="1"/>
        <v>378245.97</v>
      </c>
      <c r="H586" s="27" t="str">
        <f t="shared" si="2"/>
        <v/>
      </c>
      <c r="J586" s="73"/>
      <c r="K586" s="28"/>
      <c r="L586" s="74"/>
      <c r="M586" s="31"/>
    </row>
    <row r="587" spans="1:13" ht="14.25" customHeight="1">
      <c r="A587" s="32">
        <v>44567</v>
      </c>
      <c r="B587" s="22">
        <v>44.83</v>
      </c>
      <c r="C587" s="23" t="s">
        <v>20</v>
      </c>
      <c r="D587" s="24">
        <v>50836.800000000003</v>
      </c>
      <c r="E587" s="25">
        <v>305392</v>
      </c>
      <c r="F587" s="24">
        <f t="shared" si="0"/>
        <v>57.58</v>
      </c>
      <c r="G587" s="26">
        <f t="shared" si="1"/>
        <v>356228.8</v>
      </c>
      <c r="H587" s="27" t="str">
        <f t="shared" si="2"/>
        <v/>
      </c>
      <c r="J587" s="73"/>
      <c r="K587" s="28"/>
      <c r="L587" s="74"/>
      <c r="M587" s="31"/>
    </row>
    <row r="588" spans="1:13" ht="14.25" customHeight="1">
      <c r="A588" s="32">
        <v>44568</v>
      </c>
      <c r="B588" s="22">
        <v>-12</v>
      </c>
      <c r="C588" s="23" t="s">
        <v>261</v>
      </c>
      <c r="D588" s="24"/>
      <c r="E588" s="25"/>
      <c r="F588" s="24" t="str">
        <f t="shared" si="0"/>
        <v/>
      </c>
      <c r="G588" s="26" t="str">
        <f t="shared" si="1"/>
        <v/>
      </c>
      <c r="H588" s="27" t="str">
        <f t="shared" si="2"/>
        <v>Positional</v>
      </c>
      <c r="J588" s="73"/>
      <c r="K588" s="28"/>
      <c r="L588" s="74"/>
      <c r="M588" s="31"/>
    </row>
    <row r="589" spans="1:13" ht="14.25" customHeight="1">
      <c r="A589" s="32">
        <v>44568</v>
      </c>
      <c r="B589" s="22">
        <v>-251.83</v>
      </c>
      <c r="C589" s="23" t="s">
        <v>20</v>
      </c>
      <c r="D589" s="24">
        <v>52619.040000000001</v>
      </c>
      <c r="E589" s="25">
        <v>305392</v>
      </c>
      <c r="F589" s="24">
        <f t="shared" si="0"/>
        <v>173.61</v>
      </c>
      <c r="G589" s="26">
        <f t="shared" si="1"/>
        <v>1074033.1199999999</v>
      </c>
      <c r="H589" s="27" t="str">
        <f t="shared" si="2"/>
        <v/>
      </c>
      <c r="J589" s="73"/>
      <c r="K589" s="28"/>
      <c r="L589" s="74"/>
      <c r="M589" s="31"/>
    </row>
    <row r="590" spans="1:13" ht="14.25" customHeight="1">
      <c r="A590" s="32">
        <v>44571</v>
      </c>
      <c r="B590" s="22">
        <v>170.63</v>
      </c>
      <c r="C590" s="23" t="s">
        <v>20</v>
      </c>
      <c r="D590" s="24">
        <v>177779.05</v>
      </c>
      <c r="E590" s="25">
        <v>305392</v>
      </c>
      <c r="F590" s="24">
        <f t="shared" si="0"/>
        <v>78.099999999999994</v>
      </c>
      <c r="G590" s="26">
        <f t="shared" si="1"/>
        <v>483171.05</v>
      </c>
      <c r="H590" s="27" t="str">
        <f t="shared" si="2"/>
        <v/>
      </c>
      <c r="J590" s="73"/>
      <c r="K590" s="28"/>
      <c r="L590" s="74"/>
      <c r="M590" s="31"/>
    </row>
    <row r="591" spans="1:13" ht="14.25" customHeight="1">
      <c r="A591" s="32">
        <v>44572</v>
      </c>
      <c r="B591" s="22">
        <v>883.83</v>
      </c>
      <c r="C591" s="23" t="s">
        <v>20</v>
      </c>
      <c r="D591" s="24">
        <v>36042.879999999997</v>
      </c>
      <c r="E591" s="25">
        <v>359496</v>
      </c>
      <c r="F591" s="24">
        <f t="shared" si="0"/>
        <v>63.94</v>
      </c>
      <c r="G591" s="26">
        <f t="shared" si="1"/>
        <v>395538.88</v>
      </c>
      <c r="H591" s="27" t="str">
        <f t="shared" si="2"/>
        <v/>
      </c>
      <c r="J591" s="73"/>
      <c r="K591" s="28"/>
      <c r="L591" s="74"/>
      <c r="M591" s="31"/>
    </row>
    <row r="592" spans="1:13" ht="14.25" customHeight="1">
      <c r="A592" s="32">
        <v>44573</v>
      </c>
      <c r="B592" s="22">
        <v>-592</v>
      </c>
      <c r="C592" s="23" t="s">
        <v>268</v>
      </c>
      <c r="D592" s="24"/>
      <c r="E592" s="25"/>
      <c r="F592" s="24" t="str">
        <f t="shared" si="0"/>
        <v/>
      </c>
      <c r="G592" s="26" t="str">
        <f t="shared" si="1"/>
        <v/>
      </c>
      <c r="H592" s="27" t="str">
        <f t="shared" si="2"/>
        <v>Positional</v>
      </c>
      <c r="J592" s="73"/>
      <c r="K592" s="28"/>
      <c r="L592" s="74"/>
      <c r="M592" s="31"/>
    </row>
    <row r="593" spans="1:13" ht="14.25" customHeight="1">
      <c r="A593" s="32">
        <v>44573</v>
      </c>
      <c r="B593" s="22">
        <v>410</v>
      </c>
      <c r="C593" s="23" t="s">
        <v>195</v>
      </c>
      <c r="D593" s="24"/>
      <c r="E593" s="25"/>
      <c r="F593" s="24" t="str">
        <f t="shared" si="0"/>
        <v/>
      </c>
      <c r="G593" s="26" t="str">
        <f t="shared" si="1"/>
        <v/>
      </c>
      <c r="H593" s="27" t="str">
        <f t="shared" si="2"/>
        <v>Positional</v>
      </c>
      <c r="J593" s="73"/>
      <c r="K593" s="28"/>
      <c r="L593" s="74"/>
      <c r="M593" s="31"/>
    </row>
    <row r="594" spans="1:13" ht="14.25" customHeight="1">
      <c r="A594" s="32">
        <v>44573</v>
      </c>
      <c r="B594" s="22">
        <v>616.29</v>
      </c>
      <c r="C594" s="23" t="s">
        <v>20</v>
      </c>
      <c r="D594" s="24">
        <v>124992.17</v>
      </c>
      <c r="E594" s="25">
        <v>424519</v>
      </c>
      <c r="F594" s="24">
        <f t="shared" si="0"/>
        <v>88.83</v>
      </c>
      <c r="G594" s="26">
        <f t="shared" si="1"/>
        <v>549511.17000000004</v>
      </c>
      <c r="H594" s="27" t="str">
        <f t="shared" si="2"/>
        <v/>
      </c>
      <c r="J594" s="73"/>
      <c r="K594" s="28"/>
      <c r="L594" s="74"/>
      <c r="M594" s="31"/>
    </row>
    <row r="595" spans="1:13" ht="14.25" customHeight="1">
      <c r="A595" s="32">
        <v>44574</v>
      </c>
      <c r="B595" s="22">
        <v>797.22</v>
      </c>
      <c r="C595" s="23" t="s">
        <v>20</v>
      </c>
      <c r="D595" s="24">
        <v>60735.54</v>
      </c>
      <c r="E595" s="25">
        <v>424519</v>
      </c>
      <c r="F595" s="24">
        <f t="shared" si="0"/>
        <v>78.44</v>
      </c>
      <c r="G595" s="26">
        <f t="shared" si="1"/>
        <v>485254.54</v>
      </c>
      <c r="H595" s="27" t="str">
        <f t="shared" si="2"/>
        <v/>
      </c>
      <c r="J595" s="73"/>
      <c r="K595" s="28"/>
      <c r="L595" s="74"/>
      <c r="M595" s="31"/>
    </row>
    <row r="596" spans="1:13" ht="14.25" customHeight="1">
      <c r="A596" s="32">
        <v>44575</v>
      </c>
      <c r="B596" s="22">
        <v>296.7</v>
      </c>
      <c r="C596" s="23" t="s">
        <v>20</v>
      </c>
      <c r="D596" s="24">
        <v>5480.24</v>
      </c>
      <c r="E596" s="25">
        <v>490071</v>
      </c>
      <c r="F596" s="24">
        <f t="shared" si="0"/>
        <v>240.31</v>
      </c>
      <c r="G596" s="26">
        <f t="shared" si="1"/>
        <v>1486653.72</v>
      </c>
      <c r="H596" s="27" t="str">
        <f t="shared" si="2"/>
        <v/>
      </c>
      <c r="J596" s="73"/>
      <c r="K596" s="28"/>
      <c r="L596" s="78"/>
      <c r="M596" s="31"/>
    </row>
    <row r="597" spans="1:13" ht="14.25" customHeight="1">
      <c r="A597" s="32">
        <v>44578</v>
      </c>
      <c r="B597" s="22">
        <v>-178</v>
      </c>
      <c r="C597" s="23" t="s">
        <v>269</v>
      </c>
      <c r="D597" s="24"/>
      <c r="E597" s="25"/>
      <c r="F597" s="24" t="str">
        <f t="shared" si="0"/>
        <v/>
      </c>
      <c r="G597" s="26" t="str">
        <f t="shared" si="1"/>
        <v/>
      </c>
      <c r="H597" s="27" t="str">
        <f t="shared" si="2"/>
        <v>Positional</v>
      </c>
      <c r="J597" s="73"/>
      <c r="K597" s="28"/>
      <c r="L597" s="78"/>
      <c r="M597" s="31"/>
    </row>
    <row r="598" spans="1:13" ht="14.25" customHeight="1">
      <c r="A598" s="32">
        <v>44578</v>
      </c>
      <c r="B598" s="22">
        <v>22</v>
      </c>
      <c r="C598" s="23" t="s">
        <v>270</v>
      </c>
      <c r="D598" s="24"/>
      <c r="E598" s="25"/>
      <c r="F598" s="24" t="str">
        <f t="shared" si="0"/>
        <v/>
      </c>
      <c r="G598" s="26" t="str">
        <f t="shared" si="1"/>
        <v/>
      </c>
      <c r="H598" s="27" t="str">
        <f t="shared" si="2"/>
        <v>Positional</v>
      </c>
      <c r="J598" s="73"/>
      <c r="K598" s="28"/>
      <c r="L598" s="78"/>
      <c r="M598" s="31"/>
    </row>
    <row r="599" spans="1:13" ht="14.25" customHeight="1">
      <c r="A599" s="32">
        <v>44578</v>
      </c>
      <c r="B599" s="22">
        <v>2120</v>
      </c>
      <c r="C599" s="23" t="s">
        <v>271</v>
      </c>
      <c r="D599" s="24"/>
      <c r="E599" s="25"/>
      <c r="F599" s="24" t="str">
        <f t="shared" si="0"/>
        <v/>
      </c>
      <c r="G599" s="26" t="str">
        <f t="shared" si="1"/>
        <v/>
      </c>
      <c r="H599" s="27" t="str">
        <f t="shared" si="2"/>
        <v>Positional</v>
      </c>
      <c r="J599" s="73"/>
      <c r="K599" s="28"/>
      <c r="L599" s="78"/>
      <c r="M599" s="31"/>
    </row>
    <row r="600" spans="1:13" ht="14.25" customHeight="1">
      <c r="A600" s="32">
        <v>44578</v>
      </c>
      <c r="B600" s="22">
        <v>476</v>
      </c>
      <c r="C600" s="23" t="s">
        <v>272</v>
      </c>
      <c r="D600" s="24"/>
      <c r="E600" s="25"/>
      <c r="F600" s="24" t="str">
        <f t="shared" si="0"/>
        <v/>
      </c>
      <c r="G600" s="26" t="str">
        <f t="shared" si="1"/>
        <v/>
      </c>
      <c r="H600" s="27" t="str">
        <f t="shared" si="2"/>
        <v>Positional</v>
      </c>
      <c r="J600" s="73"/>
      <c r="K600" s="28"/>
      <c r="L600" s="78"/>
      <c r="M600" s="31"/>
    </row>
    <row r="601" spans="1:13" ht="14.25" customHeight="1">
      <c r="A601" s="32">
        <v>44578</v>
      </c>
      <c r="B601" s="22">
        <v>73.849999999999994</v>
      </c>
      <c r="C601" s="23" t="s">
        <v>20</v>
      </c>
      <c r="D601" s="24">
        <v>38756.370000000003</v>
      </c>
      <c r="E601" s="25">
        <v>464245</v>
      </c>
      <c r="F601" s="24">
        <f t="shared" si="0"/>
        <v>81.31</v>
      </c>
      <c r="G601" s="26">
        <f t="shared" si="1"/>
        <v>503001.37</v>
      </c>
      <c r="H601" s="27" t="str">
        <f t="shared" si="2"/>
        <v/>
      </c>
      <c r="J601" s="73"/>
      <c r="K601" s="28"/>
      <c r="L601" s="78"/>
      <c r="M601" s="31"/>
    </row>
    <row r="602" spans="1:13" ht="14.25" customHeight="1">
      <c r="A602" s="32">
        <v>44579</v>
      </c>
      <c r="B602" s="22">
        <v>196.26</v>
      </c>
      <c r="C602" s="23" t="s">
        <v>4</v>
      </c>
      <c r="D602" s="24"/>
      <c r="E602" s="25"/>
      <c r="F602" s="24" t="str">
        <f t="shared" si="0"/>
        <v/>
      </c>
      <c r="G602" s="26" t="str">
        <f t="shared" si="1"/>
        <v/>
      </c>
      <c r="H602" s="27" t="str">
        <f t="shared" si="2"/>
        <v/>
      </c>
      <c r="J602" s="73"/>
      <c r="K602" s="28"/>
      <c r="L602" s="78"/>
      <c r="M602" s="31"/>
    </row>
    <row r="603" spans="1:13" ht="14.25" customHeight="1">
      <c r="A603" s="32">
        <v>44579</v>
      </c>
      <c r="B603" s="22">
        <v>224.13</v>
      </c>
      <c r="C603" s="23" t="s">
        <v>20</v>
      </c>
      <c r="D603" s="24">
        <v>26976.76</v>
      </c>
      <c r="E603" s="25">
        <v>476445</v>
      </c>
      <c r="F603" s="24">
        <f t="shared" si="0"/>
        <v>81.38</v>
      </c>
      <c r="G603" s="26">
        <f t="shared" si="1"/>
        <v>503421.76</v>
      </c>
      <c r="H603" s="27" t="str">
        <f t="shared" si="2"/>
        <v/>
      </c>
      <c r="J603" s="73"/>
      <c r="K603" s="28"/>
      <c r="L603" s="78"/>
      <c r="M603" s="31"/>
    </row>
    <row r="604" spans="1:13" ht="14.25" customHeight="1">
      <c r="A604" s="32">
        <v>44580</v>
      </c>
      <c r="B604" s="22">
        <v>1.76</v>
      </c>
      <c r="C604" s="23" t="s">
        <v>20</v>
      </c>
      <c r="D604" s="24"/>
      <c r="E604" s="25"/>
      <c r="F604" s="24" t="str">
        <f t="shared" si="0"/>
        <v/>
      </c>
      <c r="G604" s="26" t="str">
        <f t="shared" si="1"/>
        <v/>
      </c>
      <c r="H604" s="27" t="str">
        <f t="shared" si="2"/>
        <v/>
      </c>
      <c r="J604" s="73"/>
      <c r="K604" s="28"/>
      <c r="L604" s="78"/>
      <c r="M604" s="31"/>
    </row>
    <row r="605" spans="1:13" ht="14.25" customHeight="1">
      <c r="A605" s="32">
        <v>44580</v>
      </c>
      <c r="B605" s="22">
        <v>214</v>
      </c>
      <c r="C605" s="23" t="s">
        <v>272</v>
      </c>
      <c r="D605" s="24">
        <v>27787.58</v>
      </c>
      <c r="E605" s="25">
        <v>475834</v>
      </c>
      <c r="F605" s="24">
        <f t="shared" si="0"/>
        <v>81.41</v>
      </c>
      <c r="G605" s="26">
        <f t="shared" si="1"/>
        <v>503621.58</v>
      </c>
      <c r="H605" s="27" t="str">
        <f t="shared" si="2"/>
        <v>Positional</v>
      </c>
      <c r="J605" s="73"/>
      <c r="K605" s="28"/>
      <c r="L605" s="78"/>
      <c r="M605" s="31"/>
    </row>
    <row r="606" spans="1:13" ht="14.25" customHeight="1">
      <c r="A606" s="32">
        <v>44581</v>
      </c>
      <c r="B606" s="22">
        <v>976</v>
      </c>
      <c r="C606" s="23" t="s">
        <v>260</v>
      </c>
      <c r="D606" s="24"/>
      <c r="E606" s="25"/>
      <c r="F606" s="24" t="str">
        <f t="shared" si="0"/>
        <v/>
      </c>
      <c r="G606" s="26" t="str">
        <f t="shared" si="1"/>
        <v/>
      </c>
      <c r="H606" s="27" t="str">
        <f t="shared" si="2"/>
        <v>Positional</v>
      </c>
      <c r="J606" s="73"/>
      <c r="K606" s="28"/>
      <c r="L606" s="78"/>
      <c r="M606" s="31"/>
    </row>
    <row r="607" spans="1:13" ht="14.25" customHeight="1">
      <c r="A607" s="32">
        <v>44581</v>
      </c>
      <c r="B607" s="22">
        <v>336</v>
      </c>
      <c r="C607" s="23" t="s">
        <v>266</v>
      </c>
      <c r="D607" s="24"/>
      <c r="E607" s="25"/>
      <c r="F607" s="24" t="str">
        <f t="shared" si="0"/>
        <v/>
      </c>
      <c r="G607" s="26" t="str">
        <f t="shared" si="1"/>
        <v/>
      </c>
      <c r="H607" s="27" t="str">
        <f t="shared" si="2"/>
        <v>Positional</v>
      </c>
      <c r="J607" s="73"/>
      <c r="K607" s="28"/>
      <c r="L607" s="78"/>
      <c r="M607" s="31"/>
    </row>
    <row r="608" spans="1:13" ht="14.25" customHeight="1">
      <c r="A608" s="32">
        <v>44581</v>
      </c>
      <c r="B608" s="22">
        <v>290.94</v>
      </c>
      <c r="C608" s="23" t="s">
        <v>20</v>
      </c>
      <c r="D608" s="24">
        <v>34764.660000000003</v>
      </c>
      <c r="E608" s="25">
        <v>470428</v>
      </c>
      <c r="F608" s="24">
        <f t="shared" si="0"/>
        <v>81.66</v>
      </c>
      <c r="G608" s="26">
        <f t="shared" si="1"/>
        <v>505192.66000000003</v>
      </c>
      <c r="H608" s="27" t="str">
        <f t="shared" si="2"/>
        <v/>
      </c>
      <c r="J608" s="73"/>
      <c r="K608" s="28"/>
      <c r="L608" s="78"/>
      <c r="M608" s="31"/>
    </row>
    <row r="609" spans="1:13" ht="14.25" customHeight="1">
      <c r="A609" s="32">
        <v>44582</v>
      </c>
      <c r="B609" s="22">
        <v>211.12</v>
      </c>
      <c r="C609" s="23" t="s">
        <v>20</v>
      </c>
      <c r="D609" s="24">
        <v>5339.78</v>
      </c>
      <c r="E609" s="25">
        <v>500064</v>
      </c>
      <c r="F609" s="24">
        <f t="shared" si="0"/>
        <v>245.09</v>
      </c>
      <c r="G609" s="26">
        <f t="shared" si="1"/>
        <v>1516211.34</v>
      </c>
      <c r="H609" s="27" t="str">
        <f t="shared" si="2"/>
        <v/>
      </c>
      <c r="J609" s="73"/>
      <c r="K609" s="28"/>
      <c r="L609" s="78"/>
      <c r="M609" s="31"/>
    </row>
    <row r="610" spans="1:13" ht="14.25" customHeight="1">
      <c r="A610" s="32">
        <v>44585</v>
      </c>
      <c r="B610" s="22">
        <v>-0.4</v>
      </c>
      <c r="C610" s="23" t="s">
        <v>16</v>
      </c>
      <c r="D610" s="24">
        <v>10652.38</v>
      </c>
      <c r="E610" s="25">
        <v>519751</v>
      </c>
      <c r="F610" s="24">
        <f t="shared" si="0"/>
        <v>85.74</v>
      </c>
      <c r="G610" s="26">
        <f t="shared" si="1"/>
        <v>530403.38</v>
      </c>
      <c r="H610" s="27" t="str">
        <f t="shared" si="2"/>
        <v/>
      </c>
      <c r="J610" s="73"/>
      <c r="K610" s="28"/>
      <c r="L610" s="78"/>
      <c r="M610" s="31"/>
    </row>
    <row r="611" spans="1:13" ht="14.25" customHeight="1">
      <c r="A611" s="32">
        <v>44586</v>
      </c>
      <c r="B611" s="22">
        <v>7.0000000000000007E-2</v>
      </c>
      <c r="C611" s="23" t="s">
        <v>16</v>
      </c>
      <c r="D611" s="24">
        <v>4724.47</v>
      </c>
      <c r="E611" s="25">
        <v>535679</v>
      </c>
      <c r="F611" s="24">
        <f t="shared" si="0"/>
        <v>174.71</v>
      </c>
      <c r="G611" s="26">
        <f t="shared" si="1"/>
        <v>1080806.94</v>
      </c>
      <c r="H611" s="27" t="str">
        <f t="shared" si="2"/>
        <v/>
      </c>
      <c r="J611" s="73"/>
      <c r="K611" s="28"/>
      <c r="L611" s="78"/>
      <c r="M611" s="31"/>
    </row>
    <row r="612" spans="1:13" ht="14.25" customHeight="1">
      <c r="A612" s="32">
        <v>44588</v>
      </c>
      <c r="B612" s="22">
        <v>159</v>
      </c>
      <c r="C612" s="23" t="s">
        <v>273</v>
      </c>
      <c r="D612" s="24"/>
      <c r="E612" s="25"/>
      <c r="F612" s="24" t="str">
        <f t="shared" si="0"/>
        <v/>
      </c>
      <c r="G612" s="26" t="str">
        <f t="shared" si="1"/>
        <v/>
      </c>
      <c r="H612" s="27" t="str">
        <f t="shared" si="2"/>
        <v>Positional</v>
      </c>
      <c r="J612" s="73"/>
      <c r="K612" s="28"/>
      <c r="L612" s="78"/>
      <c r="M612" s="31"/>
    </row>
    <row r="613" spans="1:13" ht="14.25" customHeight="1">
      <c r="A613" s="32">
        <v>44588</v>
      </c>
      <c r="B613" s="22">
        <v>178.82</v>
      </c>
      <c r="C613" s="23" t="s">
        <v>20</v>
      </c>
      <c r="D613" s="24">
        <v>28036.35</v>
      </c>
      <c r="E613" s="25">
        <v>522689</v>
      </c>
      <c r="F613" s="24">
        <f t="shared" si="0"/>
        <v>89.02</v>
      </c>
      <c r="G613" s="26">
        <f t="shared" si="1"/>
        <v>550725.35</v>
      </c>
      <c r="H613" s="27" t="str">
        <f t="shared" si="2"/>
        <v/>
      </c>
      <c r="J613" s="73"/>
      <c r="K613" s="28"/>
      <c r="L613" s="78"/>
      <c r="M613" s="31"/>
    </row>
    <row r="614" spans="1:13" ht="14.25" customHeight="1">
      <c r="A614" s="32">
        <v>44589</v>
      </c>
      <c r="B614" s="22">
        <v>783</v>
      </c>
      <c r="C614" s="23" t="s">
        <v>260</v>
      </c>
      <c r="D614" s="24"/>
      <c r="E614" s="25"/>
      <c r="F614" s="24" t="str">
        <f t="shared" si="0"/>
        <v/>
      </c>
      <c r="G614" s="26" t="str">
        <f t="shared" si="1"/>
        <v/>
      </c>
      <c r="H614" s="27" t="str">
        <f t="shared" si="2"/>
        <v>Positional</v>
      </c>
      <c r="J614" s="73"/>
      <c r="K614" s="28"/>
      <c r="L614" s="78"/>
      <c r="M614" s="31"/>
    </row>
    <row r="615" spans="1:13" ht="14.25" customHeight="1">
      <c r="A615" s="32">
        <v>44589</v>
      </c>
      <c r="B615" s="22">
        <v>570</v>
      </c>
      <c r="C615" s="23" t="s">
        <v>274</v>
      </c>
      <c r="D615" s="24"/>
      <c r="E615" s="25"/>
      <c r="F615" s="24" t="str">
        <f t="shared" si="0"/>
        <v/>
      </c>
      <c r="G615" s="26" t="str">
        <f t="shared" si="1"/>
        <v/>
      </c>
      <c r="H615" s="27" t="str">
        <f t="shared" si="2"/>
        <v>Positional</v>
      </c>
      <c r="J615" s="73"/>
      <c r="K615" s="28"/>
      <c r="L615" s="78"/>
      <c r="M615" s="31"/>
    </row>
    <row r="616" spans="1:13" ht="14.25" customHeight="1">
      <c r="A616" s="32">
        <v>44589</v>
      </c>
      <c r="B616" s="22">
        <v>154.09</v>
      </c>
      <c r="C616" s="23" t="s">
        <v>20</v>
      </c>
      <c r="D616" s="24">
        <v>30124.85</v>
      </c>
      <c r="E616" s="25">
        <v>537049</v>
      </c>
      <c r="F616" s="24">
        <f t="shared" si="0"/>
        <v>275.04000000000002</v>
      </c>
      <c r="G616" s="26">
        <f t="shared" si="1"/>
        <v>1701521.5499999998</v>
      </c>
      <c r="H616" s="27" t="str">
        <f t="shared" si="2"/>
        <v/>
      </c>
      <c r="J616" s="73"/>
      <c r="K616" s="28"/>
      <c r="L616" s="78"/>
      <c r="M616" s="31"/>
    </row>
    <row r="617" spans="1:13" ht="14.25" customHeight="1">
      <c r="A617" s="32">
        <v>44592</v>
      </c>
      <c r="B617" s="22">
        <v>741</v>
      </c>
      <c r="C617" s="23" t="s">
        <v>275</v>
      </c>
      <c r="D617" s="24"/>
      <c r="E617" s="25"/>
      <c r="F617" s="24" t="str">
        <f t="shared" si="0"/>
        <v/>
      </c>
      <c r="G617" s="26" t="str">
        <f t="shared" si="1"/>
        <v/>
      </c>
      <c r="H617" s="27" t="str">
        <f t="shared" si="2"/>
        <v>Positional</v>
      </c>
      <c r="J617" s="73"/>
      <c r="K617" s="28"/>
      <c r="L617" s="78"/>
      <c r="M617" s="31"/>
    </row>
    <row r="618" spans="1:13" ht="14.25" customHeight="1">
      <c r="A618" s="32">
        <v>44592</v>
      </c>
      <c r="B618" s="22">
        <v>20</v>
      </c>
      <c r="C618" s="23" t="s">
        <v>276</v>
      </c>
      <c r="D618" s="24"/>
      <c r="E618" s="25"/>
      <c r="F618" s="24" t="str">
        <f t="shared" si="0"/>
        <v/>
      </c>
      <c r="G618" s="26" t="str">
        <f t="shared" si="1"/>
        <v/>
      </c>
      <c r="H618" s="27" t="str">
        <f t="shared" si="2"/>
        <v>Positional</v>
      </c>
      <c r="J618" s="73"/>
      <c r="K618" s="28"/>
      <c r="L618" s="78"/>
      <c r="M618" s="31"/>
    </row>
    <row r="619" spans="1:13" ht="14.25" customHeight="1">
      <c r="A619" s="32">
        <v>44592</v>
      </c>
      <c r="B619" s="22">
        <v>173.46</v>
      </c>
      <c r="C619" s="23" t="s">
        <v>20</v>
      </c>
      <c r="D619" s="24"/>
      <c r="E619" s="25"/>
      <c r="F619" s="24" t="str">
        <f t="shared" si="0"/>
        <v/>
      </c>
      <c r="G619" s="26" t="str">
        <f t="shared" si="1"/>
        <v/>
      </c>
      <c r="H619" s="27" t="str">
        <f t="shared" si="2"/>
        <v/>
      </c>
      <c r="J619" s="73"/>
      <c r="K619" s="28"/>
      <c r="L619" s="78"/>
      <c r="M619" s="31"/>
    </row>
    <row r="620" spans="1:13" ht="14.25" customHeight="1">
      <c r="A620" s="32">
        <v>44592</v>
      </c>
      <c r="B620" s="22">
        <v>693.07</v>
      </c>
      <c r="C620" s="23" t="s">
        <v>4</v>
      </c>
      <c r="D620" s="24">
        <v>13719.8</v>
      </c>
      <c r="E620" s="25">
        <v>559309</v>
      </c>
      <c r="F620" s="24">
        <f t="shared" si="0"/>
        <v>92.63</v>
      </c>
      <c r="G620" s="26">
        <f t="shared" si="1"/>
        <v>573028.80000000005</v>
      </c>
      <c r="H620" s="27" t="str">
        <f t="shared" si="2"/>
        <v/>
      </c>
      <c r="J620" s="73"/>
      <c r="K620" s="28"/>
      <c r="L620" s="78"/>
      <c r="M620" s="31"/>
    </row>
    <row r="621" spans="1:13" ht="14.25" customHeight="1">
      <c r="A621" s="32">
        <v>44593</v>
      </c>
      <c r="B621" s="22">
        <v>-1.53</v>
      </c>
      <c r="C621" s="23" t="s">
        <v>16</v>
      </c>
      <c r="D621" s="24"/>
      <c r="E621" s="25"/>
      <c r="F621" s="24" t="str">
        <f t="shared" si="0"/>
        <v/>
      </c>
      <c r="G621" s="26" t="str">
        <f t="shared" si="1"/>
        <v/>
      </c>
      <c r="H621" s="27" t="str">
        <f t="shared" si="2"/>
        <v/>
      </c>
      <c r="J621" s="73"/>
      <c r="K621" s="28"/>
      <c r="L621" s="78"/>
      <c r="M621" s="31"/>
    </row>
    <row r="622" spans="1:13" ht="14.25" customHeight="1">
      <c r="A622" s="32">
        <v>44593</v>
      </c>
      <c r="B622" s="22">
        <v>1672</v>
      </c>
      <c r="C622" s="23" t="s">
        <v>277</v>
      </c>
      <c r="D622" s="24">
        <v>2243.34</v>
      </c>
      <c r="E622" s="25">
        <v>577440</v>
      </c>
      <c r="F622" s="24">
        <f t="shared" si="0"/>
        <v>281.11</v>
      </c>
      <c r="G622" s="26">
        <f t="shared" si="1"/>
        <v>1739050.02</v>
      </c>
      <c r="H622" s="27" t="str">
        <f t="shared" si="2"/>
        <v>Positional</v>
      </c>
      <c r="J622" s="73"/>
      <c r="K622" s="28"/>
      <c r="L622" s="78"/>
      <c r="M622" s="31"/>
    </row>
    <row r="623" spans="1:13" ht="14.25" customHeight="1">
      <c r="A623" s="32">
        <v>44596</v>
      </c>
      <c r="B623" s="22">
        <v>0.94</v>
      </c>
      <c r="C623" s="23" t="s">
        <v>16</v>
      </c>
      <c r="D623" s="24">
        <v>887.29</v>
      </c>
      <c r="E623" s="25">
        <v>578797</v>
      </c>
      <c r="F623" s="24">
        <f t="shared" si="0"/>
        <v>281.11</v>
      </c>
      <c r="G623" s="26">
        <f t="shared" si="1"/>
        <v>1739052.87</v>
      </c>
      <c r="H623" s="27" t="str">
        <f t="shared" si="2"/>
        <v/>
      </c>
      <c r="J623" s="73"/>
      <c r="K623" s="28"/>
      <c r="L623" s="78"/>
      <c r="M623" s="31"/>
    </row>
    <row r="624" spans="1:13" ht="14.25" customHeight="1">
      <c r="A624" s="32">
        <v>44599</v>
      </c>
      <c r="B624" s="22">
        <v>0.62</v>
      </c>
      <c r="C624" s="23" t="s">
        <v>16</v>
      </c>
      <c r="D624" s="24">
        <v>14223.38</v>
      </c>
      <c r="E624" s="25">
        <v>587558</v>
      </c>
      <c r="F624" s="24">
        <f t="shared" si="0"/>
        <v>97.27</v>
      </c>
      <c r="G624" s="26">
        <f t="shared" si="1"/>
        <v>601781.38</v>
      </c>
      <c r="H624" s="27" t="str">
        <f t="shared" si="2"/>
        <v/>
      </c>
      <c r="J624" s="73"/>
      <c r="K624" s="28"/>
      <c r="L624" s="78"/>
      <c r="M624" s="31"/>
    </row>
    <row r="625" spans="1:13" ht="14.25" customHeight="1">
      <c r="A625" s="32">
        <v>44600</v>
      </c>
      <c r="B625" s="22">
        <v>2267.81</v>
      </c>
      <c r="C625" s="23" t="s">
        <v>4</v>
      </c>
      <c r="D625" s="24">
        <v>24394.720000000001</v>
      </c>
      <c r="E625" s="25">
        <v>587558</v>
      </c>
      <c r="F625" s="24">
        <f t="shared" si="0"/>
        <v>98.92</v>
      </c>
      <c r="G625" s="26">
        <f t="shared" si="1"/>
        <v>611952.72</v>
      </c>
      <c r="H625" s="27" t="str">
        <f t="shared" si="2"/>
        <v/>
      </c>
      <c r="J625" s="73"/>
      <c r="K625" s="28"/>
      <c r="L625" s="78"/>
      <c r="M625" s="31"/>
    </row>
    <row r="626" spans="1:13" ht="14.25" customHeight="1">
      <c r="A626" s="32">
        <v>44601</v>
      </c>
      <c r="B626" s="22">
        <v>2596.5300000000002</v>
      </c>
      <c r="C626" s="23" t="s">
        <v>4</v>
      </c>
      <c r="D626" s="24">
        <v>26991.25</v>
      </c>
      <c r="E626" s="25">
        <v>587558</v>
      </c>
      <c r="F626" s="24">
        <f t="shared" si="0"/>
        <v>99.34</v>
      </c>
      <c r="G626" s="26">
        <f t="shared" si="1"/>
        <v>614549.25</v>
      </c>
      <c r="H626" s="27" t="str">
        <f t="shared" si="2"/>
        <v/>
      </c>
      <c r="J626" s="73"/>
      <c r="K626" s="28"/>
      <c r="L626" s="78"/>
      <c r="M626" s="31"/>
    </row>
    <row r="627" spans="1:13" ht="14.25" customHeight="1">
      <c r="A627" s="32">
        <v>44602</v>
      </c>
      <c r="B627" s="22">
        <v>1825.78</v>
      </c>
      <c r="C627" s="23" t="s">
        <v>4</v>
      </c>
      <c r="D627" s="24"/>
      <c r="E627" s="25"/>
      <c r="F627" s="24" t="str">
        <f t="shared" si="0"/>
        <v/>
      </c>
      <c r="G627" s="26" t="str">
        <f t="shared" si="1"/>
        <v/>
      </c>
      <c r="H627" s="27" t="str">
        <f t="shared" si="2"/>
        <v/>
      </c>
      <c r="J627" s="73"/>
      <c r="K627" s="28"/>
      <c r="L627" s="78"/>
      <c r="M627" s="31"/>
    </row>
    <row r="628" spans="1:13" ht="14.25" customHeight="1">
      <c r="A628" s="32">
        <v>44602</v>
      </c>
      <c r="B628" s="22">
        <v>526.82000000000005</v>
      </c>
      <c r="C628" s="23" t="s">
        <v>20</v>
      </c>
      <c r="D628" s="24">
        <v>4818.51</v>
      </c>
      <c r="E628" s="25">
        <v>587558</v>
      </c>
      <c r="F628" s="24">
        <f t="shared" si="0"/>
        <v>95.75</v>
      </c>
      <c r="G628" s="26">
        <f t="shared" si="1"/>
        <v>592376.51</v>
      </c>
      <c r="H628" s="27" t="str">
        <f t="shared" si="2"/>
        <v/>
      </c>
      <c r="J628" s="73"/>
      <c r="K628" s="28"/>
      <c r="L628" s="78"/>
      <c r="M628" s="31"/>
    </row>
    <row r="629" spans="1:13" ht="14.25" customHeight="1">
      <c r="A629" s="32">
        <v>44603</v>
      </c>
      <c r="B629" s="22">
        <v>-0.23</v>
      </c>
      <c r="C629" s="23" t="s">
        <v>16</v>
      </c>
      <c r="D629" s="24">
        <v>3229.28</v>
      </c>
      <c r="E629" s="25">
        <v>599147</v>
      </c>
      <c r="F629" s="24">
        <f t="shared" si="0"/>
        <v>292.11</v>
      </c>
      <c r="G629" s="26">
        <f t="shared" si="1"/>
        <v>1807128.84</v>
      </c>
      <c r="H629" s="27" t="str">
        <f t="shared" si="2"/>
        <v/>
      </c>
      <c r="J629" s="73"/>
      <c r="K629" s="28"/>
      <c r="L629" s="78"/>
      <c r="M629" s="31"/>
    </row>
    <row r="630" spans="1:13" ht="14.25" customHeight="1">
      <c r="A630" s="32">
        <v>44606</v>
      </c>
      <c r="B630" s="22">
        <v>190.3</v>
      </c>
      <c r="C630" s="23" t="s">
        <v>20</v>
      </c>
      <c r="D630" s="24">
        <v>4751.0600000000004</v>
      </c>
      <c r="E630" s="25">
        <v>601523</v>
      </c>
      <c r="F630" s="24">
        <f t="shared" si="0"/>
        <v>98</v>
      </c>
      <c r="G630" s="26">
        <f t="shared" si="1"/>
        <v>606274.06000000006</v>
      </c>
      <c r="H630" s="27" t="str">
        <f t="shared" si="2"/>
        <v/>
      </c>
      <c r="J630" s="73"/>
      <c r="K630" s="28"/>
      <c r="L630" s="78"/>
      <c r="M630" s="31"/>
    </row>
    <row r="631" spans="1:13" ht="14.25" customHeight="1">
      <c r="A631" s="32">
        <v>44607</v>
      </c>
      <c r="B631" s="22">
        <v>0.22</v>
      </c>
      <c r="C631" s="23" t="s">
        <v>16</v>
      </c>
      <c r="D631" s="24">
        <v>3245.28</v>
      </c>
      <c r="E631" s="25">
        <v>603029</v>
      </c>
      <c r="F631" s="24">
        <f t="shared" si="0"/>
        <v>98</v>
      </c>
      <c r="G631" s="26">
        <f t="shared" si="1"/>
        <v>606274.28</v>
      </c>
      <c r="H631" s="27" t="str">
        <f t="shared" si="2"/>
        <v/>
      </c>
      <c r="J631" s="73"/>
      <c r="K631" s="28"/>
      <c r="L631" s="78"/>
      <c r="M631" s="31"/>
    </row>
    <row r="632" spans="1:13" ht="14.25" customHeight="1">
      <c r="A632" s="32">
        <v>44608</v>
      </c>
      <c r="B632" s="22">
        <v>0</v>
      </c>
      <c r="C632" s="23" t="s">
        <v>16</v>
      </c>
      <c r="D632" s="24">
        <v>770.14</v>
      </c>
      <c r="E632" s="25">
        <v>603029</v>
      </c>
      <c r="F632" s="24">
        <f t="shared" si="0"/>
        <v>585.6</v>
      </c>
      <c r="G632" s="26">
        <f t="shared" si="1"/>
        <v>3622794.84</v>
      </c>
      <c r="H632" s="27" t="str">
        <f t="shared" si="2"/>
        <v/>
      </c>
      <c r="J632" s="73"/>
      <c r="K632" s="28"/>
      <c r="L632" s="78"/>
      <c r="M632" s="31"/>
    </row>
    <row r="633" spans="1:13" ht="14.25" customHeight="1">
      <c r="A633" s="32">
        <v>44614</v>
      </c>
      <c r="B633" s="22">
        <v>199</v>
      </c>
      <c r="C633" s="23" t="s">
        <v>278</v>
      </c>
      <c r="D633" s="24"/>
      <c r="E633" s="25"/>
      <c r="F633" s="24" t="str">
        <f t="shared" si="0"/>
        <v/>
      </c>
      <c r="G633" s="26" t="str">
        <f t="shared" si="1"/>
        <v/>
      </c>
      <c r="H633" s="27" t="str">
        <f t="shared" si="2"/>
        <v>Positional</v>
      </c>
      <c r="J633" s="73"/>
      <c r="K633" s="28"/>
      <c r="L633" s="78"/>
      <c r="M633" s="31"/>
    </row>
    <row r="634" spans="1:13" ht="14.25" customHeight="1">
      <c r="A634" s="32">
        <v>44614</v>
      </c>
      <c r="B634" s="22">
        <v>473</v>
      </c>
      <c r="C634" s="23" t="s">
        <v>279</v>
      </c>
      <c r="D634" s="24"/>
      <c r="E634" s="25"/>
      <c r="F634" s="24" t="str">
        <f t="shared" si="0"/>
        <v/>
      </c>
      <c r="G634" s="26" t="str">
        <f t="shared" si="1"/>
        <v/>
      </c>
      <c r="H634" s="27" t="str">
        <f t="shared" si="2"/>
        <v>Positional</v>
      </c>
      <c r="J634" s="73"/>
      <c r="K634" s="28"/>
      <c r="L634" s="78"/>
      <c r="M634" s="31"/>
    </row>
    <row r="635" spans="1:13" ht="14.25" customHeight="1">
      <c r="A635" s="32">
        <v>44614</v>
      </c>
      <c r="B635" s="22">
        <v>59</v>
      </c>
      <c r="C635" s="23" t="s">
        <v>280</v>
      </c>
      <c r="D635" s="24"/>
      <c r="E635" s="25"/>
      <c r="F635" s="24" t="str">
        <f t="shared" si="0"/>
        <v/>
      </c>
      <c r="G635" s="26" t="str">
        <f t="shared" si="1"/>
        <v/>
      </c>
      <c r="H635" s="27" t="str">
        <f t="shared" si="2"/>
        <v>Positional</v>
      </c>
      <c r="J635" s="73"/>
      <c r="K635" s="28"/>
      <c r="L635" s="78"/>
      <c r="M635" s="31"/>
    </row>
    <row r="636" spans="1:13" ht="14.25" customHeight="1">
      <c r="A636" s="32">
        <v>44614</v>
      </c>
      <c r="B636" s="22">
        <v>-22789.23</v>
      </c>
      <c r="C636" s="23" t="s">
        <v>4</v>
      </c>
      <c r="D636" s="24"/>
      <c r="E636" s="25"/>
      <c r="F636" s="24" t="str">
        <f t="shared" si="0"/>
        <v/>
      </c>
      <c r="G636" s="26" t="str">
        <f t="shared" si="1"/>
        <v/>
      </c>
      <c r="H636" s="27" t="str">
        <f t="shared" si="2"/>
        <v/>
      </c>
      <c r="J636" s="73"/>
      <c r="K636" s="28"/>
      <c r="L636" s="78"/>
      <c r="M636" s="31"/>
    </row>
    <row r="637" spans="1:13" ht="14.25" customHeight="1">
      <c r="A637" s="32">
        <v>44614</v>
      </c>
      <c r="B637" s="22">
        <v>-0.16</v>
      </c>
      <c r="C637" s="23" t="s">
        <v>16</v>
      </c>
      <c r="D637" s="79">
        <v>35386.959999999999</v>
      </c>
      <c r="E637" s="25">
        <v>563052</v>
      </c>
      <c r="F637" s="24">
        <f t="shared" si="0"/>
        <v>96.73</v>
      </c>
      <c r="G637" s="26">
        <f t="shared" si="1"/>
        <v>598438.96</v>
      </c>
      <c r="H637" s="27" t="str">
        <f t="shared" si="2"/>
        <v/>
      </c>
      <c r="J637" s="73"/>
      <c r="K637" s="28"/>
      <c r="L637" s="78"/>
      <c r="M637" s="31"/>
    </row>
    <row r="638" spans="1:13" ht="14.25" customHeight="1">
      <c r="A638" s="32">
        <v>44615</v>
      </c>
      <c r="B638" s="22">
        <v>-3194.4700000000003</v>
      </c>
      <c r="C638" s="23" t="s">
        <v>4</v>
      </c>
      <c r="D638" s="79"/>
      <c r="E638" s="25"/>
      <c r="F638" s="24" t="str">
        <f t="shared" si="0"/>
        <v/>
      </c>
      <c r="G638" s="26" t="str">
        <f t="shared" si="1"/>
        <v/>
      </c>
      <c r="H638" s="27" t="str">
        <f t="shared" si="2"/>
        <v/>
      </c>
      <c r="J638" s="73"/>
      <c r="K638" s="28"/>
      <c r="L638" s="78"/>
      <c r="M638" s="31"/>
    </row>
    <row r="639" spans="1:13" ht="14.25" customHeight="1">
      <c r="A639" s="32">
        <v>44615</v>
      </c>
      <c r="B639" s="22">
        <v>1.17</v>
      </c>
      <c r="C639" s="23" t="s">
        <v>16</v>
      </c>
      <c r="D639" s="79">
        <v>17695.009999999998</v>
      </c>
      <c r="E639" s="25">
        <v>586330</v>
      </c>
      <c r="F639" s="24">
        <f t="shared" si="0"/>
        <v>97.64</v>
      </c>
      <c r="G639" s="26">
        <f t="shared" si="1"/>
        <v>604025.01</v>
      </c>
      <c r="H639" s="27" t="str">
        <f t="shared" si="2"/>
        <v/>
      </c>
      <c r="J639" s="73"/>
      <c r="K639" s="28"/>
      <c r="L639" s="78"/>
      <c r="M639" s="31"/>
    </row>
    <row r="640" spans="1:13" ht="14.25" customHeight="1">
      <c r="A640" s="32">
        <v>44616</v>
      </c>
      <c r="B640" s="22">
        <v>-8721.2900000000009</v>
      </c>
      <c r="C640" s="23" t="s">
        <v>4</v>
      </c>
      <c r="D640" s="79"/>
      <c r="E640" s="25"/>
      <c r="F640" s="24" t="str">
        <f t="shared" si="0"/>
        <v/>
      </c>
      <c r="G640" s="26" t="str">
        <f t="shared" si="1"/>
        <v/>
      </c>
      <c r="H640" s="27" t="str">
        <f t="shared" si="2"/>
        <v/>
      </c>
      <c r="J640" s="73"/>
      <c r="K640" s="28"/>
      <c r="L640" s="78"/>
      <c r="M640" s="31"/>
    </row>
    <row r="641" spans="1:13" ht="14.25" customHeight="1">
      <c r="A641" s="32">
        <v>44616</v>
      </c>
      <c r="B641" s="22">
        <v>0.88</v>
      </c>
      <c r="C641" s="23" t="s">
        <v>16</v>
      </c>
      <c r="D641" s="79">
        <v>8372.24</v>
      </c>
      <c r="E641" s="25">
        <v>615700</v>
      </c>
      <c r="F641" s="24">
        <f t="shared" si="0"/>
        <v>403.51</v>
      </c>
      <c r="G641" s="26">
        <f t="shared" si="1"/>
        <v>2496288.96</v>
      </c>
      <c r="H641" s="27" t="str">
        <f t="shared" si="2"/>
        <v/>
      </c>
      <c r="J641" s="73"/>
      <c r="K641" s="28"/>
      <c r="L641" s="78"/>
      <c r="M641" s="31"/>
    </row>
    <row r="642" spans="1:13" ht="14.25" customHeight="1">
      <c r="A642" s="32">
        <v>44620</v>
      </c>
      <c r="B642" s="22">
        <v>26</v>
      </c>
      <c r="C642" s="23" t="s">
        <v>281</v>
      </c>
      <c r="D642" s="79"/>
      <c r="E642" s="25"/>
      <c r="F642" s="24" t="str">
        <f t="shared" si="0"/>
        <v/>
      </c>
      <c r="G642" s="26" t="str">
        <f t="shared" si="1"/>
        <v/>
      </c>
      <c r="H642" s="27" t="str">
        <f t="shared" si="2"/>
        <v>Positional</v>
      </c>
      <c r="J642" s="73"/>
      <c r="K642" s="28"/>
      <c r="L642" s="78"/>
      <c r="M642" s="31"/>
    </row>
    <row r="643" spans="1:13" ht="14.25" customHeight="1">
      <c r="A643" s="32">
        <v>44620</v>
      </c>
      <c r="B643" s="22">
        <v>27</v>
      </c>
      <c r="C643" s="23" t="s">
        <v>282</v>
      </c>
      <c r="D643" s="79"/>
      <c r="E643" s="25"/>
      <c r="F643" s="24" t="str">
        <f t="shared" si="0"/>
        <v/>
      </c>
      <c r="G643" s="26" t="str">
        <f t="shared" si="1"/>
        <v/>
      </c>
      <c r="H643" s="27" t="str">
        <f t="shared" si="2"/>
        <v>Positional</v>
      </c>
      <c r="J643" s="73"/>
      <c r="K643" s="28"/>
      <c r="L643" s="78"/>
      <c r="M643" s="31"/>
    </row>
    <row r="644" spans="1:13" ht="14.25" customHeight="1">
      <c r="A644" s="32">
        <v>44620</v>
      </c>
      <c r="B644" s="22">
        <v>-0.36</v>
      </c>
      <c r="C644" s="23" t="s">
        <v>16</v>
      </c>
      <c r="D644" s="79">
        <v>16653.03</v>
      </c>
      <c r="E644" s="25">
        <v>607440</v>
      </c>
      <c r="F644" s="24">
        <f t="shared" si="0"/>
        <v>201.76</v>
      </c>
      <c r="G644" s="26">
        <f t="shared" si="1"/>
        <v>1248186.06</v>
      </c>
      <c r="H644" s="27" t="str">
        <f t="shared" si="2"/>
        <v/>
      </c>
      <c r="J644" s="73"/>
      <c r="K644" s="28"/>
      <c r="L644" s="78"/>
      <c r="M644" s="31"/>
    </row>
    <row r="645" spans="1:13" ht="14.25" customHeight="1">
      <c r="A645" s="32">
        <v>44622</v>
      </c>
      <c r="B645" s="22">
        <v>56</v>
      </c>
      <c r="C645" s="23" t="s">
        <v>283</v>
      </c>
      <c r="D645" s="79"/>
      <c r="E645" s="25"/>
      <c r="F645" s="24" t="str">
        <f t="shared" si="0"/>
        <v/>
      </c>
      <c r="G645" s="26" t="str">
        <f t="shared" si="1"/>
        <v/>
      </c>
      <c r="H645" s="27" t="str">
        <f t="shared" si="2"/>
        <v>Positional</v>
      </c>
      <c r="J645" s="73"/>
      <c r="K645" s="28"/>
      <c r="L645" s="78"/>
      <c r="M645" s="31"/>
    </row>
    <row r="646" spans="1:13" ht="14.25" customHeight="1">
      <c r="A646" s="32">
        <v>44622</v>
      </c>
      <c r="B646" s="22">
        <v>38</v>
      </c>
      <c r="C646" s="23" t="s">
        <v>284</v>
      </c>
      <c r="D646" s="79"/>
      <c r="E646" s="25"/>
      <c r="F646" s="24" t="str">
        <f t="shared" si="0"/>
        <v/>
      </c>
      <c r="G646" s="26" t="str">
        <f t="shared" si="1"/>
        <v/>
      </c>
      <c r="H646" s="27" t="str">
        <f t="shared" si="2"/>
        <v>Positional</v>
      </c>
      <c r="J646" s="73"/>
      <c r="K646" s="28"/>
      <c r="L646" s="78"/>
      <c r="M646" s="31"/>
    </row>
    <row r="647" spans="1:13" ht="14.25" customHeight="1">
      <c r="A647" s="32">
        <v>44622</v>
      </c>
      <c r="B647" s="22">
        <v>111.65</v>
      </c>
      <c r="C647" s="23" t="s">
        <v>20</v>
      </c>
      <c r="D647" s="79">
        <v>26404.78</v>
      </c>
      <c r="E647" s="25">
        <v>585956</v>
      </c>
      <c r="F647" s="24">
        <f t="shared" si="0"/>
        <v>98.98</v>
      </c>
      <c r="G647" s="26">
        <f t="shared" si="1"/>
        <v>612360.78</v>
      </c>
      <c r="H647" s="27" t="str">
        <f t="shared" si="2"/>
        <v/>
      </c>
      <c r="J647" s="73"/>
      <c r="K647" s="28"/>
      <c r="L647" s="78"/>
      <c r="M647" s="31"/>
    </row>
    <row r="648" spans="1:13" ht="14.25" customHeight="1">
      <c r="A648" s="32">
        <v>44623</v>
      </c>
      <c r="B648" s="22">
        <v>580.77</v>
      </c>
      <c r="C648" s="23" t="s">
        <v>4</v>
      </c>
      <c r="D648" s="79">
        <v>38891.58</v>
      </c>
      <c r="E648" s="25">
        <v>585956</v>
      </c>
      <c r="F648" s="24">
        <f t="shared" si="0"/>
        <v>101</v>
      </c>
      <c r="G648" s="26">
        <f t="shared" si="1"/>
        <v>624847.57999999996</v>
      </c>
      <c r="H648" s="27" t="str">
        <f t="shared" si="2"/>
        <v/>
      </c>
      <c r="J648" s="73"/>
      <c r="K648" s="28"/>
      <c r="L648" s="78"/>
      <c r="M648" s="31"/>
    </row>
    <row r="649" spans="1:13" ht="14.25" customHeight="1">
      <c r="A649" s="32">
        <v>44624</v>
      </c>
      <c r="B649" s="22">
        <v>409.87</v>
      </c>
      <c r="C649" s="23" t="s">
        <v>4</v>
      </c>
      <c r="D649" s="79">
        <v>10722.23</v>
      </c>
      <c r="E649" s="25">
        <v>585956</v>
      </c>
      <c r="F649" s="24">
        <f t="shared" si="0"/>
        <v>96.45</v>
      </c>
      <c r="G649" s="26">
        <f t="shared" si="1"/>
        <v>596678.23</v>
      </c>
      <c r="H649" s="27" t="str">
        <f t="shared" si="2"/>
        <v/>
      </c>
      <c r="J649" s="73"/>
      <c r="K649" s="28"/>
      <c r="L649" s="78"/>
      <c r="M649" s="31"/>
    </row>
    <row r="650" spans="1:13" ht="14.25" customHeight="1">
      <c r="A650" s="32">
        <v>44625</v>
      </c>
      <c r="B650" s="22">
        <v>0</v>
      </c>
      <c r="C650" s="23" t="s">
        <v>16</v>
      </c>
      <c r="D650" s="79">
        <v>722.23</v>
      </c>
      <c r="E650" s="25">
        <v>585956</v>
      </c>
      <c r="F650" s="24">
        <f t="shared" si="0"/>
        <v>284.5</v>
      </c>
      <c r="G650" s="26">
        <f t="shared" si="1"/>
        <v>1760034.69</v>
      </c>
      <c r="H650" s="27" t="str">
        <f t="shared" si="2"/>
        <v/>
      </c>
      <c r="J650" s="73"/>
      <c r="K650" s="28"/>
      <c r="L650" s="78"/>
      <c r="M650" s="31"/>
    </row>
    <row r="651" spans="1:13" ht="14.25" customHeight="1">
      <c r="A651" s="32">
        <v>44628</v>
      </c>
      <c r="B651" s="22">
        <v>131.15</v>
      </c>
      <c r="C651" s="23" t="s">
        <v>20</v>
      </c>
      <c r="D651" s="79">
        <v>23238.37</v>
      </c>
      <c r="E651" s="25">
        <v>618571</v>
      </c>
      <c r="F651" s="24">
        <f t="shared" si="0"/>
        <v>622.47</v>
      </c>
      <c r="G651" s="26">
        <f t="shared" si="1"/>
        <v>3850856.2199999997</v>
      </c>
      <c r="H651" s="27" t="str">
        <f t="shared" si="2"/>
        <v/>
      </c>
      <c r="J651" s="73"/>
      <c r="K651" s="28"/>
      <c r="L651" s="78"/>
      <c r="M651" s="31"/>
    </row>
    <row r="652" spans="1:13" ht="14.25" customHeight="1">
      <c r="A652" s="32">
        <v>44634</v>
      </c>
      <c r="B652" s="22">
        <v>123</v>
      </c>
      <c r="C652" s="23" t="s">
        <v>285</v>
      </c>
      <c r="D652" s="79"/>
      <c r="E652" s="25"/>
      <c r="F652" s="24" t="str">
        <f t="shared" si="0"/>
        <v/>
      </c>
      <c r="G652" s="26" t="str">
        <f t="shared" si="1"/>
        <v/>
      </c>
      <c r="H652" s="27" t="str">
        <f t="shared" si="2"/>
        <v>Positional</v>
      </c>
      <c r="J652" s="73"/>
      <c r="K652" s="28"/>
      <c r="L652" s="78"/>
      <c r="M652" s="31"/>
    </row>
    <row r="653" spans="1:13" ht="14.25" customHeight="1">
      <c r="A653" s="32">
        <v>44634</v>
      </c>
      <c r="B653" s="22">
        <v>-0.12</v>
      </c>
      <c r="C653" s="23" t="s">
        <v>16</v>
      </c>
      <c r="D653" s="79">
        <v>26339.32</v>
      </c>
      <c r="E653" s="25">
        <v>615577</v>
      </c>
      <c r="F653" s="24">
        <f t="shared" si="0"/>
        <v>103.76</v>
      </c>
      <c r="G653" s="26">
        <f t="shared" si="1"/>
        <v>641916.31999999995</v>
      </c>
      <c r="H653" s="27" t="str">
        <f t="shared" si="2"/>
        <v/>
      </c>
      <c r="J653" s="73"/>
      <c r="K653" s="28"/>
      <c r="L653" s="78"/>
      <c r="M653" s="31"/>
    </row>
    <row r="654" spans="1:13" ht="14.25" customHeight="1">
      <c r="A654" s="32">
        <v>44635</v>
      </c>
      <c r="B654" s="22">
        <v>0</v>
      </c>
      <c r="C654" s="23" t="s">
        <v>16</v>
      </c>
      <c r="D654" s="79">
        <v>16634.66</v>
      </c>
      <c r="E654" s="25">
        <v>615577</v>
      </c>
      <c r="F654" s="24">
        <f t="shared" si="0"/>
        <v>102.19</v>
      </c>
      <c r="G654" s="26">
        <f t="shared" si="1"/>
        <v>632211.66</v>
      </c>
      <c r="H654" s="27" t="str">
        <f t="shared" si="2"/>
        <v/>
      </c>
      <c r="J654" s="73"/>
      <c r="K654" s="28"/>
      <c r="L654" s="78"/>
      <c r="M654" s="31"/>
    </row>
    <row r="655" spans="1:13" ht="14.25" customHeight="1">
      <c r="A655" s="32">
        <v>44636</v>
      </c>
      <c r="B655" s="22">
        <v>685.21</v>
      </c>
      <c r="C655" s="23" t="s">
        <v>4</v>
      </c>
      <c r="D655" s="79">
        <v>27024.53</v>
      </c>
      <c r="E655" s="25">
        <v>615577</v>
      </c>
      <c r="F655" s="24">
        <f t="shared" si="0"/>
        <v>103.87</v>
      </c>
      <c r="G655" s="26">
        <f t="shared" si="1"/>
        <v>642601.53</v>
      </c>
      <c r="H655" s="27" t="str">
        <f t="shared" si="2"/>
        <v/>
      </c>
      <c r="J655" s="73"/>
      <c r="K655" s="28"/>
      <c r="L655" s="78"/>
      <c r="M655" s="31"/>
    </row>
    <row r="656" spans="1:13" ht="14.25" customHeight="1">
      <c r="A656" s="32">
        <v>44637</v>
      </c>
      <c r="B656" s="22">
        <v>817.09</v>
      </c>
      <c r="C656" s="23" t="s">
        <v>4</v>
      </c>
      <c r="D656" s="79">
        <v>27841.62</v>
      </c>
      <c r="E656" s="25">
        <v>615577</v>
      </c>
      <c r="F656" s="24">
        <f t="shared" si="0"/>
        <v>416.02</v>
      </c>
      <c r="G656" s="26">
        <f t="shared" si="1"/>
        <v>2573674.48</v>
      </c>
      <c r="H656" s="27" t="str">
        <f t="shared" si="2"/>
        <v/>
      </c>
      <c r="J656" s="73"/>
      <c r="K656" s="28"/>
      <c r="L656" s="78"/>
      <c r="M656" s="31"/>
    </row>
    <row r="657" spans="1:13" ht="14.25" customHeight="1">
      <c r="A657" s="32">
        <v>44641</v>
      </c>
      <c r="B657" s="22">
        <v>0</v>
      </c>
      <c r="C657" s="23" t="s">
        <v>16</v>
      </c>
      <c r="D657" s="79">
        <v>11808</v>
      </c>
      <c r="E657" s="25">
        <v>615577</v>
      </c>
      <c r="F657" s="24">
        <f t="shared" si="0"/>
        <v>101.41</v>
      </c>
      <c r="G657" s="26">
        <f t="shared" si="1"/>
        <v>627385</v>
      </c>
      <c r="H657" s="27" t="str">
        <f t="shared" si="2"/>
        <v/>
      </c>
      <c r="J657" s="73"/>
      <c r="K657" s="28"/>
      <c r="L657" s="78"/>
      <c r="M657" s="31"/>
    </row>
    <row r="658" spans="1:13" ht="14.25" customHeight="1">
      <c r="A658" s="32">
        <v>44642</v>
      </c>
      <c r="B658" s="22">
        <v>124.61</v>
      </c>
      <c r="C658" s="23" t="s">
        <v>4</v>
      </c>
      <c r="D658" s="79">
        <v>18877.75</v>
      </c>
      <c r="E658" s="25">
        <v>615577</v>
      </c>
      <c r="F658" s="24">
        <f t="shared" si="0"/>
        <v>102.56</v>
      </c>
      <c r="G658" s="26">
        <f t="shared" si="1"/>
        <v>634454.75</v>
      </c>
      <c r="H658" s="27" t="str">
        <f t="shared" si="2"/>
        <v/>
      </c>
      <c r="J658" s="73"/>
      <c r="K658" s="28"/>
      <c r="L658" s="78"/>
      <c r="M658" s="31"/>
    </row>
    <row r="659" spans="1:13" ht="14.25" customHeight="1">
      <c r="A659" s="32">
        <v>44643</v>
      </c>
      <c r="B659" s="22">
        <v>-3345.09</v>
      </c>
      <c r="C659" s="23" t="s">
        <v>4</v>
      </c>
      <c r="D659" s="79"/>
      <c r="E659" s="25"/>
      <c r="F659" s="24" t="str">
        <f t="shared" si="0"/>
        <v/>
      </c>
      <c r="G659" s="26" t="str">
        <f t="shared" si="1"/>
        <v/>
      </c>
      <c r="H659" s="27" t="str">
        <f t="shared" si="2"/>
        <v/>
      </c>
      <c r="J659" s="73"/>
      <c r="K659" s="28"/>
      <c r="L659" s="78"/>
      <c r="M659" s="31"/>
    </row>
    <row r="660" spans="1:13" ht="14.25" customHeight="1">
      <c r="A660" s="32">
        <v>44643</v>
      </c>
      <c r="B660" s="22">
        <v>2816</v>
      </c>
      <c r="C660" s="23" t="s">
        <v>286</v>
      </c>
      <c r="D660" s="79"/>
      <c r="E660" s="25"/>
      <c r="F660" s="24" t="str">
        <f t="shared" si="0"/>
        <v/>
      </c>
      <c r="G660" s="26" t="str">
        <f t="shared" si="1"/>
        <v/>
      </c>
      <c r="H660" s="27" t="str">
        <f t="shared" si="2"/>
        <v>Positional</v>
      </c>
      <c r="J660" s="73"/>
      <c r="K660" s="28"/>
      <c r="L660" s="78"/>
      <c r="M660" s="31"/>
    </row>
    <row r="661" spans="1:13" ht="14.25" customHeight="1">
      <c r="A661" s="32">
        <v>44643</v>
      </c>
      <c r="B661" s="22">
        <v>-0.6</v>
      </c>
      <c r="C661" s="23" t="s">
        <v>16</v>
      </c>
      <c r="D661" s="79">
        <v>74450.070000000007</v>
      </c>
      <c r="E661" s="25">
        <v>556307</v>
      </c>
      <c r="F661" s="24">
        <f t="shared" si="0"/>
        <v>101.96</v>
      </c>
      <c r="G661" s="26">
        <f t="shared" si="1"/>
        <v>630757.07000000007</v>
      </c>
      <c r="H661" s="27" t="str">
        <f t="shared" si="2"/>
        <v/>
      </c>
      <c r="J661" s="73"/>
      <c r="K661" s="28"/>
      <c r="L661" s="78"/>
      <c r="M661" s="31"/>
    </row>
    <row r="662" spans="1:13" ht="14.25" customHeight="1">
      <c r="A662" s="32">
        <v>44644</v>
      </c>
      <c r="B662" s="22">
        <v>1171.8900000000001</v>
      </c>
      <c r="C662" s="23" t="s">
        <v>4</v>
      </c>
      <c r="D662" s="79"/>
      <c r="E662" s="25"/>
      <c r="F662" s="24" t="str">
        <f t="shared" si="0"/>
        <v/>
      </c>
      <c r="G662" s="26" t="str">
        <f t="shared" si="1"/>
        <v/>
      </c>
      <c r="H662" s="27" t="str">
        <f t="shared" si="2"/>
        <v/>
      </c>
      <c r="J662" s="73"/>
      <c r="K662" s="28"/>
      <c r="L662" s="78"/>
      <c r="M662" s="31"/>
    </row>
    <row r="663" spans="1:13" ht="14.25" customHeight="1">
      <c r="A663" s="32">
        <v>44644</v>
      </c>
      <c r="B663" s="22">
        <v>1700</v>
      </c>
      <c r="C663" s="23" t="s">
        <v>279</v>
      </c>
      <c r="D663" s="79"/>
      <c r="E663" s="25"/>
      <c r="F663" s="24" t="str">
        <f t="shared" si="0"/>
        <v/>
      </c>
      <c r="G663" s="26" t="str">
        <f t="shared" si="1"/>
        <v/>
      </c>
      <c r="H663" s="27" t="str">
        <f t="shared" si="2"/>
        <v>Positional</v>
      </c>
      <c r="J663" s="73"/>
      <c r="K663" s="28"/>
      <c r="L663" s="78"/>
      <c r="M663" s="31"/>
    </row>
    <row r="664" spans="1:13" ht="14.25" customHeight="1">
      <c r="A664" s="32">
        <v>44644</v>
      </c>
      <c r="B664" s="22">
        <v>0.39</v>
      </c>
      <c r="C664" s="23" t="s">
        <v>16</v>
      </c>
      <c r="D664" s="79">
        <v>89831.42</v>
      </c>
      <c r="E664" s="25">
        <v>543782</v>
      </c>
      <c r="F664" s="24">
        <f t="shared" si="0"/>
        <v>102.42</v>
      </c>
      <c r="G664" s="26">
        <f t="shared" si="1"/>
        <v>633613.42000000004</v>
      </c>
      <c r="H664" s="27" t="str">
        <f t="shared" si="2"/>
        <v/>
      </c>
      <c r="J664" s="73"/>
      <c r="K664" s="28"/>
      <c r="L664" s="78"/>
      <c r="M664" s="31"/>
    </row>
    <row r="665" spans="1:13" ht="14.25" customHeight="1">
      <c r="A665" s="32">
        <v>44645</v>
      </c>
      <c r="B665" s="22">
        <v>-0.09</v>
      </c>
      <c r="C665" s="23" t="s">
        <v>16</v>
      </c>
      <c r="D665" s="79">
        <v>27718.33</v>
      </c>
      <c r="E665" s="25">
        <v>605895</v>
      </c>
      <c r="F665" s="24">
        <f t="shared" si="0"/>
        <v>307.26</v>
      </c>
      <c r="G665" s="26">
        <f t="shared" si="1"/>
        <v>1900839.9899999998</v>
      </c>
      <c r="H665" s="27" t="str">
        <f t="shared" si="2"/>
        <v/>
      </c>
      <c r="J665" s="73"/>
      <c r="K665" s="28"/>
      <c r="L665" s="78"/>
      <c r="M665" s="31"/>
    </row>
    <row r="666" spans="1:13" ht="14.25" customHeight="1">
      <c r="A666" s="32">
        <v>44648</v>
      </c>
      <c r="B666" s="22">
        <v>-8957.6299999999992</v>
      </c>
      <c r="C666" s="23" t="s">
        <v>4</v>
      </c>
      <c r="D666" s="79"/>
      <c r="E666" s="25"/>
      <c r="F666" s="24" t="str">
        <f t="shared" si="0"/>
        <v/>
      </c>
      <c r="G666" s="26" t="str">
        <f t="shared" si="1"/>
        <v/>
      </c>
      <c r="H666" s="27" t="str">
        <f t="shared" si="2"/>
        <v/>
      </c>
      <c r="J666" s="73"/>
      <c r="K666" s="28"/>
      <c r="L666" s="78"/>
      <c r="M666" s="31"/>
    </row>
    <row r="667" spans="1:13" ht="14.25" customHeight="1">
      <c r="A667" s="32">
        <v>44648</v>
      </c>
      <c r="B667" s="22">
        <v>-0.39</v>
      </c>
      <c r="C667" s="23" t="s">
        <v>16</v>
      </c>
      <c r="D667" s="79">
        <v>19103.59</v>
      </c>
      <c r="E667" s="25">
        <v>617283</v>
      </c>
      <c r="F667" s="24">
        <f t="shared" si="0"/>
        <v>102.87</v>
      </c>
      <c r="G667" s="26">
        <f t="shared" si="1"/>
        <v>636386.59</v>
      </c>
      <c r="H667" s="27" t="str">
        <f t="shared" si="2"/>
        <v/>
      </c>
      <c r="J667" s="73"/>
      <c r="K667" s="28"/>
      <c r="L667" s="78"/>
      <c r="M667" s="31"/>
    </row>
    <row r="668" spans="1:13" ht="14.25" customHeight="1">
      <c r="A668" s="32">
        <v>44649</v>
      </c>
      <c r="B668" s="22">
        <v>295.51</v>
      </c>
      <c r="C668" s="23" t="s">
        <v>20</v>
      </c>
      <c r="D668" s="79">
        <v>276.10000000000002</v>
      </c>
      <c r="E668" s="25">
        <v>636406</v>
      </c>
      <c r="F668" s="24">
        <f t="shared" si="0"/>
        <v>102.92</v>
      </c>
      <c r="G668" s="26">
        <f t="shared" si="1"/>
        <v>636682.1</v>
      </c>
      <c r="H668" s="27" t="str">
        <f t="shared" si="2"/>
        <v/>
      </c>
      <c r="J668" s="73"/>
      <c r="K668" s="28"/>
      <c r="L668" s="78"/>
      <c r="M668" s="31"/>
    </row>
    <row r="669" spans="1:13" ht="14.25" customHeight="1">
      <c r="A669" s="32">
        <v>44650</v>
      </c>
      <c r="B669" s="22">
        <v>525</v>
      </c>
      <c r="C669" s="23" t="s">
        <v>287</v>
      </c>
      <c r="D669" s="79"/>
      <c r="E669" s="25"/>
      <c r="F669" s="24" t="str">
        <f t="shared" si="0"/>
        <v/>
      </c>
      <c r="G669" s="26" t="str">
        <f t="shared" si="1"/>
        <v/>
      </c>
      <c r="H669" s="27" t="str">
        <f t="shared" si="2"/>
        <v>Positional</v>
      </c>
      <c r="J669" s="73"/>
      <c r="K669" s="28"/>
      <c r="L669" s="78"/>
      <c r="M669" s="31"/>
    </row>
    <row r="670" spans="1:13" ht="14.25" customHeight="1">
      <c r="A670" s="32">
        <v>44650</v>
      </c>
      <c r="B670" s="22">
        <v>372</v>
      </c>
      <c r="C670" s="23" t="s">
        <v>288</v>
      </c>
      <c r="D670" s="79"/>
      <c r="E670" s="25"/>
      <c r="F670" s="24" t="str">
        <f t="shared" si="0"/>
        <v/>
      </c>
      <c r="G670" s="26" t="str">
        <f t="shared" si="1"/>
        <v/>
      </c>
      <c r="H670" s="27" t="str">
        <f t="shared" si="2"/>
        <v>Positional</v>
      </c>
      <c r="J670" s="73"/>
      <c r="K670" s="28"/>
      <c r="L670" s="78"/>
      <c r="M670" s="31"/>
    </row>
    <row r="671" spans="1:13" ht="14.25" customHeight="1">
      <c r="A671" s="32">
        <v>44650</v>
      </c>
      <c r="B671" s="22">
        <v>3231</v>
      </c>
      <c r="C671" s="23" t="s">
        <v>289</v>
      </c>
      <c r="D671" s="79"/>
      <c r="E671" s="25"/>
      <c r="F671" s="24" t="str">
        <f t="shared" si="0"/>
        <v/>
      </c>
      <c r="G671" s="26" t="str">
        <f t="shared" si="1"/>
        <v/>
      </c>
      <c r="H671" s="27" t="str">
        <f t="shared" si="2"/>
        <v>Positional</v>
      </c>
      <c r="J671" s="73"/>
      <c r="K671" s="28"/>
      <c r="L671" s="78"/>
      <c r="M671" s="31"/>
    </row>
    <row r="672" spans="1:13" ht="14.25" customHeight="1">
      <c r="A672" s="32">
        <v>44650</v>
      </c>
      <c r="B672" s="22">
        <v>-0.93</v>
      </c>
      <c r="C672" s="23" t="s">
        <v>16</v>
      </c>
      <c r="D672" s="79">
        <v>58287.38</v>
      </c>
      <c r="E672" s="25">
        <v>602474</v>
      </c>
      <c r="F672" s="24">
        <f t="shared" si="0"/>
        <v>106.81</v>
      </c>
      <c r="G672" s="26">
        <f t="shared" si="1"/>
        <v>660761.38</v>
      </c>
      <c r="H672" s="27" t="str">
        <f t="shared" si="2"/>
        <v/>
      </c>
      <c r="J672" s="73"/>
      <c r="K672" s="28"/>
      <c r="L672" s="78"/>
      <c r="M672" s="31"/>
    </row>
    <row r="673" spans="1:13" ht="14.25" customHeight="1">
      <c r="A673" s="32">
        <v>44651</v>
      </c>
      <c r="B673" s="22">
        <v>454</v>
      </c>
      <c r="C673" s="23" t="s">
        <v>290</v>
      </c>
      <c r="D673" s="79"/>
      <c r="E673" s="25"/>
      <c r="F673" s="24" t="str">
        <f t="shared" si="0"/>
        <v/>
      </c>
      <c r="G673" s="26" t="str">
        <f t="shared" si="1"/>
        <v/>
      </c>
      <c r="H673" s="27" t="str">
        <f t="shared" si="2"/>
        <v>Positional</v>
      </c>
      <c r="J673" s="73"/>
      <c r="K673" s="28"/>
      <c r="L673" s="78"/>
      <c r="M673" s="31"/>
    </row>
    <row r="674" spans="1:13" ht="14.25" customHeight="1">
      <c r="A674" s="32">
        <v>44651</v>
      </c>
      <c r="B674" s="22">
        <v>163</v>
      </c>
      <c r="C674" s="23" t="s">
        <v>291</v>
      </c>
      <c r="D674" s="79"/>
      <c r="E674" s="25"/>
      <c r="F674" s="24" t="str">
        <f t="shared" si="0"/>
        <v/>
      </c>
      <c r="G674" s="26" t="str">
        <f t="shared" si="1"/>
        <v/>
      </c>
      <c r="H674" s="27" t="str">
        <f t="shared" si="2"/>
        <v>Positional</v>
      </c>
      <c r="J674" s="73"/>
      <c r="K674" s="28"/>
      <c r="L674" s="78"/>
      <c r="M674" s="31"/>
    </row>
    <row r="675" spans="1:13" ht="14.25" customHeight="1">
      <c r="A675" s="32">
        <v>44651</v>
      </c>
      <c r="B675" s="22">
        <v>22</v>
      </c>
      <c r="C675" s="23" t="s">
        <v>292</v>
      </c>
      <c r="D675" s="79"/>
      <c r="E675" s="25"/>
      <c r="F675" s="24" t="str">
        <f t="shared" si="0"/>
        <v/>
      </c>
      <c r="G675" s="26" t="str">
        <f t="shared" si="1"/>
        <v/>
      </c>
      <c r="H675" s="27" t="str">
        <f t="shared" si="2"/>
        <v>Positional</v>
      </c>
      <c r="J675" s="73"/>
      <c r="K675" s="28"/>
      <c r="L675" s="78"/>
      <c r="M675" s="31"/>
    </row>
    <row r="676" spans="1:13" ht="14.25" customHeight="1">
      <c r="A676" s="32">
        <v>44651</v>
      </c>
      <c r="B676" s="22">
        <v>0.13</v>
      </c>
      <c r="C676" s="23" t="s">
        <v>16</v>
      </c>
      <c r="D676" s="79">
        <v>43262.55</v>
      </c>
      <c r="E676" s="25">
        <v>646997</v>
      </c>
      <c r="F676" s="24">
        <f t="shared" si="0"/>
        <v>111.58</v>
      </c>
      <c r="G676" s="26">
        <f t="shared" si="1"/>
        <v>690259.55</v>
      </c>
      <c r="H676" s="27" t="str">
        <f t="shared" si="2"/>
        <v/>
      </c>
      <c r="J676" s="73"/>
      <c r="K676" s="28"/>
      <c r="L676" s="78"/>
      <c r="M676" s="31"/>
    </row>
    <row r="677" spans="1:13" ht="14.25" customHeight="1">
      <c r="A677" s="32">
        <v>44652</v>
      </c>
      <c r="B677" s="22">
        <v>214</v>
      </c>
      <c r="C677" s="23" t="s">
        <v>297</v>
      </c>
      <c r="D677" s="79"/>
      <c r="E677" s="25"/>
      <c r="F677" s="24" t="str">
        <f t="shared" si="0"/>
        <v/>
      </c>
      <c r="G677" s="26" t="str">
        <f t="shared" si="1"/>
        <v/>
      </c>
      <c r="H677" s="27" t="str">
        <f t="shared" si="2"/>
        <v>Positional</v>
      </c>
      <c r="J677" s="73"/>
      <c r="K677" s="28"/>
      <c r="L677" s="78"/>
      <c r="M677" s="31"/>
    </row>
    <row r="678" spans="1:13" ht="14.25" customHeight="1">
      <c r="A678" s="32">
        <v>44652</v>
      </c>
      <c r="B678" s="22">
        <v>309</v>
      </c>
      <c r="C678" s="23" t="s">
        <v>280</v>
      </c>
      <c r="D678" s="79"/>
      <c r="E678" s="25"/>
      <c r="F678" s="24" t="str">
        <f t="shared" si="0"/>
        <v/>
      </c>
      <c r="G678" s="26" t="str">
        <f t="shared" si="1"/>
        <v/>
      </c>
      <c r="H678" s="27" t="str">
        <f t="shared" si="2"/>
        <v>Positional</v>
      </c>
      <c r="J678" s="73"/>
      <c r="K678" s="28"/>
      <c r="L678" s="78"/>
      <c r="M678" s="31"/>
    </row>
    <row r="679" spans="1:13" ht="14.25" customHeight="1">
      <c r="A679" s="32">
        <v>44652</v>
      </c>
      <c r="B679" s="22">
        <v>-507</v>
      </c>
      <c r="C679" s="23" t="s">
        <v>298</v>
      </c>
      <c r="D679" s="79"/>
      <c r="E679" s="25"/>
      <c r="F679" s="24" t="str">
        <f t="shared" si="0"/>
        <v/>
      </c>
      <c r="G679" s="26" t="str">
        <f t="shared" si="1"/>
        <v/>
      </c>
      <c r="H679" s="27" t="str">
        <f t="shared" si="2"/>
        <v>Positional</v>
      </c>
      <c r="J679" s="73"/>
      <c r="K679" s="28"/>
      <c r="L679" s="78"/>
      <c r="M679" s="31"/>
    </row>
    <row r="680" spans="1:13" ht="14.25" customHeight="1">
      <c r="A680" s="32">
        <v>44652</v>
      </c>
      <c r="B680" s="22">
        <v>399</v>
      </c>
      <c r="C680" s="23" t="s">
        <v>299</v>
      </c>
      <c r="D680" s="79"/>
      <c r="E680" s="25"/>
      <c r="F680" s="24" t="str">
        <f t="shared" si="0"/>
        <v/>
      </c>
      <c r="G680" s="26" t="str">
        <f t="shared" si="1"/>
        <v/>
      </c>
      <c r="H680" s="27" t="str">
        <f t="shared" si="2"/>
        <v>Positional</v>
      </c>
      <c r="J680" s="73"/>
      <c r="K680" s="28"/>
      <c r="L680" s="78"/>
      <c r="M680" s="31"/>
    </row>
    <row r="681" spans="1:13" ht="14.25" customHeight="1">
      <c r="A681" s="32">
        <v>44652</v>
      </c>
      <c r="B681" s="22">
        <v>533</v>
      </c>
      <c r="C681" s="23" t="s">
        <v>300</v>
      </c>
      <c r="D681" s="79"/>
      <c r="E681" s="25"/>
      <c r="F681" s="24" t="str">
        <f t="shared" si="0"/>
        <v/>
      </c>
      <c r="G681" s="26" t="str">
        <f t="shared" si="1"/>
        <v/>
      </c>
      <c r="H681" s="27" t="str">
        <f t="shared" si="2"/>
        <v>Positional</v>
      </c>
      <c r="J681" s="73"/>
      <c r="K681" s="28"/>
      <c r="L681" s="78"/>
      <c r="M681" s="31"/>
    </row>
    <row r="682" spans="1:13" ht="14.25" customHeight="1">
      <c r="A682" s="32">
        <v>44652</v>
      </c>
      <c r="B682" s="22">
        <v>1604</v>
      </c>
      <c r="C682" s="23" t="s">
        <v>273</v>
      </c>
      <c r="D682" s="79"/>
      <c r="E682" s="25"/>
      <c r="F682" s="24" t="str">
        <f t="shared" si="0"/>
        <v/>
      </c>
      <c r="G682" s="26" t="str">
        <f t="shared" si="1"/>
        <v/>
      </c>
      <c r="H682" s="27" t="str">
        <f t="shared" si="2"/>
        <v>Positional</v>
      </c>
      <c r="J682" s="73"/>
      <c r="K682" s="28"/>
      <c r="L682" s="78"/>
      <c r="M682" s="31"/>
    </row>
    <row r="683" spans="1:13" ht="14.25" customHeight="1">
      <c r="A683" s="32">
        <v>44652</v>
      </c>
      <c r="B683" s="22">
        <v>980.01</v>
      </c>
      <c r="C683" s="23" t="s">
        <v>4</v>
      </c>
      <c r="D683" s="79"/>
      <c r="E683" s="25"/>
      <c r="F683" s="24" t="str">
        <f t="shared" si="0"/>
        <v/>
      </c>
      <c r="G683" s="26" t="str">
        <f t="shared" si="1"/>
        <v/>
      </c>
      <c r="H683" s="27" t="str">
        <f t="shared" si="2"/>
        <v/>
      </c>
      <c r="J683" s="73"/>
      <c r="K683" s="28"/>
      <c r="L683" s="78"/>
      <c r="M683" s="31"/>
    </row>
    <row r="684" spans="1:13" ht="14.25" customHeight="1">
      <c r="A684" s="32">
        <v>44652</v>
      </c>
      <c r="B684" s="22">
        <v>-2.0499999999999998</v>
      </c>
      <c r="C684" s="23" t="s">
        <v>16</v>
      </c>
      <c r="D684" s="79">
        <v>137631.85999999999</v>
      </c>
      <c r="E684" s="25">
        <v>572075</v>
      </c>
      <c r="F684" s="24">
        <f t="shared" si="0"/>
        <v>344.16</v>
      </c>
      <c r="G684" s="26">
        <f t="shared" si="1"/>
        <v>2129120.58</v>
      </c>
      <c r="H684" s="27" t="str">
        <f t="shared" si="2"/>
        <v/>
      </c>
      <c r="J684" s="73"/>
      <c r="K684" s="28"/>
      <c r="L684" s="78"/>
      <c r="M684" s="31"/>
    </row>
    <row r="685" spans="1:13" ht="14.25" customHeight="1">
      <c r="A685" s="32">
        <v>44655</v>
      </c>
      <c r="B685" s="22">
        <v>561</v>
      </c>
      <c r="C685" s="23" t="s">
        <v>301</v>
      </c>
      <c r="D685" s="79"/>
      <c r="E685" s="25"/>
      <c r="F685" s="24" t="str">
        <f t="shared" si="0"/>
        <v/>
      </c>
      <c r="G685" s="26" t="str">
        <f t="shared" si="1"/>
        <v/>
      </c>
      <c r="H685" s="27" t="str">
        <f t="shared" si="2"/>
        <v>Positional</v>
      </c>
      <c r="J685" s="73"/>
      <c r="K685" s="28"/>
      <c r="L685" s="78"/>
      <c r="M685" s="31"/>
    </row>
    <row r="686" spans="1:13" ht="14.25" customHeight="1">
      <c r="A686" s="32">
        <v>44655</v>
      </c>
      <c r="B686" s="22">
        <v>736</v>
      </c>
      <c r="C686" s="23" t="s">
        <v>302</v>
      </c>
      <c r="D686" s="79"/>
      <c r="E686" s="25"/>
      <c r="F686" s="24" t="str">
        <f t="shared" si="0"/>
        <v/>
      </c>
      <c r="G686" s="26" t="str">
        <f t="shared" si="1"/>
        <v/>
      </c>
      <c r="H686" s="27" t="str">
        <f t="shared" si="2"/>
        <v>Positional</v>
      </c>
      <c r="J686" s="73"/>
      <c r="K686" s="28"/>
      <c r="L686" s="78"/>
      <c r="M686" s="31"/>
    </row>
    <row r="687" spans="1:13" ht="14.25" customHeight="1">
      <c r="A687" s="32">
        <v>44655</v>
      </c>
      <c r="B687" s="22">
        <v>80.650000000000006</v>
      </c>
      <c r="C687" s="23" t="s">
        <v>20</v>
      </c>
      <c r="D687" s="79">
        <v>157334.72</v>
      </c>
      <c r="E687" s="25">
        <v>553702</v>
      </c>
      <c r="F687" s="24">
        <f t="shared" si="0"/>
        <v>114.93</v>
      </c>
      <c r="G687" s="26">
        <f t="shared" si="1"/>
        <v>711036.72</v>
      </c>
      <c r="H687" s="27" t="str">
        <f t="shared" si="2"/>
        <v/>
      </c>
      <c r="J687" s="73"/>
      <c r="K687" s="28"/>
      <c r="L687" s="78"/>
      <c r="M687" s="31"/>
    </row>
    <row r="688" spans="1:13" ht="14.25" customHeight="1">
      <c r="A688" s="32">
        <v>44656</v>
      </c>
      <c r="B688" s="22">
        <v>550</v>
      </c>
      <c r="C688" s="23" t="s">
        <v>303</v>
      </c>
      <c r="D688" s="79"/>
      <c r="E688" s="25"/>
      <c r="F688" s="24" t="str">
        <f t="shared" si="0"/>
        <v/>
      </c>
      <c r="G688" s="26" t="str">
        <f t="shared" si="1"/>
        <v/>
      </c>
      <c r="H688" s="27" t="str">
        <f t="shared" si="2"/>
        <v>Positional</v>
      </c>
      <c r="J688" s="73"/>
      <c r="K688" s="28"/>
      <c r="L688" s="78"/>
      <c r="M688" s="31"/>
    </row>
    <row r="689" spans="1:13" ht="14.25" customHeight="1">
      <c r="A689" s="32">
        <v>44656</v>
      </c>
      <c r="B689" s="22">
        <v>1935.98</v>
      </c>
      <c r="C689" s="23" t="s">
        <v>4</v>
      </c>
      <c r="D689" s="79"/>
      <c r="E689" s="25"/>
      <c r="F689" s="24" t="str">
        <f t="shared" si="0"/>
        <v/>
      </c>
      <c r="G689" s="26" t="str">
        <f t="shared" si="1"/>
        <v/>
      </c>
      <c r="H689" s="27" t="str">
        <f t="shared" si="2"/>
        <v/>
      </c>
      <c r="J689" s="73"/>
      <c r="K689" s="28"/>
      <c r="L689" s="78"/>
      <c r="M689" s="31"/>
    </row>
    <row r="690" spans="1:13" ht="14.25" customHeight="1">
      <c r="A690" s="32">
        <v>44656</v>
      </c>
      <c r="B690" s="22">
        <v>0.23</v>
      </c>
      <c r="C690" s="23" t="s">
        <v>16</v>
      </c>
      <c r="D690" s="79">
        <v>151348.99</v>
      </c>
      <c r="E690" s="25">
        <v>562158</v>
      </c>
      <c r="F690" s="24">
        <f t="shared" si="0"/>
        <v>115.33</v>
      </c>
      <c r="G690" s="26">
        <f t="shared" si="1"/>
        <v>713506.99</v>
      </c>
      <c r="H690" s="27" t="str">
        <f t="shared" si="2"/>
        <v/>
      </c>
      <c r="J690" s="73"/>
      <c r="K690" s="28"/>
      <c r="L690" s="78"/>
      <c r="M690" s="31"/>
    </row>
    <row r="691" spans="1:13" ht="14.25" customHeight="1">
      <c r="A691" s="32">
        <v>44657</v>
      </c>
      <c r="B691" s="22">
        <v>-4.1900000000000004</v>
      </c>
      <c r="C691" s="23" t="s">
        <v>20</v>
      </c>
      <c r="D691" s="79"/>
      <c r="E691" s="25"/>
      <c r="F691" s="24" t="str">
        <f t="shared" si="0"/>
        <v/>
      </c>
      <c r="G691" s="26" t="str">
        <f t="shared" si="1"/>
        <v/>
      </c>
      <c r="H691" s="27" t="str">
        <f t="shared" si="2"/>
        <v/>
      </c>
      <c r="J691" s="73"/>
      <c r="K691" s="28"/>
      <c r="L691" s="78"/>
      <c r="M691" s="31"/>
    </row>
    <row r="692" spans="1:13" ht="14.25" customHeight="1">
      <c r="A692" s="32">
        <v>44657</v>
      </c>
      <c r="B692" s="22">
        <v>8940.17</v>
      </c>
      <c r="C692" s="23" t="s">
        <v>4</v>
      </c>
      <c r="D692" s="79">
        <v>117153.97</v>
      </c>
      <c r="E692" s="25">
        <v>605289</v>
      </c>
      <c r="F692" s="24">
        <f t="shared" si="0"/>
        <v>116.78</v>
      </c>
      <c r="G692" s="26">
        <f t="shared" si="1"/>
        <v>722442.97</v>
      </c>
      <c r="H692" s="27" t="str">
        <f t="shared" si="2"/>
        <v/>
      </c>
      <c r="J692" s="73"/>
      <c r="K692" s="28"/>
      <c r="L692" s="78"/>
      <c r="M692" s="31"/>
    </row>
    <row r="693" spans="1:13" ht="14.25" customHeight="1">
      <c r="A693" s="32">
        <v>44658</v>
      </c>
      <c r="B693" s="22">
        <v>0</v>
      </c>
      <c r="C693" s="23" t="s">
        <v>16</v>
      </c>
      <c r="D693" s="79">
        <v>17656.240000000002</v>
      </c>
      <c r="E693" s="25">
        <v>632589</v>
      </c>
      <c r="F693" s="24">
        <f t="shared" si="0"/>
        <v>105.11</v>
      </c>
      <c r="G693" s="26">
        <f t="shared" si="1"/>
        <v>650245.24</v>
      </c>
      <c r="H693" s="27" t="str">
        <f t="shared" si="2"/>
        <v/>
      </c>
      <c r="J693" s="73"/>
      <c r="K693" s="28"/>
      <c r="L693" s="78"/>
      <c r="M693" s="31"/>
    </row>
    <row r="694" spans="1:13" ht="14.25" customHeight="1">
      <c r="A694" s="32">
        <v>44659</v>
      </c>
      <c r="B694" s="22">
        <v>9622</v>
      </c>
      <c r="C694" s="23" t="s">
        <v>59</v>
      </c>
      <c r="D694" s="79"/>
      <c r="E694" s="25"/>
      <c r="F694" s="24" t="str">
        <f t="shared" si="0"/>
        <v/>
      </c>
      <c r="G694" s="26" t="str">
        <f t="shared" si="1"/>
        <v/>
      </c>
      <c r="H694" s="27" t="str">
        <f t="shared" si="2"/>
        <v>Positional</v>
      </c>
      <c r="J694" s="73"/>
      <c r="K694" s="28"/>
      <c r="L694" s="78"/>
      <c r="M694" s="31"/>
    </row>
    <row r="695" spans="1:13" ht="14.25" customHeight="1">
      <c r="A695" s="32">
        <v>44659</v>
      </c>
      <c r="B695" s="22">
        <v>-2542.1999999999998</v>
      </c>
      <c r="C695" s="23" t="s">
        <v>4</v>
      </c>
      <c r="D695" s="79"/>
      <c r="E695" s="25"/>
      <c r="F695" s="24" t="str">
        <f t="shared" si="0"/>
        <v/>
      </c>
      <c r="G695" s="26" t="str">
        <f t="shared" si="1"/>
        <v/>
      </c>
      <c r="H695" s="27" t="str">
        <f t="shared" si="2"/>
        <v/>
      </c>
      <c r="J695" s="73"/>
      <c r="K695" s="28"/>
      <c r="L695" s="78"/>
      <c r="M695" s="31"/>
    </row>
    <row r="696" spans="1:13" ht="14.25" customHeight="1">
      <c r="A696" s="32">
        <v>44659</v>
      </c>
      <c r="B696" s="22">
        <v>-0.25</v>
      </c>
      <c r="C696" s="23" t="s">
        <v>16</v>
      </c>
      <c r="D696" s="79">
        <v>94369.87</v>
      </c>
      <c r="E696" s="25">
        <v>605289</v>
      </c>
      <c r="F696" s="24">
        <f t="shared" si="0"/>
        <v>339.29</v>
      </c>
      <c r="G696" s="26">
        <f t="shared" si="1"/>
        <v>2098976.61</v>
      </c>
      <c r="H696" s="27" t="str">
        <f t="shared" si="2"/>
        <v/>
      </c>
      <c r="J696" s="73"/>
      <c r="K696" s="28"/>
      <c r="L696" s="78"/>
      <c r="M696" s="31"/>
    </row>
    <row r="697" spans="1:13" ht="14.25" customHeight="1">
      <c r="A697" s="32">
        <v>44662</v>
      </c>
      <c r="B697" s="22">
        <v>-0.8</v>
      </c>
      <c r="C697" s="23" t="s">
        <v>16</v>
      </c>
      <c r="D697" s="79">
        <v>50841.62</v>
      </c>
      <c r="E697" s="25">
        <v>629067</v>
      </c>
      <c r="F697" s="24">
        <f t="shared" si="0"/>
        <v>109.9</v>
      </c>
      <c r="G697" s="26">
        <f t="shared" si="1"/>
        <v>679908.62</v>
      </c>
      <c r="H697" s="27" t="str">
        <f t="shared" si="2"/>
        <v/>
      </c>
      <c r="J697" s="73"/>
      <c r="K697" s="28"/>
      <c r="L697" s="78"/>
      <c r="M697" s="31"/>
    </row>
    <row r="698" spans="1:13" ht="14.25" customHeight="1">
      <c r="A698" s="32">
        <v>44663</v>
      </c>
      <c r="B698" s="22">
        <v>107</v>
      </c>
      <c r="C698" s="23" t="s">
        <v>304</v>
      </c>
      <c r="D698" s="79"/>
      <c r="E698" s="25"/>
      <c r="F698" s="24" t="str">
        <f t="shared" si="0"/>
        <v/>
      </c>
      <c r="G698" s="26" t="str">
        <f t="shared" si="1"/>
        <v/>
      </c>
      <c r="H698" s="27" t="str">
        <f t="shared" si="2"/>
        <v>Positional</v>
      </c>
      <c r="J698" s="73"/>
      <c r="K698" s="28"/>
      <c r="L698" s="78"/>
      <c r="M698" s="31"/>
    </row>
    <row r="699" spans="1:13" ht="14.25" customHeight="1">
      <c r="A699" s="32">
        <v>44663</v>
      </c>
      <c r="B699" s="22">
        <v>-35863.699999999997</v>
      </c>
      <c r="C699" s="23" t="s">
        <v>4</v>
      </c>
      <c r="D699" s="79"/>
      <c r="E699" s="25"/>
      <c r="F699" s="24" t="str">
        <f t="shared" si="0"/>
        <v/>
      </c>
      <c r="G699" s="26" t="str">
        <f t="shared" si="1"/>
        <v/>
      </c>
      <c r="H699" s="27" t="str">
        <f t="shared" si="2"/>
        <v/>
      </c>
      <c r="J699" s="73"/>
      <c r="K699" s="28"/>
      <c r="L699" s="78"/>
      <c r="M699" s="31"/>
    </row>
    <row r="700" spans="1:13" ht="14.25" customHeight="1">
      <c r="A700" s="32">
        <v>44663</v>
      </c>
      <c r="B700" s="22">
        <v>0.21</v>
      </c>
      <c r="C700" s="23" t="s">
        <v>16</v>
      </c>
      <c r="D700" s="79">
        <v>23390.92</v>
      </c>
      <c r="E700" s="25">
        <v>727893</v>
      </c>
      <c r="F700" s="24">
        <f t="shared" si="0"/>
        <v>121.44</v>
      </c>
      <c r="G700" s="26">
        <f t="shared" si="1"/>
        <v>751283.92</v>
      </c>
      <c r="H700" s="27" t="str">
        <f t="shared" si="2"/>
        <v/>
      </c>
      <c r="J700" s="73"/>
      <c r="K700" s="28"/>
      <c r="L700" s="78"/>
      <c r="M700" s="31"/>
    </row>
    <row r="701" spans="1:13" ht="14.25" customHeight="1">
      <c r="A701" s="32">
        <v>44664</v>
      </c>
      <c r="B701" s="22">
        <v>28</v>
      </c>
      <c r="C701" s="23" t="s">
        <v>305</v>
      </c>
      <c r="D701" s="79"/>
      <c r="E701" s="25"/>
      <c r="F701" s="24" t="str">
        <f t="shared" si="0"/>
        <v/>
      </c>
      <c r="G701" s="26" t="str">
        <f t="shared" si="1"/>
        <v/>
      </c>
      <c r="H701" s="27" t="str">
        <f t="shared" si="2"/>
        <v>Positional</v>
      </c>
      <c r="J701" s="73"/>
      <c r="K701" s="28"/>
      <c r="L701" s="78"/>
      <c r="M701" s="31"/>
    </row>
    <row r="702" spans="1:13" ht="14.25" customHeight="1">
      <c r="A702" s="32">
        <v>44664</v>
      </c>
      <c r="B702" s="22">
        <v>-322</v>
      </c>
      <c r="C702" s="23" t="s">
        <v>4</v>
      </c>
      <c r="D702" s="79"/>
      <c r="E702" s="25"/>
      <c r="F702" s="24" t="str">
        <f t="shared" si="0"/>
        <v/>
      </c>
      <c r="G702" s="26" t="str">
        <f t="shared" si="1"/>
        <v/>
      </c>
      <c r="H702" s="27" t="str">
        <f t="shared" si="2"/>
        <v/>
      </c>
      <c r="J702" s="73"/>
      <c r="K702" s="28"/>
      <c r="L702" s="78"/>
      <c r="M702" s="31"/>
    </row>
    <row r="703" spans="1:13" ht="14.25" customHeight="1">
      <c r="A703" s="32">
        <v>44664</v>
      </c>
      <c r="B703" s="22">
        <v>-0.06</v>
      </c>
      <c r="C703" s="23" t="s">
        <v>16</v>
      </c>
      <c r="D703" s="79">
        <v>9258.58</v>
      </c>
      <c r="E703" s="25">
        <v>726708</v>
      </c>
      <c r="F703" s="24">
        <f t="shared" si="0"/>
        <v>713.79</v>
      </c>
      <c r="G703" s="26">
        <f t="shared" si="1"/>
        <v>4415799.4799999995</v>
      </c>
      <c r="H703" s="27" t="str">
        <f t="shared" si="2"/>
        <v/>
      </c>
      <c r="J703" s="73"/>
      <c r="K703" s="28"/>
      <c r="L703" s="78"/>
      <c r="M703" s="31"/>
    </row>
    <row r="704" spans="1:13" ht="14.25" customHeight="1">
      <c r="A704" s="32">
        <v>44670</v>
      </c>
      <c r="B704" s="22">
        <v>-11232.41</v>
      </c>
      <c r="C704" s="23" t="s">
        <v>4</v>
      </c>
      <c r="D704" s="79"/>
      <c r="E704" s="25"/>
      <c r="F704" s="24" t="str">
        <f t="shared" si="0"/>
        <v/>
      </c>
      <c r="G704" s="26" t="str">
        <f t="shared" si="1"/>
        <v/>
      </c>
      <c r="H704" s="27" t="str">
        <f t="shared" si="2"/>
        <v/>
      </c>
      <c r="J704" s="73"/>
      <c r="K704" s="28"/>
      <c r="L704" s="78"/>
      <c r="M704" s="31"/>
    </row>
    <row r="705" spans="1:13" ht="14.25" customHeight="1">
      <c r="A705" s="32">
        <v>44670</v>
      </c>
      <c r="B705" s="22">
        <v>-1.1399999999999999</v>
      </c>
      <c r="C705" s="23" t="s">
        <v>16</v>
      </c>
      <c r="D705" s="79">
        <v>91956.76</v>
      </c>
      <c r="E705" s="25">
        <v>1001993</v>
      </c>
      <c r="F705" s="24">
        <f t="shared" si="0"/>
        <v>176.83</v>
      </c>
      <c r="G705" s="26">
        <f t="shared" si="1"/>
        <v>1093949.76</v>
      </c>
      <c r="H705" s="27" t="str">
        <f t="shared" si="2"/>
        <v/>
      </c>
      <c r="J705" s="73"/>
      <c r="K705" s="28"/>
      <c r="L705" s="78"/>
      <c r="M705" s="31"/>
    </row>
    <row r="706" spans="1:13" ht="14.25" customHeight="1">
      <c r="A706" s="32">
        <v>44671</v>
      </c>
      <c r="B706" s="22">
        <v>-4935.74</v>
      </c>
      <c r="C706" s="23" t="s">
        <v>4</v>
      </c>
      <c r="D706" s="79"/>
      <c r="E706" s="25"/>
      <c r="F706" s="24" t="str">
        <f t="shared" si="0"/>
        <v/>
      </c>
      <c r="G706" s="26" t="str">
        <f t="shared" si="1"/>
        <v/>
      </c>
      <c r="H706" s="27" t="str">
        <f t="shared" si="2"/>
        <v/>
      </c>
      <c r="J706" s="73"/>
      <c r="K706" s="28"/>
      <c r="L706" s="78"/>
      <c r="M706" s="31"/>
    </row>
    <row r="707" spans="1:13" ht="14.25" customHeight="1">
      <c r="A707" s="32">
        <v>44671</v>
      </c>
      <c r="B707" s="22">
        <v>0.9</v>
      </c>
      <c r="C707" s="23" t="s">
        <v>16</v>
      </c>
      <c r="D707" s="79">
        <v>75097.72</v>
      </c>
      <c r="E707" s="25">
        <v>1016170</v>
      </c>
      <c r="F707" s="24">
        <f t="shared" si="0"/>
        <v>176.4</v>
      </c>
      <c r="G707" s="26">
        <f t="shared" si="1"/>
        <v>1091267.72</v>
      </c>
      <c r="H707" s="27" t="str">
        <f t="shared" si="2"/>
        <v/>
      </c>
      <c r="J707" s="73"/>
      <c r="K707" s="28"/>
      <c r="L707" s="78"/>
      <c r="M707" s="31"/>
    </row>
    <row r="708" spans="1:13" ht="14.25" customHeight="1">
      <c r="A708" s="32">
        <v>44672</v>
      </c>
      <c r="B708" s="22">
        <v>-8640.64</v>
      </c>
      <c r="C708" s="23" t="s">
        <v>4</v>
      </c>
      <c r="D708" s="79"/>
      <c r="E708" s="25"/>
      <c r="F708" s="24" t="str">
        <f t="shared" si="0"/>
        <v/>
      </c>
      <c r="G708" s="26" t="str">
        <f t="shared" si="1"/>
        <v/>
      </c>
      <c r="H708" s="27" t="str">
        <f t="shared" si="2"/>
        <v/>
      </c>
      <c r="J708" s="73"/>
      <c r="K708" s="28"/>
      <c r="L708" s="78"/>
      <c r="M708" s="31"/>
    </row>
    <row r="709" spans="1:13" ht="14.25" customHeight="1">
      <c r="A709" s="32">
        <v>44672</v>
      </c>
      <c r="B709" s="22">
        <v>0.67</v>
      </c>
      <c r="C709" s="23" t="s">
        <v>16</v>
      </c>
      <c r="D709" s="79">
        <v>39714.79</v>
      </c>
      <c r="E709" s="25">
        <v>1055667</v>
      </c>
      <c r="F709" s="24">
        <f t="shared" si="0"/>
        <v>177.06</v>
      </c>
      <c r="G709" s="26">
        <f t="shared" si="1"/>
        <v>1095381.79</v>
      </c>
      <c r="H709" s="27" t="str">
        <f t="shared" si="2"/>
        <v/>
      </c>
      <c r="J709" s="73"/>
      <c r="K709" s="28"/>
      <c r="L709" s="78"/>
      <c r="M709" s="31"/>
    </row>
    <row r="710" spans="1:13" ht="14.25" customHeight="1">
      <c r="A710" s="32">
        <v>44673</v>
      </c>
      <c r="B710" s="22">
        <v>-7.0000000000000007E-2</v>
      </c>
      <c r="C710" s="23" t="s">
        <v>16</v>
      </c>
      <c r="D710" s="79">
        <v>14484.73</v>
      </c>
      <c r="E710" s="25">
        <v>1080897</v>
      </c>
      <c r="F710" s="24">
        <f t="shared" si="0"/>
        <v>531.19000000000005</v>
      </c>
      <c r="G710" s="26">
        <f t="shared" si="1"/>
        <v>3286145.19</v>
      </c>
      <c r="H710" s="27" t="str">
        <f t="shared" si="2"/>
        <v/>
      </c>
      <c r="J710" s="73"/>
      <c r="K710" s="28"/>
      <c r="L710" s="78"/>
      <c r="M710" s="31"/>
    </row>
    <row r="711" spans="1:13" ht="14.25" customHeight="1">
      <c r="A711" s="32">
        <v>44676</v>
      </c>
      <c r="B711" s="22">
        <v>0.41</v>
      </c>
      <c r="C711" s="23" t="s">
        <v>16</v>
      </c>
      <c r="D711" s="79">
        <v>17681.14</v>
      </c>
      <c r="E711" s="25">
        <v>1107701</v>
      </c>
      <c r="F711" s="24">
        <f t="shared" si="0"/>
        <v>181.91</v>
      </c>
      <c r="G711" s="26">
        <f t="shared" si="1"/>
        <v>1125382.1399999999</v>
      </c>
      <c r="H711" s="27" t="str">
        <f t="shared" si="2"/>
        <v/>
      </c>
      <c r="J711" s="73"/>
      <c r="K711" s="28"/>
      <c r="L711" s="78"/>
      <c r="M711" s="31"/>
    </row>
    <row r="712" spans="1:13" ht="14.25" customHeight="1">
      <c r="A712" s="32">
        <v>44677</v>
      </c>
      <c r="B712" s="22">
        <v>3564</v>
      </c>
      <c r="C712" s="23" t="s">
        <v>309</v>
      </c>
      <c r="D712" s="79"/>
      <c r="E712" s="25"/>
      <c r="F712" s="24" t="str">
        <f t="shared" si="0"/>
        <v/>
      </c>
      <c r="G712" s="26" t="str">
        <f t="shared" si="1"/>
        <v/>
      </c>
      <c r="H712" s="27" t="str">
        <f t="shared" si="2"/>
        <v>Positional</v>
      </c>
      <c r="J712" s="73"/>
      <c r="K712" s="28"/>
      <c r="L712" s="78"/>
      <c r="M712" s="31"/>
    </row>
    <row r="713" spans="1:13" ht="14.25" customHeight="1">
      <c r="A713" s="32">
        <v>44677</v>
      </c>
      <c r="B713" s="22">
        <v>0.17</v>
      </c>
      <c r="C713" s="23" t="s">
        <v>16</v>
      </c>
      <c r="D713" s="79">
        <v>57039.38</v>
      </c>
      <c r="E713" s="25">
        <v>1056891</v>
      </c>
      <c r="F713" s="24">
        <f t="shared" si="0"/>
        <v>180.06</v>
      </c>
      <c r="G713" s="26">
        <f t="shared" si="1"/>
        <v>1113930.3799999999</v>
      </c>
      <c r="H713" s="27" t="str">
        <f t="shared" si="2"/>
        <v/>
      </c>
      <c r="J713" s="73"/>
      <c r="K713" s="28"/>
      <c r="L713" s="78"/>
      <c r="M713" s="31"/>
    </row>
    <row r="714" spans="1:13" ht="14.25" customHeight="1">
      <c r="A714" s="32">
        <v>44678</v>
      </c>
      <c r="B714" s="22">
        <v>2048</v>
      </c>
      <c r="C714" s="23" t="s">
        <v>310</v>
      </c>
      <c r="D714" s="79"/>
      <c r="E714" s="25"/>
      <c r="F714" s="24" t="str">
        <f t="shared" si="0"/>
        <v/>
      </c>
      <c r="G714" s="26" t="str">
        <f t="shared" si="1"/>
        <v/>
      </c>
      <c r="H714" s="27" t="str">
        <f t="shared" si="2"/>
        <v>Positional</v>
      </c>
      <c r="J714" s="73"/>
      <c r="K714" s="28"/>
      <c r="L714" s="78"/>
      <c r="M714" s="31"/>
    </row>
    <row r="715" spans="1:13" ht="14.25" customHeight="1">
      <c r="A715" s="32">
        <v>44678</v>
      </c>
      <c r="B715" s="22">
        <v>372.19</v>
      </c>
      <c r="C715" s="23" t="s">
        <v>20</v>
      </c>
      <c r="D715" s="79">
        <v>73977.64</v>
      </c>
      <c r="E715" s="25">
        <v>1042357</v>
      </c>
      <c r="F715" s="24">
        <f t="shared" si="0"/>
        <v>180.45</v>
      </c>
      <c r="G715" s="26">
        <f t="shared" si="1"/>
        <v>1116334.6399999999</v>
      </c>
      <c r="H715" s="27" t="str">
        <f t="shared" si="2"/>
        <v/>
      </c>
      <c r="J715" s="73"/>
      <c r="K715" s="28"/>
      <c r="L715" s="78"/>
      <c r="M715" s="31"/>
    </row>
    <row r="716" spans="1:13" ht="14.25" customHeight="1">
      <c r="A716" s="32">
        <v>44679</v>
      </c>
      <c r="B716" s="22">
        <v>126.07</v>
      </c>
      <c r="C716" s="23" t="s">
        <v>20</v>
      </c>
      <c r="D716" s="79">
        <v>16954.189999999999</v>
      </c>
      <c r="E716" s="25">
        <v>1068788</v>
      </c>
      <c r="F716" s="24">
        <f t="shared" si="0"/>
        <v>175.5</v>
      </c>
      <c r="G716" s="26">
        <f t="shared" si="1"/>
        <v>1085742.19</v>
      </c>
      <c r="H716" s="27" t="str">
        <f t="shared" si="2"/>
        <v/>
      </c>
      <c r="J716" s="73"/>
      <c r="K716" s="28"/>
      <c r="L716" s="78"/>
      <c r="M716" s="31"/>
    </row>
    <row r="717" spans="1:13" ht="14.25" customHeight="1">
      <c r="A717" s="32">
        <v>44680</v>
      </c>
      <c r="B717" s="22">
        <v>1007.71</v>
      </c>
      <c r="C717" s="23" t="s">
        <v>4</v>
      </c>
      <c r="D717" s="79"/>
      <c r="E717" s="25"/>
      <c r="F717" s="24" t="str">
        <f t="shared" si="0"/>
        <v/>
      </c>
      <c r="G717" s="26" t="str">
        <f t="shared" si="1"/>
        <v/>
      </c>
      <c r="H717" s="27" t="str">
        <f t="shared" si="2"/>
        <v/>
      </c>
      <c r="J717" s="73"/>
      <c r="K717" s="28"/>
      <c r="L717" s="78"/>
      <c r="M717" s="31"/>
    </row>
    <row r="718" spans="1:13" ht="14.25" customHeight="1">
      <c r="A718" s="32">
        <v>44680</v>
      </c>
      <c r="B718" s="22">
        <v>-0.21</v>
      </c>
      <c r="C718" s="23" t="s">
        <v>16</v>
      </c>
      <c r="D718" s="79">
        <v>0</v>
      </c>
      <c r="E718" s="25">
        <v>1074445</v>
      </c>
      <c r="F718" s="24">
        <f t="shared" si="0"/>
        <v>521.03</v>
      </c>
      <c r="G718" s="26">
        <f t="shared" si="1"/>
        <v>3223335</v>
      </c>
      <c r="H718" s="27" t="str">
        <f t="shared" si="2"/>
        <v/>
      </c>
      <c r="J718" s="73"/>
      <c r="K718" s="28"/>
      <c r="L718" s="78"/>
      <c r="M718" s="31"/>
    </row>
    <row r="719" spans="1:13" ht="14.25" customHeight="1">
      <c r="A719" s="32">
        <v>44683</v>
      </c>
      <c r="B719" s="22">
        <v>2115</v>
      </c>
      <c r="C719" s="23" t="s">
        <v>311</v>
      </c>
      <c r="D719" s="79"/>
      <c r="E719" s="25"/>
      <c r="F719" s="24" t="str">
        <f t="shared" si="0"/>
        <v/>
      </c>
      <c r="G719" s="26" t="str">
        <f t="shared" si="1"/>
        <v/>
      </c>
      <c r="H719" s="27" t="str">
        <f t="shared" si="2"/>
        <v>Positional</v>
      </c>
      <c r="J719" s="73"/>
      <c r="K719" s="28"/>
      <c r="L719" s="78"/>
      <c r="M719" s="31"/>
    </row>
    <row r="720" spans="1:13" ht="14.25" customHeight="1">
      <c r="A720" s="32">
        <v>44683</v>
      </c>
      <c r="B720" s="22">
        <v>-3278.25</v>
      </c>
      <c r="C720" s="23" t="s">
        <v>4</v>
      </c>
      <c r="D720" s="79"/>
      <c r="E720" s="25"/>
      <c r="F720" s="24" t="str">
        <f t="shared" si="0"/>
        <v/>
      </c>
      <c r="G720" s="26" t="str">
        <f t="shared" si="1"/>
        <v/>
      </c>
      <c r="H720" s="27" t="str">
        <f t="shared" si="2"/>
        <v/>
      </c>
      <c r="J720" s="73"/>
      <c r="K720" s="28"/>
      <c r="L720" s="78"/>
      <c r="M720" s="31"/>
    </row>
    <row r="721" spans="1:13" ht="14.25" customHeight="1">
      <c r="A721" s="32">
        <v>44683</v>
      </c>
      <c r="B721" s="22">
        <v>0.23</v>
      </c>
      <c r="C721" s="23" t="s">
        <v>16</v>
      </c>
      <c r="D721" s="79">
        <v>58864.1</v>
      </c>
      <c r="E721" s="25">
        <v>1034404</v>
      </c>
      <c r="F721" s="24">
        <f t="shared" si="0"/>
        <v>353.44</v>
      </c>
      <c r="G721" s="26">
        <f t="shared" si="1"/>
        <v>2186536.2000000002</v>
      </c>
      <c r="H721" s="27" t="str">
        <f t="shared" si="2"/>
        <v/>
      </c>
      <c r="J721" s="73"/>
      <c r="K721" s="28"/>
      <c r="L721" s="78"/>
      <c r="M721" s="31"/>
    </row>
    <row r="722" spans="1:13" ht="14.25" customHeight="1">
      <c r="A722" s="32">
        <v>44685</v>
      </c>
      <c r="B722" s="22">
        <v>0</v>
      </c>
      <c r="C722" s="23" t="s">
        <v>16</v>
      </c>
      <c r="D722" s="79">
        <v>42156.22</v>
      </c>
      <c r="E722" s="25">
        <v>1034404</v>
      </c>
      <c r="F722" s="24">
        <f t="shared" si="0"/>
        <v>174.02</v>
      </c>
      <c r="G722" s="26">
        <f t="shared" si="1"/>
        <v>1076560.22</v>
      </c>
      <c r="H722" s="27" t="str">
        <f t="shared" si="2"/>
        <v/>
      </c>
      <c r="J722" s="73"/>
      <c r="K722" s="28"/>
      <c r="L722" s="78"/>
      <c r="M722" s="31"/>
    </row>
    <row r="723" spans="1:13" ht="14.25" customHeight="1">
      <c r="A723" s="32">
        <v>44686</v>
      </c>
      <c r="B723" s="22">
        <v>1453</v>
      </c>
      <c r="C723" s="23" t="s">
        <v>312</v>
      </c>
      <c r="D723" s="79"/>
      <c r="E723" s="25"/>
      <c r="F723" s="24" t="str">
        <f t="shared" si="0"/>
        <v/>
      </c>
      <c r="G723" s="26" t="str">
        <f t="shared" si="1"/>
        <v/>
      </c>
      <c r="H723" s="27" t="str">
        <f t="shared" si="2"/>
        <v>Positional</v>
      </c>
      <c r="J723" s="73"/>
      <c r="K723" s="28"/>
      <c r="L723" s="78"/>
      <c r="M723" s="31"/>
    </row>
    <row r="724" spans="1:13" ht="14.25" customHeight="1">
      <c r="A724" s="32">
        <v>44686</v>
      </c>
      <c r="B724" s="22">
        <v>-4891.01</v>
      </c>
      <c r="C724" s="23" t="s">
        <v>4</v>
      </c>
      <c r="D724" s="79"/>
      <c r="E724" s="25"/>
      <c r="F724" s="24" t="str">
        <f t="shared" si="0"/>
        <v/>
      </c>
      <c r="G724" s="26" t="str">
        <f t="shared" si="1"/>
        <v/>
      </c>
      <c r="H724" s="27" t="str">
        <f t="shared" si="2"/>
        <v/>
      </c>
      <c r="J724" s="73"/>
      <c r="K724" s="28"/>
      <c r="L724" s="78"/>
      <c r="M724" s="31"/>
    </row>
    <row r="725" spans="1:13" ht="14.25" customHeight="1">
      <c r="A725" s="32">
        <v>44686</v>
      </c>
      <c r="B725" s="22">
        <v>0.98</v>
      </c>
      <c r="C725" s="23" t="s">
        <v>16</v>
      </c>
      <c r="D725" s="79">
        <v>55434.26</v>
      </c>
      <c r="E725" s="25">
        <v>1002565</v>
      </c>
      <c r="F725" s="24">
        <f t="shared" si="0"/>
        <v>171.02</v>
      </c>
      <c r="G725" s="26">
        <f t="shared" si="1"/>
        <v>1057999.26</v>
      </c>
      <c r="H725" s="27" t="str">
        <f t="shared" si="2"/>
        <v/>
      </c>
      <c r="J725" s="73"/>
      <c r="K725" s="28"/>
      <c r="L725" s="78"/>
      <c r="M725" s="31"/>
    </row>
    <row r="726" spans="1:13" ht="14.25" customHeight="1">
      <c r="A726" s="32">
        <v>44687</v>
      </c>
      <c r="B726" s="22">
        <v>1468.84</v>
      </c>
      <c r="C726" s="23" t="s">
        <v>4</v>
      </c>
      <c r="D726" s="79"/>
      <c r="E726" s="25"/>
      <c r="F726" s="24" t="str">
        <f t="shared" si="0"/>
        <v/>
      </c>
      <c r="G726" s="26" t="str">
        <f t="shared" si="1"/>
        <v/>
      </c>
      <c r="H726" s="27" t="str">
        <f t="shared" si="2"/>
        <v/>
      </c>
      <c r="J726" s="73"/>
      <c r="K726" s="28"/>
      <c r="L726" s="78"/>
      <c r="M726" s="31"/>
    </row>
    <row r="727" spans="1:13" ht="14.25" customHeight="1">
      <c r="A727" s="32">
        <v>44687</v>
      </c>
      <c r="B727" s="22">
        <v>0.12</v>
      </c>
      <c r="C727" s="23" t="s">
        <v>16</v>
      </c>
      <c r="D727" s="79">
        <v>19323.22</v>
      </c>
      <c r="E727" s="25">
        <v>1024591</v>
      </c>
      <c r="F727" s="24">
        <f t="shared" si="0"/>
        <v>506.23</v>
      </c>
      <c r="G727" s="26">
        <f t="shared" si="1"/>
        <v>3131742.66</v>
      </c>
      <c r="H727" s="27" t="str">
        <f t="shared" si="2"/>
        <v/>
      </c>
      <c r="J727" s="73"/>
      <c r="K727" s="28"/>
      <c r="L727" s="78"/>
      <c r="M727" s="31"/>
    </row>
    <row r="728" spans="1:13" ht="14.25" customHeight="1">
      <c r="A728" s="32">
        <v>44690</v>
      </c>
      <c r="B728" s="22">
        <v>3704</v>
      </c>
      <c r="C728" s="23" t="s">
        <v>313</v>
      </c>
      <c r="D728" s="79"/>
      <c r="E728" s="25"/>
      <c r="F728" s="24" t="str">
        <f t="shared" si="0"/>
        <v/>
      </c>
      <c r="G728" s="26" t="str">
        <f t="shared" si="1"/>
        <v/>
      </c>
      <c r="H728" s="27" t="str">
        <f t="shared" si="2"/>
        <v>Positional</v>
      </c>
      <c r="J728" s="73"/>
      <c r="K728" s="28"/>
      <c r="L728" s="78"/>
      <c r="M728" s="31"/>
    </row>
    <row r="729" spans="1:13" ht="14.25" customHeight="1">
      <c r="A729" s="32">
        <v>44690</v>
      </c>
      <c r="B729" s="22">
        <v>-0.63</v>
      </c>
      <c r="C729" s="23" t="s">
        <v>16</v>
      </c>
      <c r="D729" s="79">
        <v>22902.66</v>
      </c>
      <c r="E729" s="25">
        <v>1009699</v>
      </c>
      <c r="F729" s="24">
        <f t="shared" si="0"/>
        <v>166.91</v>
      </c>
      <c r="G729" s="26">
        <f t="shared" si="1"/>
        <v>1032601.66</v>
      </c>
      <c r="H729" s="27" t="str">
        <f t="shared" si="2"/>
        <v/>
      </c>
      <c r="J729" s="73"/>
      <c r="K729" s="28"/>
      <c r="L729" s="78"/>
      <c r="M729" s="31"/>
    </row>
    <row r="730" spans="1:13" ht="14.25" customHeight="1">
      <c r="A730" s="32">
        <v>44691</v>
      </c>
      <c r="B730" s="22">
        <v>0</v>
      </c>
      <c r="C730" s="23" t="s">
        <v>16</v>
      </c>
      <c r="D730" s="79">
        <v>63.77</v>
      </c>
      <c r="E730" s="25">
        <v>1009699</v>
      </c>
      <c r="F730" s="24">
        <f t="shared" si="0"/>
        <v>489.67</v>
      </c>
      <c r="G730" s="26">
        <f t="shared" si="1"/>
        <v>3029288.31</v>
      </c>
      <c r="H730" s="27" t="str">
        <f t="shared" si="2"/>
        <v/>
      </c>
      <c r="J730" s="73"/>
      <c r="K730" s="28"/>
      <c r="L730" s="78"/>
      <c r="M730" s="31"/>
    </row>
    <row r="731" spans="1:13" ht="14.25" customHeight="1">
      <c r="A731" s="32">
        <v>44694</v>
      </c>
      <c r="B731" s="22">
        <v>0</v>
      </c>
      <c r="C731" s="23" t="s">
        <v>16</v>
      </c>
      <c r="D731" s="79">
        <v>2024.77</v>
      </c>
      <c r="E731" s="25">
        <v>1023259</v>
      </c>
      <c r="F731" s="24">
        <f t="shared" si="0"/>
        <v>662.92</v>
      </c>
      <c r="G731" s="26">
        <f t="shared" si="1"/>
        <v>4101135.08</v>
      </c>
      <c r="H731" s="27" t="str">
        <f t="shared" si="2"/>
        <v/>
      </c>
      <c r="J731" s="73"/>
      <c r="K731" s="28"/>
      <c r="L731" s="78"/>
      <c r="M731" s="31"/>
    </row>
    <row r="732" spans="1:13" ht="14.25" customHeight="1">
      <c r="A732" s="32">
        <v>44698</v>
      </c>
      <c r="B732" s="22">
        <v>-45724.29</v>
      </c>
      <c r="C732" s="23" t="s">
        <v>4</v>
      </c>
      <c r="D732" s="79"/>
      <c r="E732" s="25"/>
      <c r="F732" s="24" t="str">
        <f t="shared" si="0"/>
        <v/>
      </c>
      <c r="G732" s="26" t="str">
        <f t="shared" si="1"/>
        <v/>
      </c>
      <c r="H732" s="27" t="str">
        <f t="shared" si="2"/>
        <v/>
      </c>
      <c r="J732" s="73"/>
      <c r="K732" s="28"/>
      <c r="L732" s="78"/>
      <c r="M732" s="31"/>
    </row>
    <row r="733" spans="1:13" ht="14.25" customHeight="1">
      <c r="A733" s="32">
        <v>44698</v>
      </c>
      <c r="B733" s="22">
        <v>336.25</v>
      </c>
      <c r="C733" s="23" t="s">
        <v>20</v>
      </c>
      <c r="D733" s="79">
        <v>25191.68</v>
      </c>
      <c r="E733" s="25">
        <v>1023259</v>
      </c>
      <c r="F733" s="24">
        <f t="shared" si="0"/>
        <v>169.48</v>
      </c>
      <c r="G733" s="26">
        <f t="shared" si="1"/>
        <v>1048450.68</v>
      </c>
      <c r="H733" s="27" t="str">
        <f t="shared" si="2"/>
        <v/>
      </c>
      <c r="J733" s="73"/>
      <c r="K733" s="28"/>
      <c r="L733" s="78"/>
      <c r="M733" s="31"/>
    </row>
    <row r="734" spans="1:13" ht="14.25" customHeight="1">
      <c r="A734" s="32">
        <v>44699</v>
      </c>
      <c r="B734" s="22">
        <v>137</v>
      </c>
      <c r="C734" s="23" t="s">
        <v>314</v>
      </c>
      <c r="D734" s="79"/>
      <c r="E734" s="25"/>
      <c r="F734" s="24" t="str">
        <f t="shared" si="0"/>
        <v/>
      </c>
      <c r="G734" s="26" t="str">
        <f t="shared" si="1"/>
        <v/>
      </c>
      <c r="H734" s="27" t="str">
        <f t="shared" si="2"/>
        <v>Positional</v>
      </c>
      <c r="J734" s="73"/>
      <c r="K734" s="28"/>
      <c r="L734" s="78"/>
      <c r="M734" s="31"/>
    </row>
    <row r="735" spans="1:13" ht="14.25" customHeight="1">
      <c r="A735" s="32">
        <v>44699</v>
      </c>
      <c r="B735" s="22">
        <v>1784</v>
      </c>
      <c r="C735" s="23" t="s">
        <v>315</v>
      </c>
      <c r="D735" s="79"/>
      <c r="E735" s="25"/>
      <c r="F735" s="24" t="str">
        <f t="shared" si="0"/>
        <v/>
      </c>
      <c r="G735" s="26" t="str">
        <f t="shared" si="1"/>
        <v/>
      </c>
      <c r="H735" s="27" t="str">
        <f t="shared" si="2"/>
        <v>Positional</v>
      </c>
      <c r="J735" s="73"/>
      <c r="K735" s="28"/>
      <c r="L735" s="78"/>
      <c r="M735" s="31"/>
    </row>
    <row r="736" spans="1:13" ht="14.25" customHeight="1">
      <c r="A736" s="32">
        <v>44699</v>
      </c>
      <c r="B736" s="22">
        <v>550</v>
      </c>
      <c r="C736" s="23" t="s">
        <v>316</v>
      </c>
      <c r="D736" s="79"/>
      <c r="E736" s="25"/>
      <c r="F736" s="24" t="str">
        <f t="shared" si="0"/>
        <v/>
      </c>
      <c r="G736" s="26" t="str">
        <f t="shared" si="1"/>
        <v/>
      </c>
      <c r="H736" s="27" t="str">
        <f t="shared" si="2"/>
        <v>Positional</v>
      </c>
      <c r="J736" s="73"/>
      <c r="K736" s="28"/>
      <c r="L736" s="78"/>
      <c r="M736" s="31"/>
    </row>
    <row r="737" spans="1:13" ht="14.25" customHeight="1">
      <c r="A737" s="32">
        <v>44699</v>
      </c>
      <c r="B737" s="22">
        <v>-1750</v>
      </c>
      <c r="C737" s="23" t="s">
        <v>4</v>
      </c>
      <c r="D737" s="79"/>
      <c r="E737" s="25"/>
      <c r="F737" s="24" t="str">
        <f t="shared" si="0"/>
        <v/>
      </c>
      <c r="G737" s="26" t="str">
        <f t="shared" si="1"/>
        <v/>
      </c>
      <c r="H737" s="27" t="str">
        <f t="shared" si="2"/>
        <v/>
      </c>
      <c r="J737" s="73"/>
      <c r="K737" s="28"/>
      <c r="L737" s="78"/>
      <c r="M737" s="31"/>
    </row>
    <row r="738" spans="1:13" ht="14.25" customHeight="1">
      <c r="A738" s="32">
        <v>44699</v>
      </c>
      <c r="B738" s="22">
        <v>86.6</v>
      </c>
      <c r="C738" s="23" t="s">
        <v>20</v>
      </c>
      <c r="D738" s="79">
        <v>42224.86</v>
      </c>
      <c r="E738" s="25">
        <v>983928</v>
      </c>
      <c r="F738" s="24">
        <f t="shared" si="0"/>
        <v>165.87</v>
      </c>
      <c r="G738" s="26">
        <f t="shared" si="1"/>
        <v>1026152.86</v>
      </c>
      <c r="H738" s="27" t="str">
        <f t="shared" si="2"/>
        <v/>
      </c>
      <c r="J738" s="73"/>
      <c r="K738" s="28"/>
      <c r="L738" s="78"/>
      <c r="M738" s="31"/>
    </row>
    <row r="739" spans="1:13" ht="14.25" customHeight="1">
      <c r="A739" s="32">
        <v>44700</v>
      </c>
      <c r="B739" s="22">
        <v>0</v>
      </c>
      <c r="C739" s="23" t="s">
        <v>16</v>
      </c>
      <c r="D739" s="79">
        <v>18122.689999999999</v>
      </c>
      <c r="E739" s="25">
        <v>983928</v>
      </c>
      <c r="F739" s="24">
        <f t="shared" si="0"/>
        <v>161.97999999999999</v>
      </c>
      <c r="G739" s="26">
        <f t="shared" si="1"/>
        <v>1002050.69</v>
      </c>
      <c r="H739" s="27" t="str">
        <f t="shared" si="2"/>
        <v/>
      </c>
      <c r="J739" s="73"/>
      <c r="K739" s="28"/>
      <c r="L739" s="78"/>
      <c r="M739" s="31"/>
    </row>
    <row r="740" spans="1:13" ht="14.25" customHeight="1">
      <c r="A740" s="32">
        <v>44701</v>
      </c>
      <c r="B740" s="22">
        <v>1605.51</v>
      </c>
      <c r="C740" s="23" t="s">
        <v>4</v>
      </c>
      <c r="D740" s="79">
        <v>27681.32</v>
      </c>
      <c r="E740" s="25">
        <v>983928</v>
      </c>
      <c r="F740" s="24">
        <f t="shared" si="0"/>
        <v>490.56</v>
      </c>
      <c r="G740" s="26">
        <f t="shared" si="1"/>
        <v>3034827.96</v>
      </c>
      <c r="H740" s="27" t="str">
        <f t="shared" si="2"/>
        <v/>
      </c>
      <c r="J740" s="73"/>
      <c r="K740" s="28"/>
      <c r="L740" s="78"/>
      <c r="M740" s="31"/>
    </row>
    <row r="741" spans="1:13" ht="14.25" customHeight="1">
      <c r="A741" s="32">
        <v>44704</v>
      </c>
      <c r="B741" s="22">
        <v>44.09</v>
      </c>
      <c r="C741" s="23" t="s">
        <v>20</v>
      </c>
      <c r="D741" s="79">
        <v>25725.41</v>
      </c>
      <c r="E741" s="25">
        <v>983928</v>
      </c>
      <c r="F741" s="24">
        <f t="shared" si="0"/>
        <v>163.19999999999999</v>
      </c>
      <c r="G741" s="26">
        <f t="shared" si="1"/>
        <v>1009653.41</v>
      </c>
      <c r="H741" s="27" t="str">
        <f t="shared" si="2"/>
        <v/>
      </c>
      <c r="J741" s="73"/>
      <c r="K741" s="28"/>
      <c r="L741" s="78"/>
      <c r="M741" s="31"/>
    </row>
    <row r="742" spans="1:13" ht="14.25" customHeight="1">
      <c r="A742" s="32">
        <v>44705</v>
      </c>
      <c r="B742" s="22">
        <v>388.96</v>
      </c>
      <c r="C742" s="23" t="s">
        <v>20</v>
      </c>
      <c r="D742" s="79">
        <v>26114.38</v>
      </c>
      <c r="E742" s="25">
        <v>983928</v>
      </c>
      <c r="F742" s="24">
        <f t="shared" si="0"/>
        <v>163.27000000000001</v>
      </c>
      <c r="G742" s="26">
        <f t="shared" si="1"/>
        <v>1010042.38</v>
      </c>
      <c r="H742" s="27" t="str">
        <f t="shared" si="2"/>
        <v/>
      </c>
      <c r="J742" s="73"/>
      <c r="K742" s="28"/>
      <c r="L742" s="78"/>
      <c r="M742" s="31"/>
    </row>
    <row r="743" spans="1:13" ht="14.25" customHeight="1">
      <c r="A743" s="32">
        <v>44706</v>
      </c>
      <c r="B743" s="22">
        <v>-22753.21</v>
      </c>
      <c r="C743" s="23" t="s">
        <v>4</v>
      </c>
      <c r="D743" s="79">
        <v>388.96</v>
      </c>
      <c r="E743" s="25">
        <v>983928</v>
      </c>
      <c r="F743" s="24">
        <f t="shared" si="0"/>
        <v>159.11000000000001</v>
      </c>
      <c r="G743" s="26">
        <f t="shared" si="1"/>
        <v>984316.96</v>
      </c>
      <c r="H743" s="27" t="str">
        <f t="shared" si="2"/>
        <v/>
      </c>
      <c r="J743" s="73"/>
      <c r="K743" s="28"/>
      <c r="L743" s="78"/>
      <c r="M743" s="31"/>
    </row>
    <row r="744" spans="1:13" ht="14.25" customHeight="1">
      <c r="A744" s="32">
        <v>44707</v>
      </c>
      <c r="B744" s="22">
        <v>0</v>
      </c>
      <c r="C744" s="23" t="s">
        <v>16</v>
      </c>
      <c r="D744" s="79">
        <v>353.56</v>
      </c>
      <c r="E744" s="25">
        <v>983928</v>
      </c>
      <c r="F744" s="24">
        <f t="shared" si="0"/>
        <v>159.1</v>
      </c>
      <c r="G744" s="26">
        <f t="shared" si="1"/>
        <v>984281.56</v>
      </c>
      <c r="H744" s="27" t="str">
        <f t="shared" si="2"/>
        <v/>
      </c>
      <c r="J744" s="73"/>
      <c r="K744" s="28"/>
      <c r="L744" s="78"/>
      <c r="M744" s="31"/>
    </row>
    <row r="745" spans="1:13" ht="14.25" customHeight="1">
      <c r="A745" s="32">
        <v>44708</v>
      </c>
      <c r="B745" s="22">
        <v>3566</v>
      </c>
      <c r="C745" s="23" t="s">
        <v>311</v>
      </c>
      <c r="D745" s="79"/>
      <c r="E745" s="25"/>
      <c r="F745" s="24" t="str">
        <f t="shared" si="0"/>
        <v/>
      </c>
      <c r="G745" s="26" t="str">
        <f t="shared" si="1"/>
        <v/>
      </c>
      <c r="H745" s="27" t="str">
        <f t="shared" si="2"/>
        <v>Positional</v>
      </c>
      <c r="J745" s="73"/>
      <c r="K745" s="28"/>
      <c r="L745" s="78"/>
      <c r="M745" s="31"/>
    </row>
    <row r="746" spans="1:13" ht="14.25" customHeight="1">
      <c r="A746" s="32">
        <v>44708</v>
      </c>
      <c r="B746" s="22">
        <v>519.05999999999995</v>
      </c>
      <c r="C746" s="23" t="s">
        <v>20</v>
      </c>
      <c r="D746" s="79"/>
      <c r="E746" s="25"/>
      <c r="F746" s="24" t="str">
        <f t="shared" si="0"/>
        <v/>
      </c>
      <c r="G746" s="26" t="str">
        <f t="shared" si="1"/>
        <v/>
      </c>
      <c r="H746" s="27" t="str">
        <f t="shared" si="2"/>
        <v/>
      </c>
      <c r="J746" s="73"/>
      <c r="K746" s="28"/>
      <c r="L746" s="78"/>
      <c r="M746" s="31"/>
    </row>
    <row r="747" spans="1:13" ht="14.25" customHeight="1">
      <c r="A747" s="32">
        <v>44708</v>
      </c>
      <c r="B747" s="22">
        <v>5703.45</v>
      </c>
      <c r="C747" s="23" t="s">
        <v>4</v>
      </c>
      <c r="D747" s="79">
        <v>31329.15</v>
      </c>
      <c r="E747" s="25">
        <v>966477</v>
      </c>
      <c r="F747" s="24">
        <f t="shared" si="0"/>
        <v>483.87</v>
      </c>
      <c r="G747" s="26">
        <f t="shared" si="1"/>
        <v>2993418.45</v>
      </c>
      <c r="H747" s="27" t="str">
        <f t="shared" si="2"/>
        <v/>
      </c>
      <c r="J747" s="73"/>
      <c r="K747" s="28"/>
      <c r="L747" s="78"/>
      <c r="M747" s="31"/>
    </row>
    <row r="748" spans="1:13" ht="14.25" customHeight="1">
      <c r="A748" s="32">
        <v>44711</v>
      </c>
      <c r="B748" s="22">
        <v>436</v>
      </c>
      <c r="C748" s="23" t="s">
        <v>318</v>
      </c>
      <c r="D748" s="79"/>
      <c r="E748" s="25"/>
      <c r="F748" s="24" t="str">
        <f t="shared" si="0"/>
        <v/>
      </c>
      <c r="G748" s="26" t="str">
        <f t="shared" si="1"/>
        <v/>
      </c>
      <c r="H748" s="27" t="str">
        <f t="shared" si="2"/>
        <v>Positional</v>
      </c>
      <c r="J748" s="73"/>
      <c r="K748" s="28"/>
      <c r="L748" s="78"/>
      <c r="M748" s="31"/>
    </row>
    <row r="749" spans="1:13" ht="14.25" customHeight="1">
      <c r="A749" s="32">
        <v>44711</v>
      </c>
      <c r="B749" s="22">
        <v>0.22</v>
      </c>
      <c r="C749" s="23" t="s">
        <v>16</v>
      </c>
      <c r="D749" s="79">
        <v>46339.43</v>
      </c>
      <c r="E749" s="25">
        <v>943887</v>
      </c>
      <c r="F749" s="24">
        <f t="shared" si="0"/>
        <v>160.06</v>
      </c>
      <c r="G749" s="26">
        <f t="shared" si="1"/>
        <v>990226.43</v>
      </c>
      <c r="H749" s="27" t="str">
        <f t="shared" si="2"/>
        <v/>
      </c>
      <c r="J749" s="73"/>
      <c r="K749" s="28"/>
      <c r="L749" s="78"/>
      <c r="M749" s="31"/>
    </row>
    <row r="750" spans="1:13" ht="14.25" customHeight="1">
      <c r="A750" s="32">
        <v>44712</v>
      </c>
      <c r="B750" s="22">
        <v>2656</v>
      </c>
      <c r="C750" s="23" t="s">
        <v>318</v>
      </c>
      <c r="D750" s="79"/>
      <c r="E750" s="25"/>
      <c r="F750" s="24" t="str">
        <f t="shared" si="0"/>
        <v/>
      </c>
      <c r="G750" s="26" t="str">
        <f t="shared" si="1"/>
        <v/>
      </c>
      <c r="H750" s="27" t="str">
        <f t="shared" si="2"/>
        <v>Positional</v>
      </c>
      <c r="J750" s="73"/>
      <c r="K750" s="28"/>
      <c r="L750" s="78"/>
      <c r="M750" s="31"/>
    </row>
    <row r="751" spans="1:13" ht="14.25" customHeight="1">
      <c r="A751" s="32">
        <v>44712</v>
      </c>
      <c r="B751" s="22">
        <v>-0.95</v>
      </c>
      <c r="C751" s="23" t="s">
        <v>16</v>
      </c>
      <c r="D751" s="79">
        <v>56999.55</v>
      </c>
      <c r="E751" s="25">
        <v>923866</v>
      </c>
      <c r="F751" s="24">
        <f t="shared" si="0"/>
        <v>158.55000000000001</v>
      </c>
      <c r="G751" s="26">
        <f t="shared" si="1"/>
        <v>980865.55</v>
      </c>
      <c r="H751" s="27" t="str">
        <f t="shared" si="2"/>
        <v/>
      </c>
      <c r="J751" s="73"/>
      <c r="K751" s="28"/>
      <c r="L751" s="78"/>
      <c r="M751" s="31"/>
    </row>
    <row r="752" spans="1:13" ht="14.25" customHeight="1">
      <c r="A752" s="32">
        <v>44713</v>
      </c>
      <c r="B752" s="22">
        <v>115.8</v>
      </c>
      <c r="C752" s="23" t="s">
        <v>20</v>
      </c>
      <c r="D752" s="79"/>
      <c r="E752" s="25"/>
      <c r="F752" s="24" t="str">
        <f t="shared" si="0"/>
        <v/>
      </c>
      <c r="G752" s="26" t="str">
        <f t="shared" si="1"/>
        <v/>
      </c>
      <c r="H752" s="27" t="str">
        <f t="shared" si="2"/>
        <v/>
      </c>
      <c r="J752" s="73"/>
      <c r="K752" s="28"/>
      <c r="L752" s="78"/>
      <c r="M752" s="31"/>
    </row>
    <row r="753" spans="1:13" ht="14.25" customHeight="1">
      <c r="A753" s="32">
        <v>44713</v>
      </c>
      <c r="B753" s="22">
        <v>7018.95</v>
      </c>
      <c r="C753" s="23" t="s">
        <v>4</v>
      </c>
      <c r="D753" s="79">
        <v>84421.3</v>
      </c>
      <c r="E753" s="25">
        <v>923866</v>
      </c>
      <c r="F753" s="24">
        <f t="shared" si="0"/>
        <v>162.97999999999999</v>
      </c>
      <c r="G753" s="26">
        <f t="shared" si="1"/>
        <v>1008287.3</v>
      </c>
      <c r="H753" s="27" t="str">
        <f t="shared" si="2"/>
        <v/>
      </c>
      <c r="J753" s="73"/>
      <c r="K753" s="28"/>
      <c r="L753" s="78"/>
      <c r="M753" s="31"/>
    </row>
    <row r="754" spans="1:13" ht="14.25" customHeight="1">
      <c r="A754" s="32">
        <v>44714</v>
      </c>
      <c r="B754" s="22">
        <v>3130</v>
      </c>
      <c r="C754" s="23" t="s">
        <v>318</v>
      </c>
      <c r="D754" s="79"/>
      <c r="E754" s="25"/>
      <c r="F754" s="24" t="str">
        <f t="shared" si="0"/>
        <v/>
      </c>
      <c r="G754" s="26" t="str">
        <f t="shared" si="1"/>
        <v/>
      </c>
      <c r="H754" s="27" t="str">
        <f t="shared" si="2"/>
        <v>Positional</v>
      </c>
      <c r="J754" s="73"/>
      <c r="K754" s="28"/>
      <c r="L754" s="78"/>
      <c r="M754" s="31"/>
    </row>
    <row r="755" spans="1:13" ht="14.25" customHeight="1">
      <c r="A755" s="32">
        <v>44714</v>
      </c>
      <c r="B755" s="22">
        <v>2356.36</v>
      </c>
      <c r="C755" s="23" t="s">
        <v>4</v>
      </c>
      <c r="D755" s="79"/>
      <c r="E755" s="25"/>
      <c r="F755" s="24" t="str">
        <f t="shared" si="0"/>
        <v/>
      </c>
      <c r="G755" s="26" t="str">
        <f t="shared" si="1"/>
        <v/>
      </c>
      <c r="H755" s="27" t="str">
        <f t="shared" si="2"/>
        <v/>
      </c>
      <c r="J755" s="73"/>
      <c r="K755" s="28"/>
      <c r="L755" s="78"/>
      <c r="M755" s="31"/>
    </row>
    <row r="756" spans="1:13" ht="14.25" customHeight="1">
      <c r="A756" s="32">
        <v>44714</v>
      </c>
      <c r="B756" s="22">
        <v>126.77</v>
      </c>
      <c r="C756" s="23" t="s">
        <v>20</v>
      </c>
      <c r="D756" s="79">
        <v>110039.49</v>
      </c>
      <c r="E756" s="25">
        <v>903845</v>
      </c>
      <c r="F756" s="24">
        <f t="shared" si="0"/>
        <v>163.89</v>
      </c>
      <c r="G756" s="26">
        <f t="shared" si="1"/>
        <v>1013884.49</v>
      </c>
      <c r="H756" s="27" t="str">
        <f t="shared" si="2"/>
        <v/>
      </c>
      <c r="J756" s="73"/>
      <c r="K756" s="28"/>
      <c r="L756" s="78"/>
      <c r="M756" s="31"/>
    </row>
    <row r="757" spans="1:13" ht="14.25" customHeight="1">
      <c r="A757" s="32">
        <v>44715</v>
      </c>
      <c r="B757" s="22">
        <v>625.72</v>
      </c>
      <c r="C757" s="23" t="s">
        <v>20</v>
      </c>
      <c r="D757" s="79">
        <v>48817.74</v>
      </c>
      <c r="E757" s="25">
        <v>903845</v>
      </c>
      <c r="F757" s="24">
        <f t="shared" si="0"/>
        <v>461.98</v>
      </c>
      <c r="G757" s="26">
        <f t="shared" si="1"/>
        <v>2857988.2199999997</v>
      </c>
      <c r="H757" s="27" t="str">
        <f t="shared" si="2"/>
        <v/>
      </c>
      <c r="J757" s="73"/>
      <c r="K757" s="28"/>
      <c r="L757" s="78"/>
      <c r="M757" s="31"/>
    </row>
    <row r="758" spans="1:13" ht="14.25" customHeight="1">
      <c r="A758" s="32">
        <v>44718</v>
      </c>
      <c r="B758" s="22">
        <v>0</v>
      </c>
      <c r="C758" s="23" t="s">
        <v>16</v>
      </c>
      <c r="D758" s="79">
        <v>18530.45</v>
      </c>
      <c r="E758" s="25">
        <v>903845</v>
      </c>
      <c r="F758" s="24">
        <f t="shared" si="0"/>
        <v>298.19</v>
      </c>
      <c r="G758" s="26">
        <f t="shared" si="1"/>
        <v>1844750.9</v>
      </c>
      <c r="H758" s="27" t="str">
        <f t="shared" si="2"/>
        <v/>
      </c>
      <c r="J758" s="73"/>
      <c r="K758" s="28"/>
      <c r="L758" s="78"/>
      <c r="M758" s="31"/>
    </row>
    <row r="759" spans="1:13" ht="14.25" customHeight="1">
      <c r="A759" s="32">
        <v>44720</v>
      </c>
      <c r="B759" s="22">
        <v>4521.33</v>
      </c>
      <c r="C759" s="23" t="s">
        <v>4</v>
      </c>
      <c r="D759" s="79">
        <v>49132.65</v>
      </c>
      <c r="E759" s="25">
        <v>903845</v>
      </c>
      <c r="F759" s="24">
        <f t="shared" si="0"/>
        <v>154.04</v>
      </c>
      <c r="G759" s="26">
        <f t="shared" si="1"/>
        <v>952977.65</v>
      </c>
      <c r="H759" s="27" t="str">
        <f t="shared" si="2"/>
        <v/>
      </c>
      <c r="J759" s="73"/>
      <c r="K759" s="28"/>
      <c r="L759" s="78"/>
      <c r="M759" s="31"/>
    </row>
    <row r="760" spans="1:13" ht="14.25" customHeight="1">
      <c r="A760" s="32">
        <v>44721</v>
      </c>
      <c r="B760" s="22">
        <v>2735.19</v>
      </c>
      <c r="C760" s="23" t="s">
        <v>4</v>
      </c>
      <c r="D760" s="79">
        <v>51867.83</v>
      </c>
      <c r="E760" s="25">
        <v>903845</v>
      </c>
      <c r="F760" s="24">
        <f t="shared" si="0"/>
        <v>154.49</v>
      </c>
      <c r="G760" s="26">
        <f t="shared" si="1"/>
        <v>955712.83</v>
      </c>
      <c r="H760" s="27" t="str">
        <f t="shared" si="2"/>
        <v/>
      </c>
      <c r="J760" s="73"/>
      <c r="K760" s="28"/>
      <c r="L760" s="78"/>
      <c r="M760" s="31"/>
    </row>
    <row r="761" spans="1:13" ht="14.25" customHeight="1">
      <c r="A761" s="32">
        <v>44722</v>
      </c>
      <c r="B761" s="22">
        <v>2773.73</v>
      </c>
      <c r="C761" s="23" t="s">
        <v>4</v>
      </c>
      <c r="D761" s="79">
        <v>34641.56</v>
      </c>
      <c r="E761" s="25">
        <v>903845</v>
      </c>
      <c r="F761" s="24">
        <f t="shared" si="0"/>
        <v>455.1</v>
      </c>
      <c r="G761" s="26">
        <f t="shared" si="1"/>
        <v>2815459.68</v>
      </c>
      <c r="H761" s="27" t="str">
        <f t="shared" si="2"/>
        <v/>
      </c>
      <c r="J761" s="73"/>
      <c r="K761" s="28"/>
      <c r="L761" s="78"/>
      <c r="M761" s="31"/>
    </row>
    <row r="762" spans="1:13" ht="14.25" customHeight="1">
      <c r="A762" s="32">
        <v>44725</v>
      </c>
      <c r="B762" s="22">
        <v>-1581.63</v>
      </c>
      <c r="C762" s="23" t="s">
        <v>4</v>
      </c>
      <c r="D762" s="79">
        <v>53347.22</v>
      </c>
      <c r="E762" s="25">
        <v>903845</v>
      </c>
      <c r="F762" s="24">
        <f t="shared" si="0"/>
        <v>154.72</v>
      </c>
      <c r="G762" s="26">
        <f t="shared" si="1"/>
        <v>957192.22</v>
      </c>
      <c r="H762" s="27" t="str">
        <f t="shared" si="2"/>
        <v/>
      </c>
      <c r="J762" s="73"/>
      <c r="K762" s="28"/>
      <c r="L762" s="78"/>
      <c r="M762" s="31"/>
    </row>
    <row r="763" spans="1:13" ht="14.25" customHeight="1">
      <c r="A763" s="32">
        <v>44726</v>
      </c>
      <c r="B763" s="22">
        <v>41</v>
      </c>
      <c r="C763" s="23" t="s">
        <v>321</v>
      </c>
      <c r="D763" s="79"/>
      <c r="E763" s="25"/>
      <c r="F763" s="24" t="str">
        <f t="shared" si="0"/>
        <v/>
      </c>
      <c r="G763" s="26" t="str">
        <f t="shared" si="1"/>
        <v/>
      </c>
      <c r="H763" s="27" t="str">
        <f t="shared" si="2"/>
        <v>Positional</v>
      </c>
      <c r="J763" s="73"/>
      <c r="K763" s="28"/>
      <c r="L763" s="78"/>
      <c r="M763" s="31"/>
    </row>
    <row r="764" spans="1:13" ht="14.25" customHeight="1">
      <c r="A764" s="32">
        <v>44726</v>
      </c>
      <c r="B764" s="22">
        <v>-0.14000000000000001</v>
      </c>
      <c r="C764" s="23" t="s">
        <v>16</v>
      </c>
      <c r="D764" s="79">
        <v>41859.730000000003</v>
      </c>
      <c r="E764" s="25">
        <v>900601</v>
      </c>
      <c r="F764" s="24">
        <f t="shared" si="0"/>
        <v>152.34</v>
      </c>
      <c r="G764" s="26">
        <f t="shared" si="1"/>
        <v>942460.73</v>
      </c>
      <c r="H764" s="27" t="str">
        <f t="shared" si="2"/>
        <v/>
      </c>
      <c r="J764" s="73"/>
      <c r="K764" s="28"/>
      <c r="L764" s="78"/>
      <c r="M764" s="31"/>
    </row>
    <row r="765" spans="1:13" ht="14.25" customHeight="1">
      <c r="A765" s="32">
        <v>44727</v>
      </c>
      <c r="B765" s="22">
        <v>-1471.73</v>
      </c>
      <c r="C765" s="23" t="s">
        <v>4</v>
      </c>
      <c r="D765" s="79">
        <v>55112.49</v>
      </c>
      <c r="E765" s="25">
        <v>900601</v>
      </c>
      <c r="F765" s="24">
        <f t="shared" si="0"/>
        <v>154.49</v>
      </c>
      <c r="G765" s="26">
        <f t="shared" si="1"/>
        <v>955713.49</v>
      </c>
      <c r="H765" s="27" t="str">
        <f t="shared" si="2"/>
        <v/>
      </c>
      <c r="J765" s="73"/>
      <c r="K765" s="28"/>
      <c r="L765" s="78"/>
      <c r="M765" s="31"/>
    </row>
    <row r="766" spans="1:13" ht="14.25" customHeight="1">
      <c r="A766" s="32">
        <v>44728</v>
      </c>
      <c r="B766" s="22">
        <v>1161</v>
      </c>
      <c r="C766" s="23" t="s">
        <v>379</v>
      </c>
      <c r="D766" s="79"/>
      <c r="E766" s="25"/>
      <c r="F766" s="24" t="str">
        <f t="shared" si="0"/>
        <v/>
      </c>
      <c r="G766" s="26" t="str">
        <f t="shared" si="1"/>
        <v/>
      </c>
      <c r="H766" s="27" t="str">
        <f t="shared" si="2"/>
        <v>Positional</v>
      </c>
      <c r="J766" s="73"/>
      <c r="K766" s="28"/>
      <c r="L766" s="78"/>
      <c r="M766" s="31"/>
    </row>
    <row r="767" spans="1:13" ht="14.25" customHeight="1">
      <c r="A767" s="32">
        <v>44728</v>
      </c>
      <c r="B767" s="22">
        <v>-11951.99</v>
      </c>
      <c r="C767" s="23" t="s">
        <v>4</v>
      </c>
      <c r="D767" s="79">
        <v>43160.51</v>
      </c>
      <c r="E767" s="25">
        <v>894542</v>
      </c>
      <c r="F767" s="24">
        <f t="shared" si="0"/>
        <v>606.29999999999995</v>
      </c>
      <c r="G767" s="26">
        <f t="shared" si="1"/>
        <v>3750810.04</v>
      </c>
      <c r="H767" s="27" t="str">
        <f t="shared" si="2"/>
        <v/>
      </c>
      <c r="J767" s="73"/>
      <c r="K767" s="28"/>
      <c r="L767" s="78"/>
      <c r="M767" s="31"/>
    </row>
    <row r="768" spans="1:13" ht="14.25" customHeight="1">
      <c r="A768" s="32">
        <v>44732</v>
      </c>
      <c r="B768" s="22">
        <v>491.45</v>
      </c>
      <c r="C768" s="23" t="s">
        <v>4</v>
      </c>
      <c r="D768" s="79">
        <v>43651.95</v>
      </c>
      <c r="E768" s="25">
        <v>894542</v>
      </c>
      <c r="F768" s="24">
        <f t="shared" si="0"/>
        <v>151.65</v>
      </c>
      <c r="G768" s="26">
        <f t="shared" si="1"/>
        <v>938193.95</v>
      </c>
      <c r="H768" s="27" t="str">
        <f t="shared" si="2"/>
        <v/>
      </c>
      <c r="J768" s="73"/>
      <c r="K768" s="28"/>
      <c r="L768" s="78"/>
      <c r="M768" s="31"/>
    </row>
    <row r="769" spans="1:13" ht="14.25" customHeight="1">
      <c r="A769" s="32">
        <v>44733</v>
      </c>
      <c r="B769" s="22">
        <v>1117.82</v>
      </c>
      <c r="C769" s="23" t="s">
        <v>4</v>
      </c>
      <c r="D769" s="79">
        <v>44769.78</v>
      </c>
      <c r="E769" s="25">
        <v>894542</v>
      </c>
      <c r="F769" s="24">
        <f t="shared" si="0"/>
        <v>151.83000000000001</v>
      </c>
      <c r="G769" s="26">
        <f t="shared" si="1"/>
        <v>939311.78</v>
      </c>
      <c r="H769" s="27" t="str">
        <f t="shared" si="2"/>
        <v/>
      </c>
      <c r="J769" s="73"/>
      <c r="K769" s="28"/>
      <c r="L769" s="78"/>
      <c r="M769" s="31"/>
    </row>
    <row r="770" spans="1:13" ht="14.25" customHeight="1">
      <c r="A770" s="32">
        <v>44734</v>
      </c>
      <c r="B770" s="22">
        <v>-2052.8200000000002</v>
      </c>
      <c r="C770" s="23" t="s">
        <v>4</v>
      </c>
      <c r="D770" s="79">
        <v>42716.959999999999</v>
      </c>
      <c r="E770" s="25">
        <v>894542</v>
      </c>
      <c r="F770" s="24">
        <f t="shared" si="0"/>
        <v>151.5</v>
      </c>
      <c r="G770" s="26">
        <f t="shared" si="1"/>
        <v>937258.96</v>
      </c>
      <c r="H770" s="27" t="str">
        <f t="shared" si="2"/>
        <v/>
      </c>
      <c r="J770" s="73"/>
      <c r="K770" s="28"/>
      <c r="L770" s="78"/>
      <c r="M770" s="31"/>
    </row>
    <row r="771" spans="1:13" ht="14.25" customHeight="1">
      <c r="A771" s="32">
        <v>44735</v>
      </c>
      <c r="B771" s="22">
        <v>-37209.160000000003</v>
      </c>
      <c r="C771" s="23" t="s">
        <v>4</v>
      </c>
      <c r="D771" s="79">
        <v>41250.79</v>
      </c>
      <c r="E771" s="25">
        <v>894542</v>
      </c>
      <c r="F771" s="24">
        <f t="shared" si="0"/>
        <v>151.27000000000001</v>
      </c>
      <c r="G771" s="26">
        <f t="shared" si="1"/>
        <v>935792.79</v>
      </c>
      <c r="H771" s="27" t="str">
        <f t="shared" si="2"/>
        <v/>
      </c>
      <c r="J771" s="73"/>
      <c r="K771" s="28"/>
      <c r="L771" s="78"/>
      <c r="M771" s="31"/>
    </row>
    <row r="772" spans="1:13" ht="14.25" customHeight="1">
      <c r="A772" s="32">
        <v>44736</v>
      </c>
      <c r="B772" s="22">
        <v>-72.680000000000007</v>
      </c>
      <c r="C772" s="23" t="s">
        <v>4</v>
      </c>
      <c r="D772" s="79"/>
      <c r="E772" s="25"/>
      <c r="F772" s="24" t="str">
        <f t="shared" si="0"/>
        <v/>
      </c>
      <c r="G772" s="26" t="str">
        <f t="shared" si="1"/>
        <v/>
      </c>
      <c r="H772" s="27" t="str">
        <f t="shared" si="2"/>
        <v/>
      </c>
      <c r="J772" s="73"/>
      <c r="K772" s="28"/>
      <c r="L772" s="78"/>
      <c r="M772" s="31"/>
    </row>
    <row r="773" spans="1:13" ht="14.25" customHeight="1">
      <c r="A773" s="32">
        <v>44736</v>
      </c>
      <c r="B773" s="22">
        <v>119.82</v>
      </c>
      <c r="C773" s="23" t="s">
        <v>20</v>
      </c>
      <c r="D773" s="79"/>
      <c r="E773" s="25"/>
      <c r="F773" s="24" t="str">
        <f t="shared" si="0"/>
        <v/>
      </c>
      <c r="G773" s="26" t="str">
        <f t="shared" si="1"/>
        <v/>
      </c>
      <c r="H773" s="27" t="str">
        <f t="shared" si="2"/>
        <v/>
      </c>
      <c r="J773" s="73"/>
      <c r="K773" s="28"/>
      <c r="L773" s="78"/>
      <c r="M773" s="31"/>
    </row>
    <row r="774" spans="1:13" ht="14.25" customHeight="1">
      <c r="A774" s="32">
        <v>44736</v>
      </c>
      <c r="B774" s="22">
        <v>1356</v>
      </c>
      <c r="C774" s="23" t="s">
        <v>380</v>
      </c>
      <c r="D774" s="79">
        <v>32408.62</v>
      </c>
      <c r="E774" s="25">
        <v>886898</v>
      </c>
      <c r="F774" s="24">
        <f t="shared" si="0"/>
        <v>445.8</v>
      </c>
      <c r="G774" s="26">
        <f t="shared" si="1"/>
        <v>2757919.86</v>
      </c>
      <c r="H774" s="27" t="str">
        <f t="shared" si="2"/>
        <v>Positional</v>
      </c>
      <c r="J774" s="73"/>
      <c r="K774" s="28"/>
      <c r="L774" s="78"/>
      <c r="M774" s="31"/>
    </row>
    <row r="775" spans="1:13" ht="14.25" customHeight="1">
      <c r="A775" s="32">
        <v>44739</v>
      </c>
      <c r="B775" s="22">
        <v>4596.4399999999996</v>
      </c>
      <c r="C775" s="23" t="s">
        <v>4</v>
      </c>
      <c r="D775" s="24">
        <v>-14102.69</v>
      </c>
      <c r="E775" s="25">
        <v>886898</v>
      </c>
      <c r="F775" s="24">
        <f t="shared" si="0"/>
        <v>141.08000000000001</v>
      </c>
      <c r="G775" s="26">
        <f t="shared" si="1"/>
        <v>872795.31</v>
      </c>
      <c r="H775" s="27" t="str">
        <f t="shared" si="2"/>
        <v/>
      </c>
      <c r="J775" s="73"/>
      <c r="K775" s="28"/>
      <c r="L775" s="78"/>
      <c r="M775" s="31"/>
    </row>
    <row r="776" spans="1:13" ht="14.25" customHeight="1">
      <c r="A776" s="32">
        <v>44740</v>
      </c>
      <c r="B776" s="22">
        <v>-3747.17</v>
      </c>
      <c r="C776" s="23" t="s">
        <v>4</v>
      </c>
      <c r="D776" s="24"/>
      <c r="E776" s="25"/>
      <c r="F776" s="24" t="str">
        <f t="shared" si="0"/>
        <v/>
      </c>
      <c r="G776" s="26" t="str">
        <f t="shared" si="1"/>
        <v/>
      </c>
      <c r="H776" s="27" t="str">
        <f t="shared" si="2"/>
        <v/>
      </c>
      <c r="J776" s="73"/>
      <c r="K776" s="28"/>
      <c r="L776" s="78"/>
      <c r="M776" s="31"/>
    </row>
    <row r="777" spans="1:13" ht="14.25" customHeight="1">
      <c r="A777" s="32">
        <v>44740</v>
      </c>
      <c r="B777" s="22">
        <v>0.44</v>
      </c>
      <c r="C777" s="23" t="s">
        <v>16</v>
      </c>
      <c r="D777" s="24">
        <v>36164.33</v>
      </c>
      <c r="E777" s="25">
        <v>903317</v>
      </c>
      <c r="F777" s="24">
        <f t="shared" si="0"/>
        <v>151.86000000000001</v>
      </c>
      <c r="G777" s="26">
        <f t="shared" si="1"/>
        <v>939481.33</v>
      </c>
      <c r="H777" s="27" t="str">
        <f t="shared" si="2"/>
        <v/>
      </c>
      <c r="J777" s="73"/>
      <c r="K777" s="28"/>
      <c r="L777" s="78"/>
      <c r="M777" s="31"/>
    </row>
    <row r="778" spans="1:13" ht="14.25" customHeight="1">
      <c r="A778" s="32">
        <v>44741</v>
      </c>
      <c r="B778" s="22">
        <v>-5736.26</v>
      </c>
      <c r="C778" s="23" t="s">
        <v>4</v>
      </c>
      <c r="D778" s="24">
        <v>22346.07</v>
      </c>
      <c r="E778" s="25">
        <v>903317</v>
      </c>
      <c r="F778" s="24">
        <f t="shared" si="0"/>
        <v>149.63</v>
      </c>
      <c r="G778" s="26">
        <f t="shared" si="1"/>
        <v>925663.07</v>
      </c>
      <c r="H778" s="27" t="str">
        <f t="shared" si="2"/>
        <v/>
      </c>
      <c r="J778" s="73"/>
      <c r="K778" s="28"/>
      <c r="L778" s="78"/>
      <c r="M778" s="31"/>
    </row>
    <row r="779" spans="1:13" ht="14.25" customHeight="1">
      <c r="A779" s="32">
        <v>44742</v>
      </c>
      <c r="B779" s="22">
        <v>2457.96</v>
      </c>
      <c r="C779" s="23" t="s">
        <v>4</v>
      </c>
      <c r="D779" s="24">
        <v>3638.03</v>
      </c>
      <c r="E779" s="25">
        <v>903317</v>
      </c>
      <c r="F779" s="24">
        <f t="shared" si="0"/>
        <v>146.6</v>
      </c>
      <c r="G779" s="26">
        <f t="shared" si="1"/>
        <v>906955.03</v>
      </c>
      <c r="H779" s="27" t="str">
        <f t="shared" si="2"/>
        <v/>
      </c>
      <c r="J779" s="73"/>
      <c r="K779" s="28"/>
      <c r="L779" s="78"/>
      <c r="M779" s="31"/>
    </row>
    <row r="780" spans="1:13" ht="14.25" customHeight="1">
      <c r="A780" s="32">
        <v>44743</v>
      </c>
      <c r="B780" s="22">
        <v>-5697.69</v>
      </c>
      <c r="C780" s="23" t="s">
        <v>4</v>
      </c>
      <c r="D780" s="24">
        <v>17125.34</v>
      </c>
      <c r="E780" s="25">
        <v>903317</v>
      </c>
      <c r="F780" s="24">
        <f t="shared" si="0"/>
        <v>446.35</v>
      </c>
      <c r="G780" s="26">
        <f t="shared" si="1"/>
        <v>2761327.02</v>
      </c>
      <c r="H780" s="27" t="str">
        <f t="shared" si="2"/>
        <v/>
      </c>
      <c r="J780" s="73"/>
      <c r="K780" s="28"/>
      <c r="L780" s="78"/>
      <c r="M780" s="31"/>
    </row>
    <row r="781" spans="1:13" ht="14.25" customHeight="1">
      <c r="A781" s="32">
        <v>44746</v>
      </c>
      <c r="B781" s="22">
        <v>1151.27</v>
      </c>
      <c r="C781" s="23" t="s">
        <v>4</v>
      </c>
      <c r="D781" s="24">
        <v>18276.61</v>
      </c>
      <c r="E781" s="25">
        <v>903317</v>
      </c>
      <c r="F781" s="24">
        <f t="shared" si="0"/>
        <v>148.97</v>
      </c>
      <c r="G781" s="26">
        <f t="shared" si="1"/>
        <v>921593.61</v>
      </c>
      <c r="H781" s="27" t="str">
        <f t="shared" si="2"/>
        <v/>
      </c>
      <c r="J781" s="73"/>
      <c r="K781" s="28"/>
      <c r="L781" s="78"/>
      <c r="M781" s="31"/>
    </row>
    <row r="782" spans="1:13" ht="14.25" customHeight="1">
      <c r="A782" s="32">
        <v>44747</v>
      </c>
      <c r="B782" s="22">
        <v>-917.06</v>
      </c>
      <c r="C782" s="23" t="s">
        <v>4</v>
      </c>
      <c r="D782" s="24">
        <v>29340.560000000001</v>
      </c>
      <c r="E782" s="25">
        <v>903317</v>
      </c>
      <c r="F782" s="24">
        <f t="shared" si="0"/>
        <v>150.76</v>
      </c>
      <c r="G782" s="26">
        <f t="shared" si="1"/>
        <v>932657.56</v>
      </c>
      <c r="H782" s="27" t="str">
        <f t="shared" si="2"/>
        <v/>
      </c>
      <c r="J782" s="73"/>
      <c r="K782" s="28"/>
      <c r="L782" s="78"/>
      <c r="M782" s="31"/>
    </row>
    <row r="783" spans="1:13" ht="14.25" customHeight="1">
      <c r="A783" s="32">
        <v>44748</v>
      </c>
      <c r="B783" s="22">
        <v>119.03</v>
      </c>
      <c r="C783" s="23" t="s">
        <v>4</v>
      </c>
      <c r="D783" s="24">
        <v>29459.59</v>
      </c>
      <c r="E783" s="25">
        <v>903317</v>
      </c>
      <c r="F783" s="24">
        <f t="shared" si="0"/>
        <v>150.78</v>
      </c>
      <c r="G783" s="26">
        <f t="shared" si="1"/>
        <v>932776.59</v>
      </c>
      <c r="H783" s="27" t="str">
        <f t="shared" si="2"/>
        <v/>
      </c>
      <c r="J783" s="73"/>
      <c r="K783" s="28"/>
      <c r="L783" s="78"/>
      <c r="M783" s="31"/>
    </row>
    <row r="784" spans="1:13" ht="14.25" customHeight="1">
      <c r="A784" s="32">
        <v>44749</v>
      </c>
      <c r="B784" s="22">
        <v>-560.79999999999995</v>
      </c>
      <c r="C784" s="23" t="s">
        <v>4</v>
      </c>
      <c r="D784" s="24"/>
      <c r="E784" s="25"/>
      <c r="F784" s="24" t="str">
        <f t="shared" si="0"/>
        <v/>
      </c>
      <c r="G784" s="26" t="str">
        <f t="shared" si="1"/>
        <v/>
      </c>
      <c r="H784" s="27" t="str">
        <f t="shared" si="2"/>
        <v/>
      </c>
      <c r="J784" s="73"/>
      <c r="K784" s="28"/>
      <c r="L784" s="78"/>
      <c r="M784" s="31"/>
    </row>
    <row r="785" spans="1:13" ht="14.25" customHeight="1">
      <c r="A785" s="32">
        <v>44749</v>
      </c>
      <c r="B785" s="22">
        <v>147</v>
      </c>
      <c r="C785" s="23" t="s">
        <v>326</v>
      </c>
      <c r="D785" s="24"/>
      <c r="E785" s="25"/>
      <c r="F785" s="24" t="str">
        <f t="shared" si="0"/>
        <v/>
      </c>
      <c r="G785" s="26" t="str">
        <f t="shared" si="1"/>
        <v/>
      </c>
      <c r="H785" s="27" t="str">
        <f t="shared" si="2"/>
        <v>Positional</v>
      </c>
      <c r="J785" s="73"/>
      <c r="K785" s="28"/>
      <c r="L785" s="78"/>
      <c r="M785" s="31"/>
    </row>
    <row r="786" spans="1:13" ht="14.25" customHeight="1">
      <c r="A786" s="32">
        <v>44749</v>
      </c>
      <c r="B786" s="22">
        <v>-0.45</v>
      </c>
      <c r="C786" s="23" t="s">
        <v>16</v>
      </c>
      <c r="D786" s="24">
        <v>29668.400000000001</v>
      </c>
      <c r="E786" s="25">
        <v>902678</v>
      </c>
      <c r="F786" s="24">
        <f t="shared" si="0"/>
        <v>150.71</v>
      </c>
      <c r="G786" s="26">
        <f t="shared" si="1"/>
        <v>932346.4</v>
      </c>
      <c r="H786" s="27" t="str">
        <f t="shared" si="2"/>
        <v/>
      </c>
      <c r="J786" s="73"/>
      <c r="K786" s="28"/>
      <c r="L786" s="78"/>
      <c r="M786" s="31"/>
    </row>
    <row r="787" spans="1:13" ht="14.25" customHeight="1">
      <c r="A787" s="32">
        <v>44750</v>
      </c>
      <c r="B787" s="22">
        <v>367</v>
      </c>
      <c r="C787" s="23" t="s">
        <v>326</v>
      </c>
      <c r="D787" s="24"/>
      <c r="E787" s="25"/>
      <c r="F787" s="24" t="str">
        <f t="shared" si="0"/>
        <v/>
      </c>
      <c r="G787" s="26" t="str">
        <f t="shared" si="1"/>
        <v/>
      </c>
      <c r="H787" s="27" t="str">
        <f t="shared" si="2"/>
        <v>Positional</v>
      </c>
      <c r="J787" s="73"/>
      <c r="K787" s="28"/>
      <c r="L787" s="78"/>
      <c r="M787" s="31"/>
    </row>
    <row r="788" spans="1:13" ht="14.25" customHeight="1">
      <c r="A788" s="32">
        <v>44750</v>
      </c>
      <c r="B788" s="22">
        <v>-0.21</v>
      </c>
      <c r="C788" s="23" t="s">
        <v>16</v>
      </c>
      <c r="D788" s="24">
        <v>30617.26</v>
      </c>
      <c r="E788" s="25">
        <v>902080</v>
      </c>
      <c r="F788" s="24">
        <f t="shared" si="0"/>
        <v>452.29</v>
      </c>
      <c r="G788" s="26">
        <f t="shared" si="1"/>
        <v>2798091.7800000003</v>
      </c>
      <c r="H788" s="27" t="str">
        <f t="shared" si="2"/>
        <v/>
      </c>
      <c r="J788" s="73"/>
      <c r="K788" s="28"/>
      <c r="L788" s="78"/>
      <c r="M788" s="31"/>
    </row>
    <row r="789" spans="1:13" ht="14.25" customHeight="1">
      <c r="A789" s="32">
        <v>44753</v>
      </c>
      <c r="B789" s="22">
        <v>2310</v>
      </c>
      <c r="C789" s="23" t="s">
        <v>327</v>
      </c>
      <c r="D789" s="24"/>
      <c r="E789" s="25"/>
      <c r="F789" s="24" t="str">
        <f t="shared" si="0"/>
        <v/>
      </c>
      <c r="G789" s="26" t="str">
        <f t="shared" si="1"/>
        <v/>
      </c>
      <c r="H789" s="27" t="str">
        <f t="shared" si="2"/>
        <v>Positional</v>
      </c>
      <c r="J789" s="73"/>
      <c r="K789" s="28"/>
      <c r="L789" s="78"/>
      <c r="M789" s="31"/>
    </row>
    <row r="790" spans="1:13" ht="14.25" customHeight="1">
      <c r="A790" s="32">
        <v>44753</v>
      </c>
      <c r="B790" s="22">
        <v>167.87</v>
      </c>
      <c r="C790" s="23" t="s">
        <v>20</v>
      </c>
      <c r="D790" s="24">
        <v>30868.1</v>
      </c>
      <c r="E790" s="25">
        <v>876855</v>
      </c>
      <c r="F790" s="24">
        <f t="shared" si="0"/>
        <v>146.72999999999999</v>
      </c>
      <c r="G790" s="26">
        <f t="shared" si="1"/>
        <v>907723.1</v>
      </c>
      <c r="H790" s="27" t="str">
        <f t="shared" si="2"/>
        <v/>
      </c>
      <c r="J790" s="73"/>
      <c r="K790" s="28"/>
      <c r="L790" s="78"/>
      <c r="M790" s="31"/>
    </row>
    <row r="791" spans="1:13" ht="14.25" customHeight="1">
      <c r="A791" s="32">
        <v>44754</v>
      </c>
      <c r="B791" s="22">
        <v>346.07</v>
      </c>
      <c r="C791" s="23" t="s">
        <v>4</v>
      </c>
      <c r="D791" s="24">
        <v>58650.26</v>
      </c>
      <c r="E791" s="25">
        <v>876855</v>
      </c>
      <c r="F791" s="24">
        <f t="shared" si="0"/>
        <v>151.22</v>
      </c>
      <c r="G791" s="26">
        <f t="shared" si="1"/>
        <v>935505.26</v>
      </c>
      <c r="H791" s="27" t="str">
        <f t="shared" si="2"/>
        <v/>
      </c>
      <c r="J791" s="73"/>
      <c r="K791" s="28"/>
      <c r="L791" s="78"/>
      <c r="M791" s="31"/>
    </row>
    <row r="792" spans="1:13" ht="14.25" customHeight="1">
      <c r="A792" s="32">
        <v>44755</v>
      </c>
      <c r="B792" s="22">
        <v>467.54000000000815</v>
      </c>
      <c r="C792" s="23" t="s">
        <v>4</v>
      </c>
      <c r="D792" s="24">
        <v>11280.8</v>
      </c>
      <c r="E792" s="25">
        <v>876855</v>
      </c>
      <c r="F792" s="24">
        <f t="shared" si="0"/>
        <v>143.56</v>
      </c>
      <c r="G792" s="26">
        <f t="shared" si="1"/>
        <v>888135.8</v>
      </c>
      <c r="H792" s="27" t="str">
        <f t="shared" si="2"/>
        <v/>
      </c>
      <c r="J792" s="73"/>
      <c r="K792" s="28"/>
      <c r="L792" s="78"/>
      <c r="M792" s="31"/>
    </row>
    <row r="793" spans="1:13" ht="14.25" customHeight="1">
      <c r="A793" s="32">
        <v>44756</v>
      </c>
      <c r="B793" s="22">
        <v>-3205.11</v>
      </c>
      <c r="C793" s="23" t="s">
        <v>4</v>
      </c>
      <c r="D793" s="24"/>
      <c r="E793" s="25"/>
      <c r="F793" s="24" t="str">
        <f t="shared" si="0"/>
        <v/>
      </c>
      <c r="G793" s="26" t="str">
        <f t="shared" si="1"/>
        <v/>
      </c>
      <c r="H793" s="27" t="str">
        <f t="shared" si="2"/>
        <v/>
      </c>
      <c r="J793" s="73"/>
      <c r="K793" s="28"/>
      <c r="L793" s="78"/>
      <c r="M793" s="31"/>
    </row>
    <row r="794" spans="1:13" ht="14.25" customHeight="1">
      <c r="A794" s="32">
        <v>44756</v>
      </c>
      <c r="B794" s="22">
        <v>0.66</v>
      </c>
      <c r="C794" s="23" t="s">
        <v>16</v>
      </c>
      <c r="D794" s="24">
        <v>47002.36</v>
      </c>
      <c r="E794" s="25">
        <v>885766</v>
      </c>
      <c r="F794" s="24">
        <f t="shared" si="0"/>
        <v>150.78</v>
      </c>
      <c r="G794" s="26">
        <f t="shared" si="1"/>
        <v>932768.36</v>
      </c>
      <c r="H794" s="27" t="str">
        <f t="shared" si="2"/>
        <v/>
      </c>
      <c r="J794" s="73"/>
      <c r="K794" s="28"/>
      <c r="L794" s="78"/>
      <c r="M794" s="31"/>
    </row>
    <row r="795" spans="1:13" ht="14.25" customHeight="1">
      <c r="A795" s="32">
        <v>44757</v>
      </c>
      <c r="B795" s="22">
        <v>1571.35</v>
      </c>
      <c r="C795" s="23" t="s">
        <v>4</v>
      </c>
      <c r="D795" s="24">
        <v>29263.71</v>
      </c>
      <c r="E795" s="25">
        <v>885766</v>
      </c>
      <c r="F795" s="24">
        <f t="shared" si="0"/>
        <v>443.73</v>
      </c>
      <c r="G795" s="26">
        <f t="shared" si="1"/>
        <v>2745089.13</v>
      </c>
      <c r="H795" s="27" t="str">
        <f t="shared" si="2"/>
        <v/>
      </c>
      <c r="J795" s="73"/>
      <c r="K795" s="28"/>
      <c r="L795" s="78"/>
      <c r="M795" s="31"/>
    </row>
    <row r="796" spans="1:13" ht="14.25" customHeight="1">
      <c r="A796" s="32">
        <v>44760</v>
      </c>
      <c r="B796" s="22">
        <v>1118.71</v>
      </c>
      <c r="C796" s="23" t="s">
        <v>4</v>
      </c>
      <c r="D796" s="24">
        <v>28557.42</v>
      </c>
      <c r="E796" s="25">
        <v>885766</v>
      </c>
      <c r="F796" s="24">
        <f t="shared" si="0"/>
        <v>147.79</v>
      </c>
      <c r="G796" s="26">
        <f t="shared" si="1"/>
        <v>914323.42</v>
      </c>
      <c r="H796" s="27" t="str">
        <f t="shared" si="2"/>
        <v/>
      </c>
      <c r="J796" s="73"/>
      <c r="K796" s="28"/>
      <c r="L796" s="78"/>
      <c r="M796" s="31"/>
    </row>
    <row r="797" spans="1:13" ht="14.25" customHeight="1">
      <c r="A797" s="32">
        <v>44761</v>
      </c>
      <c r="B797" s="22">
        <v>1795.38</v>
      </c>
      <c r="C797" s="23" t="s">
        <v>4</v>
      </c>
      <c r="D797" s="24"/>
      <c r="E797" s="25"/>
      <c r="F797" s="24" t="str">
        <f t="shared" si="0"/>
        <v/>
      </c>
      <c r="G797" s="26" t="str">
        <f t="shared" si="1"/>
        <v/>
      </c>
      <c r="H797" s="27" t="str">
        <f t="shared" si="2"/>
        <v/>
      </c>
      <c r="J797" s="73"/>
      <c r="K797" s="28"/>
      <c r="L797" s="78"/>
      <c r="M797" s="31"/>
    </row>
    <row r="798" spans="1:13" ht="14.25" customHeight="1">
      <c r="A798" s="32">
        <v>44761</v>
      </c>
      <c r="B798" s="22">
        <v>84.29</v>
      </c>
      <c r="C798" s="23" t="s">
        <v>20</v>
      </c>
      <c r="D798" s="24">
        <v>27082.1</v>
      </c>
      <c r="E798" s="25">
        <v>885766</v>
      </c>
      <c r="F798" s="24">
        <f t="shared" si="0"/>
        <v>147.56</v>
      </c>
      <c r="G798" s="26">
        <f t="shared" si="1"/>
        <v>912848.1</v>
      </c>
      <c r="H798" s="27" t="str">
        <f t="shared" si="2"/>
        <v/>
      </c>
      <c r="J798" s="73"/>
      <c r="K798" s="28"/>
      <c r="L798" s="78"/>
      <c r="M798" s="31"/>
    </row>
    <row r="799" spans="1:13" ht="14.25" customHeight="1">
      <c r="A799" s="32">
        <v>44762</v>
      </c>
      <c r="B799" s="22">
        <v>-6874.01</v>
      </c>
      <c r="C799" s="23" t="s">
        <v>4</v>
      </c>
      <c r="D799" s="24"/>
      <c r="E799" s="25"/>
      <c r="F799" s="24" t="str">
        <f t="shared" si="0"/>
        <v/>
      </c>
      <c r="G799" s="26" t="str">
        <f t="shared" si="1"/>
        <v/>
      </c>
      <c r="H799" s="27" t="str">
        <f t="shared" si="2"/>
        <v/>
      </c>
      <c r="J799" s="73"/>
      <c r="K799" s="28"/>
      <c r="L799" s="78"/>
      <c r="M799" s="31"/>
    </row>
    <row r="800" spans="1:13" ht="14.25" customHeight="1">
      <c r="A800" s="32">
        <v>44762</v>
      </c>
      <c r="B800" s="22">
        <v>87.57</v>
      </c>
      <c r="C800" s="23" t="s">
        <v>20</v>
      </c>
      <c r="D800" s="24">
        <v>7053.65</v>
      </c>
      <c r="E800" s="25">
        <v>885766</v>
      </c>
      <c r="F800" s="24">
        <f t="shared" si="0"/>
        <v>144.32</v>
      </c>
      <c r="G800" s="26">
        <f t="shared" si="1"/>
        <v>892819.65</v>
      </c>
      <c r="H800" s="27" t="str">
        <f t="shared" si="2"/>
        <v/>
      </c>
      <c r="J800" s="73"/>
      <c r="K800" s="28"/>
      <c r="L800" s="78"/>
      <c r="M800" s="31"/>
    </row>
    <row r="801" spans="1:13" ht="14.25" customHeight="1">
      <c r="A801" s="32">
        <v>44763</v>
      </c>
      <c r="B801" s="22">
        <v>683</v>
      </c>
      <c r="C801" s="23" t="s">
        <v>328</v>
      </c>
      <c r="D801" s="24"/>
      <c r="E801" s="25"/>
      <c r="F801" s="24" t="str">
        <f t="shared" si="0"/>
        <v/>
      </c>
      <c r="G801" s="26" t="str">
        <f t="shared" si="1"/>
        <v/>
      </c>
      <c r="H801" s="27" t="str">
        <f t="shared" si="2"/>
        <v>Positional</v>
      </c>
      <c r="J801" s="73"/>
      <c r="K801" s="28"/>
      <c r="L801" s="78"/>
      <c r="M801" s="31"/>
    </row>
    <row r="802" spans="1:13" ht="14.25" customHeight="1">
      <c r="A802" s="32">
        <v>44763</v>
      </c>
      <c r="B802" s="22">
        <v>372.57</v>
      </c>
      <c r="C802" s="23" t="s">
        <v>4</v>
      </c>
      <c r="D802" s="24"/>
      <c r="E802" s="25"/>
      <c r="F802" s="24" t="str">
        <f t="shared" si="0"/>
        <v/>
      </c>
      <c r="G802" s="26" t="str">
        <f t="shared" si="1"/>
        <v/>
      </c>
      <c r="H802" s="27" t="str">
        <f t="shared" si="2"/>
        <v/>
      </c>
      <c r="J802" s="73"/>
      <c r="K802" s="28"/>
      <c r="L802" s="78"/>
      <c r="M802" s="31"/>
    </row>
    <row r="803" spans="1:13" ht="14.25" customHeight="1">
      <c r="A803" s="32">
        <v>44763</v>
      </c>
      <c r="B803" s="22">
        <v>-0.3</v>
      </c>
      <c r="C803" s="23" t="s">
        <v>16</v>
      </c>
      <c r="D803" s="24">
        <v>40940.99</v>
      </c>
      <c r="E803" s="25">
        <v>877758</v>
      </c>
      <c r="F803" s="24">
        <f t="shared" si="0"/>
        <v>148.5</v>
      </c>
      <c r="G803" s="26">
        <f t="shared" si="1"/>
        <v>918698.99</v>
      </c>
      <c r="H803" s="27" t="str">
        <f t="shared" si="2"/>
        <v/>
      </c>
      <c r="J803" s="73"/>
      <c r="K803" s="28"/>
      <c r="L803" s="78"/>
      <c r="M803" s="31"/>
    </row>
    <row r="804" spans="1:13" ht="14.25" customHeight="1">
      <c r="A804" s="32">
        <v>44764</v>
      </c>
      <c r="B804" s="22">
        <v>704</v>
      </c>
      <c r="C804" s="23" t="s">
        <v>329</v>
      </c>
      <c r="D804" s="24"/>
      <c r="E804" s="25"/>
      <c r="F804" s="24" t="str">
        <f t="shared" si="0"/>
        <v/>
      </c>
      <c r="G804" s="26" t="str">
        <f t="shared" si="1"/>
        <v/>
      </c>
      <c r="H804" s="27" t="str">
        <f t="shared" si="2"/>
        <v>Positional</v>
      </c>
      <c r="J804" s="73"/>
      <c r="K804" s="28"/>
      <c r="L804" s="78"/>
      <c r="M804" s="31"/>
    </row>
    <row r="805" spans="1:13" ht="14.25" customHeight="1">
      <c r="A805" s="32">
        <v>44764</v>
      </c>
      <c r="B805" s="22">
        <v>-828.2</v>
      </c>
      <c r="C805" s="23" t="s">
        <v>4</v>
      </c>
      <c r="D805" s="24"/>
      <c r="E805" s="25"/>
      <c r="F805" s="24" t="str">
        <f t="shared" si="0"/>
        <v/>
      </c>
      <c r="G805" s="26" t="str">
        <f t="shared" si="1"/>
        <v/>
      </c>
      <c r="H805" s="27" t="str">
        <f t="shared" si="2"/>
        <v/>
      </c>
      <c r="J805" s="73"/>
      <c r="K805" s="28"/>
      <c r="L805" s="78"/>
      <c r="M805" s="31"/>
    </row>
    <row r="806" spans="1:13" ht="14.25" customHeight="1">
      <c r="A806" s="32">
        <v>44764</v>
      </c>
      <c r="B806" s="22">
        <v>228.04</v>
      </c>
      <c r="C806" s="23" t="s">
        <v>20</v>
      </c>
      <c r="D806" s="24">
        <v>52262.9</v>
      </c>
      <c r="E806" s="25">
        <v>870550</v>
      </c>
      <c r="F806" s="24">
        <f t="shared" si="0"/>
        <v>447.5</v>
      </c>
      <c r="G806" s="26">
        <f t="shared" si="1"/>
        <v>2768438.7</v>
      </c>
      <c r="H806" s="27" t="str">
        <f t="shared" si="2"/>
        <v/>
      </c>
      <c r="J806" s="73"/>
      <c r="K806" s="28"/>
      <c r="L806" s="78"/>
      <c r="M806" s="31"/>
    </row>
    <row r="807" spans="1:13" ht="14.25" customHeight="1">
      <c r="A807" s="32">
        <v>44767</v>
      </c>
      <c r="B807" s="22">
        <v>-3886.18</v>
      </c>
      <c r="C807" s="23" t="s">
        <v>4</v>
      </c>
      <c r="D807" s="24"/>
      <c r="E807" s="25"/>
      <c r="F807" s="24" t="str">
        <f t="shared" si="0"/>
        <v/>
      </c>
      <c r="G807" s="26" t="str">
        <f t="shared" si="1"/>
        <v/>
      </c>
      <c r="H807" s="27" t="str">
        <f t="shared" si="2"/>
        <v/>
      </c>
      <c r="J807" s="73"/>
      <c r="K807" s="28"/>
      <c r="L807" s="78"/>
      <c r="M807" s="31"/>
    </row>
    <row r="808" spans="1:13" ht="14.25" customHeight="1">
      <c r="A808" s="32">
        <v>44767</v>
      </c>
      <c r="B808" s="22">
        <v>-0.23</v>
      </c>
      <c r="C808" s="23" t="s">
        <v>16</v>
      </c>
      <c r="D808" s="24">
        <v>44190.49</v>
      </c>
      <c r="E808" s="25">
        <v>877058</v>
      </c>
      <c r="F808" s="24">
        <f t="shared" si="0"/>
        <v>148.91</v>
      </c>
      <c r="G808" s="26">
        <f t="shared" si="1"/>
        <v>921248.49</v>
      </c>
      <c r="H808" s="27" t="str">
        <f t="shared" si="2"/>
        <v/>
      </c>
      <c r="J808" s="73"/>
      <c r="K808" s="28"/>
      <c r="L808" s="78"/>
      <c r="M808" s="31"/>
    </row>
    <row r="809" spans="1:13" ht="14.25" customHeight="1">
      <c r="A809" s="32">
        <v>44768</v>
      </c>
      <c r="B809" s="22">
        <v>-0.12</v>
      </c>
      <c r="C809" s="23" t="s">
        <v>16</v>
      </c>
      <c r="D809" s="24">
        <v>22870.39</v>
      </c>
      <c r="E809" s="25">
        <v>891767</v>
      </c>
      <c r="F809" s="24">
        <f t="shared" si="0"/>
        <v>147.85</v>
      </c>
      <c r="G809" s="26">
        <f t="shared" si="1"/>
        <v>914637.39</v>
      </c>
      <c r="H809" s="27" t="str">
        <f t="shared" si="2"/>
        <v/>
      </c>
      <c r="J809" s="73"/>
      <c r="K809" s="28"/>
      <c r="L809" s="78"/>
      <c r="M809" s="31"/>
    </row>
    <row r="810" spans="1:13" ht="14.25" customHeight="1">
      <c r="A810" s="32">
        <v>44769</v>
      </c>
      <c r="B810" s="22">
        <v>373</v>
      </c>
      <c r="C810" s="23" t="s">
        <v>282</v>
      </c>
      <c r="D810" s="24"/>
      <c r="E810" s="25"/>
      <c r="F810" s="24" t="str">
        <f t="shared" si="0"/>
        <v/>
      </c>
      <c r="G810" s="26" t="str">
        <f t="shared" si="1"/>
        <v/>
      </c>
      <c r="H810" s="27" t="str">
        <f t="shared" si="2"/>
        <v>Positional</v>
      </c>
      <c r="J810" s="73"/>
      <c r="K810" s="28"/>
      <c r="L810" s="78"/>
      <c r="M810" s="31"/>
    </row>
    <row r="811" spans="1:13" ht="14.25" customHeight="1">
      <c r="A811" s="32">
        <v>44769</v>
      </c>
      <c r="B811" s="22">
        <v>446</v>
      </c>
      <c r="C811" s="23" t="s">
        <v>273</v>
      </c>
      <c r="D811" s="24"/>
      <c r="E811" s="25"/>
      <c r="F811" s="24" t="str">
        <f t="shared" si="0"/>
        <v/>
      </c>
      <c r="G811" s="26" t="str">
        <f t="shared" si="1"/>
        <v/>
      </c>
      <c r="H811" s="27" t="str">
        <f t="shared" si="2"/>
        <v>Positional</v>
      </c>
      <c r="J811" s="73"/>
      <c r="K811" s="28"/>
      <c r="L811" s="78"/>
      <c r="M811" s="31"/>
    </row>
    <row r="812" spans="1:13" ht="14.25" customHeight="1">
      <c r="A812" s="32">
        <v>44769</v>
      </c>
      <c r="B812" s="22">
        <v>-6223.45</v>
      </c>
      <c r="C812" s="23" t="s">
        <v>4</v>
      </c>
      <c r="D812" s="24"/>
      <c r="E812" s="25"/>
      <c r="F812" s="24" t="str">
        <f t="shared" si="0"/>
        <v/>
      </c>
      <c r="G812" s="26" t="str">
        <f t="shared" si="1"/>
        <v/>
      </c>
      <c r="H812" s="27" t="str">
        <f t="shared" si="2"/>
        <v/>
      </c>
      <c r="J812" s="73"/>
      <c r="K812" s="28"/>
      <c r="L812" s="78"/>
      <c r="M812" s="31"/>
    </row>
    <row r="813" spans="1:13" ht="14.25" customHeight="1">
      <c r="A813" s="32">
        <v>44769</v>
      </c>
      <c r="B813" s="22">
        <v>1.46</v>
      </c>
      <c r="C813" s="23" t="s">
        <v>16</v>
      </c>
      <c r="D813" s="24">
        <v>31297.51</v>
      </c>
      <c r="E813" s="25">
        <v>894696</v>
      </c>
      <c r="F813" s="24">
        <f t="shared" si="0"/>
        <v>149.68</v>
      </c>
      <c r="G813" s="26">
        <f t="shared" si="1"/>
        <v>925993.51</v>
      </c>
      <c r="H813" s="27" t="str">
        <f t="shared" si="2"/>
        <v/>
      </c>
      <c r="J813" s="73"/>
      <c r="K813" s="28"/>
      <c r="L813" s="78"/>
      <c r="M813" s="31"/>
    </row>
    <row r="814" spans="1:13" ht="14.25" customHeight="1">
      <c r="A814" s="32">
        <v>44770</v>
      </c>
      <c r="B814" s="22">
        <v>2044.83</v>
      </c>
      <c r="C814" s="23" t="s">
        <v>4</v>
      </c>
      <c r="D814" s="24"/>
      <c r="E814" s="25"/>
      <c r="F814" s="24" t="str">
        <f t="shared" si="0"/>
        <v/>
      </c>
      <c r="G814" s="26" t="str">
        <f t="shared" si="1"/>
        <v/>
      </c>
      <c r="H814" s="27" t="str">
        <f t="shared" si="2"/>
        <v/>
      </c>
      <c r="J814" s="73"/>
      <c r="K814" s="28"/>
      <c r="L814" s="78"/>
      <c r="M814" s="31"/>
    </row>
    <row r="815" spans="1:13" ht="14.25" customHeight="1">
      <c r="A815" s="32">
        <v>44770</v>
      </c>
      <c r="B815" s="22">
        <v>125</v>
      </c>
      <c r="C815" s="23" t="s">
        <v>20</v>
      </c>
      <c r="D815" s="24"/>
      <c r="E815" s="25"/>
      <c r="F815" s="24" t="str">
        <f t="shared" si="0"/>
        <v/>
      </c>
      <c r="G815" s="26" t="str">
        <f t="shared" si="1"/>
        <v/>
      </c>
      <c r="H815" s="27" t="str">
        <f t="shared" si="2"/>
        <v/>
      </c>
      <c r="J815" s="73"/>
      <c r="K815" s="28"/>
      <c r="L815" s="78"/>
      <c r="M815" s="31"/>
    </row>
    <row r="816" spans="1:13" ht="14.25" customHeight="1">
      <c r="A816" s="32">
        <v>44770</v>
      </c>
      <c r="B816" s="22">
        <v>-1.07</v>
      </c>
      <c r="C816" s="23" t="s">
        <v>16</v>
      </c>
      <c r="D816" s="24">
        <v>29263.27</v>
      </c>
      <c r="E816" s="25">
        <v>898899</v>
      </c>
      <c r="F816" s="24">
        <f t="shared" si="0"/>
        <v>150.03</v>
      </c>
      <c r="G816" s="26">
        <f t="shared" si="1"/>
        <v>928162.27</v>
      </c>
      <c r="H816" s="27" t="str">
        <f t="shared" si="2"/>
        <v/>
      </c>
      <c r="J816" s="73"/>
      <c r="K816" s="28"/>
      <c r="L816" s="78"/>
      <c r="M816" s="31"/>
    </row>
    <row r="817" spans="1:13" ht="14.25" customHeight="1">
      <c r="A817" s="32">
        <v>44771</v>
      </c>
      <c r="B817" s="22">
        <v>0</v>
      </c>
      <c r="C817" s="23" t="s">
        <v>16</v>
      </c>
      <c r="D817" s="24">
        <v>1308.68</v>
      </c>
      <c r="E817" s="25">
        <v>898899</v>
      </c>
      <c r="F817" s="24">
        <f t="shared" si="0"/>
        <v>436.54</v>
      </c>
      <c r="G817" s="26">
        <f t="shared" si="1"/>
        <v>2700623.04</v>
      </c>
      <c r="H817" s="27" t="str">
        <f t="shared" si="2"/>
        <v/>
      </c>
      <c r="J817" s="73"/>
      <c r="K817" s="28"/>
      <c r="L817" s="78"/>
      <c r="M817" s="31"/>
    </row>
    <row r="818" spans="1:13" ht="14.25" customHeight="1">
      <c r="A818" s="32">
        <v>44774</v>
      </c>
      <c r="B818" s="22">
        <v>1275.96</v>
      </c>
      <c r="C818" s="23" t="s">
        <v>4</v>
      </c>
      <c r="D818" s="24">
        <v>30539.23</v>
      </c>
      <c r="E818" s="25">
        <v>898899</v>
      </c>
      <c r="F818" s="24">
        <f t="shared" si="0"/>
        <v>150.24</v>
      </c>
      <c r="G818" s="26">
        <f t="shared" si="1"/>
        <v>929438.23</v>
      </c>
      <c r="H818" s="27" t="str">
        <f t="shared" si="2"/>
        <v/>
      </c>
      <c r="J818" s="73"/>
      <c r="K818" s="28"/>
      <c r="L818" s="78"/>
      <c r="M818" s="31"/>
    </row>
    <row r="819" spans="1:13" ht="14.25" customHeight="1">
      <c r="A819" s="32">
        <v>44775</v>
      </c>
      <c r="B819" s="22">
        <v>539</v>
      </c>
      <c r="C819" s="23" t="s">
        <v>330</v>
      </c>
      <c r="D819" s="24"/>
      <c r="E819" s="25"/>
      <c r="F819" s="24" t="str">
        <f t="shared" si="0"/>
        <v/>
      </c>
      <c r="G819" s="26" t="str">
        <f t="shared" si="1"/>
        <v/>
      </c>
      <c r="H819" s="27" t="str">
        <f t="shared" si="2"/>
        <v>Positional</v>
      </c>
      <c r="J819" s="73"/>
      <c r="K819" s="28"/>
      <c r="L819" s="78"/>
      <c r="M819" s="31"/>
    </row>
    <row r="820" spans="1:13" ht="14.25" customHeight="1">
      <c r="A820" s="32">
        <v>44775</v>
      </c>
      <c r="B820" s="22">
        <v>499</v>
      </c>
      <c r="C820" s="23" t="s">
        <v>331</v>
      </c>
      <c r="D820" s="24"/>
      <c r="E820" s="25"/>
      <c r="F820" s="24" t="str">
        <f t="shared" si="0"/>
        <v/>
      </c>
      <c r="G820" s="26" t="str">
        <f t="shared" si="1"/>
        <v/>
      </c>
      <c r="H820" s="27" t="str">
        <f t="shared" si="2"/>
        <v>Positional</v>
      </c>
      <c r="J820" s="73"/>
      <c r="K820" s="28"/>
      <c r="L820" s="78"/>
      <c r="M820" s="31"/>
    </row>
    <row r="821" spans="1:13" ht="14.25" customHeight="1">
      <c r="A821" s="32">
        <v>44775</v>
      </c>
      <c r="B821" s="22">
        <v>382</v>
      </c>
      <c r="C821" s="23" t="s">
        <v>282</v>
      </c>
      <c r="D821" s="24"/>
      <c r="E821" s="25"/>
      <c r="F821" s="24" t="str">
        <f t="shared" si="0"/>
        <v/>
      </c>
      <c r="G821" s="26" t="str">
        <f t="shared" si="1"/>
        <v/>
      </c>
      <c r="H821" s="27" t="str">
        <f t="shared" si="2"/>
        <v>Positional</v>
      </c>
      <c r="J821" s="73"/>
      <c r="K821" s="28"/>
      <c r="L821" s="78"/>
      <c r="M821" s="31"/>
    </row>
    <row r="822" spans="1:13" ht="14.25" customHeight="1">
      <c r="A822" s="32">
        <v>44775</v>
      </c>
      <c r="B822" s="22">
        <v>921</v>
      </c>
      <c r="C822" s="23" t="s">
        <v>273</v>
      </c>
      <c r="D822" s="24"/>
      <c r="E822" s="25"/>
      <c r="F822" s="24" t="str">
        <f t="shared" si="0"/>
        <v/>
      </c>
      <c r="G822" s="26" t="str">
        <f t="shared" si="1"/>
        <v/>
      </c>
      <c r="H822" s="27" t="str">
        <f t="shared" si="2"/>
        <v>Positional</v>
      </c>
      <c r="J822" s="73"/>
      <c r="K822" s="28"/>
      <c r="L822" s="78"/>
      <c r="M822" s="31"/>
    </row>
    <row r="823" spans="1:13" ht="14.25" customHeight="1">
      <c r="A823" s="32">
        <v>44775</v>
      </c>
      <c r="B823" s="22">
        <v>-0.69</v>
      </c>
      <c r="C823" s="23" t="s">
        <v>16</v>
      </c>
      <c r="D823" s="24">
        <v>45405.82</v>
      </c>
      <c r="E823" s="25">
        <v>876309</v>
      </c>
      <c r="F823" s="24">
        <f t="shared" si="0"/>
        <v>148.99</v>
      </c>
      <c r="G823" s="26">
        <f t="shared" si="1"/>
        <v>921714.82</v>
      </c>
      <c r="H823" s="27" t="str">
        <f t="shared" si="2"/>
        <v/>
      </c>
      <c r="J823" s="73"/>
      <c r="K823" s="28"/>
      <c r="L823" s="78"/>
      <c r="M823" s="31"/>
    </row>
    <row r="824" spans="1:13" ht="14.25" customHeight="1">
      <c r="A824" s="32">
        <v>44776</v>
      </c>
      <c r="B824" s="22">
        <v>301</v>
      </c>
      <c r="C824" s="23" t="s">
        <v>332</v>
      </c>
      <c r="D824" s="24"/>
      <c r="E824" s="25"/>
      <c r="F824" s="24" t="str">
        <f t="shared" si="0"/>
        <v/>
      </c>
      <c r="G824" s="26" t="str">
        <f t="shared" si="1"/>
        <v/>
      </c>
      <c r="H824" s="27" t="str">
        <f t="shared" si="2"/>
        <v>Positional</v>
      </c>
      <c r="J824" s="73"/>
      <c r="K824" s="28"/>
      <c r="L824" s="78"/>
      <c r="M824" s="31"/>
    </row>
    <row r="825" spans="1:13" ht="14.25" customHeight="1">
      <c r="A825" s="32">
        <v>44776</v>
      </c>
      <c r="B825" s="22">
        <v>1366.8</v>
      </c>
      <c r="C825" s="23" t="s">
        <v>4</v>
      </c>
      <c r="D825" s="24"/>
      <c r="E825" s="25"/>
      <c r="F825" s="24" t="str">
        <f t="shared" si="0"/>
        <v/>
      </c>
      <c r="G825" s="26" t="str">
        <f t="shared" si="1"/>
        <v/>
      </c>
      <c r="H825" s="27" t="str">
        <f t="shared" si="2"/>
        <v/>
      </c>
      <c r="J825" s="73"/>
      <c r="K825" s="28"/>
      <c r="L825" s="78"/>
      <c r="M825" s="31"/>
    </row>
    <row r="826" spans="1:13" ht="14.25" customHeight="1">
      <c r="A826" s="32">
        <v>44776</v>
      </c>
      <c r="B826" s="22">
        <v>210.96</v>
      </c>
      <c r="C826" s="23" t="s">
        <v>20</v>
      </c>
      <c r="D826" s="24">
        <v>51213.65</v>
      </c>
      <c r="E826" s="25">
        <v>872364</v>
      </c>
      <c r="F826" s="24">
        <f t="shared" si="0"/>
        <v>149.29</v>
      </c>
      <c r="G826" s="26">
        <f t="shared" si="1"/>
        <v>923577.65</v>
      </c>
      <c r="H826" s="27" t="str">
        <f t="shared" si="2"/>
        <v/>
      </c>
      <c r="J826" s="73"/>
      <c r="K826" s="28"/>
      <c r="L826" s="78"/>
      <c r="M826" s="31"/>
    </row>
    <row r="827" spans="1:13" ht="14.25" customHeight="1">
      <c r="A827" s="32">
        <v>44777</v>
      </c>
      <c r="B827" s="22">
        <v>242.55</v>
      </c>
      <c r="C827" s="23" t="s">
        <v>20</v>
      </c>
      <c r="D827" s="24">
        <v>2652.47</v>
      </c>
      <c r="E827" s="25">
        <v>872364</v>
      </c>
      <c r="F827" s="24">
        <f t="shared" si="0"/>
        <v>141.44</v>
      </c>
      <c r="G827" s="26">
        <f t="shared" si="1"/>
        <v>875016.47</v>
      </c>
      <c r="H827" s="27" t="str">
        <f t="shared" si="2"/>
        <v/>
      </c>
      <c r="J827" s="73"/>
      <c r="K827" s="28"/>
      <c r="L827" s="78"/>
      <c r="M827" s="31"/>
    </row>
    <row r="828" spans="1:13" ht="14.25" customHeight="1">
      <c r="A828" s="32">
        <v>44778</v>
      </c>
      <c r="B828" s="22">
        <v>5677.63</v>
      </c>
      <c r="C828" s="23" t="s">
        <v>4</v>
      </c>
      <c r="D828" s="24">
        <v>19712.240000000002</v>
      </c>
      <c r="E828" s="25">
        <v>872364</v>
      </c>
      <c r="F828" s="24">
        <f t="shared" si="0"/>
        <v>432.6</v>
      </c>
      <c r="G828" s="26">
        <f t="shared" si="1"/>
        <v>2676228.7199999997</v>
      </c>
      <c r="H828" s="27" t="str">
        <f t="shared" si="2"/>
        <v/>
      </c>
      <c r="J828" s="73"/>
      <c r="K828" s="28"/>
      <c r="L828" s="78"/>
      <c r="M828" s="31"/>
    </row>
    <row r="829" spans="1:13" ht="14.25" customHeight="1">
      <c r="A829" s="32">
        <v>44781</v>
      </c>
      <c r="B829" s="22">
        <v>-84.83</v>
      </c>
      <c r="C829" s="23" t="s">
        <v>4</v>
      </c>
      <c r="D829" s="24">
        <v>19627.41</v>
      </c>
      <c r="E829" s="25">
        <v>872364</v>
      </c>
      <c r="F829" s="24">
        <f t="shared" si="0"/>
        <v>288.37</v>
      </c>
      <c r="G829" s="26">
        <f t="shared" si="1"/>
        <v>1783982.82</v>
      </c>
      <c r="H829" s="27" t="str">
        <f t="shared" si="2"/>
        <v/>
      </c>
      <c r="J829" s="73"/>
      <c r="K829" s="28"/>
      <c r="L829" s="78"/>
      <c r="M829" s="31"/>
    </row>
    <row r="830" spans="1:13" ht="14.25" customHeight="1">
      <c r="A830" s="32">
        <v>44783</v>
      </c>
      <c r="B830" s="22">
        <v>-113.93</v>
      </c>
      <c r="C830" s="23" t="s">
        <v>4</v>
      </c>
      <c r="D830" s="24">
        <v>18618.48</v>
      </c>
      <c r="E830" s="25">
        <v>872364</v>
      </c>
      <c r="F830" s="24">
        <f t="shared" si="0"/>
        <v>288.04000000000002</v>
      </c>
      <c r="G830" s="26">
        <f t="shared" si="1"/>
        <v>1781964.96</v>
      </c>
      <c r="H830" s="27" t="str">
        <f t="shared" si="2"/>
        <v/>
      </c>
      <c r="J830" s="73"/>
      <c r="K830" s="28"/>
      <c r="L830" s="78"/>
      <c r="M830" s="31"/>
    </row>
    <row r="831" spans="1:13" ht="14.25" customHeight="1">
      <c r="A831" s="32">
        <v>44785</v>
      </c>
      <c r="B831" s="22">
        <v>-62</v>
      </c>
      <c r="C831" s="23" t="s">
        <v>334</v>
      </c>
      <c r="D831" s="24"/>
      <c r="E831" s="25"/>
      <c r="F831" s="24" t="str">
        <f t="shared" si="0"/>
        <v/>
      </c>
      <c r="G831" s="26" t="str">
        <f t="shared" si="1"/>
        <v/>
      </c>
      <c r="H831" s="27" t="str">
        <f t="shared" si="2"/>
        <v>Positional</v>
      </c>
      <c r="J831" s="73"/>
      <c r="K831" s="28"/>
      <c r="L831" s="78"/>
      <c r="M831" s="31"/>
    </row>
    <row r="832" spans="1:13" ht="14.25" customHeight="1">
      <c r="A832" s="32">
        <v>44785</v>
      </c>
      <c r="B832" s="22">
        <v>620</v>
      </c>
      <c r="C832" s="23" t="s">
        <v>335</v>
      </c>
      <c r="D832" s="24"/>
      <c r="E832" s="25"/>
      <c r="F832" s="24" t="str">
        <f t="shared" si="0"/>
        <v/>
      </c>
      <c r="G832" s="26" t="str">
        <f t="shared" si="1"/>
        <v/>
      </c>
      <c r="H832" s="27" t="str">
        <f t="shared" si="2"/>
        <v>Positional</v>
      </c>
      <c r="J832" s="73"/>
      <c r="K832" s="28"/>
      <c r="L832" s="78"/>
      <c r="M832" s="31"/>
    </row>
    <row r="833" spans="1:13" ht="14.25" customHeight="1">
      <c r="A833" s="32">
        <v>44785</v>
      </c>
      <c r="B833" s="22">
        <v>184</v>
      </c>
      <c r="C833" s="23" t="s">
        <v>336</v>
      </c>
      <c r="D833" s="24"/>
      <c r="E833" s="25"/>
      <c r="F833" s="24" t="str">
        <f t="shared" si="0"/>
        <v/>
      </c>
      <c r="G833" s="26" t="str">
        <f t="shared" si="1"/>
        <v/>
      </c>
      <c r="H833" s="27" t="str">
        <f t="shared" si="2"/>
        <v>Positional</v>
      </c>
      <c r="J833" s="73"/>
      <c r="K833" s="28"/>
      <c r="L833" s="78"/>
      <c r="M833" s="31"/>
    </row>
    <row r="834" spans="1:13" ht="14.25" customHeight="1">
      <c r="A834" s="32">
        <v>44785</v>
      </c>
      <c r="B834" s="22">
        <v>90.53</v>
      </c>
      <c r="C834" s="23" t="s">
        <v>20</v>
      </c>
      <c r="D834" s="24">
        <v>38935.22</v>
      </c>
      <c r="E834" s="25">
        <v>852832</v>
      </c>
      <c r="F834" s="24">
        <f t="shared" si="0"/>
        <v>576.59</v>
      </c>
      <c r="G834" s="26">
        <f t="shared" si="1"/>
        <v>3567068.88</v>
      </c>
      <c r="H834" s="27" t="str">
        <f t="shared" si="2"/>
        <v/>
      </c>
      <c r="J834" s="73"/>
      <c r="K834" s="28"/>
      <c r="L834" s="78"/>
      <c r="M834" s="31"/>
    </row>
    <row r="835" spans="1:13" ht="14.25" customHeight="1">
      <c r="A835" s="32">
        <v>44789</v>
      </c>
      <c r="B835" s="22">
        <v>71.23</v>
      </c>
      <c r="C835" s="23" t="s">
        <v>20</v>
      </c>
      <c r="D835" s="24">
        <v>39006.449999999997</v>
      </c>
      <c r="E835" s="25">
        <v>852832</v>
      </c>
      <c r="F835" s="24">
        <f t="shared" si="0"/>
        <v>144.16</v>
      </c>
      <c r="G835" s="26">
        <f t="shared" si="1"/>
        <v>891838.45</v>
      </c>
      <c r="H835" s="27" t="str">
        <f t="shared" si="2"/>
        <v/>
      </c>
      <c r="J835" s="73"/>
      <c r="K835" s="28"/>
      <c r="L835" s="78"/>
      <c r="M835" s="31"/>
    </row>
    <row r="836" spans="1:13" ht="14.25" customHeight="1">
      <c r="A836" s="32">
        <v>44790</v>
      </c>
      <c r="B836" s="22">
        <v>839</v>
      </c>
      <c r="C836" s="23" t="s">
        <v>260</v>
      </c>
      <c r="D836" s="24"/>
      <c r="E836" s="25"/>
      <c r="F836" s="24" t="str">
        <f t="shared" si="0"/>
        <v/>
      </c>
      <c r="G836" s="26" t="str">
        <f t="shared" si="1"/>
        <v/>
      </c>
      <c r="H836" s="27" t="str">
        <f t="shared" si="2"/>
        <v>Positional</v>
      </c>
      <c r="J836" s="73"/>
      <c r="K836" s="28"/>
      <c r="L836" s="78"/>
      <c r="M836" s="31"/>
    </row>
    <row r="837" spans="1:13" ht="14.25" customHeight="1">
      <c r="A837" s="32">
        <v>44790</v>
      </c>
      <c r="B837" s="22">
        <v>259.57</v>
      </c>
      <c r="C837" s="23" t="s">
        <v>20</v>
      </c>
      <c r="D837" s="24"/>
      <c r="E837" s="25"/>
      <c r="F837" s="24" t="str">
        <f t="shared" si="0"/>
        <v/>
      </c>
      <c r="G837" s="26" t="str">
        <f t="shared" si="1"/>
        <v/>
      </c>
      <c r="H837" s="27" t="str">
        <f t="shared" si="2"/>
        <v/>
      </c>
      <c r="J837" s="73"/>
      <c r="K837" s="28"/>
      <c r="L837" s="78"/>
      <c r="M837" s="31"/>
    </row>
    <row r="838" spans="1:13" ht="14.25" customHeight="1">
      <c r="A838" s="32">
        <v>44790</v>
      </c>
      <c r="B838" s="22">
        <v>-14495.93</v>
      </c>
      <c r="C838" s="23" t="s">
        <v>4</v>
      </c>
      <c r="D838" s="24">
        <v>67523.16</v>
      </c>
      <c r="E838" s="25">
        <v>840195</v>
      </c>
      <c r="F838" s="24">
        <f t="shared" si="0"/>
        <v>146.72999999999999</v>
      </c>
      <c r="G838" s="26">
        <f t="shared" si="1"/>
        <v>907718.16</v>
      </c>
      <c r="H838" s="27" t="str">
        <f t="shared" si="2"/>
        <v/>
      </c>
      <c r="J838" s="73"/>
      <c r="K838" s="28"/>
      <c r="L838" s="78"/>
      <c r="M838" s="31"/>
    </row>
    <row r="839" spans="1:13" ht="14.25" customHeight="1">
      <c r="A839" s="32">
        <v>44791</v>
      </c>
      <c r="B839" s="22">
        <v>1012.93</v>
      </c>
      <c r="C839" s="23" t="s">
        <v>4</v>
      </c>
      <c r="D839" s="24">
        <v>58536.08</v>
      </c>
      <c r="E839" s="25">
        <v>840195</v>
      </c>
      <c r="F839" s="24">
        <f t="shared" si="0"/>
        <v>145.27000000000001</v>
      </c>
      <c r="G839" s="26">
        <f t="shared" si="1"/>
        <v>898731.08</v>
      </c>
      <c r="H839" s="27" t="str">
        <f t="shared" si="2"/>
        <v/>
      </c>
      <c r="J839" s="73"/>
      <c r="K839" s="28"/>
      <c r="L839" s="78"/>
      <c r="M839" s="31"/>
    </row>
    <row r="840" spans="1:13" ht="14.25" customHeight="1">
      <c r="A840" s="32">
        <v>44792</v>
      </c>
      <c r="B840" s="22">
        <v>-2369.7600000000002</v>
      </c>
      <c r="C840" s="23" t="s">
        <v>4</v>
      </c>
      <c r="D840" s="24"/>
      <c r="E840" s="25"/>
      <c r="F840" s="24" t="str">
        <f t="shared" si="0"/>
        <v/>
      </c>
      <c r="G840" s="26" t="str">
        <f t="shared" si="1"/>
        <v/>
      </c>
      <c r="H840" s="27" t="str">
        <f t="shared" si="2"/>
        <v/>
      </c>
      <c r="J840" s="73"/>
      <c r="K840" s="28"/>
      <c r="L840" s="78"/>
      <c r="M840" s="31"/>
    </row>
    <row r="841" spans="1:13" ht="14.25" customHeight="1">
      <c r="A841" s="32">
        <v>44792</v>
      </c>
      <c r="B841" s="22">
        <v>1159</v>
      </c>
      <c r="C841" s="34" t="s">
        <v>337</v>
      </c>
      <c r="D841" s="24"/>
      <c r="E841" s="25"/>
      <c r="F841" s="24" t="str">
        <f t="shared" si="0"/>
        <v/>
      </c>
      <c r="G841" s="26" t="str">
        <f t="shared" si="1"/>
        <v/>
      </c>
      <c r="H841" s="27" t="str">
        <f t="shared" si="2"/>
        <v>Positional</v>
      </c>
      <c r="J841" s="73"/>
      <c r="K841" s="28"/>
      <c r="L841" s="78"/>
      <c r="M841" s="31"/>
    </row>
    <row r="842" spans="1:13" ht="14.25" customHeight="1">
      <c r="A842" s="32">
        <v>44792</v>
      </c>
      <c r="B842" s="22">
        <v>1316</v>
      </c>
      <c r="C842" s="34" t="s">
        <v>381</v>
      </c>
      <c r="D842" s="24"/>
      <c r="E842" s="25"/>
      <c r="F842" s="24" t="str">
        <f t="shared" si="0"/>
        <v/>
      </c>
      <c r="G842" s="26" t="str">
        <f t="shared" si="1"/>
        <v/>
      </c>
      <c r="H842" s="27" t="str">
        <f t="shared" si="2"/>
        <v>Positional</v>
      </c>
      <c r="J842" s="73"/>
      <c r="K842" s="28"/>
      <c r="L842" s="78"/>
      <c r="M842" s="31"/>
    </row>
    <row r="843" spans="1:13" ht="14.25" customHeight="1">
      <c r="A843" s="32">
        <v>44792</v>
      </c>
      <c r="B843" s="22">
        <v>0.1</v>
      </c>
      <c r="C843" s="34" t="s">
        <v>16</v>
      </c>
      <c r="D843" s="24">
        <v>60224.38</v>
      </c>
      <c r="E843" s="25">
        <v>818990</v>
      </c>
      <c r="F843" s="24">
        <f t="shared" si="0"/>
        <v>426.36</v>
      </c>
      <c r="G843" s="26">
        <f t="shared" si="1"/>
        <v>2637643.14</v>
      </c>
      <c r="H843" s="27" t="str">
        <f t="shared" si="2"/>
        <v/>
      </c>
      <c r="J843" s="73"/>
      <c r="K843" s="28"/>
      <c r="L843" s="78"/>
      <c r="M843" s="31"/>
    </row>
    <row r="844" spans="1:13" ht="14.25" customHeight="1">
      <c r="A844" s="32">
        <v>44795</v>
      </c>
      <c r="B844" s="22">
        <v>100.54</v>
      </c>
      <c r="C844" s="23" t="s">
        <v>20</v>
      </c>
      <c r="D844" s="24">
        <v>6155.92</v>
      </c>
      <c r="E844" s="25">
        <v>873159</v>
      </c>
      <c r="F844" s="24">
        <f t="shared" si="0"/>
        <v>142.13999999999999</v>
      </c>
      <c r="G844" s="26">
        <f t="shared" si="1"/>
        <v>879314.92</v>
      </c>
      <c r="H844" s="27" t="str">
        <f t="shared" si="2"/>
        <v/>
      </c>
      <c r="J844" s="73"/>
      <c r="K844" s="28"/>
      <c r="L844" s="78"/>
      <c r="M844" s="31"/>
    </row>
    <row r="845" spans="1:13" ht="14.25" customHeight="1">
      <c r="A845" s="32">
        <v>44796</v>
      </c>
      <c r="B845" s="22">
        <v>431</v>
      </c>
      <c r="C845" s="23" t="s">
        <v>339</v>
      </c>
      <c r="D845" s="24"/>
      <c r="E845" s="25"/>
      <c r="F845" s="24" t="str">
        <f t="shared" si="0"/>
        <v/>
      </c>
      <c r="G845" s="26" t="str">
        <f t="shared" si="1"/>
        <v/>
      </c>
      <c r="H845" s="27" t="str">
        <f t="shared" si="2"/>
        <v>Positional</v>
      </c>
      <c r="J845" s="73"/>
      <c r="K845" s="28"/>
      <c r="L845" s="78"/>
      <c r="M845" s="31"/>
    </row>
    <row r="846" spans="1:13" ht="14.25" customHeight="1">
      <c r="A846" s="32">
        <v>44796</v>
      </c>
      <c r="B846" s="22">
        <v>303</v>
      </c>
      <c r="C846" s="23" t="s">
        <v>340</v>
      </c>
      <c r="D846" s="24"/>
      <c r="E846" s="25"/>
      <c r="F846" s="24" t="str">
        <f t="shared" si="0"/>
        <v/>
      </c>
      <c r="G846" s="26" t="str">
        <f t="shared" si="1"/>
        <v/>
      </c>
      <c r="H846" s="27" t="str">
        <f t="shared" si="2"/>
        <v>Positional</v>
      </c>
      <c r="J846" s="73"/>
      <c r="K846" s="28"/>
      <c r="L846" s="78"/>
      <c r="M846" s="31"/>
    </row>
    <row r="847" spans="1:13" ht="14.25" customHeight="1">
      <c r="A847" s="32">
        <v>44796</v>
      </c>
      <c r="B847" s="22">
        <v>180</v>
      </c>
      <c r="C847" s="23" t="s">
        <v>341</v>
      </c>
      <c r="D847" s="24"/>
      <c r="E847" s="25"/>
      <c r="F847" s="24" t="str">
        <f t="shared" si="0"/>
        <v/>
      </c>
      <c r="G847" s="26" t="str">
        <f t="shared" si="1"/>
        <v/>
      </c>
      <c r="H847" s="27" t="str">
        <f t="shared" si="2"/>
        <v>Positional</v>
      </c>
      <c r="J847" s="73"/>
      <c r="K847" s="28"/>
      <c r="L847" s="78"/>
      <c r="M847" s="31"/>
    </row>
    <row r="848" spans="1:13" ht="14.25" customHeight="1">
      <c r="A848" s="32">
        <v>44796</v>
      </c>
      <c r="B848" s="22">
        <v>-2.0299999999999998</v>
      </c>
      <c r="C848" s="23" t="s">
        <v>20</v>
      </c>
      <c r="D848" s="24"/>
      <c r="E848" s="25"/>
      <c r="F848" s="24" t="str">
        <f t="shared" si="0"/>
        <v/>
      </c>
      <c r="G848" s="26" t="str">
        <f t="shared" si="1"/>
        <v/>
      </c>
      <c r="H848" s="27" t="str">
        <f t="shared" si="2"/>
        <v/>
      </c>
      <c r="J848" s="73"/>
      <c r="K848" s="28"/>
      <c r="L848" s="78"/>
      <c r="M848" s="31"/>
    </row>
    <row r="849" spans="1:13" ht="14.25" customHeight="1">
      <c r="A849" s="32">
        <v>44796</v>
      </c>
      <c r="B849" s="22">
        <v>-3183.89</v>
      </c>
      <c r="C849" s="23" t="s">
        <v>4</v>
      </c>
      <c r="D849" s="24">
        <v>10664.92</v>
      </c>
      <c r="E849" s="25">
        <v>873406</v>
      </c>
      <c r="F849" s="24">
        <f t="shared" si="0"/>
        <v>142.9</v>
      </c>
      <c r="G849" s="26">
        <f t="shared" si="1"/>
        <v>884070.92</v>
      </c>
      <c r="H849" s="27" t="str">
        <f t="shared" si="2"/>
        <v/>
      </c>
      <c r="J849" s="73"/>
      <c r="K849" s="28"/>
      <c r="L849" s="78"/>
      <c r="M849" s="31"/>
    </row>
    <row r="850" spans="1:13" ht="14.25" customHeight="1">
      <c r="A850" s="32">
        <v>44797</v>
      </c>
      <c r="B850" s="22">
        <v>402</v>
      </c>
      <c r="C850" s="23" t="s">
        <v>340</v>
      </c>
      <c r="D850" s="24"/>
      <c r="E850" s="25"/>
      <c r="F850" s="24" t="str">
        <f t="shared" si="0"/>
        <v/>
      </c>
      <c r="G850" s="26" t="str">
        <f t="shared" si="1"/>
        <v/>
      </c>
      <c r="H850" s="27" t="str">
        <f t="shared" si="2"/>
        <v>Positional</v>
      </c>
      <c r="J850" s="73"/>
      <c r="K850" s="28"/>
      <c r="L850" s="78"/>
      <c r="M850" s="31"/>
    </row>
    <row r="851" spans="1:13" ht="14.25" customHeight="1">
      <c r="A851" s="32">
        <v>44797</v>
      </c>
      <c r="B851" s="22">
        <v>49</v>
      </c>
      <c r="C851" s="23" t="s">
        <v>342</v>
      </c>
      <c r="D851" s="24"/>
      <c r="E851" s="25"/>
      <c r="F851" s="24" t="str">
        <f t="shared" si="0"/>
        <v/>
      </c>
      <c r="G851" s="26" t="str">
        <f t="shared" si="1"/>
        <v/>
      </c>
      <c r="H851" s="27" t="str">
        <f t="shared" si="2"/>
        <v>Positional</v>
      </c>
      <c r="J851" s="73"/>
      <c r="K851" s="28"/>
      <c r="L851" s="78"/>
      <c r="M851" s="31"/>
    </row>
    <row r="852" spans="1:13" ht="14.25" customHeight="1">
      <c r="A852" s="32">
        <v>44797</v>
      </c>
      <c r="B852" s="22">
        <v>475</v>
      </c>
      <c r="C852" s="23" t="s">
        <v>339</v>
      </c>
      <c r="D852" s="24"/>
      <c r="E852" s="25"/>
      <c r="F852" s="24" t="str">
        <f t="shared" si="0"/>
        <v/>
      </c>
      <c r="G852" s="26" t="str">
        <f t="shared" si="1"/>
        <v/>
      </c>
      <c r="H852" s="27" t="str">
        <f t="shared" si="2"/>
        <v>Positional</v>
      </c>
      <c r="J852" s="73"/>
      <c r="K852" s="28"/>
      <c r="L852" s="78"/>
      <c r="M852" s="31"/>
    </row>
    <row r="853" spans="1:13" ht="14.25" customHeight="1">
      <c r="A853" s="32">
        <v>44797</v>
      </c>
      <c r="B853" s="22">
        <v>11</v>
      </c>
      <c r="C853" s="23" t="s">
        <v>343</v>
      </c>
      <c r="D853" s="24"/>
      <c r="E853" s="25"/>
      <c r="F853" s="24" t="str">
        <f t="shared" si="0"/>
        <v/>
      </c>
      <c r="G853" s="26" t="str">
        <f t="shared" si="1"/>
        <v/>
      </c>
      <c r="H853" s="27" t="str">
        <f t="shared" si="2"/>
        <v>Positional</v>
      </c>
      <c r="J853" s="73"/>
      <c r="K853" s="28"/>
      <c r="L853" s="78"/>
      <c r="M853" s="31"/>
    </row>
    <row r="854" spans="1:13" ht="14.25" customHeight="1">
      <c r="A854" s="32">
        <v>44797</v>
      </c>
      <c r="B854" s="22">
        <v>-0.28000000000000003</v>
      </c>
      <c r="C854" s="34" t="s">
        <v>16</v>
      </c>
      <c r="D854" s="24">
        <v>33808.92</v>
      </c>
      <c r="E854" s="25">
        <v>851135</v>
      </c>
      <c r="F854" s="24">
        <f t="shared" si="0"/>
        <v>143.05000000000001</v>
      </c>
      <c r="G854" s="26">
        <f t="shared" si="1"/>
        <v>884943.92</v>
      </c>
      <c r="H854" s="27" t="str">
        <f t="shared" si="2"/>
        <v/>
      </c>
      <c r="J854" s="73"/>
      <c r="K854" s="28"/>
      <c r="L854" s="78"/>
      <c r="M854" s="31"/>
    </row>
    <row r="855" spans="1:13" ht="14.25" customHeight="1">
      <c r="A855" s="32">
        <v>44798</v>
      </c>
      <c r="B855" s="22">
        <v>122</v>
      </c>
      <c r="C855" s="34" t="s">
        <v>344</v>
      </c>
      <c r="D855" s="24"/>
      <c r="E855" s="25"/>
      <c r="F855" s="24" t="str">
        <f t="shared" si="0"/>
        <v/>
      </c>
      <c r="G855" s="26" t="str">
        <f t="shared" si="1"/>
        <v/>
      </c>
      <c r="H855" s="27" t="str">
        <f t="shared" si="2"/>
        <v>Positional</v>
      </c>
      <c r="J855" s="73"/>
      <c r="K855" s="28"/>
      <c r="L855" s="78"/>
      <c r="M855" s="31"/>
    </row>
    <row r="856" spans="1:13" ht="14.25" customHeight="1">
      <c r="A856" s="32">
        <v>44798</v>
      </c>
      <c r="B856" s="22">
        <v>-0.16</v>
      </c>
      <c r="C856" s="34" t="s">
        <v>16</v>
      </c>
      <c r="D856" s="24">
        <v>27318.83</v>
      </c>
      <c r="E856" s="25">
        <v>847731</v>
      </c>
      <c r="F856" s="24">
        <f t="shared" si="0"/>
        <v>141.44999999999999</v>
      </c>
      <c r="G856" s="26">
        <f t="shared" si="1"/>
        <v>875049.83</v>
      </c>
      <c r="H856" s="27" t="str">
        <f t="shared" si="2"/>
        <v/>
      </c>
      <c r="J856" s="73"/>
      <c r="K856" s="28"/>
      <c r="L856" s="78"/>
      <c r="M856" s="31"/>
    </row>
    <row r="857" spans="1:13" ht="14.25" customHeight="1">
      <c r="A857" s="32">
        <v>44799</v>
      </c>
      <c r="B857" s="22">
        <v>1820.81</v>
      </c>
      <c r="C857" s="23" t="s">
        <v>4</v>
      </c>
      <c r="D857" s="24"/>
      <c r="E857" s="25"/>
      <c r="F857" s="24" t="str">
        <f t="shared" si="0"/>
        <v/>
      </c>
      <c r="G857" s="26" t="str">
        <f t="shared" si="1"/>
        <v/>
      </c>
      <c r="H857" s="27" t="str">
        <f t="shared" si="2"/>
        <v/>
      </c>
      <c r="J857" s="73"/>
      <c r="K857" s="28"/>
      <c r="L857" s="78"/>
      <c r="M857" s="31"/>
    </row>
    <row r="858" spans="1:13" ht="14.25" customHeight="1">
      <c r="A858" s="32">
        <v>44799</v>
      </c>
      <c r="B858" s="22">
        <v>-0.16</v>
      </c>
      <c r="C858" s="34" t="s">
        <v>16</v>
      </c>
      <c r="D858" s="24">
        <v>25660.48</v>
      </c>
      <c r="E858" s="25">
        <v>851210</v>
      </c>
      <c r="F858" s="24">
        <f t="shared" si="0"/>
        <v>425.22</v>
      </c>
      <c r="G858" s="26">
        <f t="shared" si="1"/>
        <v>2630611.44</v>
      </c>
      <c r="H858" s="27" t="str">
        <f t="shared" si="2"/>
        <v/>
      </c>
      <c r="J858" s="73"/>
      <c r="K858" s="28"/>
      <c r="L858" s="78"/>
      <c r="M858" s="31"/>
    </row>
    <row r="859" spans="1:13" ht="14.25" customHeight="1">
      <c r="A859" s="32">
        <v>44802</v>
      </c>
      <c r="B859" s="22">
        <v>369.82</v>
      </c>
      <c r="C859" s="23" t="s">
        <v>4</v>
      </c>
      <c r="D859" s="24"/>
      <c r="E859" s="25"/>
      <c r="F859" s="24" t="str">
        <f t="shared" si="0"/>
        <v/>
      </c>
      <c r="G859" s="26" t="str">
        <f t="shared" si="1"/>
        <v/>
      </c>
      <c r="H859" s="27" t="str">
        <f t="shared" si="2"/>
        <v/>
      </c>
      <c r="J859" s="73"/>
      <c r="K859" s="28"/>
      <c r="L859" s="78"/>
      <c r="M859" s="31"/>
    </row>
    <row r="860" spans="1:13" ht="14.25" customHeight="1">
      <c r="A860" s="32">
        <v>44802</v>
      </c>
      <c r="B860" s="22">
        <v>0.99</v>
      </c>
      <c r="C860" s="34" t="s">
        <v>16</v>
      </c>
      <c r="D860" s="24">
        <v>12657.29</v>
      </c>
      <c r="E860" s="25">
        <v>864584</v>
      </c>
      <c r="F860" s="24">
        <f t="shared" si="0"/>
        <v>141.80000000000001</v>
      </c>
      <c r="G860" s="26">
        <f t="shared" si="1"/>
        <v>877241.29</v>
      </c>
      <c r="H860" s="27" t="str">
        <f t="shared" si="2"/>
        <v/>
      </c>
      <c r="J860" s="73"/>
      <c r="K860" s="28"/>
      <c r="L860" s="78"/>
      <c r="M860" s="31"/>
    </row>
    <row r="861" spans="1:13" ht="14.25" customHeight="1">
      <c r="A861" s="32">
        <v>44803</v>
      </c>
      <c r="B861" s="22">
        <v>185</v>
      </c>
      <c r="C861" s="34" t="s">
        <v>345</v>
      </c>
      <c r="D861" s="24"/>
      <c r="E861" s="25"/>
      <c r="F861" s="24" t="str">
        <f t="shared" si="0"/>
        <v/>
      </c>
      <c r="G861" s="26" t="str">
        <f t="shared" si="1"/>
        <v/>
      </c>
      <c r="H861" s="27" t="str">
        <f t="shared" si="2"/>
        <v>Positional</v>
      </c>
      <c r="J861" s="73"/>
      <c r="K861" s="28"/>
      <c r="L861" s="78"/>
      <c r="M861" s="31"/>
    </row>
    <row r="862" spans="1:13" ht="14.25" customHeight="1">
      <c r="A862" s="32">
        <v>44803</v>
      </c>
      <c r="B862" s="22">
        <v>1.1499999999999999</v>
      </c>
      <c r="C862" s="34" t="s">
        <v>16</v>
      </c>
      <c r="D862" s="24">
        <v>2775.51</v>
      </c>
      <c r="E862" s="25">
        <v>874636</v>
      </c>
      <c r="F862" s="24">
        <f t="shared" si="0"/>
        <v>283.66000000000003</v>
      </c>
      <c r="G862" s="26">
        <f t="shared" si="1"/>
        <v>1754823.02</v>
      </c>
      <c r="H862" s="27" t="str">
        <f t="shared" si="2"/>
        <v/>
      </c>
      <c r="J862" s="73"/>
      <c r="K862" s="28"/>
      <c r="L862" s="78"/>
      <c r="M862" s="31"/>
    </row>
    <row r="863" spans="1:13" ht="14.25" customHeight="1">
      <c r="A863" s="32">
        <v>44805</v>
      </c>
      <c r="B863" s="22">
        <v>-1.17</v>
      </c>
      <c r="C863" s="34" t="s">
        <v>16</v>
      </c>
      <c r="D863" s="24">
        <v>5362.34</v>
      </c>
      <c r="E863" s="25">
        <v>947044</v>
      </c>
      <c r="F863" s="24">
        <f t="shared" si="0"/>
        <v>153.94999999999999</v>
      </c>
      <c r="G863" s="26">
        <f t="shared" si="1"/>
        <v>952406.34</v>
      </c>
      <c r="H863" s="27" t="str">
        <f t="shared" si="2"/>
        <v/>
      </c>
      <c r="J863" s="73"/>
      <c r="K863" s="28"/>
      <c r="L863" s="78"/>
      <c r="M863" s="31"/>
    </row>
    <row r="864" spans="1:13" ht="14.25" customHeight="1">
      <c r="A864" s="32">
        <v>44806</v>
      </c>
      <c r="B864" s="22">
        <v>70.31</v>
      </c>
      <c r="C864" s="34" t="s">
        <v>20</v>
      </c>
      <c r="D864" s="24">
        <v>2128.65</v>
      </c>
      <c r="E864" s="25">
        <v>950348</v>
      </c>
      <c r="F864" s="24">
        <f t="shared" si="0"/>
        <v>461.89</v>
      </c>
      <c r="G864" s="26">
        <f t="shared" si="1"/>
        <v>2857429.95</v>
      </c>
      <c r="H864" s="27" t="str">
        <f t="shared" si="2"/>
        <v/>
      </c>
      <c r="J864" s="73"/>
      <c r="K864" s="28"/>
      <c r="L864" s="78"/>
      <c r="M864" s="31"/>
    </row>
    <row r="865" spans="1:13" ht="14.25" customHeight="1">
      <c r="A865" s="32">
        <v>44809</v>
      </c>
      <c r="B865" s="22">
        <v>1450</v>
      </c>
      <c r="C865" s="34" t="s">
        <v>346</v>
      </c>
      <c r="D865" s="24"/>
      <c r="E865" s="25"/>
      <c r="F865" s="24" t="str">
        <f t="shared" si="0"/>
        <v/>
      </c>
      <c r="G865" s="26" t="str">
        <f t="shared" si="1"/>
        <v/>
      </c>
      <c r="H865" s="27" t="str">
        <f t="shared" si="2"/>
        <v>Positional</v>
      </c>
      <c r="J865" s="73"/>
      <c r="K865" s="28"/>
      <c r="L865" s="78"/>
      <c r="M865" s="31"/>
    </row>
    <row r="866" spans="1:13" ht="14.25" customHeight="1">
      <c r="A866" s="32">
        <v>44809</v>
      </c>
      <c r="B866" s="22">
        <v>-0.33</v>
      </c>
      <c r="C866" s="34" t="s">
        <v>16</v>
      </c>
      <c r="D866" s="24">
        <v>11702.39</v>
      </c>
      <c r="E866" s="25">
        <v>942208</v>
      </c>
      <c r="F866" s="24">
        <f t="shared" si="0"/>
        <v>154.19</v>
      </c>
      <c r="G866" s="26">
        <f t="shared" si="1"/>
        <v>953910.39</v>
      </c>
      <c r="H866" s="27" t="str">
        <f t="shared" si="2"/>
        <v/>
      </c>
      <c r="J866" s="73"/>
      <c r="K866" s="28"/>
      <c r="L866" s="78"/>
      <c r="M866" s="31"/>
    </row>
    <row r="867" spans="1:13" ht="14.25" customHeight="1">
      <c r="A867" s="32">
        <v>44810</v>
      </c>
      <c r="B867" s="22">
        <v>-17</v>
      </c>
      <c r="C867" s="34" t="s">
        <v>245</v>
      </c>
      <c r="D867" s="24"/>
      <c r="E867" s="25"/>
      <c r="F867" s="24" t="str">
        <f t="shared" si="0"/>
        <v/>
      </c>
      <c r="G867" s="26" t="str">
        <f t="shared" si="1"/>
        <v/>
      </c>
      <c r="H867" s="27" t="str">
        <f t="shared" si="2"/>
        <v>Positional</v>
      </c>
      <c r="J867" s="73"/>
      <c r="K867" s="28"/>
      <c r="L867" s="78"/>
      <c r="M867" s="31"/>
    </row>
    <row r="868" spans="1:13" ht="14.25" customHeight="1">
      <c r="A868" s="32">
        <v>44810</v>
      </c>
      <c r="B868" s="22">
        <v>0.6</v>
      </c>
      <c r="C868" s="34" t="s">
        <v>16</v>
      </c>
      <c r="D868" s="24">
        <v>10996.06</v>
      </c>
      <c r="E868" s="25">
        <v>942882</v>
      </c>
      <c r="F868" s="24">
        <f t="shared" si="0"/>
        <v>462.57</v>
      </c>
      <c r="G868" s="26">
        <f t="shared" si="1"/>
        <v>2861634.18</v>
      </c>
      <c r="H868" s="27" t="str">
        <f t="shared" si="2"/>
        <v/>
      </c>
      <c r="J868" s="73"/>
      <c r="K868" s="28"/>
      <c r="L868" s="78"/>
      <c r="M868" s="31"/>
    </row>
    <row r="869" spans="1:13" ht="14.25" customHeight="1">
      <c r="A869" s="32">
        <v>44813</v>
      </c>
      <c r="B869" s="22">
        <v>71.430000000000007</v>
      </c>
      <c r="C869" s="23" t="s">
        <v>4</v>
      </c>
      <c r="D869" s="24">
        <v>15067.49</v>
      </c>
      <c r="E869" s="25">
        <v>942882</v>
      </c>
      <c r="F869" s="24">
        <f t="shared" si="0"/>
        <v>619.39</v>
      </c>
      <c r="G869" s="26">
        <f t="shared" si="1"/>
        <v>3831797.96</v>
      </c>
      <c r="H869" s="27" t="str">
        <f t="shared" si="2"/>
        <v/>
      </c>
      <c r="J869" s="73"/>
      <c r="K869" s="28"/>
      <c r="L869" s="78"/>
      <c r="M869" s="31"/>
    </row>
    <row r="870" spans="1:13" ht="14.25" customHeight="1">
      <c r="A870" s="32">
        <v>44817</v>
      </c>
      <c r="B870" s="22">
        <v>4534</v>
      </c>
      <c r="C870" s="23" t="s">
        <v>108</v>
      </c>
      <c r="D870" s="24"/>
      <c r="E870" s="25"/>
      <c r="F870" s="24" t="str">
        <f t="shared" si="0"/>
        <v/>
      </c>
      <c r="G870" s="26" t="str">
        <f t="shared" si="1"/>
        <v/>
      </c>
      <c r="H870" s="27" t="str">
        <f t="shared" si="2"/>
        <v>Positional</v>
      </c>
      <c r="J870" s="73"/>
      <c r="K870" s="28"/>
      <c r="L870" s="78"/>
      <c r="M870" s="31"/>
    </row>
    <row r="871" spans="1:13" ht="14.25" customHeight="1">
      <c r="A871" s="32">
        <v>44817</v>
      </c>
      <c r="B871" s="22">
        <v>379</v>
      </c>
      <c r="C871" s="23" t="s">
        <v>347</v>
      </c>
      <c r="D871" s="24"/>
      <c r="E871" s="25"/>
      <c r="F871" s="24" t="str">
        <f t="shared" si="0"/>
        <v/>
      </c>
      <c r="G871" s="26" t="str">
        <f t="shared" si="1"/>
        <v/>
      </c>
      <c r="H871" s="27" t="str">
        <f t="shared" si="2"/>
        <v>Positional</v>
      </c>
      <c r="J871" s="73"/>
      <c r="K871" s="28"/>
      <c r="L871" s="78"/>
      <c r="M871" s="31"/>
    </row>
    <row r="872" spans="1:13" ht="14.25" customHeight="1">
      <c r="A872" s="32">
        <v>44817</v>
      </c>
      <c r="B872" s="22">
        <v>343</v>
      </c>
      <c r="C872" s="23" t="s">
        <v>348</v>
      </c>
      <c r="D872" s="24"/>
      <c r="E872" s="25"/>
      <c r="F872" s="24" t="str">
        <f t="shared" si="0"/>
        <v/>
      </c>
      <c r="G872" s="26" t="str">
        <f t="shared" si="1"/>
        <v/>
      </c>
      <c r="H872" s="27" t="str">
        <f t="shared" si="2"/>
        <v>Positional</v>
      </c>
      <c r="J872" s="73"/>
      <c r="K872" s="28"/>
      <c r="L872" s="78"/>
      <c r="M872" s="31"/>
    </row>
    <row r="873" spans="1:13" ht="14.25" customHeight="1">
      <c r="A873" s="32">
        <v>44817</v>
      </c>
      <c r="B873" s="22">
        <v>-0.36</v>
      </c>
      <c r="C873" s="34" t="s">
        <v>16</v>
      </c>
      <c r="D873" s="24">
        <v>36857.339999999997</v>
      </c>
      <c r="E873" s="25">
        <v>912300</v>
      </c>
      <c r="F873" s="24">
        <f t="shared" si="0"/>
        <v>153.43</v>
      </c>
      <c r="G873" s="26">
        <f t="shared" si="1"/>
        <v>949157.34</v>
      </c>
      <c r="H873" s="27" t="str">
        <f t="shared" si="2"/>
        <v/>
      </c>
      <c r="J873" s="73"/>
      <c r="K873" s="28"/>
      <c r="L873" s="78"/>
      <c r="M873" s="31"/>
    </row>
    <row r="874" spans="1:13" ht="14.25" customHeight="1">
      <c r="A874" s="32">
        <v>44818</v>
      </c>
      <c r="B874" s="22">
        <v>37</v>
      </c>
      <c r="C874" s="34" t="s">
        <v>349</v>
      </c>
      <c r="D874" s="24"/>
      <c r="E874" s="25"/>
      <c r="F874" s="24" t="str">
        <f t="shared" si="0"/>
        <v/>
      </c>
      <c r="G874" s="26" t="str">
        <f t="shared" si="1"/>
        <v/>
      </c>
      <c r="H874" s="27" t="str">
        <f t="shared" si="2"/>
        <v>Positional</v>
      </c>
      <c r="J874" s="73"/>
      <c r="K874" s="28"/>
      <c r="L874" s="78"/>
      <c r="M874" s="31"/>
    </row>
    <row r="875" spans="1:13" ht="14.25" customHeight="1">
      <c r="A875" s="32">
        <v>44818</v>
      </c>
      <c r="B875" s="22">
        <v>1239.77</v>
      </c>
      <c r="C875" s="34" t="s">
        <v>20</v>
      </c>
      <c r="D875" s="24">
        <v>19307.189999999999</v>
      </c>
      <c r="E875" s="25">
        <v>931111</v>
      </c>
      <c r="F875" s="24">
        <f t="shared" si="0"/>
        <v>768.15</v>
      </c>
      <c r="G875" s="26">
        <f t="shared" si="1"/>
        <v>4752090.9499999993</v>
      </c>
      <c r="H875" s="27" t="str">
        <f t="shared" si="2"/>
        <v/>
      </c>
      <c r="J875" s="73"/>
      <c r="K875" s="28"/>
      <c r="L875" s="78"/>
      <c r="M875" s="31"/>
    </row>
    <row r="876" spans="1:13" ht="14.25" customHeight="1">
      <c r="A876" s="32">
        <v>44823</v>
      </c>
      <c r="B876" s="22">
        <v>-5289.29</v>
      </c>
      <c r="C876" s="23" t="s">
        <v>4</v>
      </c>
      <c r="D876" s="24"/>
      <c r="E876" s="25"/>
      <c r="F876" s="24" t="str">
        <f t="shared" si="0"/>
        <v/>
      </c>
      <c r="G876" s="26" t="str">
        <f t="shared" si="1"/>
        <v/>
      </c>
      <c r="H876" s="27" t="str">
        <f t="shared" si="2"/>
        <v/>
      </c>
      <c r="J876" s="73"/>
      <c r="K876" s="28"/>
      <c r="L876" s="78"/>
      <c r="M876" s="31"/>
    </row>
    <row r="877" spans="1:13" ht="14.25" customHeight="1">
      <c r="A877" s="32">
        <v>44823</v>
      </c>
      <c r="B877" s="22">
        <v>477</v>
      </c>
      <c r="C877" s="23" t="s">
        <v>350</v>
      </c>
      <c r="D877" s="24"/>
      <c r="E877" s="25"/>
      <c r="F877" s="24" t="str">
        <f t="shared" si="0"/>
        <v/>
      </c>
      <c r="G877" s="26" t="str">
        <f t="shared" si="1"/>
        <v/>
      </c>
      <c r="H877" s="27" t="str">
        <f t="shared" si="2"/>
        <v>Positional</v>
      </c>
      <c r="J877" s="73"/>
      <c r="K877" s="28"/>
      <c r="L877" s="78"/>
      <c r="M877" s="31"/>
    </row>
    <row r="878" spans="1:13" ht="14.25" customHeight="1">
      <c r="A878" s="32">
        <v>44823</v>
      </c>
      <c r="B878" s="22">
        <v>1062</v>
      </c>
      <c r="C878" s="23" t="s">
        <v>351</v>
      </c>
      <c r="D878" s="24"/>
      <c r="E878" s="25"/>
      <c r="F878" s="24" t="str">
        <f t="shared" si="0"/>
        <v/>
      </c>
      <c r="G878" s="26" t="str">
        <f t="shared" si="1"/>
        <v/>
      </c>
      <c r="H878" s="27" t="str">
        <f t="shared" si="2"/>
        <v>Positional</v>
      </c>
      <c r="J878" s="73"/>
      <c r="K878" s="28"/>
      <c r="L878" s="78"/>
      <c r="M878" s="31"/>
    </row>
    <row r="879" spans="1:13" ht="14.25" customHeight="1">
      <c r="A879" s="32">
        <v>44823</v>
      </c>
      <c r="B879" s="22">
        <v>0.25</v>
      </c>
      <c r="C879" s="34" t="s">
        <v>16</v>
      </c>
      <c r="D879" s="24">
        <v>18673.38</v>
      </c>
      <c r="E879" s="25">
        <v>921750</v>
      </c>
      <c r="F879" s="24">
        <f t="shared" si="0"/>
        <v>152.01</v>
      </c>
      <c r="G879" s="26">
        <f t="shared" si="1"/>
        <v>940423.38</v>
      </c>
      <c r="H879" s="27" t="str">
        <f t="shared" si="2"/>
        <v/>
      </c>
      <c r="J879" s="73"/>
      <c r="K879" s="28"/>
      <c r="L879" s="78"/>
      <c r="M879" s="31"/>
    </row>
    <row r="880" spans="1:13" ht="14.25" customHeight="1">
      <c r="A880" s="32">
        <v>44824</v>
      </c>
      <c r="B880" s="22">
        <v>450</v>
      </c>
      <c r="C880" s="34" t="s">
        <v>265</v>
      </c>
      <c r="D880" s="24"/>
      <c r="E880" s="25"/>
      <c r="F880" s="24" t="str">
        <f t="shared" si="0"/>
        <v/>
      </c>
      <c r="G880" s="26" t="str">
        <f t="shared" si="1"/>
        <v/>
      </c>
      <c r="H880" s="27" t="str">
        <f t="shared" si="2"/>
        <v>Positional</v>
      </c>
      <c r="J880" s="73"/>
      <c r="K880" s="28"/>
      <c r="L880" s="78"/>
      <c r="M880" s="31"/>
    </row>
    <row r="881" spans="1:13" ht="14.25" customHeight="1">
      <c r="A881" s="32">
        <v>44824</v>
      </c>
      <c r="B881" s="22">
        <v>83.65</v>
      </c>
      <c r="C881" s="34" t="s">
        <v>20</v>
      </c>
      <c r="D881" s="24"/>
      <c r="E881" s="25"/>
      <c r="F881" s="24" t="str">
        <f t="shared" si="0"/>
        <v/>
      </c>
      <c r="G881" s="26" t="str">
        <f t="shared" si="1"/>
        <v/>
      </c>
      <c r="H881" s="27" t="str">
        <f t="shared" si="2"/>
        <v/>
      </c>
      <c r="J881" s="73"/>
      <c r="K881" s="28"/>
      <c r="L881" s="78"/>
      <c r="M881" s="31"/>
    </row>
    <row r="882" spans="1:13" ht="14.25" customHeight="1">
      <c r="A882" s="32">
        <v>44824</v>
      </c>
      <c r="B882" s="22">
        <v>1859.64</v>
      </c>
      <c r="C882" s="23" t="s">
        <v>4</v>
      </c>
      <c r="D882" s="24">
        <v>43452.75</v>
      </c>
      <c r="E882" s="25">
        <v>899348</v>
      </c>
      <c r="F882" s="24">
        <f t="shared" si="0"/>
        <v>152.4</v>
      </c>
      <c r="G882" s="26">
        <f t="shared" si="1"/>
        <v>942800.75</v>
      </c>
      <c r="H882" s="27" t="str">
        <f t="shared" si="2"/>
        <v/>
      </c>
      <c r="J882" s="73"/>
      <c r="K882" s="28"/>
      <c r="L882" s="78"/>
      <c r="M882" s="31"/>
    </row>
    <row r="883" spans="1:13" ht="14.25" customHeight="1">
      <c r="A883" s="32">
        <v>44825</v>
      </c>
      <c r="B883" s="22">
        <v>43.82</v>
      </c>
      <c r="C883" s="34" t="s">
        <v>20</v>
      </c>
      <c r="D883" s="24"/>
      <c r="E883" s="25"/>
      <c r="F883" s="24" t="str">
        <f t="shared" si="0"/>
        <v/>
      </c>
      <c r="G883" s="26" t="str">
        <f t="shared" si="1"/>
        <v/>
      </c>
      <c r="H883" s="27" t="str">
        <f t="shared" si="2"/>
        <v/>
      </c>
      <c r="J883" s="73"/>
      <c r="K883" s="28"/>
      <c r="L883" s="78"/>
      <c r="M883" s="31"/>
    </row>
    <row r="884" spans="1:13" ht="14.25" customHeight="1">
      <c r="A884" s="32">
        <v>44825</v>
      </c>
      <c r="B884" s="22">
        <v>2711.74</v>
      </c>
      <c r="C884" s="23" t="s">
        <v>4</v>
      </c>
      <c r="D884" s="24">
        <v>46208.31</v>
      </c>
      <c r="E884" s="25">
        <v>899348</v>
      </c>
      <c r="F884" s="24">
        <f t="shared" si="0"/>
        <v>152.84</v>
      </c>
      <c r="G884" s="26">
        <f t="shared" si="1"/>
        <v>945556.31</v>
      </c>
      <c r="H884" s="27" t="str">
        <f t="shared" si="2"/>
        <v/>
      </c>
      <c r="J884" s="73"/>
      <c r="K884" s="28"/>
      <c r="L884" s="78"/>
      <c r="M884" s="31"/>
    </row>
    <row r="885" spans="1:13" ht="14.25" customHeight="1">
      <c r="A885" s="32">
        <v>44826</v>
      </c>
      <c r="B885" s="22">
        <v>53.74</v>
      </c>
      <c r="C885" s="34" t="s">
        <v>20</v>
      </c>
      <c r="D885" s="24"/>
      <c r="E885" s="25"/>
      <c r="F885" s="24" t="str">
        <f t="shared" si="0"/>
        <v/>
      </c>
      <c r="G885" s="26" t="str">
        <f t="shared" si="1"/>
        <v/>
      </c>
      <c r="H885" s="27" t="str">
        <f t="shared" si="2"/>
        <v/>
      </c>
      <c r="J885" s="73"/>
      <c r="K885" s="28"/>
      <c r="L885" s="78"/>
      <c r="M885" s="31"/>
    </row>
    <row r="886" spans="1:13" ht="14.25" customHeight="1">
      <c r="A886" s="32">
        <v>44826</v>
      </c>
      <c r="B886" s="22">
        <v>-2947.93</v>
      </c>
      <c r="C886" s="23" t="s">
        <v>4</v>
      </c>
      <c r="D886" s="24">
        <v>43314.12</v>
      </c>
      <c r="E886" s="25">
        <v>899348</v>
      </c>
      <c r="F886" s="24">
        <f t="shared" si="0"/>
        <v>152.38</v>
      </c>
      <c r="G886" s="26">
        <f t="shared" si="1"/>
        <v>942662.12</v>
      </c>
      <c r="H886" s="27" t="str">
        <f t="shared" si="2"/>
        <v/>
      </c>
      <c r="J886" s="73"/>
      <c r="K886" s="28"/>
      <c r="L886" s="78"/>
      <c r="M886" s="31"/>
    </row>
    <row r="887" spans="1:13" ht="14.25" customHeight="1">
      <c r="A887" s="32">
        <v>44827</v>
      </c>
      <c r="B887" s="22">
        <v>0</v>
      </c>
      <c r="C887" s="34" t="s">
        <v>16</v>
      </c>
      <c r="D887" s="24">
        <v>3687.7</v>
      </c>
      <c r="E887" s="25">
        <v>899348</v>
      </c>
      <c r="F887" s="24">
        <f t="shared" si="0"/>
        <v>437.91</v>
      </c>
      <c r="G887" s="26">
        <f t="shared" si="1"/>
        <v>2709107.0999999996</v>
      </c>
      <c r="H887" s="27" t="str">
        <f t="shared" si="2"/>
        <v/>
      </c>
      <c r="J887" s="73"/>
      <c r="K887" s="28"/>
      <c r="L887" s="78"/>
      <c r="M887" s="31"/>
    </row>
    <row r="888" spans="1:13" ht="14.25" customHeight="1">
      <c r="A888" s="32">
        <v>44830</v>
      </c>
      <c r="B888" s="22">
        <v>1186.3499999999999</v>
      </c>
      <c r="C888" s="23" t="s">
        <v>4</v>
      </c>
      <c r="D888" s="24">
        <v>10347.049999999999</v>
      </c>
      <c r="E888" s="25">
        <v>899348</v>
      </c>
      <c r="F888" s="24">
        <f t="shared" si="0"/>
        <v>147.05000000000001</v>
      </c>
      <c r="G888" s="26">
        <f t="shared" si="1"/>
        <v>909695.05</v>
      </c>
      <c r="H888" s="27" t="str">
        <f t="shared" si="2"/>
        <v/>
      </c>
      <c r="J888" s="73"/>
      <c r="K888" s="28"/>
      <c r="L888" s="78"/>
      <c r="M888" s="31"/>
    </row>
    <row r="889" spans="1:13" ht="14.25" customHeight="1">
      <c r="A889" s="32">
        <v>44831</v>
      </c>
      <c r="B889" s="22">
        <v>-37427.82</v>
      </c>
      <c r="C889" s="23" t="s">
        <v>4</v>
      </c>
      <c r="D889" s="24">
        <v>4813.66</v>
      </c>
      <c r="E889" s="25">
        <v>899348</v>
      </c>
      <c r="F889" s="24">
        <f t="shared" si="0"/>
        <v>146.15</v>
      </c>
      <c r="G889" s="26">
        <f t="shared" si="1"/>
        <v>904161.66</v>
      </c>
      <c r="H889" s="27" t="str">
        <f t="shared" si="2"/>
        <v/>
      </c>
      <c r="J889" s="73"/>
      <c r="K889" s="28"/>
      <c r="L889" s="78"/>
      <c r="M889" s="31"/>
    </row>
    <row r="890" spans="1:13" ht="14.25" customHeight="1">
      <c r="A890" s="32">
        <v>44832</v>
      </c>
      <c r="B890" s="22">
        <v>-19878.72</v>
      </c>
      <c r="C890" s="23" t="s">
        <v>4</v>
      </c>
      <c r="D890" s="24">
        <v>7193.93</v>
      </c>
      <c r="E890" s="25">
        <v>899348</v>
      </c>
      <c r="F890" s="24">
        <f t="shared" si="0"/>
        <v>3956.5</v>
      </c>
      <c r="G890" s="26">
        <f t="shared" si="1"/>
        <v>24476632.110000003</v>
      </c>
      <c r="H890" s="27" t="str">
        <f t="shared" si="2"/>
        <v/>
      </c>
      <c r="J890" s="73"/>
      <c r="K890" s="28"/>
      <c r="L890" s="78"/>
      <c r="M890" s="31"/>
    </row>
    <row r="891" spans="1:13" ht="14.25" customHeight="1">
      <c r="A891" s="32">
        <v>44859</v>
      </c>
      <c r="B891" s="22">
        <v>395</v>
      </c>
      <c r="C891" s="23" t="s">
        <v>352</v>
      </c>
      <c r="D891" s="24"/>
      <c r="E891" s="25"/>
      <c r="F891" s="24" t="str">
        <f t="shared" si="0"/>
        <v/>
      </c>
      <c r="G891" s="26" t="str">
        <f t="shared" si="1"/>
        <v/>
      </c>
      <c r="H891" s="27" t="str">
        <f t="shared" si="2"/>
        <v>Positional</v>
      </c>
      <c r="J891" s="73"/>
      <c r="K891" s="28"/>
      <c r="L891" s="78"/>
      <c r="M891" s="31"/>
    </row>
    <row r="892" spans="1:13" ht="14.25" customHeight="1">
      <c r="A892" s="32">
        <v>44859</v>
      </c>
      <c r="B892" s="22">
        <v>-0.67</v>
      </c>
      <c r="C892" s="34" t="s">
        <v>16</v>
      </c>
      <c r="D892" s="24">
        <v>3682.41</v>
      </c>
      <c r="E892" s="25">
        <v>896044</v>
      </c>
      <c r="F892" s="24">
        <f t="shared" si="0"/>
        <v>872.61</v>
      </c>
      <c r="G892" s="26">
        <f t="shared" si="1"/>
        <v>5398358.46</v>
      </c>
      <c r="H892" s="27" t="str">
        <f t="shared" si="2"/>
        <v/>
      </c>
      <c r="J892" s="73"/>
      <c r="K892" s="28"/>
      <c r="L892" s="78"/>
      <c r="M892" s="31"/>
    </row>
    <row r="893" spans="1:13" ht="14.25" customHeight="1">
      <c r="A893" s="32">
        <v>44865</v>
      </c>
      <c r="B893" s="22">
        <v>1824</v>
      </c>
      <c r="C893" s="34" t="s">
        <v>354</v>
      </c>
      <c r="D893" s="24"/>
      <c r="E893" s="25"/>
      <c r="F893" s="24" t="str">
        <f t="shared" si="0"/>
        <v/>
      </c>
      <c r="G893" s="26" t="str">
        <f t="shared" si="1"/>
        <v/>
      </c>
      <c r="H893" s="27" t="str">
        <f t="shared" si="2"/>
        <v>Positional</v>
      </c>
      <c r="J893" s="73"/>
      <c r="K893" s="28"/>
      <c r="L893" s="78"/>
      <c r="M893" s="31"/>
    </row>
    <row r="894" spans="1:13" ht="14.25" customHeight="1">
      <c r="A894" s="32">
        <v>44865</v>
      </c>
      <c r="B894" s="22">
        <v>-0.69</v>
      </c>
      <c r="C894" s="34" t="s">
        <v>16</v>
      </c>
      <c r="D894" s="24">
        <v>43624.79</v>
      </c>
      <c r="E894" s="25">
        <v>857909</v>
      </c>
      <c r="F894" s="24">
        <f t="shared" si="0"/>
        <v>291.45</v>
      </c>
      <c r="G894" s="26">
        <f t="shared" si="1"/>
        <v>1803067.58</v>
      </c>
      <c r="H894" s="27" t="str">
        <f t="shared" si="2"/>
        <v/>
      </c>
      <c r="J894" s="73"/>
      <c r="K894" s="28"/>
      <c r="L894" s="78"/>
      <c r="M894" s="31"/>
    </row>
    <row r="895" spans="1:13" ht="14.25" customHeight="1">
      <c r="A895" s="32">
        <v>44867</v>
      </c>
      <c r="B895" s="22">
        <v>4812.17</v>
      </c>
      <c r="C895" s="23" t="s">
        <v>4</v>
      </c>
      <c r="D895" s="24">
        <v>48436.959999999999</v>
      </c>
      <c r="E895" s="25">
        <v>857909</v>
      </c>
      <c r="F895" s="24">
        <f t="shared" si="0"/>
        <v>146.51</v>
      </c>
      <c r="G895" s="26">
        <f t="shared" si="1"/>
        <v>906345.96</v>
      </c>
      <c r="H895" s="27" t="str">
        <f t="shared" si="2"/>
        <v/>
      </c>
      <c r="J895" s="73"/>
      <c r="K895" s="28"/>
      <c r="L895" s="78"/>
      <c r="M895" s="31"/>
    </row>
    <row r="896" spans="1:13" ht="14.25" customHeight="1">
      <c r="A896" s="32">
        <v>44868</v>
      </c>
      <c r="B896" s="22">
        <v>-4616.67</v>
      </c>
      <c r="C896" s="23" t="s">
        <v>4</v>
      </c>
      <c r="D896" s="24">
        <v>43820.28</v>
      </c>
      <c r="E896" s="25">
        <v>857909</v>
      </c>
      <c r="F896" s="24">
        <f t="shared" si="0"/>
        <v>145.76</v>
      </c>
      <c r="G896" s="26">
        <f t="shared" si="1"/>
        <v>901729.28000000003</v>
      </c>
      <c r="H896" s="27" t="str">
        <f t="shared" si="2"/>
        <v/>
      </c>
      <c r="J896" s="73"/>
      <c r="K896" s="28"/>
      <c r="L896" s="78"/>
      <c r="M896" s="31"/>
    </row>
    <row r="897" spans="1:13" ht="14.25" customHeight="1">
      <c r="A897" s="32">
        <v>44869</v>
      </c>
      <c r="B897" s="22">
        <v>-4583.5200000000004</v>
      </c>
      <c r="C897" s="23" t="s">
        <v>4</v>
      </c>
      <c r="D897" s="24">
        <v>39236.769999999997</v>
      </c>
      <c r="E897" s="25">
        <v>857909</v>
      </c>
      <c r="F897" s="24">
        <f t="shared" si="0"/>
        <v>435.05</v>
      </c>
      <c r="G897" s="26">
        <f t="shared" si="1"/>
        <v>2691437.31</v>
      </c>
      <c r="H897" s="27" t="str">
        <f t="shared" si="2"/>
        <v/>
      </c>
      <c r="J897" s="73"/>
      <c r="K897" s="28"/>
      <c r="L897" s="78"/>
      <c r="M897" s="31"/>
    </row>
    <row r="898" spans="1:13" ht="14.25" customHeight="1">
      <c r="A898" s="32">
        <v>44872</v>
      </c>
      <c r="B898" s="22">
        <v>-3.27</v>
      </c>
      <c r="C898" s="23" t="s">
        <v>4</v>
      </c>
      <c r="D898" s="24">
        <v>39233.5</v>
      </c>
      <c r="E898" s="25">
        <v>857909</v>
      </c>
      <c r="F898" s="24">
        <f t="shared" si="0"/>
        <v>290.04000000000002</v>
      </c>
      <c r="G898" s="26">
        <f t="shared" si="1"/>
        <v>1794285</v>
      </c>
      <c r="H898" s="27" t="str">
        <f t="shared" si="2"/>
        <v/>
      </c>
      <c r="J898" s="73"/>
      <c r="K898" s="28"/>
      <c r="L898" s="78"/>
      <c r="M898" s="31"/>
    </row>
    <row r="899" spans="1:13" ht="14.25" customHeight="1">
      <c r="A899" s="32">
        <v>44874</v>
      </c>
      <c r="B899" s="22">
        <v>1417.55</v>
      </c>
      <c r="C899" s="23" t="s">
        <v>4</v>
      </c>
      <c r="D899" s="24">
        <v>40651.050000000003</v>
      </c>
      <c r="E899" s="25">
        <v>857909</v>
      </c>
      <c r="F899" s="24">
        <f t="shared" si="0"/>
        <v>145.25</v>
      </c>
      <c r="G899" s="26">
        <f t="shared" si="1"/>
        <v>898560.05</v>
      </c>
      <c r="H899" s="27" t="str">
        <f t="shared" si="2"/>
        <v/>
      </c>
      <c r="J899" s="73"/>
      <c r="K899" s="28"/>
      <c r="L899" s="78"/>
      <c r="M899" s="31"/>
    </row>
    <row r="900" spans="1:13" ht="14.25" customHeight="1">
      <c r="A900" s="32">
        <v>44875</v>
      </c>
      <c r="B900" s="22">
        <v>2173.59</v>
      </c>
      <c r="C900" s="23" t="s">
        <v>4</v>
      </c>
      <c r="D900" s="24">
        <f>42824.64+14904</f>
        <v>57728.639999999999</v>
      </c>
      <c r="E900" s="25">
        <f>857909+14904</f>
        <v>872813</v>
      </c>
      <c r="F900" s="24">
        <f t="shared" si="0"/>
        <v>150.41999999999999</v>
      </c>
      <c r="G900" s="26">
        <f t="shared" si="1"/>
        <v>930541.64</v>
      </c>
      <c r="H900" s="27" t="str">
        <f t="shared" si="2"/>
        <v/>
      </c>
      <c r="J900" s="73"/>
      <c r="K900" s="28"/>
      <c r="L900" s="78"/>
      <c r="M900" s="31"/>
    </row>
    <row r="901" spans="1:13" ht="14.25" customHeight="1">
      <c r="A901" s="32">
        <v>44876</v>
      </c>
      <c r="B901" s="22">
        <v>6314</v>
      </c>
      <c r="C901" s="23" t="s">
        <v>115</v>
      </c>
      <c r="D901" s="24"/>
      <c r="E901" s="25"/>
      <c r="F901" s="24" t="str">
        <f t="shared" si="0"/>
        <v/>
      </c>
      <c r="G901" s="26" t="str">
        <f t="shared" si="1"/>
        <v/>
      </c>
      <c r="H901" s="27" t="str">
        <f t="shared" si="2"/>
        <v>Positional</v>
      </c>
      <c r="J901" s="73"/>
      <c r="K901" s="28"/>
      <c r="L901" s="78"/>
      <c r="M901" s="31"/>
    </row>
    <row r="902" spans="1:13" ht="14.25" customHeight="1">
      <c r="A902" s="32">
        <v>44876</v>
      </c>
      <c r="B902" s="22">
        <v>0.27</v>
      </c>
      <c r="C902" s="34" t="s">
        <v>16</v>
      </c>
      <c r="D902" s="24">
        <v>48908.98</v>
      </c>
      <c r="E902" s="25">
        <v>857909</v>
      </c>
      <c r="F902" s="24">
        <f t="shared" si="0"/>
        <v>439.74</v>
      </c>
      <c r="G902" s="26">
        <f t="shared" si="1"/>
        <v>2720453.94</v>
      </c>
      <c r="H902" s="27" t="str">
        <f t="shared" si="2"/>
        <v/>
      </c>
      <c r="J902" s="73"/>
      <c r="K902" s="28"/>
      <c r="L902" s="78"/>
      <c r="M902" s="31"/>
    </row>
    <row r="903" spans="1:13" ht="14.25" customHeight="1">
      <c r="A903" s="32">
        <v>44879</v>
      </c>
      <c r="B903" s="22">
        <v>1002</v>
      </c>
      <c r="C903" s="34" t="s">
        <v>356</v>
      </c>
      <c r="D903" s="24"/>
      <c r="E903" s="25"/>
      <c r="F903" s="24" t="str">
        <f t="shared" si="0"/>
        <v/>
      </c>
      <c r="G903" s="26" t="str">
        <f t="shared" si="1"/>
        <v/>
      </c>
      <c r="H903" s="27" t="str">
        <f t="shared" si="2"/>
        <v>Positional</v>
      </c>
      <c r="J903" s="73"/>
      <c r="K903" s="28"/>
      <c r="L903" s="78"/>
      <c r="M903" s="31"/>
    </row>
    <row r="904" spans="1:13" ht="14.25" customHeight="1">
      <c r="A904" s="32">
        <v>44879</v>
      </c>
      <c r="B904" s="22">
        <v>699</v>
      </c>
      <c r="C904" s="34" t="s">
        <v>357</v>
      </c>
      <c r="D904" s="24"/>
      <c r="E904" s="25"/>
      <c r="F904" s="24" t="str">
        <f t="shared" si="0"/>
        <v/>
      </c>
      <c r="G904" s="26" t="str">
        <f t="shared" si="1"/>
        <v/>
      </c>
      <c r="H904" s="27" t="str">
        <f t="shared" si="2"/>
        <v>Positional</v>
      </c>
      <c r="J904" s="73"/>
      <c r="K904" s="28"/>
      <c r="L904" s="78"/>
      <c r="M904" s="31"/>
    </row>
    <row r="905" spans="1:13" ht="14.25" customHeight="1">
      <c r="A905" s="32">
        <v>44879</v>
      </c>
      <c r="B905" s="22">
        <v>-0.66</v>
      </c>
      <c r="C905" s="34" t="s">
        <v>16</v>
      </c>
      <c r="D905" s="24">
        <v>65020.47</v>
      </c>
      <c r="E905" s="25">
        <v>843466</v>
      </c>
      <c r="F905" s="24">
        <f t="shared" si="0"/>
        <v>146.85</v>
      </c>
      <c r="G905" s="26">
        <f t="shared" si="1"/>
        <v>908486.47</v>
      </c>
      <c r="H905" s="27" t="str">
        <f t="shared" si="2"/>
        <v/>
      </c>
      <c r="J905" s="73"/>
      <c r="K905" s="28"/>
      <c r="L905" s="78"/>
      <c r="M905" s="31"/>
    </row>
    <row r="906" spans="1:13" ht="14.25" customHeight="1">
      <c r="A906" s="32">
        <v>44880</v>
      </c>
      <c r="B906" s="22">
        <v>62</v>
      </c>
      <c r="C906" s="34" t="s">
        <v>358</v>
      </c>
      <c r="D906" s="24"/>
      <c r="E906" s="25"/>
      <c r="F906" s="24" t="str">
        <f t="shared" si="0"/>
        <v/>
      </c>
      <c r="G906" s="26" t="str">
        <f t="shared" si="1"/>
        <v/>
      </c>
      <c r="H906" s="27" t="str">
        <f t="shared" si="2"/>
        <v>Positional</v>
      </c>
      <c r="J906" s="73"/>
      <c r="K906" s="28"/>
      <c r="L906" s="78"/>
      <c r="M906" s="31"/>
    </row>
    <row r="907" spans="1:13" ht="14.25" customHeight="1">
      <c r="A907" s="32">
        <v>44880</v>
      </c>
      <c r="B907" s="22">
        <v>749</v>
      </c>
      <c r="C907" s="34" t="s">
        <v>357</v>
      </c>
      <c r="D907" s="24"/>
      <c r="E907" s="25"/>
      <c r="F907" s="24" t="str">
        <f t="shared" si="0"/>
        <v/>
      </c>
      <c r="G907" s="26" t="str">
        <f t="shared" si="1"/>
        <v/>
      </c>
      <c r="H907" s="27" t="str">
        <f t="shared" si="2"/>
        <v>Positional</v>
      </c>
      <c r="J907" s="73"/>
      <c r="K907" s="28"/>
      <c r="L907" s="78"/>
      <c r="M907" s="31"/>
    </row>
    <row r="908" spans="1:13" ht="14.25" customHeight="1">
      <c r="A908" s="32">
        <v>44880</v>
      </c>
      <c r="B908" s="22">
        <v>0.43</v>
      </c>
      <c r="C908" s="34" t="s">
        <v>16</v>
      </c>
      <c r="D908" s="24">
        <v>44957.82</v>
      </c>
      <c r="E908" s="25">
        <v>828674</v>
      </c>
      <c r="F908" s="24">
        <f t="shared" si="0"/>
        <v>141.22</v>
      </c>
      <c r="G908" s="26">
        <f t="shared" si="1"/>
        <v>873631.82</v>
      </c>
      <c r="H908" s="27" t="str">
        <f t="shared" si="2"/>
        <v/>
      </c>
      <c r="J908" s="73"/>
      <c r="K908" s="28"/>
      <c r="L908" s="78"/>
      <c r="M908" s="31"/>
    </row>
    <row r="909" spans="1:13" ht="14.25" customHeight="1">
      <c r="A909" s="32">
        <v>44881</v>
      </c>
      <c r="B909" s="22">
        <v>-12975.39</v>
      </c>
      <c r="C909" s="23" t="s">
        <v>4</v>
      </c>
      <c r="D909" s="24">
        <v>57616.65</v>
      </c>
      <c r="E909" s="25">
        <v>828674</v>
      </c>
      <c r="F909" s="24">
        <f t="shared" si="0"/>
        <v>143.26</v>
      </c>
      <c r="G909" s="26">
        <f t="shared" si="1"/>
        <v>886290.65</v>
      </c>
      <c r="H909" s="27" t="str">
        <f t="shared" si="2"/>
        <v/>
      </c>
      <c r="J909" s="73"/>
      <c r="K909" s="28"/>
      <c r="L909" s="78"/>
      <c r="M909" s="31"/>
    </row>
    <row r="910" spans="1:13" ht="14.25" customHeight="1">
      <c r="A910" s="32">
        <v>44882</v>
      </c>
      <c r="B910" s="22">
        <v>-2596.3200000000002</v>
      </c>
      <c r="C910" s="23" t="s">
        <v>4</v>
      </c>
      <c r="D910" s="24">
        <v>55020.33</v>
      </c>
      <c r="E910" s="25">
        <v>828674</v>
      </c>
      <c r="F910" s="24">
        <f t="shared" si="0"/>
        <v>142.84</v>
      </c>
      <c r="G910" s="26">
        <f t="shared" si="1"/>
        <v>883694.33</v>
      </c>
      <c r="H910" s="27" t="str">
        <f t="shared" si="2"/>
        <v/>
      </c>
      <c r="J910" s="73"/>
      <c r="K910" s="28"/>
      <c r="L910" s="78"/>
      <c r="M910" s="31"/>
    </row>
    <row r="911" spans="1:13" ht="14.25" customHeight="1">
      <c r="A911" s="32">
        <v>44883</v>
      </c>
      <c r="B911" s="22">
        <v>100.29</v>
      </c>
      <c r="C911" s="23" t="s">
        <v>4</v>
      </c>
      <c r="D911" s="24">
        <v>55120.62</v>
      </c>
      <c r="E911" s="25">
        <v>828674</v>
      </c>
      <c r="F911" s="24">
        <f t="shared" si="0"/>
        <v>142.86000000000001</v>
      </c>
      <c r="G911" s="26">
        <f t="shared" si="1"/>
        <v>883794.62</v>
      </c>
      <c r="H911" s="27" t="str">
        <f t="shared" si="2"/>
        <v/>
      </c>
      <c r="J911" s="73"/>
      <c r="K911" s="28"/>
      <c r="L911" s="78"/>
      <c r="M911" s="31"/>
    </row>
    <row r="912" spans="1:13" ht="14.25" customHeight="1">
      <c r="A912" s="32">
        <v>44884</v>
      </c>
      <c r="B912" s="22">
        <v>0</v>
      </c>
      <c r="C912" s="34" t="s">
        <v>16</v>
      </c>
      <c r="D912" s="24"/>
      <c r="E912" s="25">
        <v>843326</v>
      </c>
      <c r="F912" s="24">
        <f t="shared" si="0"/>
        <v>545.27</v>
      </c>
      <c r="G912" s="26">
        <f t="shared" si="1"/>
        <v>3373304</v>
      </c>
      <c r="H912" s="27" t="str">
        <f t="shared" si="2"/>
        <v/>
      </c>
      <c r="J912" s="73"/>
      <c r="K912" s="28"/>
      <c r="L912" s="78"/>
      <c r="M912" s="31"/>
    </row>
    <row r="913" spans="1:13" ht="14.25" customHeight="1">
      <c r="A913" s="32">
        <v>44888</v>
      </c>
      <c r="B913" s="22">
        <v>368.21</v>
      </c>
      <c r="C913" s="23" t="s">
        <v>4</v>
      </c>
      <c r="D913" s="24"/>
      <c r="E913" s="25"/>
      <c r="F913" s="24" t="str">
        <f t="shared" si="0"/>
        <v/>
      </c>
      <c r="G913" s="26" t="str">
        <f t="shared" si="1"/>
        <v/>
      </c>
      <c r="H913" s="27" t="str">
        <f t="shared" si="2"/>
        <v/>
      </c>
      <c r="J913" s="73"/>
      <c r="K913" s="28"/>
      <c r="L913" s="78"/>
      <c r="M913" s="31"/>
    </row>
    <row r="914" spans="1:13" ht="14.25" customHeight="1">
      <c r="A914" s="32">
        <v>44888</v>
      </c>
      <c r="B914" s="22">
        <v>241</v>
      </c>
      <c r="C914" s="23" t="s">
        <v>20</v>
      </c>
      <c r="D914" s="24">
        <v>55729.83</v>
      </c>
      <c r="E914" s="25">
        <v>843326</v>
      </c>
      <c r="F914" s="24">
        <f t="shared" si="0"/>
        <v>145.33000000000001</v>
      </c>
      <c r="G914" s="26">
        <f t="shared" si="1"/>
        <v>899055.83</v>
      </c>
      <c r="H914" s="27" t="str">
        <f t="shared" si="2"/>
        <v/>
      </c>
      <c r="J914" s="73"/>
      <c r="K914" s="28"/>
      <c r="L914" s="78"/>
      <c r="M914" s="31"/>
    </row>
    <row r="915" spans="1:13" ht="14.25" customHeight="1">
      <c r="A915" s="32">
        <v>44889</v>
      </c>
      <c r="B915" s="22">
        <v>976</v>
      </c>
      <c r="C915" s="23" t="s">
        <v>359</v>
      </c>
      <c r="D915" s="24"/>
      <c r="E915" s="25"/>
      <c r="F915" s="24" t="str">
        <f t="shared" si="0"/>
        <v/>
      </c>
      <c r="G915" s="26" t="str">
        <f t="shared" si="1"/>
        <v/>
      </c>
      <c r="H915" s="27" t="str">
        <f t="shared" si="2"/>
        <v>Positional</v>
      </c>
      <c r="J915" s="73"/>
      <c r="K915" s="28"/>
      <c r="L915" s="78"/>
      <c r="M915" s="31"/>
    </row>
    <row r="916" spans="1:13" ht="14.25" customHeight="1">
      <c r="A916" s="32">
        <v>44889</v>
      </c>
      <c r="B916" s="22">
        <v>446</v>
      </c>
      <c r="C916" s="23" t="s">
        <v>247</v>
      </c>
      <c r="D916" s="24"/>
      <c r="E916" s="25"/>
      <c r="F916" s="24" t="str">
        <f t="shared" si="0"/>
        <v/>
      </c>
      <c r="G916" s="26" t="str">
        <f t="shared" si="1"/>
        <v/>
      </c>
      <c r="H916" s="27" t="str">
        <f t="shared" si="2"/>
        <v>Positional</v>
      </c>
      <c r="J916" s="73"/>
      <c r="K916" s="28"/>
      <c r="L916" s="78"/>
      <c r="M916" s="31"/>
    </row>
    <row r="917" spans="1:13" ht="14.25" customHeight="1">
      <c r="A917" s="32">
        <v>44889</v>
      </c>
      <c r="B917" s="22">
        <v>2430</v>
      </c>
      <c r="C917" s="23" t="s">
        <v>118</v>
      </c>
      <c r="D917" s="24"/>
      <c r="E917" s="25"/>
      <c r="F917" s="24" t="str">
        <f t="shared" si="0"/>
        <v/>
      </c>
      <c r="G917" s="26" t="str">
        <f t="shared" si="1"/>
        <v/>
      </c>
      <c r="H917" s="27" t="str">
        <f t="shared" si="2"/>
        <v>Positional</v>
      </c>
      <c r="J917" s="73"/>
      <c r="K917" s="28"/>
      <c r="L917" s="78"/>
      <c r="M917" s="31"/>
    </row>
    <row r="918" spans="1:13" ht="14.25" customHeight="1">
      <c r="A918" s="32">
        <v>44889</v>
      </c>
      <c r="B918" s="22">
        <v>0.66</v>
      </c>
      <c r="C918" s="34" t="s">
        <v>16</v>
      </c>
      <c r="D918" s="24">
        <v>90805.7</v>
      </c>
      <c r="E918" s="25">
        <v>812055</v>
      </c>
      <c r="F918" s="24">
        <f t="shared" si="0"/>
        <v>145.94</v>
      </c>
      <c r="G918" s="26">
        <f t="shared" si="1"/>
        <v>902860.7</v>
      </c>
      <c r="H918" s="27" t="str">
        <f t="shared" si="2"/>
        <v/>
      </c>
      <c r="J918" s="73"/>
      <c r="K918" s="28"/>
      <c r="L918" s="78"/>
      <c r="M918" s="31"/>
    </row>
    <row r="919" spans="1:13" ht="14.25" customHeight="1">
      <c r="A919" s="32">
        <v>44890</v>
      </c>
      <c r="B919" s="22">
        <v>762.34</v>
      </c>
      <c r="C919" s="23" t="s">
        <v>4</v>
      </c>
      <c r="D919" s="24"/>
      <c r="E919" s="25"/>
      <c r="F919" s="24" t="str">
        <f t="shared" si="0"/>
        <v/>
      </c>
      <c r="G919" s="26" t="str">
        <f t="shared" si="1"/>
        <v/>
      </c>
      <c r="H919" s="27" t="str">
        <f t="shared" si="2"/>
        <v/>
      </c>
      <c r="J919" s="73"/>
      <c r="K919" s="28"/>
      <c r="L919" s="78"/>
      <c r="M919" s="31"/>
    </row>
    <row r="920" spans="1:13" ht="14.25" customHeight="1">
      <c r="A920" s="32">
        <v>44890</v>
      </c>
      <c r="B920" s="22">
        <v>240.35</v>
      </c>
      <c r="C920" s="23" t="s">
        <v>20</v>
      </c>
      <c r="D920" s="24"/>
      <c r="E920" s="25"/>
      <c r="F920" s="24" t="str">
        <f t="shared" si="0"/>
        <v/>
      </c>
      <c r="G920" s="26" t="str">
        <f t="shared" si="1"/>
        <v/>
      </c>
      <c r="H920" s="27" t="str">
        <f t="shared" si="2"/>
        <v/>
      </c>
      <c r="J920" s="73"/>
      <c r="K920" s="28"/>
      <c r="L920" s="78"/>
      <c r="M920" s="31"/>
    </row>
    <row r="921" spans="1:13" ht="14.25" customHeight="1">
      <c r="A921" s="32">
        <v>44890</v>
      </c>
      <c r="B921" s="22">
        <v>127</v>
      </c>
      <c r="C921" s="34" t="s">
        <v>360</v>
      </c>
      <c r="D921" s="24">
        <v>72083.45</v>
      </c>
      <c r="E921" s="25">
        <v>831891</v>
      </c>
      <c r="F921" s="24">
        <f t="shared" si="0"/>
        <v>438.37</v>
      </c>
      <c r="G921" s="26">
        <f t="shared" si="1"/>
        <v>2711923.3499999996</v>
      </c>
      <c r="H921" s="27" t="str">
        <f t="shared" si="2"/>
        <v>Positional</v>
      </c>
      <c r="J921" s="73"/>
      <c r="K921" s="28"/>
      <c r="L921" s="78"/>
      <c r="M921" s="31"/>
    </row>
    <row r="922" spans="1:13" ht="14.25" customHeight="1">
      <c r="A922" s="32">
        <v>44893</v>
      </c>
      <c r="B922" s="22">
        <v>166.58</v>
      </c>
      <c r="C922" s="23" t="s">
        <v>4</v>
      </c>
      <c r="D922" s="24">
        <v>72250.03</v>
      </c>
      <c r="E922" s="25">
        <v>831891</v>
      </c>
      <c r="F922" s="24">
        <f t="shared" si="0"/>
        <v>146.15</v>
      </c>
      <c r="G922" s="26">
        <f t="shared" si="1"/>
        <v>904141.03</v>
      </c>
      <c r="H922" s="27" t="str">
        <f t="shared" si="2"/>
        <v/>
      </c>
      <c r="J922" s="73"/>
      <c r="K922" s="28"/>
      <c r="L922" s="78"/>
      <c r="M922" s="31"/>
    </row>
    <row r="923" spans="1:13" ht="14.25" customHeight="1">
      <c r="A923" s="32">
        <v>44894</v>
      </c>
      <c r="B923" s="22">
        <v>2747.75</v>
      </c>
      <c r="C923" s="23" t="s">
        <v>4</v>
      </c>
      <c r="D923" s="24"/>
      <c r="E923" s="25"/>
      <c r="F923" s="24" t="str">
        <f t="shared" si="0"/>
        <v/>
      </c>
      <c r="G923" s="26" t="str">
        <f t="shared" si="1"/>
        <v/>
      </c>
      <c r="H923" s="27" t="str">
        <f t="shared" si="2"/>
        <v/>
      </c>
      <c r="J923" s="73"/>
      <c r="K923" s="28"/>
      <c r="L923" s="78"/>
      <c r="M923" s="31"/>
    </row>
    <row r="924" spans="1:13" ht="14.25" customHeight="1">
      <c r="A924" s="32">
        <v>44894</v>
      </c>
      <c r="B924" s="22">
        <v>190.79</v>
      </c>
      <c r="C924" s="23" t="s">
        <v>20</v>
      </c>
      <c r="D924" s="24"/>
      <c r="E924" s="25">
        <v>831891</v>
      </c>
      <c r="F924" s="24">
        <f t="shared" si="0"/>
        <v>134.47</v>
      </c>
      <c r="G924" s="26">
        <f t="shared" si="1"/>
        <v>831891</v>
      </c>
      <c r="H924" s="27" t="str">
        <f t="shared" si="2"/>
        <v/>
      </c>
      <c r="J924" s="73"/>
      <c r="K924" s="28"/>
      <c r="L924" s="78"/>
      <c r="M924" s="31"/>
    </row>
    <row r="925" spans="1:13" ht="14.25" customHeight="1">
      <c r="A925" s="32">
        <v>44895</v>
      </c>
      <c r="B925" s="22">
        <v>482.42</v>
      </c>
      <c r="C925" s="23" t="s">
        <v>4</v>
      </c>
      <c r="D925" s="24">
        <v>20670.98</v>
      </c>
      <c r="E925" s="25">
        <v>831891</v>
      </c>
      <c r="F925" s="24">
        <f t="shared" si="0"/>
        <v>137.81</v>
      </c>
      <c r="G925" s="26">
        <f t="shared" si="1"/>
        <v>852561.98</v>
      </c>
      <c r="H925" s="27" t="str">
        <f t="shared" si="2"/>
        <v/>
      </c>
      <c r="J925" s="73"/>
      <c r="K925" s="28"/>
      <c r="L925" s="78"/>
      <c r="M925" s="31"/>
    </row>
    <row r="926" spans="1:13" ht="14.25" customHeight="1">
      <c r="A926" s="32">
        <v>44896</v>
      </c>
      <c r="B926" s="22">
        <v>76</v>
      </c>
      <c r="C926" s="23" t="s">
        <v>361</v>
      </c>
      <c r="D926" s="24"/>
      <c r="E926" s="25"/>
      <c r="F926" s="24" t="str">
        <f t="shared" si="0"/>
        <v/>
      </c>
      <c r="G926" s="26" t="str">
        <f t="shared" si="1"/>
        <v/>
      </c>
      <c r="H926" s="27" t="str">
        <f t="shared" si="2"/>
        <v>Positional</v>
      </c>
      <c r="J926" s="73"/>
      <c r="K926" s="28"/>
      <c r="L926" s="78"/>
      <c r="M926" s="31"/>
    </row>
    <row r="927" spans="1:13" ht="14.25" customHeight="1">
      <c r="A927" s="32">
        <v>44896</v>
      </c>
      <c r="B927" s="22">
        <v>992.19</v>
      </c>
      <c r="C927" s="23" t="s">
        <v>4</v>
      </c>
      <c r="D927" s="24"/>
      <c r="E927" s="25"/>
      <c r="F927" s="24" t="str">
        <f t="shared" si="0"/>
        <v/>
      </c>
      <c r="G927" s="26" t="str">
        <f t="shared" si="1"/>
        <v/>
      </c>
      <c r="H927" s="27" t="str">
        <f t="shared" si="2"/>
        <v/>
      </c>
      <c r="J927" s="73"/>
      <c r="K927" s="28"/>
      <c r="L927" s="78"/>
      <c r="M927" s="31"/>
    </row>
    <row r="928" spans="1:13" ht="14.25" customHeight="1">
      <c r="A928" s="32">
        <v>44896</v>
      </c>
      <c r="B928" s="22">
        <v>0.24</v>
      </c>
      <c r="C928" s="34" t="s">
        <v>16</v>
      </c>
      <c r="D928" s="24">
        <v>7104.48</v>
      </c>
      <c r="E928" s="25">
        <v>826510</v>
      </c>
      <c r="F928" s="24">
        <f t="shared" si="0"/>
        <v>134.75</v>
      </c>
      <c r="G928" s="26">
        <f t="shared" si="1"/>
        <v>833614.48</v>
      </c>
      <c r="H928" s="27" t="str">
        <f t="shared" si="2"/>
        <v/>
      </c>
      <c r="J928" s="73"/>
      <c r="K928" s="28"/>
      <c r="L928" s="78"/>
      <c r="M928" s="31"/>
    </row>
    <row r="929" spans="1:13" ht="14.25" customHeight="1">
      <c r="A929" s="32">
        <v>44897</v>
      </c>
      <c r="B929" s="22">
        <v>1228</v>
      </c>
      <c r="C929" s="34" t="s">
        <v>362</v>
      </c>
      <c r="D929" s="24"/>
      <c r="E929" s="25"/>
      <c r="F929" s="24" t="str">
        <f t="shared" si="0"/>
        <v/>
      </c>
      <c r="G929" s="26" t="str">
        <f t="shared" si="1"/>
        <v/>
      </c>
      <c r="H929" s="27" t="str">
        <f t="shared" si="2"/>
        <v>Positional</v>
      </c>
      <c r="J929" s="73"/>
      <c r="K929" s="28"/>
      <c r="L929" s="78"/>
      <c r="M929" s="31"/>
    </row>
    <row r="930" spans="1:13" ht="14.25" customHeight="1">
      <c r="A930" s="32">
        <v>44897</v>
      </c>
      <c r="B930" s="22">
        <v>0.52</v>
      </c>
      <c r="C930" s="34" t="s">
        <v>16</v>
      </c>
      <c r="D930" s="24">
        <v>17478.07</v>
      </c>
      <c r="E930" s="25">
        <v>817349</v>
      </c>
      <c r="F930" s="24">
        <f t="shared" si="0"/>
        <v>404.83</v>
      </c>
      <c r="G930" s="26">
        <f t="shared" si="1"/>
        <v>2504481.21</v>
      </c>
      <c r="H930" s="27" t="str">
        <f t="shared" si="2"/>
        <v/>
      </c>
      <c r="J930" s="73"/>
      <c r="K930" s="28"/>
      <c r="L930" s="78"/>
      <c r="M930" s="31"/>
    </row>
    <row r="931" spans="1:13" ht="14.25" customHeight="1">
      <c r="A931" s="32">
        <v>44900</v>
      </c>
      <c r="B931" s="22">
        <v>181.29</v>
      </c>
      <c r="C931" s="23" t="s">
        <v>4</v>
      </c>
      <c r="D931" s="24">
        <v>10659.36</v>
      </c>
      <c r="E931" s="25">
        <v>817349</v>
      </c>
      <c r="F931" s="24">
        <f t="shared" si="0"/>
        <v>133.84</v>
      </c>
      <c r="G931" s="26">
        <f t="shared" si="1"/>
        <v>828008.36</v>
      </c>
      <c r="H931" s="27" t="str">
        <f t="shared" si="2"/>
        <v/>
      </c>
      <c r="J931" s="73"/>
      <c r="K931" s="28"/>
      <c r="L931" s="78"/>
      <c r="M931" s="31"/>
    </row>
    <row r="932" spans="1:13" ht="14.25" customHeight="1">
      <c r="A932" s="32">
        <v>44901</v>
      </c>
      <c r="B932" s="22">
        <v>103</v>
      </c>
      <c r="C932" s="23" t="s">
        <v>363</v>
      </c>
      <c r="D932" s="24"/>
      <c r="E932" s="25"/>
      <c r="F932" s="24" t="str">
        <f t="shared" si="0"/>
        <v/>
      </c>
      <c r="G932" s="26" t="str">
        <f t="shared" si="1"/>
        <v/>
      </c>
      <c r="H932" s="27" t="str">
        <f t="shared" si="2"/>
        <v>Positional</v>
      </c>
      <c r="J932" s="73"/>
      <c r="K932" s="28"/>
      <c r="L932" s="78"/>
      <c r="M932" s="31"/>
    </row>
    <row r="933" spans="1:13" ht="14.25" customHeight="1">
      <c r="A933" s="32">
        <v>44901</v>
      </c>
      <c r="B933" s="22">
        <v>-0.05</v>
      </c>
      <c r="C933" s="34" t="s">
        <v>16</v>
      </c>
      <c r="D933" s="24">
        <v>11667.39</v>
      </c>
      <c r="E933" s="25">
        <v>816428</v>
      </c>
      <c r="F933" s="24">
        <f t="shared" si="0"/>
        <v>133.86000000000001</v>
      </c>
      <c r="G933" s="26">
        <f t="shared" si="1"/>
        <v>828095.39</v>
      </c>
      <c r="H933" s="27" t="str">
        <f t="shared" si="2"/>
        <v/>
      </c>
      <c r="J933" s="73"/>
      <c r="K933" s="28"/>
      <c r="L933" s="78"/>
      <c r="M933" s="31"/>
    </row>
    <row r="934" spans="1:13" ht="14.25" customHeight="1">
      <c r="A934" s="32">
        <v>44902</v>
      </c>
      <c r="B934" s="22">
        <v>0</v>
      </c>
      <c r="C934" s="34" t="s">
        <v>16</v>
      </c>
      <c r="D934" s="24">
        <v>1667.39</v>
      </c>
      <c r="E934" s="25">
        <v>816428</v>
      </c>
      <c r="F934" s="24">
        <f t="shared" si="0"/>
        <v>132.24</v>
      </c>
      <c r="G934" s="26">
        <f t="shared" si="1"/>
        <v>818095.39</v>
      </c>
      <c r="H934" s="27" t="str">
        <f t="shared" si="2"/>
        <v/>
      </c>
      <c r="J934" s="73"/>
      <c r="K934" s="28"/>
      <c r="L934" s="78"/>
      <c r="M934" s="31"/>
    </row>
    <row r="935" spans="1:13" ht="14.25" customHeight="1">
      <c r="A935" s="32">
        <v>44903</v>
      </c>
      <c r="B935" s="22">
        <v>0.23</v>
      </c>
      <c r="C935" s="34" t="s">
        <v>16</v>
      </c>
      <c r="D935" s="24">
        <v>7807.69</v>
      </c>
      <c r="E935" s="25">
        <f>816428-6156</f>
        <v>810272</v>
      </c>
      <c r="F935" s="24">
        <f t="shared" si="0"/>
        <v>132.24</v>
      </c>
      <c r="G935" s="26">
        <f t="shared" si="1"/>
        <v>818079.69</v>
      </c>
      <c r="H935" s="27" t="str">
        <f t="shared" si="2"/>
        <v/>
      </c>
      <c r="J935" s="73"/>
      <c r="K935" s="28"/>
      <c r="L935" s="78"/>
      <c r="M935" s="31"/>
    </row>
    <row r="936" spans="1:13" ht="14.25" customHeight="1">
      <c r="A936" s="32">
        <v>44904</v>
      </c>
      <c r="B936" s="22">
        <v>99</v>
      </c>
      <c r="C936" s="34" t="s">
        <v>364</v>
      </c>
      <c r="D936" s="24"/>
      <c r="E936" s="25"/>
      <c r="F936" s="24" t="str">
        <f t="shared" si="0"/>
        <v/>
      </c>
      <c r="G936" s="26" t="str">
        <f t="shared" si="1"/>
        <v/>
      </c>
      <c r="H936" s="27" t="str">
        <f t="shared" si="2"/>
        <v>Positional</v>
      </c>
      <c r="J936" s="73"/>
      <c r="K936" s="28"/>
      <c r="L936" s="78"/>
      <c r="M936" s="31"/>
    </row>
    <row r="937" spans="1:13" ht="14.25" customHeight="1">
      <c r="A937" s="32">
        <v>44904</v>
      </c>
      <c r="B937" s="22">
        <v>-0.27</v>
      </c>
      <c r="C937" s="34" t="s">
        <v>16</v>
      </c>
      <c r="D937" s="24">
        <v>1750.42</v>
      </c>
      <c r="E937" s="25">
        <v>816428</v>
      </c>
      <c r="F937" s="24">
        <f t="shared" si="0"/>
        <v>396.76</v>
      </c>
      <c r="G937" s="26">
        <f t="shared" si="1"/>
        <v>2454535.2600000002</v>
      </c>
      <c r="H937" s="27" t="str">
        <f t="shared" si="2"/>
        <v/>
      </c>
      <c r="J937" s="73"/>
      <c r="K937" s="28"/>
      <c r="L937" s="78"/>
      <c r="M937" s="31"/>
    </row>
    <row r="938" spans="1:13" ht="14.25" customHeight="1">
      <c r="A938" s="32">
        <v>44907</v>
      </c>
      <c r="B938" s="22">
        <v>225</v>
      </c>
      <c r="C938" s="34" t="s">
        <v>365</v>
      </c>
      <c r="D938" s="24"/>
      <c r="E938" s="25"/>
      <c r="F938" s="24" t="str">
        <f t="shared" si="0"/>
        <v/>
      </c>
      <c r="G938" s="26" t="str">
        <f t="shared" si="1"/>
        <v/>
      </c>
      <c r="H938" s="27" t="str">
        <f t="shared" si="2"/>
        <v>Positional</v>
      </c>
      <c r="J938" s="73"/>
      <c r="K938" s="28"/>
      <c r="L938" s="78"/>
      <c r="M938" s="31"/>
    </row>
    <row r="939" spans="1:13" ht="14.25" customHeight="1">
      <c r="A939" s="32">
        <v>44907</v>
      </c>
      <c r="B939" s="22">
        <v>231</v>
      </c>
      <c r="C939" s="34" t="s">
        <v>366</v>
      </c>
      <c r="D939" s="24"/>
      <c r="E939" s="25"/>
      <c r="F939" s="24" t="str">
        <f t="shared" si="0"/>
        <v/>
      </c>
      <c r="G939" s="26" t="str">
        <f t="shared" si="1"/>
        <v/>
      </c>
      <c r="H939" s="27" t="str">
        <f t="shared" si="2"/>
        <v>Positional</v>
      </c>
      <c r="J939" s="73"/>
      <c r="K939" s="28"/>
      <c r="L939" s="78"/>
      <c r="M939" s="31"/>
    </row>
    <row r="940" spans="1:13" ht="14.25" customHeight="1">
      <c r="A940" s="32">
        <v>44907</v>
      </c>
      <c r="B940" s="22">
        <v>-0.49</v>
      </c>
      <c r="C940" s="34" t="s">
        <v>16</v>
      </c>
      <c r="D940" s="24">
        <v>14390.07</v>
      </c>
      <c r="E940" s="25">
        <v>804212</v>
      </c>
      <c r="F940" s="24">
        <f t="shared" si="0"/>
        <v>264.64</v>
      </c>
      <c r="G940" s="26">
        <f t="shared" si="1"/>
        <v>1637204.14</v>
      </c>
      <c r="H940" s="27" t="str">
        <f t="shared" si="2"/>
        <v/>
      </c>
      <c r="J940" s="73"/>
      <c r="K940" s="28"/>
      <c r="L940" s="78"/>
      <c r="M940" s="31"/>
    </row>
    <row r="941" spans="1:13" ht="14.25" customHeight="1">
      <c r="A941" s="32">
        <v>44909</v>
      </c>
      <c r="B941" s="22">
        <v>145</v>
      </c>
      <c r="C941" s="34" t="s">
        <v>367</v>
      </c>
      <c r="D941" s="24"/>
      <c r="E941" s="25"/>
      <c r="F941" s="24" t="str">
        <f t="shared" si="0"/>
        <v/>
      </c>
      <c r="G941" s="26" t="str">
        <f t="shared" si="1"/>
        <v/>
      </c>
      <c r="H941" s="27" t="str">
        <f t="shared" si="2"/>
        <v>Positional</v>
      </c>
      <c r="J941" s="73"/>
      <c r="K941" s="28"/>
      <c r="L941" s="78"/>
      <c r="M941" s="31"/>
    </row>
    <row r="942" spans="1:13" ht="14.25" customHeight="1">
      <c r="A942" s="32">
        <v>44909</v>
      </c>
      <c r="B942" s="22">
        <v>-0.76</v>
      </c>
      <c r="C942" s="34" t="s">
        <v>16</v>
      </c>
      <c r="D942" s="24">
        <v>30817.88</v>
      </c>
      <c r="E942" s="25">
        <v>787824</v>
      </c>
      <c r="F942" s="24">
        <f t="shared" si="0"/>
        <v>132.33000000000001</v>
      </c>
      <c r="G942" s="26">
        <f t="shared" si="1"/>
        <v>818641.88</v>
      </c>
      <c r="H942" s="27" t="str">
        <f t="shared" si="2"/>
        <v/>
      </c>
      <c r="J942" s="73"/>
      <c r="K942" s="28"/>
      <c r="L942" s="78"/>
      <c r="M942" s="31"/>
    </row>
    <row r="943" spans="1:13" ht="14.25" customHeight="1">
      <c r="A943" s="32">
        <v>44910</v>
      </c>
      <c r="B943" s="22">
        <v>0</v>
      </c>
      <c r="C943" s="34" t="s">
        <v>16</v>
      </c>
      <c r="D943" s="24">
        <v>16817.88</v>
      </c>
      <c r="E943" s="25">
        <v>787824</v>
      </c>
      <c r="F943" s="24">
        <f t="shared" si="0"/>
        <v>650.33000000000004</v>
      </c>
      <c r="G943" s="26">
        <f t="shared" si="1"/>
        <v>4023209.4</v>
      </c>
      <c r="H943" s="27" t="str">
        <f t="shared" si="2"/>
        <v/>
      </c>
      <c r="J943" s="73"/>
      <c r="K943" s="28"/>
      <c r="L943" s="78"/>
      <c r="M943" s="31"/>
    </row>
    <row r="944" spans="1:13" ht="14.25" customHeight="1">
      <c r="A944" s="32">
        <v>44915</v>
      </c>
      <c r="B944" s="22">
        <v>29.38</v>
      </c>
      <c r="C944" s="34" t="s">
        <v>20</v>
      </c>
      <c r="D944" s="24">
        <v>1847.25</v>
      </c>
      <c r="E944" s="25">
        <f>787824+14994</f>
        <v>802818</v>
      </c>
      <c r="F944" s="24">
        <f t="shared" si="0"/>
        <v>910.48</v>
      </c>
      <c r="G944" s="26">
        <f t="shared" si="1"/>
        <v>5632656.75</v>
      </c>
      <c r="H944" s="27" t="str">
        <f t="shared" si="2"/>
        <v/>
      </c>
      <c r="J944" s="73"/>
      <c r="K944" s="28"/>
      <c r="L944" s="78"/>
      <c r="M944" s="31"/>
    </row>
    <row r="945" spans="1:13" ht="14.25" customHeight="1">
      <c r="A945" s="32">
        <v>44922</v>
      </c>
      <c r="B945" s="22">
        <v>0</v>
      </c>
      <c r="C945" s="34" t="s">
        <v>16</v>
      </c>
      <c r="D945" s="24">
        <v>1847.25</v>
      </c>
      <c r="E945" s="25">
        <v>817638</v>
      </c>
      <c r="F945" s="24">
        <f t="shared" si="0"/>
        <v>397.39</v>
      </c>
      <c r="G945" s="26">
        <f t="shared" si="1"/>
        <v>2458455.75</v>
      </c>
      <c r="H945" s="27" t="str">
        <f t="shared" si="2"/>
        <v/>
      </c>
      <c r="J945" s="73"/>
      <c r="K945" s="28"/>
      <c r="L945" s="78"/>
      <c r="M945" s="31"/>
    </row>
    <row r="946" spans="1:13" ht="14.25" customHeight="1">
      <c r="A946" s="32">
        <v>44925</v>
      </c>
      <c r="B946" s="22">
        <v>-0.27</v>
      </c>
      <c r="C946" s="34" t="s">
        <v>16</v>
      </c>
      <c r="D946" s="24">
        <v>7950.06</v>
      </c>
      <c r="E946" s="25">
        <v>817638</v>
      </c>
      <c r="F946" s="24">
        <f t="shared" si="0"/>
        <v>400.35</v>
      </c>
      <c r="G946" s="26">
        <f t="shared" si="1"/>
        <v>2476764.1800000002</v>
      </c>
      <c r="H946" s="27" t="str">
        <f t="shared" si="2"/>
        <v/>
      </c>
      <c r="J946" s="73"/>
      <c r="K946" s="28"/>
      <c r="L946" s="78"/>
      <c r="M946" s="31"/>
    </row>
    <row r="947" spans="1:13" ht="14.25" customHeight="1">
      <c r="A947" s="32">
        <v>44928</v>
      </c>
      <c r="B947" s="22">
        <v>24.72</v>
      </c>
      <c r="C947" s="34" t="s">
        <v>20</v>
      </c>
      <c r="D947" s="24"/>
      <c r="E947" s="25"/>
      <c r="F947" s="24" t="str">
        <f t="shared" si="0"/>
        <v/>
      </c>
      <c r="G947" s="26" t="str">
        <f t="shared" si="1"/>
        <v/>
      </c>
      <c r="H947" s="27" t="str">
        <f t="shared" si="2"/>
        <v/>
      </c>
      <c r="J947" s="73"/>
      <c r="K947" s="28"/>
      <c r="L947" s="78"/>
      <c r="M947" s="31"/>
    </row>
    <row r="948" spans="1:13" ht="14.25" customHeight="1">
      <c r="A948" s="32">
        <v>44928</v>
      </c>
      <c r="B948" s="22">
        <v>0</v>
      </c>
      <c r="C948" s="34" t="s">
        <v>16</v>
      </c>
      <c r="D948" s="24">
        <v>4182.84</v>
      </c>
      <c r="E948" s="25">
        <v>827957</v>
      </c>
      <c r="F948" s="24">
        <f t="shared" si="0"/>
        <v>269.02</v>
      </c>
      <c r="G948" s="26">
        <f t="shared" si="1"/>
        <v>1664279.68</v>
      </c>
      <c r="H948" s="27" t="str">
        <f t="shared" si="2"/>
        <v/>
      </c>
      <c r="J948" s="73"/>
      <c r="K948" s="28"/>
      <c r="L948" s="78"/>
      <c r="M948" s="31"/>
    </row>
    <row r="949" spans="1:13" ht="14.25" customHeight="1">
      <c r="A949" s="32">
        <v>44930</v>
      </c>
      <c r="B949" s="22">
        <v>47</v>
      </c>
      <c r="C949" s="34" t="s">
        <v>276</v>
      </c>
      <c r="D949" s="24"/>
      <c r="E949" s="25"/>
      <c r="F949" s="24" t="str">
        <f t="shared" si="0"/>
        <v/>
      </c>
      <c r="G949" s="26" t="str">
        <f t="shared" si="1"/>
        <v/>
      </c>
      <c r="H949" s="27" t="str">
        <f t="shared" si="2"/>
        <v>Positional</v>
      </c>
      <c r="J949" s="73"/>
      <c r="K949" s="28"/>
      <c r="L949" s="78"/>
      <c r="M949" s="31"/>
    </row>
    <row r="950" spans="1:13" ht="14.25" customHeight="1">
      <c r="A950" s="32">
        <v>44930</v>
      </c>
      <c r="B950" s="22">
        <v>0.39</v>
      </c>
      <c r="C950" s="34" t="s">
        <v>16</v>
      </c>
      <c r="D950" s="24">
        <v>2033.23</v>
      </c>
      <c r="E950" s="25">
        <v>827957</v>
      </c>
      <c r="F950" s="24">
        <f t="shared" si="0"/>
        <v>402.49</v>
      </c>
      <c r="G950" s="26">
        <f t="shared" si="1"/>
        <v>2489970.69</v>
      </c>
      <c r="H950" s="27" t="str">
        <f t="shared" si="2"/>
        <v/>
      </c>
      <c r="J950" s="73"/>
      <c r="K950" s="28"/>
      <c r="L950" s="78"/>
      <c r="M950" s="31"/>
    </row>
    <row r="951" spans="1:13" ht="14.25" customHeight="1">
      <c r="A951" s="32">
        <v>44933</v>
      </c>
      <c r="B951" s="22">
        <v>0</v>
      </c>
      <c r="C951" s="34" t="s">
        <v>16</v>
      </c>
      <c r="D951" s="24">
        <v>0</v>
      </c>
      <c r="E951" s="25">
        <v>827957</v>
      </c>
      <c r="F951" s="24">
        <f t="shared" si="0"/>
        <v>133.83000000000001</v>
      </c>
      <c r="G951" s="26">
        <f t="shared" si="1"/>
        <v>827957</v>
      </c>
      <c r="H951" s="27" t="str">
        <f t="shared" si="2"/>
        <v/>
      </c>
      <c r="J951" s="73"/>
      <c r="K951" s="28"/>
      <c r="L951" s="78"/>
      <c r="M951" s="31"/>
    </row>
    <row r="952" spans="1:13" ht="14.25" customHeight="1">
      <c r="A952" s="32">
        <v>44934</v>
      </c>
      <c r="B952" s="22">
        <v>0</v>
      </c>
      <c r="C952" s="34" t="s">
        <v>16</v>
      </c>
      <c r="D952" s="24">
        <v>2033</v>
      </c>
      <c r="E952" s="25">
        <v>827957</v>
      </c>
      <c r="F952" s="24">
        <f t="shared" si="0"/>
        <v>670.81</v>
      </c>
      <c r="G952" s="26">
        <f t="shared" si="1"/>
        <v>4149950</v>
      </c>
      <c r="H952" s="27" t="str">
        <f t="shared" si="2"/>
        <v/>
      </c>
      <c r="J952" s="73"/>
      <c r="K952" s="28"/>
      <c r="L952" s="78"/>
      <c r="M952" s="31"/>
    </row>
    <row r="953" spans="1:13" ht="14.25" customHeight="1">
      <c r="A953" s="32">
        <v>44939</v>
      </c>
      <c r="B953" s="22">
        <v>538</v>
      </c>
      <c r="C953" s="34" t="s">
        <v>382</v>
      </c>
      <c r="D953" s="24"/>
      <c r="E953" s="25"/>
      <c r="F953" s="24" t="str">
        <f t="shared" si="0"/>
        <v/>
      </c>
      <c r="G953" s="26" t="str">
        <f t="shared" si="1"/>
        <v/>
      </c>
      <c r="H953" s="27" t="str">
        <f t="shared" si="2"/>
        <v>Positional</v>
      </c>
      <c r="J953" s="73"/>
      <c r="K953" s="28"/>
      <c r="L953" s="78"/>
      <c r="M953" s="31"/>
    </row>
    <row r="954" spans="1:13" ht="14.25" customHeight="1">
      <c r="A954" s="32">
        <v>44939</v>
      </c>
      <c r="B954" s="22">
        <v>-1.1000000000000001</v>
      </c>
      <c r="C954" s="34" t="s">
        <v>16</v>
      </c>
      <c r="D954" s="24">
        <v>59974.98</v>
      </c>
      <c r="E954" s="25">
        <v>817638</v>
      </c>
      <c r="F954" s="24">
        <f t="shared" si="0"/>
        <v>425.58</v>
      </c>
      <c r="G954" s="26">
        <f t="shared" si="1"/>
        <v>2632838.94</v>
      </c>
      <c r="H954" s="27" t="str">
        <f t="shared" si="2"/>
        <v/>
      </c>
      <c r="J954" s="73"/>
      <c r="K954" s="28"/>
      <c r="L954" s="78"/>
      <c r="M954" s="31"/>
    </row>
    <row r="955" spans="1:13" ht="14.25" customHeight="1">
      <c r="A955" s="32">
        <v>44942</v>
      </c>
      <c r="B955" s="22">
        <v>18</v>
      </c>
      <c r="C955" s="34" t="s">
        <v>120</v>
      </c>
      <c r="D955" s="24"/>
      <c r="E955" s="25"/>
      <c r="F955" s="24" t="str">
        <f t="shared" si="0"/>
        <v/>
      </c>
      <c r="G955" s="26" t="str">
        <f t="shared" si="1"/>
        <v/>
      </c>
      <c r="H955" s="27" t="str">
        <f t="shared" si="2"/>
        <v>Positional</v>
      </c>
      <c r="J955" s="73"/>
      <c r="K955" s="28"/>
      <c r="L955" s="78"/>
      <c r="M955" s="31"/>
    </row>
    <row r="956" spans="1:13" ht="14.25" customHeight="1">
      <c r="A956" s="32">
        <v>44942</v>
      </c>
      <c r="B956" s="22">
        <v>0.08</v>
      </c>
      <c r="C956" s="34" t="s">
        <v>16</v>
      </c>
      <c r="D956" s="24">
        <v>74971.13</v>
      </c>
      <c r="E956" s="25">
        <v>802644</v>
      </c>
      <c r="F956" s="24">
        <f t="shared" si="0"/>
        <v>141.86000000000001</v>
      </c>
      <c r="G956" s="26">
        <f t="shared" si="1"/>
        <v>877615.13</v>
      </c>
      <c r="H956" s="27" t="str">
        <f t="shared" si="2"/>
        <v/>
      </c>
      <c r="J956" s="73"/>
      <c r="K956" s="28"/>
      <c r="L956" s="78"/>
      <c r="M956" s="31"/>
    </row>
    <row r="957" spans="1:13" ht="14.25" customHeight="1">
      <c r="A957" s="32">
        <v>44943</v>
      </c>
      <c r="B957" s="22">
        <v>80</v>
      </c>
      <c r="C957" s="34" t="s">
        <v>20</v>
      </c>
      <c r="D957" s="24"/>
      <c r="E957" s="25"/>
      <c r="F957" s="24" t="str">
        <f t="shared" si="0"/>
        <v/>
      </c>
      <c r="G957" s="26" t="str">
        <f t="shared" si="1"/>
        <v/>
      </c>
      <c r="H957" s="27" t="str">
        <f t="shared" si="2"/>
        <v/>
      </c>
      <c r="J957" s="73"/>
      <c r="K957" s="28"/>
      <c r="L957" s="78"/>
      <c r="M957" s="31"/>
    </row>
    <row r="958" spans="1:13" ht="14.25" customHeight="1">
      <c r="A958" s="32">
        <v>44943</v>
      </c>
      <c r="B958" s="22">
        <f>117+180</f>
        <v>297</v>
      </c>
      <c r="C958" s="34" t="s">
        <v>371</v>
      </c>
      <c r="D958" s="24"/>
      <c r="E958" s="25"/>
      <c r="F958" s="24" t="str">
        <f t="shared" si="0"/>
        <v/>
      </c>
      <c r="G958" s="26" t="str">
        <f t="shared" si="1"/>
        <v/>
      </c>
      <c r="H958" s="27" t="str">
        <f t="shared" si="2"/>
        <v>Positional</v>
      </c>
      <c r="J958" s="73"/>
      <c r="K958" s="28"/>
      <c r="L958" s="78"/>
      <c r="M958" s="31"/>
    </row>
    <row r="959" spans="1:13" ht="14.25" customHeight="1">
      <c r="A959" s="32">
        <v>44943</v>
      </c>
      <c r="B959" s="22">
        <v>-2.33</v>
      </c>
      <c r="C959" s="34" t="s">
        <v>16</v>
      </c>
      <c r="D959" s="24">
        <v>31657.87</v>
      </c>
      <c r="E959" s="25">
        <v>846316</v>
      </c>
      <c r="F959" s="24">
        <f t="shared" si="0"/>
        <v>141.91999999999999</v>
      </c>
      <c r="G959" s="26">
        <f t="shared" si="1"/>
        <v>877973.87</v>
      </c>
      <c r="H959" s="27" t="str">
        <f t="shared" si="2"/>
        <v/>
      </c>
      <c r="J959" s="73"/>
      <c r="K959" s="28"/>
      <c r="L959" s="78"/>
      <c r="M959" s="31"/>
    </row>
    <row r="960" spans="1:13" ht="14.25" customHeight="1">
      <c r="A960" s="32">
        <v>44944</v>
      </c>
      <c r="B960" s="22">
        <v>-0.97</v>
      </c>
      <c r="C960" s="34" t="s">
        <v>16</v>
      </c>
      <c r="D960" s="24">
        <v>40306.97</v>
      </c>
      <c r="E960" s="25">
        <v>853424</v>
      </c>
      <c r="F960" s="24">
        <f t="shared" si="0"/>
        <v>288.93</v>
      </c>
      <c r="G960" s="26">
        <f t="shared" si="1"/>
        <v>1787461.94</v>
      </c>
      <c r="H960" s="27" t="str">
        <f t="shared" si="2"/>
        <v/>
      </c>
      <c r="J960" s="73"/>
      <c r="K960" s="28"/>
      <c r="L960" s="78"/>
      <c r="M960" s="31"/>
    </row>
    <row r="961" spans="1:13" ht="14.25" customHeight="1">
      <c r="A961" s="32">
        <v>44946</v>
      </c>
      <c r="B961" s="22">
        <v>288</v>
      </c>
      <c r="C961" s="34" t="s">
        <v>373</v>
      </c>
      <c r="D961" s="24"/>
      <c r="E961" s="25"/>
      <c r="F961" s="24" t="str">
        <f t="shared" si="0"/>
        <v/>
      </c>
      <c r="G961" s="26" t="str">
        <f t="shared" si="1"/>
        <v/>
      </c>
      <c r="H961" s="27" t="str">
        <f t="shared" si="2"/>
        <v>Positional</v>
      </c>
      <c r="J961" s="73"/>
      <c r="K961" s="28"/>
      <c r="L961" s="78"/>
      <c r="M961" s="31"/>
    </row>
    <row r="962" spans="1:13" ht="14.25" customHeight="1">
      <c r="A962" s="32">
        <v>44946</v>
      </c>
      <c r="B962" s="22">
        <v>-0.27</v>
      </c>
      <c r="C962" s="34" t="s">
        <v>16</v>
      </c>
      <c r="D962" s="24">
        <v>46294.78</v>
      </c>
      <c r="E962" s="25">
        <v>847708</v>
      </c>
      <c r="F962" s="24">
        <f t="shared" si="0"/>
        <v>433.53</v>
      </c>
      <c r="G962" s="26">
        <f t="shared" si="1"/>
        <v>2682008.34</v>
      </c>
      <c r="H962" s="27" t="str">
        <f t="shared" si="2"/>
        <v/>
      </c>
      <c r="J962" s="73"/>
      <c r="K962" s="28"/>
      <c r="L962" s="78"/>
      <c r="M962" s="31"/>
    </row>
    <row r="963" spans="1:13" ht="14.25" customHeight="1">
      <c r="A963" s="32">
        <v>44949</v>
      </c>
      <c r="B963" s="22">
        <v>236</v>
      </c>
      <c r="C963" s="34" t="s">
        <v>372</v>
      </c>
      <c r="D963" s="24"/>
      <c r="E963" s="25"/>
      <c r="F963" s="24" t="str">
        <f t="shared" si="0"/>
        <v/>
      </c>
      <c r="G963" s="26" t="str">
        <f t="shared" si="1"/>
        <v/>
      </c>
      <c r="H963" s="27" t="str">
        <f t="shared" si="2"/>
        <v>Positional</v>
      </c>
      <c r="J963" s="73"/>
      <c r="K963" s="28"/>
      <c r="L963" s="78"/>
      <c r="M963" s="31"/>
    </row>
    <row r="964" spans="1:13" ht="14.25" customHeight="1">
      <c r="A964" s="32">
        <v>44949</v>
      </c>
      <c r="B964" s="22">
        <v>663</v>
      </c>
      <c r="C964" s="34" t="s">
        <v>374</v>
      </c>
      <c r="D964" s="24"/>
      <c r="E964" s="25"/>
      <c r="F964" s="24" t="str">
        <f t="shared" si="0"/>
        <v/>
      </c>
      <c r="G964" s="26" t="str">
        <f t="shared" si="1"/>
        <v/>
      </c>
      <c r="H964" s="27" t="str">
        <f t="shared" si="2"/>
        <v>Positional</v>
      </c>
      <c r="J964" s="73"/>
      <c r="K964" s="28"/>
      <c r="L964" s="78"/>
      <c r="M964" s="31"/>
    </row>
    <row r="965" spans="1:13" ht="14.25" customHeight="1">
      <c r="A965" s="32">
        <v>44949</v>
      </c>
      <c r="B965" s="22">
        <v>-0.15</v>
      </c>
      <c r="C965" s="34" t="s">
        <v>16</v>
      </c>
      <c r="D965" s="24">
        <v>44157.69</v>
      </c>
      <c r="E965" s="25">
        <v>834954</v>
      </c>
      <c r="F965" s="24">
        <f t="shared" si="0"/>
        <v>142.1</v>
      </c>
      <c r="G965" s="26">
        <f t="shared" si="1"/>
        <v>879111.69</v>
      </c>
      <c r="H965" s="27" t="str">
        <f t="shared" si="2"/>
        <v/>
      </c>
      <c r="J965" s="73"/>
      <c r="K965" s="28"/>
      <c r="L965" s="78"/>
      <c r="M965" s="31"/>
    </row>
    <row r="966" spans="1:13" ht="14.25" customHeight="1">
      <c r="A966" s="32">
        <v>44950</v>
      </c>
      <c r="B966" s="22">
        <v>397</v>
      </c>
      <c r="C966" s="34" t="s">
        <v>375</v>
      </c>
      <c r="D966" s="24"/>
      <c r="E966" s="25"/>
      <c r="F966" s="24" t="str">
        <f t="shared" si="0"/>
        <v/>
      </c>
      <c r="G966" s="26" t="str">
        <f t="shared" si="1"/>
        <v/>
      </c>
      <c r="H966" s="27" t="str">
        <f t="shared" si="2"/>
        <v>Positional</v>
      </c>
      <c r="J966" s="73"/>
      <c r="K966" s="28"/>
      <c r="L966" s="78"/>
      <c r="M966" s="31"/>
    </row>
    <row r="967" spans="1:13" ht="14.25" customHeight="1">
      <c r="A967" s="32">
        <v>44950</v>
      </c>
      <c r="B967" s="22">
        <v>312</v>
      </c>
      <c r="C967" s="34" t="s">
        <v>292</v>
      </c>
      <c r="D967" s="24"/>
      <c r="E967" s="25"/>
      <c r="F967" s="24" t="str">
        <f t="shared" si="0"/>
        <v/>
      </c>
      <c r="G967" s="26" t="str">
        <f t="shared" si="1"/>
        <v/>
      </c>
      <c r="H967" s="27" t="str">
        <f t="shared" si="2"/>
        <v>Positional</v>
      </c>
      <c r="J967" s="73"/>
      <c r="K967" s="28"/>
      <c r="L967" s="78"/>
      <c r="M967" s="31"/>
    </row>
    <row r="968" spans="1:13" ht="14.25" customHeight="1">
      <c r="A968" s="32">
        <v>44950</v>
      </c>
      <c r="B968" s="22">
        <v>-0.28999999999999998</v>
      </c>
      <c r="C968" s="34" t="s">
        <v>16</v>
      </c>
      <c r="D968" s="24">
        <v>14418.47</v>
      </c>
      <c r="E968" s="25">
        <v>818284</v>
      </c>
      <c r="F968" s="24">
        <f t="shared" si="0"/>
        <v>403.8</v>
      </c>
      <c r="G968" s="26">
        <f t="shared" si="1"/>
        <v>2498107.41</v>
      </c>
      <c r="H968" s="27" t="str">
        <f t="shared" si="2"/>
        <v/>
      </c>
      <c r="J968" s="73"/>
      <c r="K968" s="28"/>
      <c r="L968" s="78"/>
      <c r="M968" s="31"/>
    </row>
    <row r="969" spans="1:13" ht="14.25" customHeight="1">
      <c r="A969" s="32">
        <v>44953</v>
      </c>
      <c r="B969" s="22">
        <v>62</v>
      </c>
      <c r="C969" s="34" t="s">
        <v>364</v>
      </c>
      <c r="D969" s="24"/>
      <c r="E969" s="25"/>
      <c r="F969" s="24" t="str">
        <f t="shared" si="0"/>
        <v/>
      </c>
      <c r="G969" s="26" t="str">
        <f t="shared" si="1"/>
        <v/>
      </c>
      <c r="H969" s="27" t="str">
        <f t="shared" si="2"/>
        <v>Positional</v>
      </c>
      <c r="J969" s="73"/>
      <c r="K969" s="28"/>
      <c r="L969" s="78"/>
      <c r="M969" s="31"/>
    </row>
    <row r="970" spans="1:13" ht="14.25" customHeight="1">
      <c r="A970" s="32">
        <v>44953</v>
      </c>
      <c r="B970" s="22">
        <v>-0.4</v>
      </c>
      <c r="C970" s="34" t="s">
        <v>16</v>
      </c>
      <c r="D970" s="24">
        <v>4366.07</v>
      </c>
      <c r="E970" s="25">
        <v>822279</v>
      </c>
      <c r="F970" s="24">
        <f t="shared" si="0"/>
        <v>400.87</v>
      </c>
      <c r="G970" s="26">
        <f t="shared" si="1"/>
        <v>2479935.21</v>
      </c>
      <c r="H970" s="27" t="str">
        <f t="shared" si="2"/>
        <v/>
      </c>
      <c r="J970" s="73"/>
      <c r="K970" s="28"/>
      <c r="L970" s="78"/>
      <c r="M970" s="31"/>
    </row>
    <row r="971" spans="1:13" ht="14.25" customHeight="1">
      <c r="A971" s="32">
        <v>44956</v>
      </c>
      <c r="B971" s="22">
        <v>28</v>
      </c>
      <c r="C971" s="34" t="s">
        <v>143</v>
      </c>
      <c r="D971" s="24"/>
      <c r="E971" s="25"/>
      <c r="F971" s="24" t="str">
        <f t="shared" si="0"/>
        <v/>
      </c>
      <c r="G971" s="26" t="str">
        <f t="shared" si="1"/>
        <v/>
      </c>
      <c r="H971" s="27" t="str">
        <f t="shared" si="2"/>
        <v>Positional</v>
      </c>
      <c r="J971" s="73"/>
      <c r="K971" s="28"/>
      <c r="L971" s="78"/>
      <c r="M971" s="31"/>
    </row>
    <row r="972" spans="1:13" ht="14.25" customHeight="1">
      <c r="A972" s="32">
        <v>44956</v>
      </c>
      <c r="B972" s="22">
        <v>0.35</v>
      </c>
      <c r="C972" s="34" t="s">
        <v>16</v>
      </c>
      <c r="D972" s="24">
        <v>48.41</v>
      </c>
      <c r="E972" s="25">
        <v>822279</v>
      </c>
      <c r="F972" s="24">
        <f t="shared" si="0"/>
        <v>930.47</v>
      </c>
      <c r="G972" s="26">
        <f t="shared" si="1"/>
        <v>5756291.8700000001</v>
      </c>
      <c r="H972" s="27" t="str">
        <f t="shared" si="2"/>
        <v/>
      </c>
      <c r="J972" s="73"/>
      <c r="K972" s="28"/>
      <c r="L972" s="78"/>
      <c r="M972" s="31"/>
    </row>
    <row r="973" spans="1:13" ht="14.25" customHeight="1">
      <c r="A973" s="32">
        <v>44963</v>
      </c>
      <c r="B973" s="22">
        <v>0.41</v>
      </c>
      <c r="C973" s="34" t="s">
        <v>16</v>
      </c>
      <c r="D973" s="24">
        <v>221.82</v>
      </c>
      <c r="E973" s="25">
        <v>824106</v>
      </c>
      <c r="F973" s="24">
        <f t="shared" si="0"/>
        <v>3730.93</v>
      </c>
      <c r="G973" s="26">
        <f t="shared" si="1"/>
        <v>23081178.959999997</v>
      </c>
      <c r="H973" s="27" t="str">
        <f t="shared" si="2"/>
        <v/>
      </c>
      <c r="J973" s="73"/>
      <c r="K973" s="28"/>
      <c r="L973" s="78"/>
      <c r="M973" s="31"/>
    </row>
    <row r="974" spans="1:13" ht="14.25" customHeight="1">
      <c r="A974" s="32">
        <v>44991</v>
      </c>
      <c r="B974" s="22">
        <v>-0.72</v>
      </c>
      <c r="C974" s="34" t="s">
        <v>16</v>
      </c>
      <c r="D974" s="24">
        <v>4876.16</v>
      </c>
      <c r="E974" s="25">
        <v>824106</v>
      </c>
      <c r="F974" s="24">
        <f t="shared" si="0"/>
        <v>268</v>
      </c>
      <c r="G974" s="26">
        <f t="shared" si="1"/>
        <v>1657964.32</v>
      </c>
      <c r="H974" s="27" t="str">
        <f t="shared" si="2"/>
        <v/>
      </c>
      <c r="J974" s="73"/>
      <c r="K974" s="28"/>
      <c r="L974" s="78"/>
      <c r="M974" s="31"/>
    </row>
    <row r="975" spans="1:13" ht="14.25" customHeight="1">
      <c r="A975" s="32">
        <v>44993</v>
      </c>
      <c r="B975" s="22">
        <v>-0.26</v>
      </c>
      <c r="C975" s="34" t="s">
        <v>16</v>
      </c>
      <c r="D975" s="24">
        <v>10422.969999999999</v>
      </c>
      <c r="E975" s="25">
        <v>824106</v>
      </c>
      <c r="F975" s="24">
        <f t="shared" si="0"/>
        <v>134.9</v>
      </c>
      <c r="G975" s="26">
        <f t="shared" si="1"/>
        <v>834528.97</v>
      </c>
      <c r="H975" s="27" t="str">
        <f t="shared" si="2"/>
        <v/>
      </c>
      <c r="J975" s="73"/>
      <c r="K975" s="28"/>
      <c r="L975" s="78"/>
      <c r="M975" s="31"/>
    </row>
    <row r="976" spans="1:13" ht="14.25" customHeight="1">
      <c r="A976" s="32">
        <v>44994</v>
      </c>
      <c r="B976" s="22">
        <v>56</v>
      </c>
      <c r="C976" s="34" t="s">
        <v>377</v>
      </c>
      <c r="D976" s="24"/>
      <c r="E976" s="25"/>
      <c r="F976" s="24" t="str">
        <f t="shared" si="0"/>
        <v/>
      </c>
      <c r="G976" s="26" t="str">
        <f t="shared" si="1"/>
        <v/>
      </c>
      <c r="H976" s="27" t="str">
        <f t="shared" si="2"/>
        <v>Positional</v>
      </c>
      <c r="J976" s="73"/>
      <c r="K976" s="28"/>
      <c r="L976" s="78"/>
      <c r="M976" s="31"/>
    </row>
    <row r="977" spans="1:14" ht="14.25" customHeight="1">
      <c r="A977" s="32">
        <v>44994</v>
      </c>
      <c r="B977" s="22">
        <v>-0.24</v>
      </c>
      <c r="C977" s="34" t="s">
        <v>16</v>
      </c>
      <c r="D977" s="24">
        <v>4915.7299999999996</v>
      </c>
      <c r="E977" s="25">
        <v>824106</v>
      </c>
      <c r="F977" s="24">
        <f t="shared" si="0"/>
        <v>536.03</v>
      </c>
      <c r="G977" s="26">
        <f t="shared" si="1"/>
        <v>3316086.92</v>
      </c>
      <c r="H977" s="27" t="str">
        <f t="shared" si="2"/>
        <v/>
      </c>
      <c r="J977" s="73"/>
      <c r="K977" s="28"/>
      <c r="L977" s="78"/>
      <c r="M977" s="31"/>
    </row>
    <row r="978" spans="1:14" ht="14.25" customHeight="1">
      <c r="A978" s="32">
        <v>44998</v>
      </c>
      <c r="B978" s="22">
        <v>-6.92</v>
      </c>
      <c r="C978" s="34" t="s">
        <v>20</v>
      </c>
      <c r="D978" s="24">
        <v>4908.8100000000004</v>
      </c>
      <c r="E978" s="25">
        <v>824106</v>
      </c>
      <c r="F978" s="24">
        <f t="shared" si="0"/>
        <v>268.01</v>
      </c>
      <c r="G978" s="26">
        <f t="shared" si="1"/>
        <v>1658029.62</v>
      </c>
      <c r="H978" s="27" t="str">
        <f t="shared" si="2"/>
        <v/>
      </c>
      <c r="J978" s="73"/>
      <c r="K978" s="28"/>
      <c r="L978" s="78"/>
      <c r="M978" s="31"/>
    </row>
    <row r="979" spans="1:14" ht="14.25" customHeight="1">
      <c r="A979" s="32">
        <v>45000</v>
      </c>
      <c r="B979" s="22">
        <v>-22</v>
      </c>
      <c r="C979" s="34" t="s">
        <v>376</v>
      </c>
      <c r="D979" s="24"/>
      <c r="E979" s="25"/>
      <c r="F979" s="24" t="str">
        <f t="shared" si="0"/>
        <v/>
      </c>
      <c r="G979" s="26" t="str">
        <f t="shared" si="1"/>
        <v/>
      </c>
      <c r="H979" s="27" t="str">
        <f t="shared" si="2"/>
        <v>Positional</v>
      </c>
      <c r="J979" s="73"/>
      <c r="K979" s="28"/>
      <c r="L979" s="78"/>
      <c r="M979" s="31"/>
    </row>
    <row r="980" spans="1:14" ht="14.25" customHeight="1">
      <c r="A980" s="32">
        <v>45000</v>
      </c>
      <c r="B980" s="22">
        <v>-0.21</v>
      </c>
      <c r="C980" s="34" t="s">
        <v>16</v>
      </c>
      <c r="D980" s="24">
        <v>215.6</v>
      </c>
      <c r="E980" s="25">
        <v>824106</v>
      </c>
      <c r="F980" s="24">
        <f t="shared" si="0"/>
        <v>932.73</v>
      </c>
      <c r="G980" s="26">
        <f t="shared" si="1"/>
        <v>5770251.2000000002</v>
      </c>
      <c r="H980" s="27" t="str">
        <f t="shared" si="2"/>
        <v/>
      </c>
      <c r="J980" s="73"/>
      <c r="K980" s="28"/>
      <c r="L980" s="78"/>
      <c r="M980" s="31"/>
    </row>
    <row r="981" spans="1:14" ht="14.25" customHeight="1">
      <c r="A981" s="80">
        <v>45007</v>
      </c>
      <c r="B981" s="81">
        <v>-0.02</v>
      </c>
      <c r="C981" s="34" t="s">
        <v>16</v>
      </c>
      <c r="D981" s="82">
        <v>7.58</v>
      </c>
      <c r="E981" s="25">
        <v>824314</v>
      </c>
      <c r="F981" s="24">
        <f t="shared" si="0"/>
        <v>133.25</v>
      </c>
      <c r="G981" s="26">
        <f t="shared" si="1"/>
        <v>824321.58</v>
      </c>
      <c r="H981" s="27" t="str">
        <f t="shared" si="2"/>
        <v/>
      </c>
      <c r="J981" s="73"/>
      <c r="K981" s="28"/>
      <c r="L981" s="78"/>
      <c r="M981" s="31"/>
    </row>
    <row r="982" spans="1:14" ht="14.25" customHeight="1">
      <c r="A982" s="80">
        <v>45008</v>
      </c>
      <c r="B982" s="22"/>
      <c r="C982" s="23"/>
      <c r="D982" s="24"/>
      <c r="E982" s="25"/>
      <c r="F982" s="24" t="str">
        <f t="shared" si="0"/>
        <v/>
      </c>
      <c r="G982" s="26" t="str">
        <f t="shared" si="1"/>
        <v/>
      </c>
      <c r="H982" s="27" t="str">
        <f t="shared" si="2"/>
        <v/>
      </c>
      <c r="J982" s="73"/>
      <c r="K982" s="28"/>
      <c r="L982" s="78"/>
      <c r="M982" s="31"/>
    </row>
    <row r="983" spans="1:14" ht="14.25" customHeight="1">
      <c r="A983" s="35" t="s">
        <v>383</v>
      </c>
      <c r="B983" s="36">
        <f>ROUND(SUM(B232:B982),2)</f>
        <v>-155933.65</v>
      </c>
      <c r="C983" s="23"/>
      <c r="D983" s="24"/>
      <c r="E983" s="25"/>
      <c r="F983" s="37">
        <f>ROUND(SUM(F232:F982),2)</f>
        <v>74813.259999999995</v>
      </c>
      <c r="G983" s="26"/>
      <c r="H983" s="27" t="str">
        <f>IF(AND(C983&lt;&gt;"",C983&lt;&gt;"R/O Adjustment",C983&lt;&gt;"IntraDay",C983&lt;&gt;"F&amp;O"),"Positional","")</f>
        <v/>
      </c>
      <c r="J983" s="28"/>
      <c r="K983" s="31" t="s">
        <v>18</v>
      </c>
      <c r="L983" s="83">
        <f>ROUND(SUM(L232:L982),2)</f>
        <v>5702.16</v>
      </c>
      <c r="M983" s="31"/>
    </row>
    <row r="984" spans="1:14" ht="5.25" customHeight="1">
      <c r="B984" s="39"/>
      <c r="C984" s="40"/>
      <c r="D984" s="39"/>
      <c r="E984" s="41"/>
      <c r="G984" s="42"/>
      <c r="H984" s="40"/>
    </row>
    <row r="985" spans="1:14" ht="15.75" customHeight="1">
      <c r="A985" s="43" t="s">
        <v>19</v>
      </c>
      <c r="B985" s="44">
        <f>ROUND(SUMIF(H232:H982,A985,B232:B982),2)</f>
        <v>125108.92</v>
      </c>
      <c r="D985" s="45">
        <f>D987-C228</f>
        <v>7.58</v>
      </c>
      <c r="E985" s="25">
        <f>Holding!J$84</f>
        <v>824314</v>
      </c>
      <c r="F985" s="84">
        <f t="array" ref="F985">E985-LOOKUP(2,1/(E1:E984&lt;&gt;""),E1:E984)</f>
        <v>0</v>
      </c>
      <c r="J985" s="50" t="s">
        <v>23</v>
      </c>
      <c r="K985" s="51" t="s">
        <v>20</v>
      </c>
      <c r="L985" s="51" t="s">
        <v>4</v>
      </c>
      <c r="M985" s="51" t="s">
        <v>19</v>
      </c>
      <c r="N985" s="51" t="s">
        <v>24</v>
      </c>
    </row>
    <row r="986" spans="1:14" ht="15" customHeight="1">
      <c r="A986" s="43" t="s">
        <v>20</v>
      </c>
      <c r="B986" s="44">
        <f>ROUND(SUMIF(C232:C982,A986,B232:B982),2)</f>
        <v>10922.77</v>
      </c>
      <c r="C986" s="43" t="s">
        <v>21</v>
      </c>
      <c r="D986" s="47">
        <f>B228+B983-B998-L983</f>
        <v>7.5799999999908323</v>
      </c>
      <c r="J986" s="57">
        <v>44136</v>
      </c>
      <c r="K986" s="46">
        <v>0</v>
      </c>
      <c r="L986" s="46">
        <v>0</v>
      </c>
      <c r="M986" s="46">
        <v>3460.83</v>
      </c>
      <c r="N986" s="46">
        <f t="shared" ref="N986:N1012" si="3">SUM(K986:M986)</f>
        <v>3460.83</v>
      </c>
    </row>
    <row r="987" spans="1:14" ht="15" customHeight="1">
      <c r="A987" s="43" t="s">
        <v>4</v>
      </c>
      <c r="B987" s="48">
        <f>ROUND(SUMIF(C232:C982,A987,B232:B982),2)</f>
        <v>-291958.27</v>
      </c>
      <c r="C987" s="43" t="s">
        <v>384</v>
      </c>
      <c r="D987" s="82">
        <v>7.58</v>
      </c>
      <c r="F987" s="43" t="s">
        <v>22</v>
      </c>
      <c r="G987" s="48">
        <f>ROUND(SUMIFS(B232:B982,C232:C982,A987,B232:B982, "&gt;0"),2)</f>
        <v>101624.03</v>
      </c>
      <c r="H987" s="49">
        <f>COUNTIFS(B232:B982,"&gt;0",C232:C982,A987)</f>
        <v>57</v>
      </c>
      <c r="J987" s="52">
        <v>44228</v>
      </c>
      <c r="K987" s="53">
        <v>1823.52</v>
      </c>
      <c r="L987" s="53">
        <v>0</v>
      </c>
      <c r="M987" s="53">
        <v>-17022.02</v>
      </c>
      <c r="N987" s="53">
        <f t="shared" si="3"/>
        <v>-15198.5</v>
      </c>
    </row>
    <row r="988" spans="1:14" ht="15" customHeight="1">
      <c r="A988" s="43" t="s">
        <v>16</v>
      </c>
      <c r="B988" s="54">
        <f>ROUND(SUMIF(C232:C982,A988,B232:B982),2)</f>
        <v>-7.07</v>
      </c>
      <c r="C988" s="55" t="s">
        <v>385</v>
      </c>
      <c r="D988" s="56">
        <f>D987-D986</f>
        <v>9.1677776481446926E-12</v>
      </c>
      <c r="F988" s="43" t="s">
        <v>26</v>
      </c>
      <c r="G988" s="48">
        <f>ROUND(SUMIFS(B232:B982,C232:C982,A987,B232:B982, "&lt;0"),2)</f>
        <v>-393582.3</v>
      </c>
      <c r="H988" s="49">
        <f>COUNTIFS(B232:B982,"&lt;0",C232:C982,A987)</f>
        <v>47</v>
      </c>
      <c r="J988" s="57">
        <v>44256</v>
      </c>
      <c r="K988" s="46">
        <v>-2673.56</v>
      </c>
      <c r="L988" s="46">
        <v>0</v>
      </c>
      <c r="M988" s="46">
        <v>0</v>
      </c>
      <c r="N988" s="46">
        <f t="shared" si="3"/>
        <v>-2673.56</v>
      </c>
    </row>
    <row r="989" spans="1:14" ht="15.75" customHeight="1">
      <c r="A989" s="43" t="s">
        <v>28</v>
      </c>
      <c r="B989" s="58">
        <f>SUM(B985:B988)</f>
        <v>-155933.65000000002</v>
      </c>
      <c r="J989" s="52">
        <v>44287</v>
      </c>
      <c r="K989" s="53">
        <v>-6105.45</v>
      </c>
      <c r="L989" s="53">
        <v>0</v>
      </c>
      <c r="M989" s="53">
        <v>2683.46</v>
      </c>
      <c r="N989" s="53">
        <f t="shared" si="3"/>
        <v>-3421.99</v>
      </c>
    </row>
    <row r="990" spans="1:14" ht="15.75" customHeight="1">
      <c r="J990" s="57">
        <v>44317</v>
      </c>
      <c r="K990" s="46">
        <v>937.15</v>
      </c>
      <c r="L990" s="46">
        <v>0</v>
      </c>
      <c r="M990" s="46">
        <v>566.71</v>
      </c>
      <c r="N990" s="46">
        <f t="shared" si="3"/>
        <v>1503.8600000000001</v>
      </c>
    </row>
    <row r="991" spans="1:14" ht="15.75" customHeight="1">
      <c r="A991" s="85">
        <v>44986</v>
      </c>
      <c r="B991" s="85">
        <v>45016</v>
      </c>
      <c r="C991" s="43" t="s">
        <v>19</v>
      </c>
      <c r="D991" s="44">
        <f>Holding!T562</f>
        <v>125108.92</v>
      </c>
      <c r="J991" s="52">
        <v>44348</v>
      </c>
      <c r="K991" s="53">
        <v>3399.82</v>
      </c>
      <c r="L991" s="53">
        <v>0</v>
      </c>
      <c r="M991" s="53">
        <v>21681.66</v>
      </c>
      <c r="N991" s="53">
        <f t="shared" si="3"/>
        <v>25081.48</v>
      </c>
    </row>
    <row r="992" spans="1:14" ht="15.75" customHeight="1">
      <c r="A992" s="63" t="s">
        <v>20</v>
      </c>
      <c r="B992" s="64">
        <f>ROUND(SUMIFS(B232:B982,C232:C982,A992,A232:A982,"&gt;="&amp;A991,A232:A982,"&lt;="&amp;B991),2)</f>
        <v>-6.92</v>
      </c>
      <c r="C992" s="55" t="s">
        <v>30</v>
      </c>
      <c r="D992" s="65">
        <f>D991-B985</f>
        <v>0</v>
      </c>
      <c r="J992" s="57">
        <v>44378</v>
      </c>
      <c r="K992" s="46">
        <v>227.67</v>
      </c>
      <c r="L992" s="46">
        <v>0</v>
      </c>
      <c r="M992" s="46">
        <v>2090.61</v>
      </c>
      <c r="N992" s="46">
        <f t="shared" si="3"/>
        <v>2318.2800000000002</v>
      </c>
    </row>
    <row r="993" spans="1:14" ht="15.75" customHeight="1">
      <c r="A993" s="63" t="s">
        <v>19</v>
      </c>
      <c r="B993" s="64">
        <f>ROUND(SUMIFS(B232:B982,H232:H982,A993,A232:A982,"&gt;="&amp;A991,A232:A982,"&lt;="&amp;B991),2)</f>
        <v>34</v>
      </c>
      <c r="C993" s="43" t="s">
        <v>20</v>
      </c>
      <c r="D993" s="66">
        <f>Trade!X1783</f>
        <v>10922.77</v>
      </c>
      <c r="J993" s="52">
        <v>44409</v>
      </c>
      <c r="K993" s="53">
        <v>-118.91</v>
      </c>
      <c r="L993" s="53">
        <v>0</v>
      </c>
      <c r="M993" s="53">
        <v>849.03</v>
      </c>
      <c r="N993" s="53">
        <f t="shared" si="3"/>
        <v>730.12</v>
      </c>
    </row>
    <row r="994" spans="1:14" ht="15.75" customHeight="1">
      <c r="A994" s="63" t="s">
        <v>4</v>
      </c>
      <c r="B994" s="67">
        <f>ROUND(SUMIFS(B232:B982,C232:C982,A994,A232:A982,"&gt;="&amp;A991,A232:A982,"&lt;="&amp;B991),2)</f>
        <v>0</v>
      </c>
      <c r="C994" s="55" t="s">
        <v>30</v>
      </c>
      <c r="D994" s="65">
        <f>D993-B986</f>
        <v>0</v>
      </c>
      <c r="E994" s="49">
        <f>ROUND(COUNTIFS(B232:B982,"&gt;0",C232:C982,A994,A232:A982,"&gt;="&amp;A991,A232:A982,"&lt;="&amp;B991),2)</f>
        <v>0</v>
      </c>
      <c r="F994" s="48">
        <f>ROUND(SUMIFS(B232:B982,C232:C982,A987,B232:B982,"&gt;0",A232:A982,"&gt;="&amp;A991,A232:A982,"&lt;="&amp;B991),2)</f>
        <v>0</v>
      </c>
      <c r="G994" s="48" t="e">
        <f t="shared" ref="G994:G995" si="4">F994/E994</f>
        <v>#DIV/0!</v>
      </c>
      <c r="J994" s="57">
        <v>44440</v>
      </c>
      <c r="K994" s="46">
        <v>-2951.12</v>
      </c>
      <c r="L994" s="46">
        <v>0</v>
      </c>
      <c r="M994" s="46">
        <v>6045.71</v>
      </c>
      <c r="N994" s="46">
        <f t="shared" si="3"/>
        <v>3094.59</v>
      </c>
    </row>
    <row r="995" spans="1:14" ht="15.75" customHeight="1">
      <c r="A995" s="63" t="s">
        <v>16</v>
      </c>
      <c r="B995" s="64">
        <f>ROUND(SUMIFS(B232:B982,C232:C982,A995,A232:A982,"&gt;="&amp;A991,A232:A982,"&lt;="&amp;B991),2)</f>
        <v>-1.45</v>
      </c>
      <c r="C995" s="43" t="s">
        <v>4</v>
      </c>
      <c r="D995" s="44">
        <f>Trade!X1784</f>
        <v>-291958.27</v>
      </c>
      <c r="E995" s="49">
        <f>ROUND(COUNTIFS(B232:B982,"&lt;0",C232:C982,A994,A232:A982,"&gt;="&amp;A991,A232:A982,"&lt;="&amp;B991),2)</f>
        <v>0</v>
      </c>
      <c r="F995" s="48">
        <f>ROUND(SUMIFS(B232:B982,C232:C982,A987,B232:B982,"&lt;0",A232:A982,"&gt;="&amp;A991,A232:A982,"&lt;="&amp;B991),2)</f>
        <v>0</v>
      </c>
      <c r="G995" s="48" t="e">
        <f t="shared" si="4"/>
        <v>#DIV/0!</v>
      </c>
      <c r="J995" s="52">
        <v>44470</v>
      </c>
      <c r="K995" s="53">
        <v>2566.8000000000002</v>
      </c>
      <c r="L995" s="53">
        <v>0</v>
      </c>
      <c r="M995" s="53">
        <v>4507.32</v>
      </c>
      <c r="N995" s="53">
        <f t="shared" si="3"/>
        <v>7074.12</v>
      </c>
    </row>
    <row r="996" spans="1:14" ht="15.75" customHeight="1">
      <c r="A996" s="63" t="s">
        <v>32</v>
      </c>
      <c r="B996" s="68">
        <f>SUM(B992:B995)</f>
        <v>25.63</v>
      </c>
      <c r="C996" s="55" t="s">
        <v>30</v>
      </c>
      <c r="D996" s="65">
        <f>D995-B987</f>
        <v>0</v>
      </c>
      <c r="J996" s="57">
        <v>44501</v>
      </c>
      <c r="K996" s="46">
        <v>727.98</v>
      </c>
      <c r="L996" s="46">
        <v>-2057.9299999999998</v>
      </c>
      <c r="M996" s="46">
        <v>5252</v>
      </c>
      <c r="N996" s="46">
        <f t="shared" si="3"/>
        <v>3922.05</v>
      </c>
    </row>
    <row r="997" spans="1:14" ht="15.75" customHeight="1">
      <c r="J997" s="52">
        <v>44531</v>
      </c>
      <c r="K997" s="53">
        <v>1050.52</v>
      </c>
      <c r="L997" s="53">
        <v>0</v>
      </c>
      <c r="M997" s="53">
        <v>-6339</v>
      </c>
      <c r="N997" s="53">
        <f t="shared" si="3"/>
        <v>-5288.48</v>
      </c>
    </row>
    <row r="998" spans="1:14" ht="15.75" customHeight="1">
      <c r="A998" s="43" t="s">
        <v>386</v>
      </c>
      <c r="B998" s="47">
        <f>Holding!J$84</f>
        <v>824314</v>
      </c>
      <c r="C998" s="43" t="s">
        <v>387</v>
      </c>
      <c r="D998" s="44">
        <f>B989+Dhan!B26+Kotak!B92</f>
        <v>-199519.01000000004</v>
      </c>
      <c r="J998" s="57">
        <v>44562</v>
      </c>
      <c r="K998" s="46">
        <f>3887.33-0.05</f>
        <v>3887.2799999999997</v>
      </c>
      <c r="L998" s="46">
        <v>889.33</v>
      </c>
      <c r="M998" s="46">
        <f>4874-3</f>
        <v>4871</v>
      </c>
      <c r="N998" s="46">
        <f t="shared" si="3"/>
        <v>9647.61</v>
      </c>
    </row>
    <row r="999" spans="1:14" ht="15.75" customHeight="1">
      <c r="A999" s="43" t="s">
        <v>21</v>
      </c>
      <c r="B999" s="47">
        <f>D986</f>
        <v>7.5799999999908323</v>
      </c>
      <c r="C999" s="43" t="s">
        <v>388</v>
      </c>
      <c r="D999" s="86">
        <f>L983</f>
        <v>5702.16</v>
      </c>
      <c r="J999" s="52">
        <v>44593</v>
      </c>
      <c r="K999" s="53">
        <v>718.67</v>
      </c>
      <c r="L999" s="53">
        <v>-28014.87</v>
      </c>
      <c r="M999" s="53">
        <v>2456</v>
      </c>
      <c r="N999" s="53">
        <f t="shared" si="3"/>
        <v>-24840.2</v>
      </c>
    </row>
    <row r="1000" spans="1:14" ht="15.75" customHeight="1">
      <c r="A1000" s="43" t="s">
        <v>389</v>
      </c>
      <c r="B1000" s="47">
        <f>B228</f>
        <v>985957.39</v>
      </c>
      <c r="C1000" s="43" t="s">
        <v>390</v>
      </c>
      <c r="D1000" s="87">
        <f>Trade!Y1784</f>
        <v>16964.410000000003</v>
      </c>
      <c r="J1000" s="57">
        <v>44621</v>
      </c>
      <c r="K1000" s="46">
        <v>536.70000000000005</v>
      </c>
      <c r="L1000" s="46">
        <v>-8513.2800000000007</v>
      </c>
      <c r="M1000" s="46">
        <v>9500</v>
      </c>
      <c r="N1000" s="46">
        <f t="shared" si="3"/>
        <v>1523.4199999999992</v>
      </c>
    </row>
    <row r="1001" spans="1:14" ht="15.75" customHeight="1">
      <c r="A1001" s="43" t="s">
        <v>391</v>
      </c>
      <c r="B1001" s="47">
        <f>Dhan!B9</f>
        <v>20120.259999999998</v>
      </c>
      <c r="C1001" s="43"/>
      <c r="D1001" s="87"/>
      <c r="J1001" s="52">
        <v>44652</v>
      </c>
      <c r="K1001" s="53">
        <v>572.73</v>
      </c>
      <c r="L1001" s="53">
        <v>-50672.82</v>
      </c>
      <c r="M1001" s="53">
        <v>19768</v>
      </c>
      <c r="N1001" s="53">
        <f t="shared" si="3"/>
        <v>-30332.089999999997</v>
      </c>
    </row>
    <row r="1002" spans="1:14" ht="15.75" customHeight="1">
      <c r="A1002" s="43" t="s">
        <v>392</v>
      </c>
      <c r="B1002" s="47">
        <f>Kotak!B15</f>
        <v>27000</v>
      </c>
      <c r="C1002" s="43"/>
      <c r="D1002" s="87"/>
      <c r="J1002" s="57">
        <v>44682</v>
      </c>
      <c r="K1002" s="46">
        <v>1374.93</v>
      </c>
      <c r="L1002" s="46">
        <v>-69618.960000000006</v>
      </c>
      <c r="M1002" s="46">
        <v>16401</v>
      </c>
      <c r="N1002" s="46">
        <f t="shared" si="3"/>
        <v>-51843.030000000013</v>
      </c>
    </row>
    <row r="1003" spans="1:14" ht="15.75" customHeight="1">
      <c r="A1003" s="43" t="s">
        <v>393</v>
      </c>
      <c r="B1003" s="47">
        <f>Trade!AB1785+Trade!AB1786</f>
        <v>10800</v>
      </c>
      <c r="C1003" s="43" t="s">
        <v>394</v>
      </c>
      <c r="D1003" s="88">
        <f>F983+Dhan!F20+Kotak!F86</f>
        <v>74992.539999999994</v>
      </c>
      <c r="J1003" s="52">
        <v>44713</v>
      </c>
      <c r="K1003" s="53">
        <v>988.41</v>
      </c>
      <c r="L1003" s="53">
        <v>-35754.21</v>
      </c>
      <c r="M1003" s="53">
        <v>5688</v>
      </c>
      <c r="N1003" s="53">
        <f t="shared" si="3"/>
        <v>-29077.799999999996</v>
      </c>
    </row>
    <row r="1004" spans="1:14" ht="15.75" customHeight="1">
      <c r="A1004" s="55" t="s">
        <v>395</v>
      </c>
      <c r="B1004" s="89">
        <f>(B998+B999)-(B1000+B1001+B1002+B1003)</f>
        <v>-219556.07000000007</v>
      </c>
      <c r="C1004" s="55" t="s">
        <v>396</v>
      </c>
      <c r="D1004" s="89">
        <f>(D998-D999-D1000-D1003)</f>
        <v>-297178.12000000005</v>
      </c>
      <c r="J1004" s="57">
        <v>44743</v>
      </c>
      <c r="K1004" s="46">
        <f>692.51</f>
        <v>692.51</v>
      </c>
      <c r="L1004" s="46">
        <v>-19205.75</v>
      </c>
      <c r="M1004" s="46">
        <v>5030</v>
      </c>
      <c r="N1004" s="46">
        <f t="shared" si="3"/>
        <v>-13483.240000000002</v>
      </c>
    </row>
    <row r="1005" spans="1:14" ht="15.75" customHeight="1">
      <c r="J1005" s="52">
        <v>44774</v>
      </c>
      <c r="K1005" s="53">
        <v>974.3</v>
      </c>
      <c r="L1005" s="53">
        <v>-28844.649999999998</v>
      </c>
      <c r="M1005" s="53">
        <v>8856</v>
      </c>
      <c r="N1005" s="53">
        <f t="shared" si="3"/>
        <v>-19014.349999999999</v>
      </c>
    </row>
    <row r="1006" spans="1:14" ht="15.75" customHeight="1">
      <c r="A1006" s="43" t="s">
        <v>397</v>
      </c>
      <c r="B1006" s="90">
        <v>5702.16</v>
      </c>
      <c r="C1006" s="43" t="s">
        <v>398</v>
      </c>
      <c r="D1006" s="89">
        <v>-295800.21000000002</v>
      </c>
      <c r="J1006" s="57">
        <v>44805</v>
      </c>
      <c r="K1006" s="46">
        <v>1490.28</v>
      </c>
      <c r="L1006" s="46">
        <v>-59714.6</v>
      </c>
      <c r="M1006" s="46">
        <v>8715</v>
      </c>
      <c r="N1006" s="46">
        <f t="shared" si="3"/>
        <v>-49509.32</v>
      </c>
    </row>
    <row r="1007" spans="1:14" ht="15.75" customHeight="1">
      <c r="A1007" s="43" t="s">
        <v>399</v>
      </c>
      <c r="B1007" s="87">
        <f>D999-B1006</f>
        <v>0</v>
      </c>
      <c r="C1007" s="43" t="s">
        <v>400</v>
      </c>
      <c r="D1007" s="47">
        <f>D1004-(D1006-B1007-B1009)</f>
        <v>-440.27000000001863</v>
      </c>
      <c r="J1007" s="52">
        <v>44835</v>
      </c>
      <c r="K1007" s="53">
        <v>-1.36</v>
      </c>
      <c r="L1007" s="53">
        <v>0</v>
      </c>
      <c r="M1007" s="53">
        <v>2219</v>
      </c>
      <c r="N1007" s="53">
        <f t="shared" si="3"/>
        <v>2217.64</v>
      </c>
    </row>
    <row r="1008" spans="1:14" ht="15.75" customHeight="1">
      <c r="A1008" s="43" t="s">
        <v>401</v>
      </c>
      <c r="B1008" s="91">
        <v>74054.899999999994</v>
      </c>
      <c r="C1008" s="43" t="s">
        <v>402</v>
      </c>
      <c r="D1008" s="87">
        <f>D1007-B1007-B1009</f>
        <v>-1377.910000000018</v>
      </c>
      <c r="J1008" s="57">
        <v>44866</v>
      </c>
      <c r="K1008" s="46">
        <v>672.84</v>
      </c>
      <c r="L1008" s="46">
        <v>-11744.27</v>
      </c>
      <c r="M1008" s="46">
        <v>12805</v>
      </c>
      <c r="N1008" s="46">
        <f t="shared" si="3"/>
        <v>1733.5699999999997</v>
      </c>
    </row>
    <row r="1009" spans="1:14" ht="15.75" customHeight="1">
      <c r="A1009" s="43" t="s">
        <v>399</v>
      </c>
      <c r="B1009" s="87">
        <f>D1003-B1008</f>
        <v>937.63999999999942</v>
      </c>
      <c r="J1009" s="52">
        <v>44896</v>
      </c>
      <c r="K1009" s="53">
        <v>28.53</v>
      </c>
      <c r="L1009" s="53">
        <v>-10555.27</v>
      </c>
      <c r="M1009" s="53">
        <v>2107</v>
      </c>
      <c r="N1009" s="53">
        <f t="shared" si="3"/>
        <v>-8419.74</v>
      </c>
    </row>
    <row r="1010" spans="1:14" ht="15.75" customHeight="1">
      <c r="J1010" s="57">
        <v>44927</v>
      </c>
      <c r="K1010" s="46">
        <v>100.03</v>
      </c>
      <c r="L1010" s="46">
        <v>-9719.7900000000009</v>
      </c>
      <c r="M1010" s="46">
        <v>2886</v>
      </c>
      <c r="N1010" s="46">
        <f t="shared" si="3"/>
        <v>-6733.76</v>
      </c>
    </row>
    <row r="1011" spans="1:14" ht="15.75" customHeight="1">
      <c r="A1011" s="43"/>
      <c r="B1011" s="87"/>
      <c r="J1011" s="52">
        <v>44958</v>
      </c>
      <c r="K1011" s="53">
        <v>0.41</v>
      </c>
      <c r="L1011" s="53">
        <v>-2890.93</v>
      </c>
      <c r="M1011" s="53">
        <v>0</v>
      </c>
      <c r="N1011" s="53">
        <f t="shared" si="3"/>
        <v>-2890.52</v>
      </c>
    </row>
    <row r="1012" spans="1:14" ht="15.75" customHeight="1">
      <c r="J1012" s="57">
        <v>44986</v>
      </c>
      <c r="K1012" s="46">
        <f>B$992+B$995</f>
        <v>-8.3699999999999992</v>
      </c>
      <c r="L1012" s="46">
        <f>B$994+Dhan!B$33+Kotak!B$99</f>
        <v>874.37</v>
      </c>
      <c r="M1012" s="46">
        <f>B$993</f>
        <v>34</v>
      </c>
      <c r="N1012" s="46">
        <f t="shared" si="3"/>
        <v>900</v>
      </c>
    </row>
    <row r="1013" spans="1:14" ht="15.75" customHeight="1">
      <c r="J1013" s="57"/>
      <c r="K1013" s="46"/>
      <c r="L1013" s="46"/>
      <c r="M1013" s="46"/>
      <c r="N1013" s="46"/>
    </row>
    <row r="1014" spans="1:14" ht="15.75" customHeight="1">
      <c r="J1014" s="61" t="s">
        <v>18</v>
      </c>
      <c r="K1014" s="62">
        <f>SUM(K986:K1013)+3.39</f>
        <v>10915.7</v>
      </c>
      <c r="L1014" s="62">
        <f>SUM(L986:L1013)</f>
        <v>-335543.63</v>
      </c>
      <c r="M1014" s="62">
        <f>SUM(M986:M1013)-3.39</f>
        <v>125108.92</v>
      </c>
      <c r="N1014" s="62">
        <f>SUM(N986:N1013)</f>
        <v>-199519.00999999998</v>
      </c>
    </row>
    <row r="1015" spans="1:14" ht="15.75" customHeight="1">
      <c r="B1015" s="39"/>
      <c r="J1015" s="92" t="s">
        <v>403</v>
      </c>
      <c r="K1015" s="46">
        <f>B986+B988</f>
        <v>10915.7</v>
      </c>
      <c r="L1015" s="46">
        <f>B987</f>
        <v>-291958.27</v>
      </c>
      <c r="M1015" s="46">
        <f>B985</f>
        <v>125108.92</v>
      </c>
    </row>
    <row r="1016" spans="1:14" ht="15.75" customHeight="1">
      <c r="B1016" s="39"/>
      <c r="J1016" s="92" t="s">
        <v>404</v>
      </c>
      <c r="K1016" s="46">
        <v>0</v>
      </c>
      <c r="L1016" s="46">
        <f>Dhan!B24</f>
        <v>-20120.259999999998</v>
      </c>
      <c r="M1016" s="46">
        <v>0</v>
      </c>
    </row>
    <row r="1017" spans="1:14" ht="15.75" customHeight="1">
      <c r="B1017" s="39"/>
      <c r="J1017" s="92" t="s">
        <v>405</v>
      </c>
      <c r="K1017" s="42">
        <v>0</v>
      </c>
      <c r="L1017" s="42">
        <f>Kotak!B90</f>
        <v>-23465.1</v>
      </c>
      <c r="M1017" s="46">
        <v>0</v>
      </c>
    </row>
    <row r="1018" spans="1:14" ht="15.75" customHeight="1">
      <c r="B1018" s="39"/>
      <c r="J1018" s="93"/>
      <c r="K1018" s="62">
        <f t="shared" ref="K1018:M1018" si="5">SUM(K1015:K1017)</f>
        <v>10915.7</v>
      </c>
      <c r="L1018" s="62">
        <f t="shared" si="5"/>
        <v>-335543.63</v>
      </c>
      <c r="M1018" s="62">
        <f t="shared" si="5"/>
        <v>125108.92</v>
      </c>
      <c r="N1018" s="62">
        <f>IF(SUM(K1018:M1018)=N1014,N1014,"Error")</f>
        <v>-199519.00999999998</v>
      </c>
    </row>
    <row r="1019" spans="1:14" ht="15.75" customHeight="1">
      <c r="B1019" s="39"/>
      <c r="C1019" s="40"/>
      <c r="D1019" s="39"/>
    </row>
    <row r="1020" spans="1:14" ht="15.75" customHeight="1">
      <c r="B1020" s="39"/>
      <c r="C1020" s="40"/>
      <c r="D1020" s="39"/>
      <c r="F1020" s="69"/>
      <c r="G1020" s="70"/>
      <c r="I1020" s="69"/>
    </row>
    <row r="1021" spans="1:14" ht="15.75" customHeight="1">
      <c r="B1021" s="39"/>
      <c r="C1021" s="40"/>
      <c r="D1021" s="39"/>
      <c r="F1021" s="69"/>
      <c r="G1021" s="70"/>
      <c r="I1021" s="46"/>
      <c r="J1021" s="46"/>
      <c r="K1021" s="46"/>
    </row>
    <row r="1022" spans="1:14" ht="15.75" customHeight="1">
      <c r="B1022" s="39"/>
      <c r="C1022" s="40"/>
      <c r="D1022" s="39"/>
    </row>
    <row r="1023" spans="1:14" ht="15.75" customHeight="1">
      <c r="B1023" s="39"/>
      <c r="C1023" s="40"/>
      <c r="D1023" s="39"/>
      <c r="F1023" s="69"/>
      <c r="G1023" s="70"/>
      <c r="I1023" s="69"/>
      <c r="J1023" s="46"/>
      <c r="K1023" s="46"/>
    </row>
    <row r="1024" spans="1:14" ht="15.75" customHeight="1">
      <c r="B1024" s="39"/>
      <c r="C1024" s="40"/>
      <c r="D1024" s="39"/>
      <c r="F1024" s="69"/>
      <c r="G1024" s="70"/>
      <c r="I1024" s="46"/>
      <c r="J1024" s="46"/>
      <c r="K1024" s="46"/>
    </row>
    <row r="1025" spans="2:11" ht="15.75" customHeight="1">
      <c r="B1025" s="39"/>
      <c r="C1025" s="40"/>
      <c r="D1025" s="39"/>
    </row>
    <row r="1026" spans="2:11" ht="15.75" customHeight="1">
      <c r="B1026" s="39"/>
      <c r="C1026" s="40"/>
      <c r="D1026" s="39"/>
      <c r="F1026" s="69"/>
      <c r="G1026" s="70"/>
      <c r="I1026" s="69"/>
      <c r="J1026" s="46"/>
      <c r="K1026" s="46"/>
    </row>
    <row r="1027" spans="2:11" ht="15.75" customHeight="1">
      <c r="B1027" s="39"/>
      <c r="C1027" s="40"/>
      <c r="D1027" s="39"/>
      <c r="F1027" s="94"/>
      <c r="G1027" s="70"/>
      <c r="I1027" s="95"/>
      <c r="J1027" s="46"/>
      <c r="K1027" s="46"/>
    </row>
    <row r="1028" spans="2:11" ht="15.75" customHeight="1">
      <c r="B1028" s="39"/>
      <c r="C1028" s="40"/>
      <c r="D1028" s="39"/>
      <c r="E1028" s="41"/>
    </row>
    <row r="1029" spans="2:11" ht="15.75" customHeight="1">
      <c r="B1029" s="39"/>
      <c r="C1029" s="40"/>
      <c r="D1029" s="39"/>
      <c r="E1029" s="41"/>
      <c r="G1029" s="42"/>
      <c r="H1029" s="40"/>
    </row>
    <row r="1030" spans="2:11" ht="15.75" customHeight="1">
      <c r="B1030" s="39"/>
      <c r="C1030" s="40"/>
      <c r="D1030" s="39"/>
      <c r="E1030" s="41"/>
      <c r="G1030" s="42"/>
      <c r="H1030" s="40"/>
    </row>
    <row r="1031" spans="2:11" ht="15.75" customHeight="1">
      <c r="B1031" s="39"/>
      <c r="C1031" s="40"/>
      <c r="D1031" s="39"/>
      <c r="E1031" s="41"/>
      <c r="G1031" s="42"/>
      <c r="H1031" s="40"/>
    </row>
    <row r="1032" spans="2:11" ht="15.75" customHeight="1">
      <c r="B1032" s="39"/>
      <c r="C1032" s="40"/>
      <c r="D1032" s="39"/>
      <c r="E1032" s="41"/>
      <c r="G1032" s="42"/>
      <c r="H1032" s="40"/>
    </row>
    <row r="1033" spans="2:11" ht="15.75" customHeight="1">
      <c r="B1033" s="39"/>
      <c r="C1033" s="40"/>
      <c r="D1033" s="39"/>
      <c r="E1033" s="41"/>
      <c r="G1033" s="42"/>
      <c r="H1033" s="40"/>
    </row>
  </sheetData>
  <dataValidations count="1">
    <dataValidation type="custom" allowBlank="1" showDropDown="1" sqref="A150:A227 A774:A982">
      <formula1>OR(NOT(ISERROR(DATEVALUE(A150))), AND(ISNUMBER(A150), LEFT(CELL("format", A150))="D"))</formula1>
    </dataValidation>
  </dataValidations>
  <hyperlinks>
    <hyperlink ref="M478" r:id="rId1"/>
  </hyperlinks>
  <pageMargins left="0.7" right="0.7" top="0.75" bottom="0.75" header="0" footer="0"/>
  <pageSetup orientation="landscape"/>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EAADB"/>
  </sheetPr>
  <dimension ref="A1:N120"/>
  <sheetViews>
    <sheetView topLeftCell="A1758" workbookViewId="0">
      <selection activeCell="J1793" sqref="J1793"/>
    </sheetView>
  </sheetViews>
  <sheetFormatPr baseColWidth="10" defaultColWidth="14.42578125" defaultRowHeight="15" customHeight="1"/>
  <cols>
    <col min="1" max="1" width="9.28515625" customWidth="1"/>
    <col min="2" max="2" width="10.7109375" customWidth="1"/>
    <col min="3" max="3" width="11.42578125" customWidth="1"/>
    <col min="4" max="4" width="11.7109375" customWidth="1"/>
    <col min="5" max="5" width="7.140625" customWidth="1"/>
    <col min="6" max="6" width="9.5703125" customWidth="1"/>
    <col min="7" max="7" width="11.140625" customWidth="1"/>
    <col min="8" max="8" width="3.140625" customWidth="1"/>
    <col min="9" max="9" width="1.85546875" customWidth="1"/>
    <col min="10" max="11" width="9.5703125" customWidth="1"/>
    <col min="12" max="12" width="10" customWidth="1"/>
    <col min="13" max="13" width="10.7109375" customWidth="1"/>
    <col min="14" max="14" width="10" customWidth="1"/>
    <col min="15" max="15" width="10.28515625" customWidth="1"/>
    <col min="16" max="16" width="8.7109375" customWidth="1"/>
  </cols>
  <sheetData>
    <row r="1" spans="1:8" ht="15" customHeight="1">
      <c r="A1" s="1" t="s">
        <v>0</v>
      </c>
      <c r="B1" s="2" t="s">
        <v>1</v>
      </c>
      <c r="C1" s="3" t="s">
        <v>2</v>
      </c>
      <c r="H1" s="4"/>
    </row>
    <row r="2" spans="1:8" ht="14.25" customHeight="1">
      <c r="A2" s="5">
        <v>44897</v>
      </c>
      <c r="B2" s="8">
        <v>20000</v>
      </c>
      <c r="C2" s="7" t="s">
        <v>3</v>
      </c>
      <c r="D2" s="9"/>
      <c r="E2" s="7"/>
      <c r="H2" s="4"/>
    </row>
    <row r="3" spans="1:8" ht="14.25" customHeight="1">
      <c r="A3" s="5">
        <v>44898</v>
      </c>
      <c r="B3" s="8">
        <v>-20000</v>
      </c>
      <c r="C3" s="7" t="s">
        <v>7</v>
      </c>
      <c r="D3" s="9"/>
      <c r="E3" s="7"/>
      <c r="H3" s="4"/>
    </row>
    <row r="4" spans="1:8" ht="14.25" customHeight="1">
      <c r="A4" s="5">
        <v>44901</v>
      </c>
      <c r="B4" s="8">
        <v>7000</v>
      </c>
      <c r="C4" s="7" t="s">
        <v>3</v>
      </c>
      <c r="D4" s="9"/>
      <c r="E4" s="7"/>
      <c r="H4" s="4"/>
    </row>
    <row r="5" spans="1:8" ht="14.25" customHeight="1">
      <c r="A5" s="5">
        <v>44902</v>
      </c>
      <c r="B5" s="8">
        <v>20000</v>
      </c>
      <c r="C5" s="7" t="s">
        <v>3</v>
      </c>
      <c r="D5" s="9"/>
      <c r="E5" s="7"/>
      <c r="H5" s="4"/>
    </row>
    <row r="6" spans="1:8" ht="14.25" customHeight="1">
      <c r="A6" s="5">
        <v>44904</v>
      </c>
      <c r="B6" s="8"/>
      <c r="C6" s="7" t="s">
        <v>4</v>
      </c>
      <c r="D6" s="7" t="s">
        <v>406</v>
      </c>
      <c r="E6" s="7"/>
      <c r="H6" s="4"/>
    </row>
    <row r="7" spans="1:8" ht="14.25" customHeight="1">
      <c r="A7" s="5">
        <v>44904</v>
      </c>
      <c r="B7" s="8"/>
      <c r="C7" s="7" t="s">
        <v>4</v>
      </c>
      <c r="D7" s="7" t="s">
        <v>407</v>
      </c>
      <c r="E7" s="7"/>
      <c r="H7" s="4"/>
    </row>
    <row r="8" spans="1:8" ht="14.25" customHeight="1">
      <c r="A8" s="5">
        <v>44916</v>
      </c>
      <c r="B8" s="8"/>
      <c r="C8" s="7" t="s">
        <v>4</v>
      </c>
      <c r="D8" s="7" t="s">
        <v>408</v>
      </c>
      <c r="E8" s="7"/>
      <c r="H8" s="4"/>
    </row>
    <row r="9" spans="1:8" ht="14.25" customHeight="1">
      <c r="A9" s="5">
        <v>44923</v>
      </c>
      <c r="B9" s="8"/>
      <c r="C9" s="7" t="s">
        <v>4</v>
      </c>
      <c r="D9" s="7" t="s">
        <v>409</v>
      </c>
      <c r="E9" s="7"/>
      <c r="H9" s="4"/>
    </row>
    <row r="10" spans="1:8" ht="14.25" customHeight="1">
      <c r="A10" s="5">
        <v>44932</v>
      </c>
      <c r="B10" s="8"/>
      <c r="C10" s="7" t="s">
        <v>4</v>
      </c>
      <c r="D10" s="7" t="s">
        <v>410</v>
      </c>
      <c r="E10" s="7"/>
      <c r="H10" s="4"/>
    </row>
    <row r="11" spans="1:8" ht="14.25" customHeight="1">
      <c r="A11" s="5">
        <v>44942</v>
      </c>
      <c r="B11" s="8"/>
      <c r="C11" s="7" t="s">
        <v>4</v>
      </c>
      <c r="D11" s="7" t="s">
        <v>411</v>
      </c>
      <c r="E11" s="7"/>
      <c r="H11" s="4"/>
    </row>
    <row r="12" spans="1:8" ht="14.25" customHeight="1">
      <c r="A12" s="5">
        <v>44950</v>
      </c>
      <c r="B12" s="8"/>
      <c r="C12" s="7" t="s">
        <v>4</v>
      </c>
      <c r="D12" s="7" t="s">
        <v>412</v>
      </c>
      <c r="E12" s="7"/>
      <c r="H12" s="4"/>
    </row>
    <row r="13" spans="1:8" ht="14.25" customHeight="1">
      <c r="A13" s="5">
        <v>45007</v>
      </c>
      <c r="B13" s="96"/>
      <c r="C13" s="7" t="s">
        <v>4</v>
      </c>
      <c r="D13" s="97" t="s">
        <v>413</v>
      </c>
      <c r="E13" s="7"/>
      <c r="H13" s="4"/>
    </row>
    <row r="14" spans="1:8" ht="14.25" customHeight="1">
      <c r="A14" s="5"/>
      <c r="B14" s="8"/>
      <c r="C14" s="7"/>
      <c r="D14" s="7"/>
      <c r="E14" s="7"/>
      <c r="H14" s="4"/>
    </row>
    <row r="15" spans="1:8" ht="14.25" customHeight="1">
      <c r="A15" s="10" t="s">
        <v>8</v>
      </c>
      <c r="B15" s="11">
        <f>ROUND(SUM(B2:B14),2)</f>
        <v>27000</v>
      </c>
      <c r="C15" s="12">
        <f>SUMIF(C2:C14,"F&amp;O",B2:B14)</f>
        <v>0</v>
      </c>
      <c r="H15" s="4"/>
    </row>
    <row r="16" spans="1:8" ht="3.75" customHeight="1"/>
    <row r="17" spans="1:13" ht="14.25" customHeight="1">
      <c r="F17" s="13">
        <f>5.4%+0.5%</f>
        <v>5.9000000000000004E-2</v>
      </c>
    </row>
    <row r="18" spans="1:13" ht="3.75" customHeight="1"/>
    <row r="19" spans="1:13" ht="14.25" customHeight="1">
      <c r="A19" s="14" t="s">
        <v>0</v>
      </c>
      <c r="B19" s="15" t="s">
        <v>9</v>
      </c>
      <c r="C19" s="14" t="s">
        <v>2</v>
      </c>
      <c r="D19" s="16" t="s">
        <v>414</v>
      </c>
      <c r="E19" s="16" t="s">
        <v>11</v>
      </c>
      <c r="F19" s="16" t="s">
        <v>12</v>
      </c>
      <c r="G19" s="16" t="s">
        <v>13</v>
      </c>
      <c r="H19" s="17"/>
      <c r="J19" s="18" t="s">
        <v>0</v>
      </c>
      <c r="K19" s="19" t="s">
        <v>14</v>
      </c>
      <c r="L19" s="20" t="s">
        <v>15</v>
      </c>
      <c r="M19" s="1" t="s">
        <v>2</v>
      </c>
    </row>
    <row r="20" spans="1:13" ht="14.25" customHeight="1">
      <c r="A20" s="32">
        <v>44897</v>
      </c>
      <c r="B20" s="22">
        <v>0</v>
      </c>
      <c r="C20" s="34" t="s">
        <v>16</v>
      </c>
      <c r="D20" s="24">
        <v>20000</v>
      </c>
      <c r="E20" s="25"/>
      <c r="F20" s="24">
        <f t="shared" ref="F20:F85" si="0">IF(G20="","", ROUND(G20*F$17/365,2))</f>
        <v>3.23</v>
      </c>
      <c r="G20" s="26">
        <f t="shared" ref="G20:G84" si="1">IF(AND(D20="",E20=""),"",(A21-A20)*(D20+E20))</f>
        <v>20000</v>
      </c>
      <c r="H20" s="27" t="str">
        <f t="shared" ref="H20:H85" si="2">IF(OR(C20="",C20="R/O Adjustment",C20="IntraDay",C20="F&amp;O"),"","Positional")</f>
        <v/>
      </c>
      <c r="J20" s="73">
        <v>44953</v>
      </c>
      <c r="K20" s="98" t="s">
        <v>415</v>
      </c>
      <c r="L20" s="33">
        <v>-2.48</v>
      </c>
      <c r="M20" s="31" t="s">
        <v>416</v>
      </c>
    </row>
    <row r="21" spans="1:13" ht="14.25" customHeight="1">
      <c r="A21" s="32">
        <v>44898</v>
      </c>
      <c r="B21" s="22">
        <v>0</v>
      </c>
      <c r="C21" s="34" t="s">
        <v>16</v>
      </c>
      <c r="D21" s="24">
        <v>0</v>
      </c>
      <c r="E21" s="25"/>
      <c r="F21" s="24">
        <f t="shared" si="0"/>
        <v>0</v>
      </c>
      <c r="G21" s="26">
        <f t="shared" si="1"/>
        <v>0</v>
      </c>
      <c r="H21" s="27" t="str">
        <f t="shared" si="2"/>
        <v/>
      </c>
      <c r="J21" s="73"/>
      <c r="K21" s="99"/>
      <c r="L21" s="33"/>
      <c r="M21" s="31"/>
    </row>
    <row r="22" spans="1:13" ht="14.25" customHeight="1">
      <c r="A22" s="32">
        <v>44901</v>
      </c>
      <c r="B22" s="22">
        <v>0</v>
      </c>
      <c r="C22" s="34" t="s">
        <v>16</v>
      </c>
      <c r="D22" s="24">
        <v>7000</v>
      </c>
      <c r="E22" s="25"/>
      <c r="F22" s="24">
        <f t="shared" si="0"/>
        <v>1.1299999999999999</v>
      </c>
      <c r="G22" s="26">
        <f t="shared" si="1"/>
        <v>7000</v>
      </c>
      <c r="H22" s="27" t="str">
        <f t="shared" si="2"/>
        <v/>
      </c>
      <c r="J22" s="73"/>
      <c r="K22" s="99"/>
      <c r="L22" s="33"/>
      <c r="M22" s="31"/>
    </row>
    <row r="23" spans="1:13" ht="14.25" customHeight="1">
      <c r="A23" s="32">
        <v>44902</v>
      </c>
      <c r="B23" s="22">
        <v>1772.58</v>
      </c>
      <c r="C23" s="23" t="s">
        <v>4</v>
      </c>
      <c r="D23" s="24">
        <v>28772.57</v>
      </c>
      <c r="E23" s="25"/>
      <c r="F23" s="24">
        <f t="shared" si="0"/>
        <v>4.6500000000000004</v>
      </c>
      <c r="G23" s="26">
        <f t="shared" si="1"/>
        <v>28772.57</v>
      </c>
      <c r="H23" s="27" t="str">
        <f t="shared" si="2"/>
        <v/>
      </c>
      <c r="J23" s="73"/>
      <c r="K23" s="99"/>
      <c r="L23" s="33"/>
      <c r="M23" s="31"/>
    </row>
    <row r="24" spans="1:13" ht="14.25" customHeight="1">
      <c r="A24" s="32">
        <v>44903</v>
      </c>
      <c r="B24" s="22">
        <v>2357.0100000000002</v>
      </c>
      <c r="C24" s="23" t="s">
        <v>4</v>
      </c>
      <c r="D24" s="24">
        <v>31129.57</v>
      </c>
      <c r="E24" s="25"/>
      <c r="F24" s="24">
        <f t="shared" si="0"/>
        <v>5.03</v>
      </c>
      <c r="G24" s="26">
        <f t="shared" si="1"/>
        <v>31129.57</v>
      </c>
      <c r="H24" s="27" t="str">
        <f t="shared" si="2"/>
        <v/>
      </c>
      <c r="J24" s="73"/>
      <c r="K24" s="99"/>
      <c r="L24" s="33"/>
      <c r="M24" s="31"/>
    </row>
    <row r="25" spans="1:13" ht="14.25" customHeight="1">
      <c r="A25" s="32">
        <v>44904</v>
      </c>
      <c r="B25" s="22">
        <v>0</v>
      </c>
      <c r="C25" s="34" t="s">
        <v>16</v>
      </c>
      <c r="D25" s="24">
        <v>31129.57</v>
      </c>
      <c r="E25" s="25"/>
      <c r="F25" s="24">
        <f t="shared" si="0"/>
        <v>20.13</v>
      </c>
      <c r="G25" s="26">
        <f t="shared" si="1"/>
        <v>124518.28</v>
      </c>
      <c r="H25" s="27" t="str">
        <f t="shared" si="2"/>
        <v/>
      </c>
      <c r="J25" s="73"/>
      <c r="K25" s="99"/>
      <c r="L25" s="33"/>
      <c r="M25" s="31"/>
    </row>
    <row r="26" spans="1:13" ht="14.25" customHeight="1">
      <c r="A26" s="32">
        <v>44908</v>
      </c>
      <c r="B26" s="22">
        <v>-11524.06</v>
      </c>
      <c r="C26" s="23" t="s">
        <v>4</v>
      </c>
      <c r="D26" s="24">
        <v>19605.509999999998</v>
      </c>
      <c r="E26" s="25"/>
      <c r="F26" s="24">
        <f t="shared" si="0"/>
        <v>6.34</v>
      </c>
      <c r="G26" s="26">
        <f t="shared" si="1"/>
        <v>39211.019999999997</v>
      </c>
      <c r="H26" s="27" t="str">
        <f t="shared" si="2"/>
        <v/>
      </c>
      <c r="J26" s="73"/>
      <c r="K26" s="99"/>
      <c r="L26" s="33"/>
      <c r="M26" s="31"/>
    </row>
    <row r="27" spans="1:13" ht="14.25" customHeight="1">
      <c r="A27" s="32">
        <v>44910</v>
      </c>
      <c r="B27" s="22">
        <v>2100.13</v>
      </c>
      <c r="C27" s="23" t="s">
        <v>4</v>
      </c>
      <c r="D27" s="24">
        <v>21705.63</v>
      </c>
      <c r="E27" s="25"/>
      <c r="F27" s="24">
        <f t="shared" si="0"/>
        <v>3.51</v>
      </c>
      <c r="G27" s="26">
        <f t="shared" si="1"/>
        <v>21705.63</v>
      </c>
      <c r="H27" s="27" t="str">
        <f t="shared" si="2"/>
        <v/>
      </c>
      <c r="J27" s="73"/>
      <c r="K27" s="99"/>
      <c r="L27" s="33"/>
      <c r="M27" s="31"/>
    </row>
    <row r="28" spans="1:13" ht="14.25" customHeight="1">
      <c r="A28" s="32">
        <v>44911</v>
      </c>
      <c r="B28" s="22">
        <v>3947.81</v>
      </c>
      <c r="C28" s="23" t="s">
        <v>4</v>
      </c>
      <c r="D28" s="24">
        <v>25653.43</v>
      </c>
      <c r="E28" s="25"/>
      <c r="F28" s="24">
        <f t="shared" si="0"/>
        <v>12.44</v>
      </c>
      <c r="G28" s="26">
        <f t="shared" si="1"/>
        <v>76960.290000000008</v>
      </c>
      <c r="H28" s="27" t="str">
        <f t="shared" si="2"/>
        <v/>
      </c>
      <c r="J28" s="73"/>
      <c r="K28" s="99"/>
      <c r="L28" s="33"/>
      <c r="M28" s="31"/>
    </row>
    <row r="29" spans="1:13" ht="14.25" customHeight="1">
      <c r="A29" s="32">
        <v>44914</v>
      </c>
      <c r="B29" s="22">
        <v>-4378.8999999999996</v>
      </c>
      <c r="C29" s="23" t="s">
        <v>4</v>
      </c>
      <c r="D29" s="24">
        <v>21274.52</v>
      </c>
      <c r="E29" s="25"/>
      <c r="F29" s="24">
        <f t="shared" si="0"/>
        <v>3.44</v>
      </c>
      <c r="G29" s="26">
        <f t="shared" si="1"/>
        <v>21274.52</v>
      </c>
      <c r="H29" s="27" t="str">
        <f t="shared" si="2"/>
        <v/>
      </c>
      <c r="J29" s="73"/>
      <c r="K29" s="99"/>
      <c r="L29" s="33"/>
      <c r="M29" s="31"/>
    </row>
    <row r="30" spans="1:13" ht="14.25" customHeight="1">
      <c r="A30" s="32">
        <v>44915</v>
      </c>
      <c r="B30" s="22">
        <v>582.85</v>
      </c>
      <c r="C30" s="23" t="s">
        <v>4</v>
      </c>
      <c r="D30" s="24">
        <v>21857.360000000001</v>
      </c>
      <c r="E30" s="25"/>
      <c r="F30" s="24">
        <f t="shared" si="0"/>
        <v>3.53</v>
      </c>
      <c r="G30" s="26">
        <f t="shared" si="1"/>
        <v>21857.360000000001</v>
      </c>
      <c r="H30" s="27" t="str">
        <f t="shared" si="2"/>
        <v/>
      </c>
      <c r="J30" s="73"/>
      <c r="K30" s="99"/>
      <c r="L30" s="33"/>
      <c r="M30" s="31"/>
    </row>
    <row r="31" spans="1:13" ht="14.25" customHeight="1">
      <c r="A31" s="32">
        <v>44916</v>
      </c>
      <c r="B31" s="22">
        <v>0</v>
      </c>
      <c r="C31" s="23" t="s">
        <v>16</v>
      </c>
      <c r="D31" s="24">
        <v>21857.360000000001</v>
      </c>
      <c r="E31" s="25"/>
      <c r="F31" s="24">
        <f t="shared" si="0"/>
        <v>3.53</v>
      </c>
      <c r="G31" s="26">
        <f t="shared" si="1"/>
        <v>21857.360000000001</v>
      </c>
      <c r="H31" s="27" t="str">
        <f t="shared" si="2"/>
        <v/>
      </c>
      <c r="J31" s="73"/>
      <c r="K31" s="99"/>
      <c r="L31" s="33"/>
      <c r="M31" s="31"/>
    </row>
    <row r="32" spans="1:13" ht="14.25" customHeight="1">
      <c r="A32" s="32">
        <v>44917</v>
      </c>
      <c r="B32" s="22">
        <v>-9580.27</v>
      </c>
      <c r="C32" s="23" t="s">
        <v>4</v>
      </c>
      <c r="D32" s="24">
        <v>12277.09</v>
      </c>
      <c r="E32" s="25"/>
      <c r="F32" s="24">
        <f t="shared" si="0"/>
        <v>1.98</v>
      </c>
      <c r="G32" s="26">
        <f t="shared" si="1"/>
        <v>12277.09</v>
      </c>
      <c r="H32" s="27" t="str">
        <f t="shared" si="2"/>
        <v/>
      </c>
      <c r="J32" s="73"/>
      <c r="K32" s="99"/>
      <c r="L32" s="33"/>
      <c r="M32" s="31"/>
    </row>
    <row r="33" spans="1:13" ht="14.25" customHeight="1">
      <c r="A33" s="32">
        <v>44918</v>
      </c>
      <c r="B33" s="22">
        <v>3509.24</v>
      </c>
      <c r="C33" s="23" t="s">
        <v>4</v>
      </c>
      <c r="D33" s="24">
        <v>15786.31</v>
      </c>
      <c r="E33" s="25"/>
      <c r="F33" s="24">
        <f t="shared" si="0"/>
        <v>7.66</v>
      </c>
      <c r="G33" s="26">
        <f t="shared" si="1"/>
        <v>47358.93</v>
      </c>
      <c r="H33" s="27" t="str">
        <f t="shared" si="2"/>
        <v/>
      </c>
      <c r="J33" s="73"/>
      <c r="K33" s="99"/>
      <c r="L33" s="33"/>
      <c r="M33" s="31"/>
    </row>
    <row r="34" spans="1:13" ht="14.25" customHeight="1">
      <c r="A34" s="32">
        <v>44921</v>
      </c>
      <c r="B34" s="22">
        <v>838.75</v>
      </c>
      <c r="C34" s="23" t="s">
        <v>4</v>
      </c>
      <c r="D34" s="24">
        <v>16625.05</v>
      </c>
      <c r="E34" s="25"/>
      <c r="F34" s="24">
        <f t="shared" si="0"/>
        <v>2.69</v>
      </c>
      <c r="G34" s="26">
        <f t="shared" si="1"/>
        <v>16625.05</v>
      </c>
      <c r="H34" s="27" t="str">
        <f t="shared" si="2"/>
        <v/>
      </c>
      <c r="J34" s="73"/>
      <c r="K34" s="99"/>
      <c r="L34" s="33"/>
      <c r="M34" s="31"/>
    </row>
    <row r="35" spans="1:13" ht="14.25" customHeight="1">
      <c r="A35" s="32">
        <v>44922</v>
      </c>
      <c r="B35" s="22">
        <v>1195.9100000000001</v>
      </c>
      <c r="C35" s="23" t="s">
        <v>4</v>
      </c>
      <c r="D35" s="24">
        <v>17820.95</v>
      </c>
      <c r="E35" s="25"/>
      <c r="F35" s="24">
        <f t="shared" si="0"/>
        <v>2.88</v>
      </c>
      <c r="G35" s="26">
        <f t="shared" si="1"/>
        <v>17820.95</v>
      </c>
      <c r="H35" s="27" t="str">
        <f t="shared" si="2"/>
        <v/>
      </c>
      <c r="J35" s="73"/>
      <c r="K35" s="99"/>
      <c r="L35" s="33"/>
      <c r="M35" s="31"/>
    </row>
    <row r="36" spans="1:13" ht="14.25" customHeight="1">
      <c r="A36" s="32">
        <v>44923</v>
      </c>
      <c r="B36" s="22">
        <v>0</v>
      </c>
      <c r="C36" s="23" t="s">
        <v>16</v>
      </c>
      <c r="D36" s="24">
        <v>17820.949999999997</v>
      </c>
      <c r="E36" s="25"/>
      <c r="F36" s="24">
        <f t="shared" si="0"/>
        <v>2.88</v>
      </c>
      <c r="G36" s="26">
        <f t="shared" si="1"/>
        <v>17820.949999999997</v>
      </c>
      <c r="H36" s="27" t="str">
        <f t="shared" si="2"/>
        <v/>
      </c>
      <c r="J36" s="73"/>
      <c r="K36" s="99"/>
      <c r="L36" s="33"/>
      <c r="M36" s="31"/>
    </row>
    <row r="37" spans="1:13" ht="14.25" customHeight="1">
      <c r="A37" s="32">
        <v>44924</v>
      </c>
      <c r="B37" s="22">
        <v>-2549.8000000000002</v>
      </c>
      <c r="C37" s="23" t="s">
        <v>4</v>
      </c>
      <c r="D37" s="24">
        <v>15271.15</v>
      </c>
      <c r="E37" s="25"/>
      <c r="F37" s="24">
        <f t="shared" si="0"/>
        <v>14.81</v>
      </c>
      <c r="G37" s="26">
        <f t="shared" si="1"/>
        <v>91626.9</v>
      </c>
      <c r="H37" s="27" t="str">
        <f t="shared" si="2"/>
        <v/>
      </c>
      <c r="J37" s="73"/>
      <c r="K37" s="99"/>
      <c r="L37" s="33"/>
      <c r="M37" s="31"/>
    </row>
    <row r="38" spans="1:13" ht="14.25" customHeight="1">
      <c r="A38" s="32">
        <v>44930</v>
      </c>
      <c r="B38" s="22">
        <v>-3307.52</v>
      </c>
      <c r="C38" s="23" t="s">
        <v>4</v>
      </c>
      <c r="D38" s="24">
        <v>11963.62</v>
      </c>
      <c r="E38" s="25"/>
      <c r="F38" s="24">
        <f t="shared" si="0"/>
        <v>1.93</v>
      </c>
      <c r="G38" s="26">
        <f t="shared" si="1"/>
        <v>11963.62</v>
      </c>
      <c r="H38" s="27" t="str">
        <f t="shared" si="2"/>
        <v/>
      </c>
      <c r="J38" s="73"/>
      <c r="K38" s="99"/>
      <c r="L38" s="33"/>
      <c r="M38" s="31"/>
    </row>
    <row r="39" spans="1:13" ht="14.25" customHeight="1">
      <c r="A39" s="32">
        <v>44931</v>
      </c>
      <c r="B39" s="22">
        <v>-1095.72</v>
      </c>
      <c r="C39" s="23" t="s">
        <v>4</v>
      </c>
      <c r="D39" s="24">
        <v>10867.89</v>
      </c>
      <c r="E39" s="25"/>
      <c r="F39" s="24">
        <f t="shared" si="0"/>
        <v>1.76</v>
      </c>
      <c r="G39" s="26">
        <f t="shared" si="1"/>
        <v>10867.89</v>
      </c>
      <c r="H39" s="27" t="str">
        <f t="shared" si="2"/>
        <v/>
      </c>
      <c r="J39" s="73"/>
      <c r="K39" s="99"/>
      <c r="L39" s="33"/>
      <c r="M39" s="31"/>
    </row>
    <row r="40" spans="1:13" ht="14.25" customHeight="1">
      <c r="A40" s="32">
        <v>44932</v>
      </c>
      <c r="B40" s="22">
        <v>284.37</v>
      </c>
      <c r="C40" s="23" t="s">
        <v>4</v>
      </c>
      <c r="D40" s="24">
        <v>11152.25</v>
      </c>
      <c r="E40" s="25"/>
      <c r="F40" s="24">
        <f t="shared" si="0"/>
        <v>5.41</v>
      </c>
      <c r="G40" s="26">
        <f t="shared" si="1"/>
        <v>33456.75</v>
      </c>
      <c r="H40" s="27" t="str">
        <f t="shared" si="2"/>
        <v/>
      </c>
      <c r="J40" s="73"/>
      <c r="K40" s="99"/>
      <c r="L40" s="33"/>
      <c r="M40" s="31"/>
    </row>
    <row r="41" spans="1:13" ht="14.25" customHeight="1">
      <c r="A41" s="32">
        <v>44935</v>
      </c>
      <c r="B41" s="22">
        <v>1243.3399999999999</v>
      </c>
      <c r="C41" s="23" t="s">
        <v>4</v>
      </c>
      <c r="D41" s="24">
        <v>12395.57</v>
      </c>
      <c r="E41" s="25"/>
      <c r="F41" s="24">
        <f t="shared" si="0"/>
        <v>2</v>
      </c>
      <c r="G41" s="26">
        <f t="shared" si="1"/>
        <v>12395.57</v>
      </c>
      <c r="H41" s="27" t="str">
        <f t="shared" si="2"/>
        <v/>
      </c>
      <c r="J41" s="73"/>
      <c r="K41" s="99"/>
      <c r="L41" s="33"/>
      <c r="M41" s="31"/>
    </row>
    <row r="42" spans="1:13" ht="14.25" customHeight="1">
      <c r="A42" s="32">
        <v>44936</v>
      </c>
      <c r="B42" s="22">
        <v>-194.94</v>
      </c>
      <c r="C42" s="23" t="s">
        <v>4</v>
      </c>
      <c r="D42" s="24">
        <v>12200.61</v>
      </c>
      <c r="E42" s="25"/>
      <c r="F42" s="24">
        <f t="shared" si="0"/>
        <v>1.97</v>
      </c>
      <c r="G42" s="26">
        <f t="shared" si="1"/>
        <v>12200.61</v>
      </c>
      <c r="H42" s="27" t="str">
        <f t="shared" si="2"/>
        <v/>
      </c>
      <c r="J42" s="73"/>
      <c r="K42" s="99"/>
      <c r="L42" s="33"/>
      <c r="M42" s="31"/>
    </row>
    <row r="43" spans="1:13" ht="14.25" customHeight="1">
      <c r="A43" s="32">
        <v>44937</v>
      </c>
      <c r="B43" s="22">
        <v>2981.47</v>
      </c>
      <c r="C43" s="23" t="s">
        <v>4</v>
      </c>
      <c r="D43" s="24">
        <v>15182.07</v>
      </c>
      <c r="E43" s="25"/>
      <c r="F43" s="24">
        <f t="shared" si="0"/>
        <v>2.4500000000000002</v>
      </c>
      <c r="G43" s="26">
        <f t="shared" si="1"/>
        <v>15182.07</v>
      </c>
      <c r="H43" s="27" t="str">
        <f t="shared" si="2"/>
        <v/>
      </c>
      <c r="J43" s="73"/>
      <c r="K43" s="99"/>
      <c r="L43" s="33"/>
      <c r="M43" s="31"/>
    </row>
    <row r="44" spans="1:13" ht="14.25" customHeight="1">
      <c r="A44" s="32">
        <v>44938</v>
      </c>
      <c r="B44" s="22">
        <v>-4760.05</v>
      </c>
      <c r="C44" s="23" t="s">
        <v>4</v>
      </c>
      <c r="D44" s="24">
        <v>10422.01</v>
      </c>
      <c r="E44" s="25"/>
      <c r="F44" s="24">
        <f t="shared" si="0"/>
        <v>1.68</v>
      </c>
      <c r="G44" s="26">
        <f t="shared" si="1"/>
        <v>10422.01</v>
      </c>
      <c r="H44" s="27" t="str">
        <f t="shared" si="2"/>
        <v/>
      </c>
      <c r="J44" s="73"/>
      <c r="K44" s="99"/>
      <c r="L44" s="33"/>
      <c r="M44" s="31"/>
    </row>
    <row r="45" spans="1:13" ht="14.25" customHeight="1">
      <c r="A45" s="32">
        <v>44939</v>
      </c>
      <c r="B45" s="22">
        <v>395.48</v>
      </c>
      <c r="C45" s="23" t="s">
        <v>4</v>
      </c>
      <c r="D45" s="24">
        <v>10817.48</v>
      </c>
      <c r="E45" s="25"/>
      <c r="F45" s="24">
        <f t="shared" si="0"/>
        <v>5.25</v>
      </c>
      <c r="G45" s="26">
        <f t="shared" si="1"/>
        <v>32452.44</v>
      </c>
      <c r="H45" s="27" t="str">
        <f t="shared" si="2"/>
        <v/>
      </c>
      <c r="J45" s="73"/>
      <c r="K45" s="99"/>
      <c r="L45" s="33"/>
      <c r="M45" s="31"/>
    </row>
    <row r="46" spans="1:13" ht="14.25" customHeight="1">
      <c r="A46" s="32">
        <v>44942</v>
      </c>
      <c r="B46" s="22">
        <v>0</v>
      </c>
      <c r="C46" s="23" t="s">
        <v>16</v>
      </c>
      <c r="D46" s="24">
        <v>10817.48</v>
      </c>
      <c r="E46" s="25"/>
      <c r="F46" s="24">
        <f t="shared" si="0"/>
        <v>1.75</v>
      </c>
      <c r="G46" s="26">
        <f t="shared" si="1"/>
        <v>10817.48</v>
      </c>
      <c r="H46" s="27" t="str">
        <f t="shared" si="2"/>
        <v/>
      </c>
      <c r="J46" s="73"/>
      <c r="K46" s="99"/>
      <c r="L46" s="33"/>
      <c r="M46" s="31"/>
    </row>
    <row r="47" spans="1:13" ht="14.25" customHeight="1">
      <c r="A47" s="32">
        <v>44943</v>
      </c>
      <c r="B47" s="22">
        <v>1174.73</v>
      </c>
      <c r="C47" s="23" t="s">
        <v>4</v>
      </c>
      <c r="D47" s="24">
        <v>11992.2</v>
      </c>
      <c r="E47" s="25"/>
      <c r="F47" s="24">
        <f t="shared" si="0"/>
        <v>1.94</v>
      </c>
      <c r="G47" s="26">
        <f t="shared" si="1"/>
        <v>11992.2</v>
      </c>
      <c r="H47" s="27" t="str">
        <f t="shared" si="2"/>
        <v/>
      </c>
      <c r="J47" s="73"/>
      <c r="K47" s="99"/>
      <c r="L47" s="33"/>
      <c r="M47" s="31"/>
    </row>
    <row r="48" spans="1:13" ht="14.25" customHeight="1">
      <c r="A48" s="32">
        <v>44944</v>
      </c>
      <c r="B48" s="22">
        <v>2812.84</v>
      </c>
      <c r="C48" s="23" t="s">
        <v>4</v>
      </c>
      <c r="D48" s="24">
        <v>14805.02</v>
      </c>
      <c r="E48" s="25"/>
      <c r="F48" s="24">
        <f t="shared" si="0"/>
        <v>2.39</v>
      </c>
      <c r="G48" s="26">
        <f t="shared" si="1"/>
        <v>14805.02</v>
      </c>
      <c r="H48" s="27" t="str">
        <f t="shared" si="2"/>
        <v/>
      </c>
      <c r="J48" s="73"/>
      <c r="K48" s="99"/>
      <c r="L48" s="33"/>
      <c r="M48" s="31"/>
    </row>
    <row r="49" spans="1:13" ht="14.25" customHeight="1">
      <c r="A49" s="32">
        <v>44945</v>
      </c>
      <c r="B49" s="22">
        <v>-64.58</v>
      </c>
      <c r="C49" s="23" t="s">
        <v>4</v>
      </c>
      <c r="D49" s="24">
        <v>14740.42</v>
      </c>
      <c r="E49" s="25"/>
      <c r="F49" s="24">
        <f t="shared" si="0"/>
        <v>2.38</v>
      </c>
      <c r="G49" s="26">
        <f t="shared" si="1"/>
        <v>14740.42</v>
      </c>
      <c r="H49" s="27" t="str">
        <f t="shared" si="2"/>
        <v/>
      </c>
      <c r="J49" s="73"/>
      <c r="K49" s="99"/>
      <c r="L49" s="33"/>
      <c r="M49" s="31"/>
    </row>
    <row r="50" spans="1:13" ht="14.25" customHeight="1">
      <c r="A50" s="32">
        <v>44946</v>
      </c>
      <c r="B50" s="22">
        <v>2590.9</v>
      </c>
      <c r="C50" s="23" t="s">
        <v>4</v>
      </c>
      <c r="D50" s="24">
        <v>17331.3</v>
      </c>
      <c r="E50" s="25"/>
      <c r="F50" s="24">
        <f t="shared" si="0"/>
        <v>8.4</v>
      </c>
      <c r="G50" s="26">
        <f t="shared" si="1"/>
        <v>51993.899999999994</v>
      </c>
      <c r="H50" s="27" t="str">
        <f t="shared" si="2"/>
        <v/>
      </c>
      <c r="J50" s="73"/>
      <c r="K50" s="99"/>
      <c r="L50" s="33"/>
      <c r="M50" s="31"/>
    </row>
    <row r="51" spans="1:13" ht="14.25" customHeight="1">
      <c r="A51" s="32">
        <v>44949</v>
      </c>
      <c r="B51" s="22">
        <v>103.1</v>
      </c>
      <c r="C51" s="23" t="s">
        <v>4</v>
      </c>
      <c r="D51" s="24">
        <v>17434.39</v>
      </c>
      <c r="E51" s="25"/>
      <c r="F51" s="24">
        <f t="shared" si="0"/>
        <v>2.82</v>
      </c>
      <c r="G51" s="26">
        <f t="shared" si="1"/>
        <v>17434.39</v>
      </c>
      <c r="H51" s="27" t="str">
        <f t="shared" si="2"/>
        <v/>
      </c>
      <c r="J51" s="73"/>
      <c r="K51" s="99"/>
      <c r="L51" s="33"/>
      <c r="M51" s="31"/>
    </row>
    <row r="52" spans="1:13" ht="14.25" customHeight="1">
      <c r="A52" s="32">
        <v>44950</v>
      </c>
      <c r="B52" s="22">
        <v>661.62</v>
      </c>
      <c r="C52" s="23" t="s">
        <v>4</v>
      </c>
      <c r="D52" s="24">
        <v>18096</v>
      </c>
      <c r="E52" s="25"/>
      <c r="F52" s="24">
        <f t="shared" si="0"/>
        <v>2.93</v>
      </c>
      <c r="G52" s="26">
        <f t="shared" si="1"/>
        <v>18096</v>
      </c>
      <c r="H52" s="27" t="str">
        <f t="shared" si="2"/>
        <v/>
      </c>
      <c r="J52" s="73"/>
      <c r="K52" s="99"/>
      <c r="L52" s="33"/>
      <c r="M52" s="31"/>
    </row>
    <row r="53" spans="1:13" ht="14.25" customHeight="1">
      <c r="A53" s="32">
        <v>44951</v>
      </c>
      <c r="B53" s="22">
        <v>-10329.02</v>
      </c>
      <c r="C53" s="23" t="s">
        <v>4</v>
      </c>
      <c r="D53" s="24">
        <v>7766.98</v>
      </c>
      <c r="E53" s="25"/>
      <c r="F53" s="24">
        <f t="shared" si="0"/>
        <v>2.5099999999999998</v>
      </c>
      <c r="G53" s="26">
        <f t="shared" si="1"/>
        <v>15533.96</v>
      </c>
      <c r="H53" s="27" t="str">
        <f t="shared" si="2"/>
        <v/>
      </c>
      <c r="J53" s="73"/>
      <c r="K53" s="99"/>
      <c r="L53" s="33"/>
      <c r="M53" s="31"/>
    </row>
    <row r="54" spans="1:13" ht="14.25" customHeight="1">
      <c r="A54" s="32">
        <v>44953</v>
      </c>
      <c r="B54" s="22">
        <v>-1506.85</v>
      </c>
      <c r="C54" s="23" t="s">
        <v>4</v>
      </c>
      <c r="D54" s="24">
        <v>6262.6</v>
      </c>
      <c r="E54" s="25"/>
      <c r="F54" s="24">
        <f t="shared" si="0"/>
        <v>3.04</v>
      </c>
      <c r="G54" s="26">
        <f t="shared" si="1"/>
        <v>18787.800000000003</v>
      </c>
      <c r="H54" s="27" t="str">
        <f t="shared" si="2"/>
        <v/>
      </c>
      <c r="J54" s="73"/>
      <c r="K54" s="99"/>
      <c r="L54" s="33"/>
      <c r="M54" s="31"/>
    </row>
    <row r="55" spans="1:13" ht="14.25" customHeight="1">
      <c r="A55" s="32">
        <v>44956</v>
      </c>
      <c r="B55" s="22">
        <v>-904.57</v>
      </c>
      <c r="C55" s="23" t="s">
        <v>4</v>
      </c>
      <c r="D55" s="24">
        <v>5358.02</v>
      </c>
      <c r="E55" s="25"/>
      <c r="F55" s="24">
        <f t="shared" si="0"/>
        <v>0.87</v>
      </c>
      <c r="G55" s="26">
        <f t="shared" si="1"/>
        <v>5358.02</v>
      </c>
      <c r="H55" s="27" t="str">
        <f t="shared" si="2"/>
        <v/>
      </c>
      <c r="J55" s="73"/>
      <c r="K55" s="99"/>
      <c r="L55" s="33"/>
      <c r="M55" s="31"/>
    </row>
    <row r="56" spans="1:13" ht="14.25" customHeight="1">
      <c r="A56" s="32">
        <v>44957</v>
      </c>
      <c r="B56" s="22">
        <v>195.61</v>
      </c>
      <c r="C56" s="23" t="s">
        <v>4</v>
      </c>
      <c r="D56" s="24">
        <v>5553.62</v>
      </c>
      <c r="E56" s="25"/>
      <c r="F56" s="24">
        <f t="shared" si="0"/>
        <v>0.9</v>
      </c>
      <c r="G56" s="26">
        <f t="shared" si="1"/>
        <v>5553.62</v>
      </c>
      <c r="H56" s="27" t="str">
        <f t="shared" si="2"/>
        <v/>
      </c>
      <c r="J56" s="73"/>
      <c r="K56" s="99"/>
      <c r="L56" s="33"/>
      <c r="M56" s="31"/>
    </row>
    <row r="57" spans="1:13" ht="14.25" customHeight="1">
      <c r="A57" s="32">
        <v>44958</v>
      </c>
      <c r="B57" s="22">
        <v>-314.83999999999997</v>
      </c>
      <c r="C57" s="23" t="s">
        <v>4</v>
      </c>
      <c r="D57" s="24">
        <v>5238.7700000000004</v>
      </c>
      <c r="E57" s="25"/>
      <c r="F57" s="24">
        <f t="shared" si="0"/>
        <v>0.85</v>
      </c>
      <c r="G57" s="26">
        <f t="shared" si="1"/>
        <v>5238.7700000000004</v>
      </c>
      <c r="H57" s="27" t="str">
        <f t="shared" si="2"/>
        <v/>
      </c>
      <c r="J57" s="73"/>
      <c r="K57" s="99"/>
      <c r="L57" s="33"/>
      <c r="M57" s="31"/>
    </row>
    <row r="58" spans="1:13" ht="14.25" customHeight="1">
      <c r="A58" s="32">
        <v>44959</v>
      </c>
      <c r="B58" s="22">
        <v>-1142.96</v>
      </c>
      <c r="C58" s="23" t="s">
        <v>4</v>
      </c>
      <c r="D58" s="24">
        <v>4095.8</v>
      </c>
      <c r="E58" s="25"/>
      <c r="F58" s="24">
        <f t="shared" si="0"/>
        <v>0.66</v>
      </c>
      <c r="G58" s="26">
        <f t="shared" si="1"/>
        <v>4095.8</v>
      </c>
      <c r="H58" s="27" t="str">
        <f t="shared" si="2"/>
        <v/>
      </c>
      <c r="J58" s="73"/>
      <c r="K58" s="99"/>
      <c r="L58" s="33"/>
      <c r="M58" s="31"/>
    </row>
    <row r="59" spans="1:13" ht="14.25" customHeight="1">
      <c r="A59" s="32">
        <v>44960</v>
      </c>
      <c r="B59" s="22">
        <v>247.28</v>
      </c>
      <c r="C59" s="23" t="s">
        <v>4</v>
      </c>
      <c r="D59" s="24">
        <v>4343.07</v>
      </c>
      <c r="E59" s="25"/>
      <c r="F59" s="24">
        <f t="shared" si="0"/>
        <v>2.11</v>
      </c>
      <c r="G59" s="26">
        <f t="shared" si="1"/>
        <v>13029.21</v>
      </c>
      <c r="H59" s="27" t="str">
        <f t="shared" si="2"/>
        <v/>
      </c>
      <c r="J59" s="73"/>
      <c r="K59" s="99"/>
      <c r="L59" s="33"/>
      <c r="M59" s="31"/>
    </row>
    <row r="60" spans="1:13" ht="14.25" customHeight="1">
      <c r="A60" s="32">
        <v>44963</v>
      </c>
      <c r="B60" s="22">
        <v>-92.56</v>
      </c>
      <c r="C60" s="23" t="s">
        <v>4</v>
      </c>
      <c r="D60" s="24">
        <v>4250.5</v>
      </c>
      <c r="E60" s="25"/>
      <c r="F60" s="24">
        <f t="shared" si="0"/>
        <v>0.69</v>
      </c>
      <c r="G60" s="26">
        <f t="shared" si="1"/>
        <v>4250.5</v>
      </c>
      <c r="H60" s="27" t="str">
        <f t="shared" si="2"/>
        <v/>
      </c>
      <c r="J60" s="73"/>
      <c r="K60" s="99"/>
      <c r="L60" s="33"/>
      <c r="M60" s="31"/>
    </row>
    <row r="61" spans="1:13" ht="14.25" customHeight="1">
      <c r="A61" s="32">
        <v>44964</v>
      </c>
      <c r="B61" s="22">
        <v>-1089.1400000000001</v>
      </c>
      <c r="C61" s="23" t="s">
        <v>4</v>
      </c>
      <c r="D61" s="24">
        <v>3161.35</v>
      </c>
      <c r="E61" s="25"/>
      <c r="F61" s="24">
        <f t="shared" si="0"/>
        <v>0.51</v>
      </c>
      <c r="G61" s="26">
        <f t="shared" si="1"/>
        <v>3161.35</v>
      </c>
      <c r="H61" s="27" t="str">
        <f t="shared" si="2"/>
        <v/>
      </c>
      <c r="J61" s="73"/>
      <c r="K61" s="99"/>
      <c r="L61" s="33"/>
      <c r="M61" s="31"/>
    </row>
    <row r="62" spans="1:13" ht="14.25" customHeight="1">
      <c r="A62" s="32">
        <v>44965</v>
      </c>
      <c r="B62" s="22">
        <v>-1303.44</v>
      </c>
      <c r="C62" s="23" t="s">
        <v>4</v>
      </c>
      <c r="D62" s="24">
        <v>1857.9</v>
      </c>
      <c r="E62" s="25"/>
      <c r="F62" s="24">
        <f t="shared" si="0"/>
        <v>1.5</v>
      </c>
      <c r="G62" s="26">
        <f t="shared" si="1"/>
        <v>9289.5</v>
      </c>
      <c r="H62" s="27" t="str">
        <f t="shared" si="2"/>
        <v/>
      </c>
      <c r="J62" s="73"/>
      <c r="K62" s="99"/>
      <c r="L62" s="33"/>
      <c r="M62" s="31"/>
    </row>
    <row r="63" spans="1:13" ht="14.25" customHeight="1">
      <c r="A63" s="32">
        <v>44970</v>
      </c>
      <c r="B63" s="22">
        <v>72.73</v>
      </c>
      <c r="C63" s="23" t="s">
        <v>4</v>
      </c>
      <c r="D63" s="24">
        <v>1930.62</v>
      </c>
      <c r="E63" s="25"/>
      <c r="F63" s="24">
        <f t="shared" si="0"/>
        <v>0.31</v>
      </c>
      <c r="G63" s="26">
        <f t="shared" si="1"/>
        <v>1930.62</v>
      </c>
      <c r="H63" s="27" t="str">
        <f t="shared" si="2"/>
        <v/>
      </c>
      <c r="J63" s="73"/>
      <c r="K63" s="99"/>
      <c r="L63" s="33"/>
      <c r="M63" s="31"/>
    </row>
    <row r="64" spans="1:13" ht="14.25" customHeight="1">
      <c r="A64" s="32">
        <v>44971</v>
      </c>
      <c r="B64" s="22">
        <v>272.7</v>
      </c>
      <c r="C64" s="23" t="s">
        <v>4</v>
      </c>
      <c r="D64" s="24">
        <v>2203.31</v>
      </c>
      <c r="E64" s="25"/>
      <c r="F64" s="24">
        <f t="shared" si="0"/>
        <v>0.36</v>
      </c>
      <c r="G64" s="26">
        <f t="shared" si="1"/>
        <v>2203.31</v>
      </c>
      <c r="H64" s="27" t="str">
        <f t="shared" si="2"/>
        <v/>
      </c>
      <c r="J64" s="73"/>
      <c r="K64" s="99"/>
      <c r="L64" s="33"/>
      <c r="M64" s="31"/>
    </row>
    <row r="65" spans="1:13" ht="14.25" customHeight="1">
      <c r="A65" s="32">
        <v>44972</v>
      </c>
      <c r="B65" s="22">
        <v>1456.26</v>
      </c>
      <c r="C65" s="23" t="s">
        <v>4</v>
      </c>
      <c r="D65" s="24">
        <v>3659.55</v>
      </c>
      <c r="E65" s="25"/>
      <c r="F65" s="24">
        <f t="shared" si="0"/>
        <v>0.59</v>
      </c>
      <c r="G65" s="26">
        <f t="shared" si="1"/>
        <v>3659.55</v>
      </c>
      <c r="H65" s="27" t="str">
        <f t="shared" si="2"/>
        <v/>
      </c>
      <c r="J65" s="73"/>
      <c r="K65" s="99"/>
      <c r="L65" s="33"/>
      <c r="M65" s="31"/>
    </row>
    <row r="66" spans="1:13" ht="14.25" customHeight="1">
      <c r="A66" s="32">
        <v>44973</v>
      </c>
      <c r="B66" s="22">
        <v>-428.8</v>
      </c>
      <c r="C66" s="23" t="s">
        <v>4</v>
      </c>
      <c r="D66" s="24">
        <v>3230.74</v>
      </c>
      <c r="E66" s="25"/>
      <c r="F66" s="24">
        <f t="shared" si="0"/>
        <v>2.09</v>
      </c>
      <c r="G66" s="26">
        <f t="shared" si="1"/>
        <v>12922.96</v>
      </c>
      <c r="H66" s="27" t="str">
        <f t="shared" si="2"/>
        <v/>
      </c>
      <c r="J66" s="73"/>
      <c r="K66" s="99"/>
      <c r="L66" s="33"/>
      <c r="M66" s="31"/>
    </row>
    <row r="67" spans="1:13" ht="14.25" customHeight="1">
      <c r="A67" s="32">
        <v>44977</v>
      </c>
      <c r="B67" s="22">
        <v>-1003.82</v>
      </c>
      <c r="C67" s="23" t="s">
        <v>4</v>
      </c>
      <c r="D67" s="24">
        <v>2226.91</v>
      </c>
      <c r="E67" s="25"/>
      <c r="F67" s="24">
        <f t="shared" si="0"/>
        <v>0.36</v>
      </c>
      <c r="G67" s="26">
        <f t="shared" si="1"/>
        <v>2226.91</v>
      </c>
      <c r="H67" s="27" t="str">
        <f t="shared" si="2"/>
        <v/>
      </c>
      <c r="J67" s="73"/>
      <c r="K67" s="99"/>
      <c r="L67" s="33"/>
      <c r="M67" s="31"/>
    </row>
    <row r="68" spans="1:13" ht="14.25" customHeight="1">
      <c r="A68" s="32">
        <v>44978</v>
      </c>
      <c r="B68" s="22">
        <v>35.14</v>
      </c>
      <c r="C68" s="23" t="s">
        <v>4</v>
      </c>
      <c r="D68" s="24">
        <v>2262.04</v>
      </c>
      <c r="E68" s="25"/>
      <c r="F68" s="24">
        <f t="shared" si="0"/>
        <v>0.37</v>
      </c>
      <c r="G68" s="26">
        <f t="shared" si="1"/>
        <v>2262.04</v>
      </c>
      <c r="H68" s="27" t="str">
        <f t="shared" si="2"/>
        <v/>
      </c>
      <c r="J68" s="73"/>
      <c r="K68" s="99"/>
      <c r="L68" s="33"/>
      <c r="M68" s="31"/>
    </row>
    <row r="69" spans="1:13" ht="14.25" customHeight="1">
      <c r="A69" s="32">
        <v>44979</v>
      </c>
      <c r="B69" s="22">
        <v>-55.07</v>
      </c>
      <c r="C69" s="23" t="s">
        <v>4</v>
      </c>
      <c r="D69" s="24">
        <v>2206.96</v>
      </c>
      <c r="E69" s="25"/>
      <c r="F69" s="24">
        <f t="shared" si="0"/>
        <v>0.71</v>
      </c>
      <c r="G69" s="26">
        <f t="shared" si="1"/>
        <v>4413.92</v>
      </c>
      <c r="H69" s="27" t="str">
        <f t="shared" si="2"/>
        <v/>
      </c>
      <c r="J69" s="73"/>
      <c r="K69" s="99"/>
      <c r="L69" s="33"/>
      <c r="M69" s="31"/>
    </row>
    <row r="70" spans="1:13" ht="14.25" customHeight="1">
      <c r="A70" s="32">
        <v>44981</v>
      </c>
      <c r="B70" s="22">
        <v>206.66</v>
      </c>
      <c r="C70" s="23" t="s">
        <v>4</v>
      </c>
      <c r="D70" s="24">
        <v>2413.63</v>
      </c>
      <c r="E70" s="25"/>
      <c r="F70" s="24">
        <f t="shared" si="0"/>
        <v>1.17</v>
      </c>
      <c r="G70" s="26">
        <f t="shared" si="1"/>
        <v>7240.89</v>
      </c>
      <c r="H70" s="27" t="str">
        <f t="shared" si="2"/>
        <v/>
      </c>
      <c r="J70" s="73"/>
      <c r="K70" s="99"/>
      <c r="L70" s="33"/>
      <c r="M70" s="31"/>
    </row>
    <row r="71" spans="1:13" ht="14.25" customHeight="1">
      <c r="A71" s="32">
        <v>44984</v>
      </c>
      <c r="B71" s="22">
        <v>403.76</v>
      </c>
      <c r="C71" s="23" t="s">
        <v>4</v>
      </c>
      <c r="D71" s="24">
        <v>2817.38</v>
      </c>
      <c r="E71" s="25"/>
      <c r="F71" s="24">
        <f t="shared" si="0"/>
        <v>0.46</v>
      </c>
      <c r="G71" s="26">
        <f t="shared" si="1"/>
        <v>2817.38</v>
      </c>
      <c r="H71" s="27" t="str">
        <f t="shared" si="2"/>
        <v/>
      </c>
      <c r="J71" s="73"/>
      <c r="K71" s="99"/>
      <c r="L71" s="33"/>
      <c r="M71" s="31"/>
    </row>
    <row r="72" spans="1:13" ht="14.25" customHeight="1">
      <c r="A72" s="32">
        <v>44985</v>
      </c>
      <c r="B72" s="22">
        <v>-154.83000000000001</v>
      </c>
      <c r="C72" s="23" t="s">
        <v>4</v>
      </c>
      <c r="D72" s="24">
        <v>2662.54</v>
      </c>
      <c r="E72" s="25"/>
      <c r="F72" s="24">
        <f t="shared" si="0"/>
        <v>0.43</v>
      </c>
      <c r="G72" s="26">
        <f t="shared" si="1"/>
        <v>2662.54</v>
      </c>
      <c r="H72" s="27" t="str">
        <f t="shared" si="2"/>
        <v/>
      </c>
      <c r="J72" s="73"/>
      <c r="K72" s="99"/>
      <c r="L72" s="33"/>
      <c r="M72" s="31"/>
    </row>
    <row r="73" spans="1:13" ht="14.25" customHeight="1">
      <c r="A73" s="32">
        <v>44986</v>
      </c>
      <c r="B73" s="22">
        <v>-125.48</v>
      </c>
      <c r="C73" s="23" t="s">
        <v>4</v>
      </c>
      <c r="D73" s="24">
        <v>2537.0500000000002</v>
      </c>
      <c r="E73" s="25"/>
      <c r="F73" s="24">
        <f t="shared" si="0"/>
        <v>0.41</v>
      </c>
      <c r="G73" s="26">
        <f t="shared" si="1"/>
        <v>2537.0500000000002</v>
      </c>
      <c r="H73" s="27" t="str">
        <f t="shared" si="2"/>
        <v/>
      </c>
      <c r="J73" s="73"/>
      <c r="K73" s="99"/>
      <c r="L73" s="33"/>
      <c r="M73" s="31"/>
    </row>
    <row r="74" spans="1:13" ht="14.25" customHeight="1">
      <c r="A74" s="32">
        <v>44987</v>
      </c>
      <c r="B74" s="22">
        <v>-90.21</v>
      </c>
      <c r="C74" s="23" t="s">
        <v>4</v>
      </c>
      <c r="D74" s="24">
        <v>2446.83</v>
      </c>
      <c r="E74" s="25"/>
      <c r="F74" s="24">
        <f t="shared" si="0"/>
        <v>2.37</v>
      </c>
      <c r="G74" s="26">
        <f t="shared" si="1"/>
        <v>14680.98</v>
      </c>
      <c r="H74" s="27" t="str">
        <f t="shared" si="2"/>
        <v/>
      </c>
      <c r="J74" s="73"/>
      <c r="K74" s="99"/>
      <c r="L74" s="33"/>
      <c r="M74" s="31"/>
    </row>
    <row r="75" spans="1:13" ht="14.25" customHeight="1">
      <c r="A75" s="32">
        <v>44993</v>
      </c>
      <c r="B75" s="22">
        <v>19.79</v>
      </c>
      <c r="C75" s="23" t="s">
        <v>4</v>
      </c>
      <c r="D75" s="24">
        <v>2466.61</v>
      </c>
      <c r="E75" s="25"/>
      <c r="F75" s="24">
        <f t="shared" si="0"/>
        <v>0.8</v>
      </c>
      <c r="G75" s="26">
        <f t="shared" si="1"/>
        <v>4933.22</v>
      </c>
      <c r="H75" s="27" t="str">
        <f t="shared" si="2"/>
        <v/>
      </c>
      <c r="J75" s="73"/>
      <c r="K75" s="99"/>
      <c r="L75" s="33"/>
      <c r="M75" s="31"/>
    </row>
    <row r="76" spans="1:13" ht="14.25" customHeight="1">
      <c r="A76" s="32">
        <v>44995</v>
      </c>
      <c r="B76" s="22">
        <v>191.94</v>
      </c>
      <c r="C76" s="23" t="s">
        <v>4</v>
      </c>
      <c r="D76" s="24">
        <v>2658.54</v>
      </c>
      <c r="E76" s="25"/>
      <c r="F76" s="24">
        <f t="shared" si="0"/>
        <v>1.72</v>
      </c>
      <c r="G76" s="26">
        <f t="shared" si="1"/>
        <v>10634.16</v>
      </c>
      <c r="H76" s="27" t="str">
        <f t="shared" si="2"/>
        <v/>
      </c>
      <c r="J76" s="73"/>
      <c r="K76" s="99"/>
      <c r="L76" s="33"/>
      <c r="M76" s="31"/>
    </row>
    <row r="77" spans="1:13" ht="14.25" customHeight="1">
      <c r="A77" s="32">
        <v>44999</v>
      </c>
      <c r="B77" s="22">
        <v>-10.4</v>
      </c>
      <c r="C77" s="23" t="s">
        <v>4</v>
      </c>
      <c r="D77" s="24">
        <v>2648.13</v>
      </c>
      <c r="E77" s="25"/>
      <c r="F77" s="24">
        <f t="shared" si="0"/>
        <v>0.43</v>
      </c>
      <c r="G77" s="26">
        <f t="shared" si="1"/>
        <v>2648.13</v>
      </c>
      <c r="H77" s="27" t="str">
        <f t="shared" si="2"/>
        <v/>
      </c>
      <c r="J77" s="73"/>
      <c r="K77" s="99"/>
      <c r="L77" s="33"/>
      <c r="M77" s="31"/>
    </row>
    <row r="78" spans="1:13" ht="14.25" customHeight="1">
      <c r="A78" s="32">
        <v>45000</v>
      </c>
      <c r="B78" s="22">
        <v>1328.98</v>
      </c>
      <c r="C78" s="23" t="s">
        <v>4</v>
      </c>
      <c r="D78" s="24">
        <v>3977.07</v>
      </c>
      <c r="E78" s="25"/>
      <c r="F78" s="24">
        <f t="shared" si="0"/>
        <v>0.64</v>
      </c>
      <c r="G78" s="26">
        <f t="shared" si="1"/>
        <v>3977.07</v>
      </c>
      <c r="H78" s="27" t="str">
        <f t="shared" si="2"/>
        <v/>
      </c>
      <c r="J78" s="73"/>
      <c r="K78" s="99"/>
      <c r="L78" s="33"/>
      <c r="M78" s="31"/>
    </row>
    <row r="79" spans="1:13" ht="14.25" customHeight="1">
      <c r="A79" s="32">
        <v>45001</v>
      </c>
      <c r="B79" s="22">
        <v>-373.28</v>
      </c>
      <c r="C79" s="23" t="s">
        <v>4</v>
      </c>
      <c r="D79" s="24">
        <v>3603.77</v>
      </c>
      <c r="E79" s="25"/>
      <c r="F79" s="24">
        <f t="shared" si="0"/>
        <v>0.57999999999999996</v>
      </c>
      <c r="G79" s="26">
        <f t="shared" si="1"/>
        <v>3603.77</v>
      </c>
      <c r="H79" s="27" t="str">
        <f t="shared" si="2"/>
        <v/>
      </c>
      <c r="J79" s="73"/>
      <c r="K79" s="99"/>
      <c r="L79" s="33"/>
      <c r="M79" s="31"/>
    </row>
    <row r="80" spans="1:13" ht="14.25" customHeight="1">
      <c r="A80" s="32">
        <v>45002</v>
      </c>
      <c r="B80" s="22">
        <v>328.79</v>
      </c>
      <c r="C80" s="23" t="s">
        <v>4</v>
      </c>
      <c r="D80" s="24">
        <v>3932.55</v>
      </c>
      <c r="E80" s="25"/>
      <c r="F80" s="24">
        <f t="shared" si="0"/>
        <v>1.91</v>
      </c>
      <c r="G80" s="26">
        <f t="shared" si="1"/>
        <v>11797.650000000001</v>
      </c>
      <c r="H80" s="27" t="str">
        <f t="shared" si="2"/>
        <v/>
      </c>
      <c r="J80" s="73"/>
      <c r="K80" s="99"/>
      <c r="L80" s="33"/>
      <c r="M80" s="31"/>
    </row>
    <row r="81" spans="1:14" ht="14.25" customHeight="1">
      <c r="A81" s="80">
        <v>45005</v>
      </c>
      <c r="B81" s="81">
        <v>-160.6</v>
      </c>
      <c r="C81" s="23" t="s">
        <v>4</v>
      </c>
      <c r="D81" s="82">
        <v>3771.94</v>
      </c>
      <c r="E81" s="25"/>
      <c r="F81" s="24">
        <f t="shared" si="0"/>
        <v>0.61</v>
      </c>
      <c r="G81" s="26">
        <f t="shared" si="1"/>
        <v>3771.94</v>
      </c>
      <c r="H81" s="27" t="str">
        <f t="shared" si="2"/>
        <v/>
      </c>
      <c r="J81" s="73"/>
      <c r="K81" s="99"/>
      <c r="L81" s="33"/>
      <c r="M81" s="31"/>
    </row>
    <row r="82" spans="1:14" ht="14.25" customHeight="1">
      <c r="A82" s="80">
        <v>45006</v>
      </c>
      <c r="B82" s="81">
        <v>54.53</v>
      </c>
      <c r="C82" s="23" t="s">
        <v>4</v>
      </c>
      <c r="D82" s="82">
        <v>3826.46</v>
      </c>
      <c r="E82" s="25"/>
      <c r="F82" s="24">
        <f t="shared" si="0"/>
        <v>0.62</v>
      </c>
      <c r="G82" s="26">
        <f t="shared" si="1"/>
        <v>3826.46</v>
      </c>
      <c r="H82" s="27" t="str">
        <f t="shared" si="2"/>
        <v/>
      </c>
      <c r="J82" s="73"/>
      <c r="K82" s="99"/>
      <c r="L82" s="33"/>
      <c r="M82" s="31"/>
    </row>
    <row r="83" spans="1:14" ht="14.25" customHeight="1">
      <c r="A83" s="80">
        <v>45007</v>
      </c>
      <c r="B83" s="22">
        <v>0</v>
      </c>
      <c r="C83" s="23" t="s">
        <v>16</v>
      </c>
      <c r="D83" s="24">
        <v>3826.46</v>
      </c>
      <c r="E83" s="25"/>
      <c r="F83" s="24">
        <f t="shared" si="0"/>
        <v>0.62</v>
      </c>
      <c r="G83" s="26">
        <f t="shared" si="1"/>
        <v>3826.46</v>
      </c>
      <c r="H83" s="27" t="str">
        <f t="shared" si="2"/>
        <v/>
      </c>
      <c r="J83" s="73"/>
      <c r="K83" s="99"/>
      <c r="L83" s="33"/>
      <c r="M83" s="31"/>
    </row>
    <row r="84" spans="1:14" ht="14.25" customHeight="1">
      <c r="A84" s="80">
        <v>45008</v>
      </c>
      <c r="B84" s="81">
        <v>-289.69</v>
      </c>
      <c r="C84" s="23" t="s">
        <v>4</v>
      </c>
      <c r="D84" s="82">
        <v>3536.77</v>
      </c>
      <c r="E84" s="25"/>
      <c r="F84" s="24">
        <f t="shared" si="0"/>
        <v>0.56999999999999995</v>
      </c>
      <c r="G84" s="26">
        <f t="shared" si="1"/>
        <v>3536.77</v>
      </c>
      <c r="H84" s="27" t="str">
        <f t="shared" si="2"/>
        <v/>
      </c>
      <c r="J84" s="73"/>
      <c r="K84" s="99"/>
      <c r="L84" s="33"/>
      <c r="M84" s="31"/>
    </row>
    <row r="85" spans="1:14" ht="14.25" customHeight="1">
      <c r="A85" s="80">
        <v>45009</v>
      </c>
      <c r="B85" s="22"/>
      <c r="C85" s="23"/>
      <c r="D85" s="24"/>
      <c r="E85" s="25"/>
      <c r="F85" s="24" t="str">
        <f t="shared" si="0"/>
        <v/>
      </c>
      <c r="G85" s="26" t="str">
        <f>IF(AND(D85="",E85=""),"",(#REF!-A85)*(D85+E85))</f>
        <v/>
      </c>
      <c r="H85" s="27" t="str">
        <f t="shared" si="2"/>
        <v/>
      </c>
      <c r="J85" s="73"/>
      <c r="K85" s="99"/>
      <c r="L85" s="33"/>
      <c r="M85" s="31"/>
    </row>
    <row r="86" spans="1:14" ht="14.25" customHeight="1">
      <c r="A86" s="35" t="s">
        <v>417</v>
      </c>
      <c r="B86" s="36">
        <f>ROUND(SUM(B20:B85),2)</f>
        <v>-23465.1</v>
      </c>
      <c r="C86" s="23"/>
      <c r="D86" s="24"/>
      <c r="E86" s="25"/>
      <c r="F86" s="37">
        <f>ROUND(SUM(F20:F85),2)</f>
        <v>176.69</v>
      </c>
      <c r="G86" s="26"/>
      <c r="H86" s="27" t="str">
        <f>IF(AND(C86&lt;&gt;"",C86&lt;&gt;"R/O Adjustment",C86&lt;&gt;"IntraDay",C86&lt;&gt;"F&amp;O"),"Positional","")</f>
        <v/>
      </c>
      <c r="J86" s="28"/>
      <c r="K86" s="98" t="s">
        <v>18</v>
      </c>
      <c r="L86" s="38">
        <f>ROUND(SUM(L20:L85),2)</f>
        <v>-2.48</v>
      </c>
      <c r="M86" s="31"/>
    </row>
    <row r="87" spans="1:14" ht="3.75" customHeight="1">
      <c r="B87" s="39"/>
      <c r="C87" s="40"/>
      <c r="D87" s="39"/>
      <c r="E87" s="41"/>
      <c r="G87" s="42"/>
      <c r="H87" s="40"/>
    </row>
    <row r="88" spans="1:14" ht="15.75" customHeight="1">
      <c r="A88" s="43" t="s">
        <v>19</v>
      </c>
      <c r="B88" s="44">
        <f>ROUND(SUMIF(H20:H85,A88,B20:B85),2)</f>
        <v>0</v>
      </c>
      <c r="D88" s="45">
        <f>D90-C15</f>
        <v>3536.77</v>
      </c>
      <c r="E88" s="25">
        <f>B$102</f>
        <v>0</v>
      </c>
      <c r="J88" s="42"/>
      <c r="K88" s="46"/>
    </row>
    <row r="89" spans="1:14" ht="15" customHeight="1">
      <c r="A89" s="43" t="s">
        <v>20</v>
      </c>
      <c r="B89" s="44">
        <f>ROUND(SUMIF(C20:C85,A89,B20:B85),2)</f>
        <v>0</v>
      </c>
      <c r="C89" s="43" t="s">
        <v>21</v>
      </c>
      <c r="D89" s="47">
        <f>B15+B86-L86-0.2-0.1-0.2-0.1</f>
        <v>3536.780000000002</v>
      </c>
      <c r="F89" s="43" t="s">
        <v>22</v>
      </c>
      <c r="G89" s="48">
        <f>ROUND(SUMIFS(B20:B85,C20:C85,A90,B20:B85, "&gt;0"),2)</f>
        <v>33366.300000000003</v>
      </c>
      <c r="H89" s="49">
        <f>COUNTIFS(B20:B85,"&gt;0",C20:C85,A90)</f>
        <v>30</v>
      </c>
      <c r="J89" s="50" t="s">
        <v>23</v>
      </c>
      <c r="K89" s="51" t="s">
        <v>20</v>
      </c>
      <c r="L89" s="51" t="s">
        <v>4</v>
      </c>
      <c r="M89" s="51" t="s">
        <v>19</v>
      </c>
      <c r="N89" s="51" t="s">
        <v>24</v>
      </c>
    </row>
    <row r="90" spans="1:14" ht="15" customHeight="1">
      <c r="A90" s="43" t="s">
        <v>4</v>
      </c>
      <c r="B90" s="48">
        <f>ROUND(SUMIF(C20:C85,A90,B20:B85),2)</f>
        <v>-23465.1</v>
      </c>
      <c r="C90" s="43" t="s">
        <v>418</v>
      </c>
      <c r="D90" s="82">
        <v>3536.77</v>
      </c>
      <c r="F90" s="43" t="s">
        <v>26</v>
      </c>
      <c r="G90" s="48">
        <f>ROUND(SUMIFS(B20:B85,C20:C85,A90,B20:B85, "&lt;0"),2)</f>
        <v>-56831.4</v>
      </c>
      <c r="H90" s="49">
        <f>COUNTIFS(B20:B85,"&lt;0",C20:C85,A90)</f>
        <v>27</v>
      </c>
      <c r="J90" s="52">
        <v>44896</v>
      </c>
      <c r="K90" s="53">
        <v>0</v>
      </c>
      <c r="L90" s="53">
        <v>-11728.75</v>
      </c>
      <c r="M90" s="53">
        <v>0</v>
      </c>
      <c r="N90" s="53">
        <f t="shared" ref="N90:N93" si="3">SUM(K90:M90)</f>
        <v>-11728.75</v>
      </c>
    </row>
    <row r="91" spans="1:14" ht="15" customHeight="1">
      <c r="A91" s="43" t="s">
        <v>16</v>
      </c>
      <c r="B91" s="54">
        <f>ROUND(SUMIF(C20:C85,A91,B20:B85),2)</f>
        <v>0</v>
      </c>
      <c r="C91" s="55" t="s">
        <v>419</v>
      </c>
      <c r="D91" s="56">
        <f>D90-D89</f>
        <v>-1.0000000002037268E-2</v>
      </c>
      <c r="J91" s="57">
        <v>44927</v>
      </c>
      <c r="K91" s="46">
        <v>0</v>
      </c>
      <c r="L91" s="46">
        <v>-9719.7900000000009</v>
      </c>
      <c r="M91" s="46">
        <v>0</v>
      </c>
      <c r="N91" s="46">
        <f t="shared" si="3"/>
        <v>-9719.7900000000009</v>
      </c>
    </row>
    <row r="92" spans="1:14" ht="15.75" customHeight="1">
      <c r="A92" s="43" t="s">
        <v>28</v>
      </c>
      <c r="B92" s="58">
        <f>SUM(B88:B91)</f>
        <v>-23465.1</v>
      </c>
      <c r="J92" s="52">
        <v>44958</v>
      </c>
      <c r="K92" s="53">
        <v>0</v>
      </c>
      <c r="L92" s="53">
        <v>-2890.93</v>
      </c>
      <c r="M92" s="53">
        <v>0</v>
      </c>
      <c r="N92" s="53">
        <f t="shared" si="3"/>
        <v>-2890.93</v>
      </c>
    </row>
    <row r="93" spans="1:14" ht="15.75" customHeight="1">
      <c r="A93" s="43"/>
      <c r="B93" s="54"/>
      <c r="J93" s="57">
        <v>44986</v>
      </c>
      <c r="K93" s="46">
        <v>0</v>
      </c>
      <c r="L93" s="46">
        <f>Kotak!B$99</f>
        <v>874.37</v>
      </c>
      <c r="M93" s="46">
        <v>0</v>
      </c>
      <c r="N93" s="46">
        <f t="shared" si="3"/>
        <v>874.37</v>
      </c>
    </row>
    <row r="94" spans="1:14" ht="15.75" customHeight="1">
      <c r="A94" s="60">
        <f>Zerodha!A991</f>
        <v>44986</v>
      </c>
      <c r="B94" s="60">
        <f>Zerodha!B991</f>
        <v>45016</v>
      </c>
      <c r="C94" s="43" t="s">
        <v>420</v>
      </c>
      <c r="D94" s="44"/>
      <c r="J94" s="42"/>
      <c r="K94" s="46"/>
    </row>
    <row r="95" spans="1:14" ht="15.75" customHeight="1">
      <c r="A95" s="63" t="s">
        <v>20</v>
      </c>
      <c r="B95" s="64">
        <f>ROUND(SUMIFS(B20:B85,C20:C85,A95,A20:A85,"&gt;="&amp;A94,A20:A85,"&lt;="&amp;B94)+B98,2)</f>
        <v>0</v>
      </c>
      <c r="C95" s="55" t="s">
        <v>30</v>
      </c>
      <c r="D95" s="65">
        <f>D94-B88</f>
        <v>0</v>
      </c>
      <c r="J95" s="61" t="s">
        <v>18</v>
      </c>
      <c r="K95" s="62">
        <f t="shared" ref="K95:N95" si="4">SUM(K90:K94)</f>
        <v>0</v>
      </c>
      <c r="L95" s="62">
        <f t="shared" si="4"/>
        <v>-23465.100000000002</v>
      </c>
      <c r="M95" s="62">
        <f t="shared" si="4"/>
        <v>0</v>
      </c>
      <c r="N95" s="62">
        <f t="shared" si="4"/>
        <v>-23465.100000000002</v>
      </c>
    </row>
    <row r="96" spans="1:14" ht="15.75" customHeight="1">
      <c r="A96" s="63" t="s">
        <v>19</v>
      </c>
      <c r="B96" s="64">
        <f>ROUND(SUMIFS(B20:B85,H20:H85,A96,A20:A85,"&gt;="&amp;A94,A20:A85,"&lt;="&amp;B94),2)</f>
        <v>0</v>
      </c>
      <c r="C96" s="43" t="s">
        <v>421</v>
      </c>
      <c r="D96" s="66"/>
      <c r="J96" s="42"/>
      <c r="K96" s="46"/>
    </row>
    <row r="97" spans="1:11" ht="15.75" customHeight="1">
      <c r="A97" s="63" t="s">
        <v>4</v>
      </c>
      <c r="B97" s="67">
        <f>ROUND(SUMIFS(B20:B85,C20:C85,A97,A20:A85,"&gt;="&amp;A94,A20:A85,"&lt;="&amp;B94),2)</f>
        <v>874.37</v>
      </c>
      <c r="C97" s="55" t="s">
        <v>30</v>
      </c>
      <c r="D97" s="65">
        <f>D96-B89</f>
        <v>0</v>
      </c>
      <c r="E97" s="49">
        <f>ROUND(COUNTIFS(B20:B85,"&gt;0",C20:C85,A97,A20:A85,"&gt;="&amp;A94,A20:A85,"&lt;="&amp;B94),2)</f>
        <v>5</v>
      </c>
      <c r="F97" s="48">
        <f>ROUND(SUMIFS(B20:B85,C20:C85,A90,B20:B85,"&gt;0",A20:A85,"&gt;="&amp;A94,A20:A85,"&lt;="&amp;B94),2)</f>
        <v>1924.03</v>
      </c>
      <c r="G97" s="48">
        <f t="shared" ref="G97:G98" si="5">F97/E97</f>
        <v>384.80599999999998</v>
      </c>
      <c r="J97" s="42"/>
      <c r="K97" s="46"/>
    </row>
    <row r="98" spans="1:11" ht="15.75" customHeight="1">
      <c r="A98" s="63" t="s">
        <v>16</v>
      </c>
      <c r="B98" s="64">
        <f>ROUND(SUMIFS(B20:B85,C20:C85,A98,A20:A85,"&gt;="&amp;A94,A20:A85,"&lt;="&amp;B94),2)</f>
        <v>0</v>
      </c>
      <c r="C98" s="43" t="s">
        <v>4</v>
      </c>
      <c r="D98" s="44">
        <f>Trade!X1786</f>
        <v>-23465.1</v>
      </c>
      <c r="E98" s="49">
        <f>ROUND(COUNTIFS(B20:B85,"&lt;0",C20:C85,A97,A20:A85,"&gt;="&amp;A94,A20:A85,"&lt;="&amp;B94),2)</f>
        <v>6</v>
      </c>
      <c r="F98" s="48">
        <f>ROUND(SUMIFS(B20:B85,C20:C85,A90,B20:B85,"&lt;0",A20:A85,"&gt;="&amp;A94,A20:A85,"&lt;="&amp;B94),2)</f>
        <v>-1049.6600000000001</v>
      </c>
      <c r="G98" s="48">
        <f t="shared" si="5"/>
        <v>-174.94333333333336</v>
      </c>
      <c r="J98" s="42"/>
      <c r="K98" s="46"/>
    </row>
    <row r="99" spans="1:11" ht="15.75" customHeight="1">
      <c r="A99" s="63" t="s">
        <v>32</v>
      </c>
      <c r="B99" s="68">
        <f>SUM(B95:B97)</f>
        <v>874.37</v>
      </c>
      <c r="C99" s="55" t="s">
        <v>30</v>
      </c>
      <c r="D99" s="65">
        <f>D98-B90</f>
        <v>0</v>
      </c>
      <c r="J99" s="42"/>
      <c r="K99" s="46"/>
    </row>
    <row r="100" spans="1:11" ht="15.75" customHeight="1">
      <c r="J100" s="42"/>
      <c r="K100" s="46"/>
    </row>
    <row r="101" spans="1:11" ht="15.75" customHeight="1">
      <c r="J101" s="42"/>
      <c r="K101" s="46"/>
    </row>
    <row r="102" spans="1:11" ht="15.75" customHeight="1">
      <c r="J102" s="42"/>
      <c r="K102" s="46"/>
    </row>
    <row r="103" spans="1:11" ht="15.75" customHeight="1">
      <c r="J103" s="42"/>
      <c r="K103" s="46"/>
    </row>
    <row r="104" spans="1:11" ht="15.75" customHeight="1">
      <c r="J104" s="42"/>
      <c r="K104" s="46"/>
    </row>
    <row r="105" spans="1:11" ht="15.75" customHeight="1">
      <c r="J105" s="42"/>
      <c r="K105" s="46"/>
    </row>
    <row r="106" spans="1:11" ht="15.75" customHeight="1">
      <c r="J106" s="42"/>
      <c r="K106" s="46"/>
    </row>
    <row r="107" spans="1:11" ht="15.75" customHeight="1">
      <c r="J107" s="42"/>
      <c r="K107" s="46"/>
    </row>
    <row r="108" spans="1:11" ht="15.75" customHeight="1">
      <c r="J108" s="42"/>
      <c r="K108" s="46"/>
    </row>
    <row r="109" spans="1:11" ht="15.75" customHeight="1">
      <c r="J109" s="42"/>
      <c r="K109" s="46"/>
    </row>
    <row r="110" spans="1:11" ht="15.75" customHeight="1">
      <c r="J110" s="42"/>
      <c r="K110" s="46"/>
    </row>
    <row r="111" spans="1:11" ht="15.75" customHeight="1">
      <c r="J111" s="42"/>
      <c r="K111" s="46"/>
    </row>
    <row r="112" spans="1:11" ht="15.75" customHeight="1">
      <c r="J112" s="42"/>
      <c r="K112" s="46"/>
    </row>
    <row r="113" spans="2:11" ht="15.75" customHeight="1">
      <c r="B113" s="39"/>
      <c r="J113" s="42"/>
      <c r="K113" s="46"/>
    </row>
    <row r="114" spans="2:11" ht="15.75" customHeight="1">
      <c r="B114" s="39"/>
      <c r="J114" s="42"/>
      <c r="K114" s="46"/>
    </row>
    <row r="115" spans="2:11" ht="15.75" customHeight="1">
      <c r="B115" s="39"/>
      <c r="C115" s="40"/>
      <c r="D115" s="39"/>
      <c r="J115" s="42"/>
      <c r="K115" s="46"/>
    </row>
    <row r="116" spans="2:11" ht="15.75" customHeight="1">
      <c r="B116" s="39"/>
      <c r="C116" s="40"/>
      <c r="D116" s="39"/>
      <c r="F116" s="69"/>
      <c r="G116" s="70"/>
      <c r="I116" s="69"/>
      <c r="J116" s="46"/>
      <c r="K116" s="46"/>
    </row>
    <row r="117" spans="2:11" ht="15.75" customHeight="1">
      <c r="B117" s="39"/>
      <c r="C117" s="40"/>
      <c r="D117" s="39"/>
      <c r="F117" s="69"/>
      <c r="G117" s="70"/>
      <c r="I117" s="46"/>
      <c r="J117" s="46"/>
      <c r="K117" s="46"/>
    </row>
    <row r="118" spans="2:11" ht="15.75" customHeight="1">
      <c r="B118" s="39"/>
      <c r="C118" s="40"/>
      <c r="D118" s="39"/>
    </row>
    <row r="119" spans="2:11" ht="15.75" customHeight="1">
      <c r="B119" s="39"/>
      <c r="C119" s="40"/>
      <c r="D119" s="39"/>
      <c r="F119" s="69"/>
      <c r="G119" s="70"/>
      <c r="I119" s="69"/>
      <c r="J119" s="46"/>
      <c r="K119" s="46"/>
    </row>
    <row r="120" spans="2:11" ht="15.75" customHeight="1">
      <c r="B120" s="39"/>
      <c r="C120" s="40"/>
      <c r="D120" s="39"/>
      <c r="F120" s="69"/>
      <c r="G120" s="70"/>
      <c r="I120" s="46"/>
      <c r="J120" s="46"/>
      <c r="K120" s="46"/>
    </row>
  </sheetData>
  <dataValidations count="1">
    <dataValidation type="custom" allowBlank="1" showDropDown="1" sqref="A2:A14 A20:A85">
      <formula1>OR(NOT(ISERROR(DATEVALUE(A2))), AND(ISNUMBER(A2), LEFT(CELL("format", A2))="D"))</formula1>
    </dataValidation>
  </dataValidation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8D08D"/>
  </sheetPr>
  <dimension ref="A1:AI1819"/>
  <sheetViews>
    <sheetView tabSelected="1" topLeftCell="A1789" zoomScale="130" zoomScaleNormal="130" workbookViewId="0">
      <selection activeCell="J1791" sqref="J1791"/>
    </sheetView>
  </sheetViews>
  <sheetFormatPr baseColWidth="10" defaultColWidth="14.42578125" defaultRowHeight="15" customHeight="1"/>
  <cols>
    <col min="1" max="2" width="1.7109375" customWidth="1"/>
    <col min="3" max="4" width="7.7109375" hidden="1" customWidth="1"/>
    <col min="5" max="6" width="6.5703125" hidden="1" customWidth="1"/>
    <col min="7" max="7" width="3.140625" hidden="1" customWidth="1"/>
    <col min="8" max="8" width="5" customWidth="1"/>
    <col min="9" max="9" width="7.85546875" customWidth="1"/>
    <col min="10" max="10" width="6.140625" customWidth="1"/>
    <col min="11" max="11" width="8.7109375" customWidth="1"/>
    <col min="12" max="13" width="10.140625" customWidth="1"/>
    <col min="14" max="14" width="8.7109375" hidden="1" customWidth="1"/>
    <col min="15" max="15" width="9.42578125" hidden="1" customWidth="1"/>
    <col min="16" max="16" width="81.28515625" customWidth="1"/>
    <col min="17" max="18" width="9.28515625" customWidth="1"/>
    <col min="19" max="19" width="6.140625" customWidth="1"/>
    <col min="20" max="20" width="9.5703125" customWidth="1"/>
    <col min="21" max="21" width="8.42578125" customWidth="1"/>
    <col min="22" max="22" width="8.140625" customWidth="1"/>
    <col min="23" max="23" width="10.140625" customWidth="1"/>
    <col min="24" max="24" width="10.7109375" customWidth="1"/>
    <col min="25" max="25" width="10.28515625" customWidth="1"/>
    <col min="26" max="26" width="9.85546875" customWidth="1"/>
    <col min="27" max="27" width="7.5703125" customWidth="1"/>
    <col min="28" max="29" width="9.5703125" customWidth="1"/>
    <col min="30" max="31" width="9.28515625" customWidth="1"/>
    <col min="32" max="32" width="9.42578125" customWidth="1"/>
    <col min="33" max="33" width="4.28515625" customWidth="1"/>
    <col min="34" max="36" width="8.5703125" customWidth="1"/>
  </cols>
  <sheetData>
    <row r="1" spans="1:32" ht="12" customHeight="1">
      <c r="A1" s="100" t="s">
        <v>0</v>
      </c>
      <c r="B1" s="101" t="s">
        <v>422</v>
      </c>
      <c r="C1" s="101"/>
      <c r="D1" s="101"/>
      <c r="E1" s="101"/>
      <c r="F1" s="101"/>
      <c r="G1" s="101"/>
      <c r="H1" s="102" t="s">
        <v>423</v>
      </c>
      <c r="I1" s="102" t="s">
        <v>424</v>
      </c>
      <c r="J1" s="102" t="s">
        <v>425</v>
      </c>
      <c r="K1" s="103" t="s">
        <v>426</v>
      </c>
      <c r="L1" s="100" t="s">
        <v>427</v>
      </c>
      <c r="M1" s="100" t="s">
        <v>428</v>
      </c>
      <c r="N1" s="100" t="s">
        <v>429</v>
      </c>
      <c r="O1" s="100"/>
      <c r="P1" s="100" t="s">
        <v>430</v>
      </c>
      <c r="Q1" s="100" t="s">
        <v>431</v>
      </c>
      <c r="R1" s="100" t="s">
        <v>428</v>
      </c>
      <c r="S1" s="100" t="s">
        <v>432</v>
      </c>
      <c r="T1" s="100" t="s">
        <v>433</v>
      </c>
      <c r="U1" s="100" t="s">
        <v>434</v>
      </c>
      <c r="V1" s="100" t="s">
        <v>435</v>
      </c>
      <c r="W1" s="100" t="s">
        <v>436</v>
      </c>
      <c r="X1" s="100" t="s">
        <v>437</v>
      </c>
      <c r="Y1" s="100" t="s">
        <v>438</v>
      </c>
      <c r="Z1" s="100" t="s">
        <v>439</v>
      </c>
      <c r="AA1" s="104" t="s">
        <v>440</v>
      </c>
      <c r="AB1" s="100" t="s">
        <v>441</v>
      </c>
      <c r="AC1" s="100" t="s">
        <v>442</v>
      </c>
      <c r="AD1" s="101" t="s">
        <v>443</v>
      </c>
      <c r="AE1" s="100" t="s">
        <v>444</v>
      </c>
      <c r="AF1" s="105"/>
    </row>
    <row r="2" spans="1:32" ht="12" customHeight="1">
      <c r="A2" s="106">
        <v>40981</v>
      </c>
      <c r="B2" s="107" t="s">
        <v>445</v>
      </c>
      <c r="C2" s="107"/>
      <c r="D2" s="107"/>
      <c r="E2" s="107"/>
      <c r="F2" s="107"/>
      <c r="G2" s="107"/>
      <c r="H2" s="108" t="s">
        <v>446</v>
      </c>
      <c r="I2" s="107" t="s">
        <v>447</v>
      </c>
      <c r="J2" s="107" t="s">
        <v>448</v>
      </c>
      <c r="K2" s="109">
        <v>50</v>
      </c>
      <c r="L2" s="110">
        <v>227</v>
      </c>
      <c r="M2" s="111">
        <f t="shared" ref="M2:M26" si="0">ROUND(L2*J$1802,2)</f>
        <v>0.91</v>
      </c>
      <c r="N2" s="111">
        <f t="shared" ref="N2:N4" si="1">L2-M2</f>
        <v>226.09</v>
      </c>
      <c r="O2" s="111"/>
      <c r="P2" s="111">
        <f t="shared" ref="P2:P827" si="2">ROUND(K2*L2,2)</f>
        <v>11350</v>
      </c>
      <c r="Q2" s="112">
        <f t="shared" ref="Q2:Q827" si="3">SUM(R2:W2)/K2</f>
        <v>1.2957999999999998</v>
      </c>
      <c r="R2" s="112">
        <f t="shared" ref="R2:R30" si="4">ROUND(M2*K2,2)</f>
        <v>45.5</v>
      </c>
      <c r="S2" s="112">
        <f t="shared" ref="S2:S7" si="5">ROUND(R2*K$1805,2)</f>
        <v>4.6900000000000004</v>
      </c>
      <c r="T2" s="112">
        <f t="shared" ref="T2:T14" si="6">ROUND(P2*J$1806,2)</f>
        <v>14.19</v>
      </c>
      <c r="U2" s="112">
        <f t="shared" ref="U2:U26" si="7">ROUND(P2*I$1812,2)</f>
        <v>0</v>
      </c>
      <c r="V2" s="112">
        <f t="shared" ref="V2:V26" si="8">ROUND(P2*J$1809,2)</f>
        <v>0.41</v>
      </c>
      <c r="W2" s="112">
        <v>0</v>
      </c>
      <c r="X2" s="112">
        <f t="shared" ref="X2:X827" si="9">SUM(R2:W2)</f>
        <v>64.789999999999992</v>
      </c>
      <c r="Y2" s="113">
        <f t="shared" ref="Y2:Y4" si="10">ROUND(P2-SUM(R2:W2),2)</f>
        <v>11285.21</v>
      </c>
      <c r="Z2" s="114">
        <v>11284.27</v>
      </c>
      <c r="AA2" s="115">
        <f t="shared" ref="AA2:AA32" si="11">Z2-Y2</f>
        <v>-0.93999999999869033</v>
      </c>
      <c r="AB2" s="106">
        <v>40981</v>
      </c>
      <c r="AC2" s="116">
        <f t="shared" ref="AC2:AC827" si="12">ROUND(X2/P2,6)</f>
        <v>5.7080000000000004E-3</v>
      </c>
      <c r="AD2" s="117">
        <f t="shared" ref="AD2:AD827" si="13">AB2</f>
        <v>40981</v>
      </c>
      <c r="AE2" s="118" t="s">
        <v>449</v>
      </c>
      <c r="AF2" s="119"/>
    </row>
    <row r="3" spans="1:32" ht="12" customHeight="1">
      <c r="A3" s="120">
        <v>40981</v>
      </c>
      <c r="B3" s="121" t="s">
        <v>450</v>
      </c>
      <c r="C3" s="121"/>
      <c r="D3" s="121"/>
      <c r="E3" s="121"/>
      <c r="F3" s="121"/>
      <c r="G3" s="121"/>
      <c r="H3" s="122" t="s">
        <v>446</v>
      </c>
      <c r="I3" s="121" t="s">
        <v>447</v>
      </c>
      <c r="J3" s="121" t="s">
        <v>448</v>
      </c>
      <c r="K3" s="123">
        <v>50</v>
      </c>
      <c r="L3" s="124">
        <v>138</v>
      </c>
      <c r="M3" s="125">
        <f t="shared" si="0"/>
        <v>0.55000000000000004</v>
      </c>
      <c r="N3" s="125">
        <f t="shared" si="1"/>
        <v>137.44999999999999</v>
      </c>
      <c r="O3" s="125"/>
      <c r="P3" s="125">
        <f t="shared" si="2"/>
        <v>6900</v>
      </c>
      <c r="Q3" s="126">
        <f t="shared" si="3"/>
        <v>0.78420000000000001</v>
      </c>
      <c r="R3" s="126">
        <f t="shared" si="4"/>
        <v>27.5</v>
      </c>
      <c r="S3" s="126">
        <f t="shared" si="5"/>
        <v>2.83</v>
      </c>
      <c r="T3" s="126">
        <f t="shared" si="6"/>
        <v>8.6300000000000008</v>
      </c>
      <c r="U3" s="126">
        <f t="shared" si="7"/>
        <v>0</v>
      </c>
      <c r="V3" s="126">
        <f t="shared" si="8"/>
        <v>0.25</v>
      </c>
      <c r="W3" s="126">
        <v>0</v>
      </c>
      <c r="X3" s="126">
        <f t="shared" si="9"/>
        <v>39.21</v>
      </c>
      <c r="Y3" s="127">
        <f t="shared" si="10"/>
        <v>6860.79</v>
      </c>
      <c r="Z3" s="128">
        <v>6859.73</v>
      </c>
      <c r="AA3" s="129">
        <f t="shared" si="11"/>
        <v>-1.0600000000004002</v>
      </c>
      <c r="AB3" s="120">
        <v>40981</v>
      </c>
      <c r="AC3" s="130">
        <f t="shared" si="12"/>
        <v>5.6829999999999997E-3</v>
      </c>
      <c r="AD3" s="131">
        <f t="shared" si="13"/>
        <v>40981</v>
      </c>
      <c r="AE3" s="132" t="s">
        <v>449</v>
      </c>
      <c r="AF3" s="119"/>
    </row>
    <row r="4" spans="1:32" ht="12" customHeight="1">
      <c r="A4" s="120">
        <v>40995</v>
      </c>
      <c r="B4" s="121" t="s">
        <v>451</v>
      </c>
      <c r="C4" s="121"/>
      <c r="D4" s="121"/>
      <c r="E4" s="121"/>
      <c r="F4" s="121"/>
      <c r="G4" s="121"/>
      <c r="H4" s="122" t="s">
        <v>446</v>
      </c>
      <c r="I4" s="121" t="s">
        <v>447</v>
      </c>
      <c r="J4" s="121" t="s">
        <v>448</v>
      </c>
      <c r="K4" s="123">
        <v>50</v>
      </c>
      <c r="L4" s="124">
        <v>35.35</v>
      </c>
      <c r="M4" s="125">
        <f t="shared" si="0"/>
        <v>0.14000000000000001</v>
      </c>
      <c r="N4" s="125">
        <f t="shared" si="1"/>
        <v>35.21</v>
      </c>
      <c r="O4" s="125"/>
      <c r="P4" s="125">
        <f t="shared" si="2"/>
        <v>1767.5</v>
      </c>
      <c r="Q4" s="126">
        <f t="shared" si="3"/>
        <v>0.19980000000000001</v>
      </c>
      <c r="R4" s="126">
        <f t="shared" si="4"/>
        <v>7</v>
      </c>
      <c r="S4" s="126">
        <f t="shared" si="5"/>
        <v>0.72</v>
      </c>
      <c r="T4" s="126">
        <f t="shared" si="6"/>
        <v>2.21</v>
      </c>
      <c r="U4" s="126">
        <f t="shared" si="7"/>
        <v>0</v>
      </c>
      <c r="V4" s="126">
        <f t="shared" si="8"/>
        <v>0.06</v>
      </c>
      <c r="W4" s="126">
        <v>0</v>
      </c>
      <c r="X4" s="126">
        <f t="shared" si="9"/>
        <v>9.99</v>
      </c>
      <c r="Y4" s="127">
        <f t="shared" si="10"/>
        <v>1757.51</v>
      </c>
      <c r="Z4" s="128">
        <v>1757.54</v>
      </c>
      <c r="AA4" s="129">
        <f t="shared" si="11"/>
        <v>2.9999999999972715E-2</v>
      </c>
      <c r="AB4" s="120">
        <v>40995</v>
      </c>
      <c r="AC4" s="130">
        <f t="shared" si="12"/>
        <v>5.6519999999999999E-3</v>
      </c>
      <c r="AD4" s="131">
        <f t="shared" si="13"/>
        <v>40995</v>
      </c>
      <c r="AE4" s="132" t="s">
        <v>449</v>
      </c>
      <c r="AF4" s="119"/>
    </row>
    <row r="5" spans="1:32" ht="12" customHeight="1">
      <c r="A5" s="133">
        <v>40995</v>
      </c>
      <c r="B5" s="134" t="s">
        <v>452</v>
      </c>
      <c r="C5" s="134"/>
      <c r="D5" s="134"/>
      <c r="E5" s="134"/>
      <c r="F5" s="134"/>
      <c r="G5" s="134"/>
      <c r="H5" s="135" t="s">
        <v>453</v>
      </c>
      <c r="I5" s="134" t="s">
        <v>447</v>
      </c>
      <c r="J5" s="134" t="s">
        <v>448</v>
      </c>
      <c r="K5" s="136">
        <v>100</v>
      </c>
      <c r="L5" s="137">
        <v>106.35</v>
      </c>
      <c r="M5" s="138">
        <f t="shared" si="0"/>
        <v>0.43</v>
      </c>
      <c r="N5" s="138">
        <f t="shared" ref="N5:N6" si="14">L5+M5</f>
        <v>106.78</v>
      </c>
      <c r="O5" s="138"/>
      <c r="P5" s="138">
        <f t="shared" si="2"/>
        <v>10635</v>
      </c>
      <c r="Q5" s="139">
        <f t="shared" si="3"/>
        <v>0.61109999999999998</v>
      </c>
      <c r="R5" s="139">
        <f t="shared" si="4"/>
        <v>43</v>
      </c>
      <c r="S5" s="139">
        <f t="shared" si="5"/>
        <v>4.43</v>
      </c>
      <c r="T5" s="139">
        <f t="shared" si="6"/>
        <v>13.29</v>
      </c>
      <c r="U5" s="139">
        <f t="shared" si="7"/>
        <v>0</v>
      </c>
      <c r="V5" s="139">
        <f t="shared" si="8"/>
        <v>0.39</v>
      </c>
      <c r="W5" s="139">
        <v>0</v>
      </c>
      <c r="X5" s="140">
        <f t="shared" si="9"/>
        <v>61.11</v>
      </c>
      <c r="Y5" s="141">
        <f t="shared" ref="Y5:Y6" si="15">-ROUND(P5+SUM(R5:W5),2)</f>
        <v>-10696.11</v>
      </c>
      <c r="Z5" s="142">
        <v>-10693.76</v>
      </c>
      <c r="AA5" s="143">
        <f t="shared" si="11"/>
        <v>2.3500000000003638</v>
      </c>
      <c r="AB5" s="133">
        <v>40997</v>
      </c>
      <c r="AC5" s="144">
        <f t="shared" si="12"/>
        <v>5.7460000000000002E-3</v>
      </c>
      <c r="AD5" s="145">
        <f t="shared" si="13"/>
        <v>40997</v>
      </c>
      <c r="AE5" s="146" t="s">
        <v>449</v>
      </c>
      <c r="AF5" s="119"/>
    </row>
    <row r="6" spans="1:32" ht="12" customHeight="1">
      <c r="A6" s="133">
        <v>40995</v>
      </c>
      <c r="B6" s="134" t="s">
        <v>454</v>
      </c>
      <c r="C6" s="134"/>
      <c r="D6" s="134"/>
      <c r="E6" s="134"/>
      <c r="F6" s="134"/>
      <c r="G6" s="134"/>
      <c r="H6" s="135" t="s">
        <v>453</v>
      </c>
      <c r="I6" s="134" t="s">
        <v>447</v>
      </c>
      <c r="J6" s="134" t="s">
        <v>448</v>
      </c>
      <c r="K6" s="136">
        <v>10</v>
      </c>
      <c r="L6" s="137">
        <v>457</v>
      </c>
      <c r="M6" s="138">
        <f t="shared" si="0"/>
        <v>1.83</v>
      </c>
      <c r="N6" s="138">
        <f t="shared" si="14"/>
        <v>458.83</v>
      </c>
      <c r="O6" s="138"/>
      <c r="P6" s="138">
        <f t="shared" si="2"/>
        <v>4570</v>
      </c>
      <c r="Q6" s="139">
        <f t="shared" si="3"/>
        <v>2.6060000000000003</v>
      </c>
      <c r="R6" s="139">
        <f t="shared" si="4"/>
        <v>18.3</v>
      </c>
      <c r="S6" s="139">
        <f t="shared" si="5"/>
        <v>1.88</v>
      </c>
      <c r="T6" s="139">
        <f t="shared" si="6"/>
        <v>5.71</v>
      </c>
      <c r="U6" s="139">
        <f t="shared" si="7"/>
        <v>0</v>
      </c>
      <c r="V6" s="139">
        <f t="shared" si="8"/>
        <v>0.17</v>
      </c>
      <c r="W6" s="139">
        <v>0</v>
      </c>
      <c r="X6" s="140">
        <f t="shared" si="9"/>
        <v>26.060000000000002</v>
      </c>
      <c r="Y6" s="141">
        <f t="shared" si="15"/>
        <v>-4596.0600000000004</v>
      </c>
      <c r="Z6" s="142">
        <v>-4596.8</v>
      </c>
      <c r="AA6" s="143">
        <f t="shared" si="11"/>
        <v>-0.73999999999978172</v>
      </c>
      <c r="AB6" s="133">
        <v>40997</v>
      </c>
      <c r="AC6" s="144">
        <f t="shared" si="12"/>
        <v>5.7019999999999996E-3</v>
      </c>
      <c r="AD6" s="145">
        <f t="shared" si="13"/>
        <v>40997</v>
      </c>
      <c r="AE6" s="146" t="s">
        <v>449</v>
      </c>
      <c r="AF6" s="119"/>
    </row>
    <row r="7" spans="1:32" ht="12" customHeight="1">
      <c r="A7" s="120">
        <v>40998</v>
      </c>
      <c r="B7" s="121" t="s">
        <v>454</v>
      </c>
      <c r="C7" s="121"/>
      <c r="D7" s="121"/>
      <c r="E7" s="121"/>
      <c r="F7" s="121"/>
      <c r="G7" s="121"/>
      <c r="H7" s="122" t="s">
        <v>446</v>
      </c>
      <c r="I7" s="121" t="s">
        <v>447</v>
      </c>
      <c r="J7" s="121" t="s">
        <v>448</v>
      </c>
      <c r="K7" s="123">
        <v>10</v>
      </c>
      <c r="L7" s="124">
        <v>489</v>
      </c>
      <c r="M7" s="125">
        <f t="shared" si="0"/>
        <v>1.96</v>
      </c>
      <c r="N7" s="125">
        <f t="shared" ref="N7:N8" si="16">L7-M7</f>
        <v>487.04</v>
      </c>
      <c r="O7" s="125"/>
      <c r="P7" s="125">
        <f t="shared" si="2"/>
        <v>4890</v>
      </c>
      <c r="Q7" s="126">
        <f t="shared" si="3"/>
        <v>2.7909999999999999</v>
      </c>
      <c r="R7" s="126">
        <f t="shared" si="4"/>
        <v>19.600000000000001</v>
      </c>
      <c r="S7" s="126">
        <f t="shared" si="5"/>
        <v>2.02</v>
      </c>
      <c r="T7" s="126">
        <f t="shared" si="6"/>
        <v>6.11</v>
      </c>
      <c r="U7" s="126">
        <f t="shared" si="7"/>
        <v>0</v>
      </c>
      <c r="V7" s="126">
        <f t="shared" si="8"/>
        <v>0.18</v>
      </c>
      <c r="W7" s="126">
        <v>0</v>
      </c>
      <c r="X7" s="126">
        <f t="shared" si="9"/>
        <v>27.91</v>
      </c>
      <c r="Y7" s="127">
        <f t="shared" ref="Y7:Y8" si="17">ROUND(P7-SUM(R7:W7),2)</f>
        <v>4862.09</v>
      </c>
      <c r="Z7" s="128">
        <v>4861</v>
      </c>
      <c r="AA7" s="129">
        <f t="shared" si="11"/>
        <v>-1.0900000000001455</v>
      </c>
      <c r="AB7" s="120">
        <v>40998</v>
      </c>
      <c r="AC7" s="130">
        <f t="shared" si="12"/>
        <v>5.7080000000000004E-3</v>
      </c>
      <c r="AD7" s="131">
        <f t="shared" si="13"/>
        <v>40998</v>
      </c>
      <c r="AE7" s="132" t="s">
        <v>449</v>
      </c>
      <c r="AF7" s="119"/>
    </row>
    <row r="8" spans="1:32" ht="12" customHeight="1">
      <c r="A8" s="120">
        <v>41002</v>
      </c>
      <c r="B8" s="121" t="s">
        <v>445</v>
      </c>
      <c r="C8" s="121"/>
      <c r="D8" s="121"/>
      <c r="E8" s="121"/>
      <c r="F8" s="121"/>
      <c r="G8" s="121"/>
      <c r="H8" s="122" t="s">
        <v>446</v>
      </c>
      <c r="I8" s="121" t="s">
        <v>447</v>
      </c>
      <c r="J8" s="121" t="s">
        <v>448</v>
      </c>
      <c r="K8" s="123">
        <v>47</v>
      </c>
      <c r="L8" s="124">
        <v>225</v>
      </c>
      <c r="M8" s="125">
        <f t="shared" si="0"/>
        <v>0.9</v>
      </c>
      <c r="N8" s="125">
        <f t="shared" si="16"/>
        <v>224.1</v>
      </c>
      <c r="O8" s="125"/>
      <c r="P8" s="125">
        <f t="shared" si="2"/>
        <v>10575</v>
      </c>
      <c r="Q8" s="126">
        <f t="shared" si="3"/>
        <v>1.3008510638297872</v>
      </c>
      <c r="R8" s="126">
        <f t="shared" si="4"/>
        <v>42.3</v>
      </c>
      <c r="S8" s="126">
        <f t="shared" ref="S8:S26" si="18">ROUND(R8*L$1805,2)</f>
        <v>5.23</v>
      </c>
      <c r="T8" s="126">
        <f t="shared" si="6"/>
        <v>13.22</v>
      </c>
      <c r="U8" s="126">
        <f t="shared" si="7"/>
        <v>0</v>
      </c>
      <c r="V8" s="126">
        <f t="shared" si="8"/>
        <v>0.39</v>
      </c>
      <c r="W8" s="126">
        <v>0</v>
      </c>
      <c r="X8" s="126">
        <f t="shared" si="9"/>
        <v>61.14</v>
      </c>
      <c r="Y8" s="127">
        <f t="shared" si="17"/>
        <v>10513.86</v>
      </c>
      <c r="Z8" s="128">
        <v>10513.02</v>
      </c>
      <c r="AA8" s="129">
        <f t="shared" si="11"/>
        <v>-0.84000000000014552</v>
      </c>
      <c r="AB8" s="120">
        <v>41002</v>
      </c>
      <c r="AC8" s="130">
        <f t="shared" si="12"/>
        <v>5.7819999999999998E-3</v>
      </c>
      <c r="AD8" s="131">
        <f t="shared" si="13"/>
        <v>41002</v>
      </c>
      <c r="AE8" s="132" t="s">
        <v>449</v>
      </c>
      <c r="AF8" s="119"/>
    </row>
    <row r="9" spans="1:32" ht="12" customHeight="1">
      <c r="A9" s="133">
        <v>41009</v>
      </c>
      <c r="B9" s="134" t="s">
        <v>455</v>
      </c>
      <c r="C9" s="134"/>
      <c r="D9" s="134"/>
      <c r="E9" s="134"/>
      <c r="F9" s="134"/>
      <c r="G9" s="134"/>
      <c r="H9" s="135" t="s">
        <v>453</v>
      </c>
      <c r="I9" s="134" t="s">
        <v>447</v>
      </c>
      <c r="J9" s="134" t="s">
        <v>448</v>
      </c>
      <c r="K9" s="136">
        <v>100</v>
      </c>
      <c r="L9" s="137">
        <v>93.5</v>
      </c>
      <c r="M9" s="138">
        <f t="shared" si="0"/>
        <v>0.37</v>
      </c>
      <c r="N9" s="138">
        <f>L9+M9</f>
        <v>93.87</v>
      </c>
      <c r="O9" s="138"/>
      <c r="P9" s="138">
        <f t="shared" si="2"/>
        <v>9350</v>
      </c>
      <c r="Q9" s="139">
        <f t="shared" si="3"/>
        <v>0.53600000000000003</v>
      </c>
      <c r="R9" s="139">
        <f t="shared" si="4"/>
        <v>37</v>
      </c>
      <c r="S9" s="139">
        <f t="shared" si="18"/>
        <v>4.57</v>
      </c>
      <c r="T9" s="139">
        <f t="shared" si="6"/>
        <v>11.69</v>
      </c>
      <c r="U9" s="139">
        <f t="shared" si="7"/>
        <v>0</v>
      </c>
      <c r="V9" s="139">
        <f t="shared" si="8"/>
        <v>0.34</v>
      </c>
      <c r="W9" s="139">
        <v>0</v>
      </c>
      <c r="X9" s="140">
        <f t="shared" si="9"/>
        <v>53.6</v>
      </c>
      <c r="Y9" s="141">
        <f>-ROUND(P9+SUM(R9:W9),2)</f>
        <v>-9403.6</v>
      </c>
      <c r="Z9" s="142">
        <v>-9404.85</v>
      </c>
      <c r="AA9" s="143">
        <f t="shared" si="11"/>
        <v>-1.25</v>
      </c>
      <c r="AB9" s="133">
        <v>41011</v>
      </c>
      <c r="AC9" s="144">
        <f t="shared" si="12"/>
        <v>5.7330000000000002E-3</v>
      </c>
      <c r="AD9" s="145">
        <f t="shared" si="13"/>
        <v>41011</v>
      </c>
      <c r="AE9" s="146" t="s">
        <v>449</v>
      </c>
      <c r="AF9" s="119"/>
    </row>
    <row r="10" spans="1:32" ht="12" customHeight="1">
      <c r="A10" s="120">
        <v>41012</v>
      </c>
      <c r="B10" s="121" t="s">
        <v>452</v>
      </c>
      <c r="C10" s="121"/>
      <c r="D10" s="121"/>
      <c r="E10" s="121"/>
      <c r="F10" s="121"/>
      <c r="G10" s="121"/>
      <c r="H10" s="122" t="s">
        <v>446</v>
      </c>
      <c r="I10" s="121" t="s">
        <v>447</v>
      </c>
      <c r="J10" s="121" t="s">
        <v>448</v>
      </c>
      <c r="K10" s="123">
        <v>100</v>
      </c>
      <c r="L10" s="124">
        <v>117</v>
      </c>
      <c r="M10" s="125">
        <f t="shared" si="0"/>
        <v>0.47</v>
      </c>
      <c r="N10" s="125">
        <f>L10-M10</f>
        <v>116.53</v>
      </c>
      <c r="O10" s="125"/>
      <c r="P10" s="125">
        <f t="shared" si="2"/>
        <v>11700</v>
      </c>
      <c r="Q10" s="126">
        <f t="shared" si="3"/>
        <v>0.67870000000000008</v>
      </c>
      <c r="R10" s="126">
        <f t="shared" si="4"/>
        <v>47</v>
      </c>
      <c r="S10" s="126">
        <f t="shared" si="18"/>
        <v>5.81</v>
      </c>
      <c r="T10" s="126">
        <f t="shared" si="6"/>
        <v>14.63</v>
      </c>
      <c r="U10" s="126">
        <f t="shared" si="7"/>
        <v>0</v>
      </c>
      <c r="V10" s="126">
        <f t="shared" si="8"/>
        <v>0.43</v>
      </c>
      <c r="W10" s="126">
        <v>0</v>
      </c>
      <c r="X10" s="126">
        <f t="shared" si="9"/>
        <v>67.87</v>
      </c>
      <c r="Y10" s="127">
        <f>ROUND(P10-SUM(R10:W10),2)</f>
        <v>11632.13</v>
      </c>
      <c r="Z10" s="128">
        <v>11630.61</v>
      </c>
      <c r="AA10" s="129">
        <f t="shared" si="11"/>
        <v>-1.5199999999986176</v>
      </c>
      <c r="AB10" s="120">
        <v>41012</v>
      </c>
      <c r="AC10" s="130">
        <f t="shared" si="12"/>
        <v>5.8009999999999997E-3</v>
      </c>
      <c r="AD10" s="131">
        <f t="shared" si="13"/>
        <v>41012</v>
      </c>
      <c r="AE10" s="132" t="s">
        <v>449</v>
      </c>
      <c r="AF10" s="119"/>
    </row>
    <row r="11" spans="1:32" ht="12" customHeight="1">
      <c r="A11" s="133">
        <v>41017</v>
      </c>
      <c r="B11" s="134" t="s">
        <v>456</v>
      </c>
      <c r="C11" s="134"/>
      <c r="D11" s="134"/>
      <c r="E11" s="134"/>
      <c r="F11" s="134"/>
      <c r="G11" s="134"/>
      <c r="H11" s="135" t="s">
        <v>453</v>
      </c>
      <c r="I11" s="134" t="s">
        <v>447</v>
      </c>
      <c r="J11" s="134" t="s">
        <v>448</v>
      </c>
      <c r="K11" s="136">
        <v>50</v>
      </c>
      <c r="L11" s="137">
        <v>359</v>
      </c>
      <c r="M11" s="138">
        <f t="shared" si="0"/>
        <v>1.44</v>
      </c>
      <c r="N11" s="138">
        <f t="shared" ref="N11:N13" si="19">L11+M11</f>
        <v>360.44</v>
      </c>
      <c r="O11" s="138"/>
      <c r="P11" s="138">
        <f t="shared" si="2"/>
        <v>17950</v>
      </c>
      <c r="Q11" s="139">
        <f t="shared" si="3"/>
        <v>2.08</v>
      </c>
      <c r="R11" s="139">
        <f t="shared" si="4"/>
        <v>72</v>
      </c>
      <c r="S11" s="139">
        <f t="shared" si="18"/>
        <v>8.9</v>
      </c>
      <c r="T11" s="139">
        <f t="shared" si="6"/>
        <v>22.44</v>
      </c>
      <c r="U11" s="139">
        <f t="shared" si="7"/>
        <v>0</v>
      </c>
      <c r="V11" s="139">
        <f t="shared" si="8"/>
        <v>0.66</v>
      </c>
      <c r="W11" s="139">
        <v>0</v>
      </c>
      <c r="X11" s="140">
        <f t="shared" si="9"/>
        <v>104</v>
      </c>
      <c r="Y11" s="141">
        <f t="shared" ref="Y11:Y13" si="20">-ROUND(P11+SUM(R11:W11),2)</f>
        <v>-18054</v>
      </c>
      <c r="Z11" s="142">
        <v>-18055.330000000002</v>
      </c>
      <c r="AA11" s="143">
        <f t="shared" si="11"/>
        <v>-1.3300000000017462</v>
      </c>
      <c r="AB11" s="133">
        <v>41019</v>
      </c>
      <c r="AC11" s="144">
        <f t="shared" si="12"/>
        <v>5.7939999999999997E-3</v>
      </c>
      <c r="AD11" s="145">
        <f t="shared" si="13"/>
        <v>41019</v>
      </c>
      <c r="AE11" s="146" t="s">
        <v>449</v>
      </c>
      <c r="AF11" s="119"/>
    </row>
    <row r="12" spans="1:32" ht="12" customHeight="1">
      <c r="A12" s="133">
        <v>41018</v>
      </c>
      <c r="B12" s="134" t="s">
        <v>457</v>
      </c>
      <c r="C12" s="134"/>
      <c r="D12" s="134"/>
      <c r="E12" s="134"/>
      <c r="F12" s="134"/>
      <c r="G12" s="134"/>
      <c r="H12" s="135" t="s">
        <v>453</v>
      </c>
      <c r="I12" s="134" t="s">
        <v>447</v>
      </c>
      <c r="J12" s="134" t="s">
        <v>448</v>
      </c>
      <c r="K12" s="136">
        <v>40</v>
      </c>
      <c r="L12" s="137">
        <v>256.60000000000002</v>
      </c>
      <c r="M12" s="138">
        <f t="shared" si="0"/>
        <v>1.03</v>
      </c>
      <c r="N12" s="138">
        <f t="shared" si="19"/>
        <v>257.63</v>
      </c>
      <c r="O12" s="138"/>
      <c r="P12" s="138">
        <f t="shared" si="2"/>
        <v>10264</v>
      </c>
      <c r="Q12" s="139">
        <f t="shared" si="3"/>
        <v>1.48725</v>
      </c>
      <c r="R12" s="139">
        <f t="shared" si="4"/>
        <v>41.2</v>
      </c>
      <c r="S12" s="139">
        <f t="shared" si="18"/>
        <v>5.09</v>
      </c>
      <c r="T12" s="139">
        <f t="shared" si="6"/>
        <v>12.83</v>
      </c>
      <c r="U12" s="139">
        <f t="shared" si="7"/>
        <v>0</v>
      </c>
      <c r="V12" s="139">
        <f t="shared" si="8"/>
        <v>0.37</v>
      </c>
      <c r="W12" s="139">
        <v>0</v>
      </c>
      <c r="X12" s="140">
        <f t="shared" si="9"/>
        <v>59.49</v>
      </c>
      <c r="Y12" s="141">
        <f t="shared" si="20"/>
        <v>-10323.49</v>
      </c>
      <c r="Z12" s="142">
        <v>-10324.32</v>
      </c>
      <c r="AA12" s="143">
        <f t="shared" si="11"/>
        <v>-0.82999999999992724</v>
      </c>
      <c r="AB12" s="133">
        <v>41022</v>
      </c>
      <c r="AC12" s="144">
        <f t="shared" si="12"/>
        <v>5.7959999999999999E-3</v>
      </c>
      <c r="AD12" s="145">
        <f t="shared" si="13"/>
        <v>41022</v>
      </c>
      <c r="AE12" s="146" t="s">
        <v>449</v>
      </c>
      <c r="AF12" s="119"/>
    </row>
    <row r="13" spans="1:32" ht="12" customHeight="1">
      <c r="A13" s="133">
        <v>41018</v>
      </c>
      <c r="B13" s="134" t="s">
        <v>457</v>
      </c>
      <c r="C13" s="134"/>
      <c r="D13" s="134"/>
      <c r="E13" s="134"/>
      <c r="F13" s="134"/>
      <c r="G13" s="134"/>
      <c r="H13" s="135" t="s">
        <v>453</v>
      </c>
      <c r="I13" s="134" t="s">
        <v>447</v>
      </c>
      <c r="J13" s="134" t="s">
        <v>448</v>
      </c>
      <c r="K13" s="136">
        <v>8</v>
      </c>
      <c r="L13" s="137">
        <v>251.2</v>
      </c>
      <c r="M13" s="138">
        <f t="shared" si="0"/>
        <v>1</v>
      </c>
      <c r="N13" s="138">
        <f t="shared" si="19"/>
        <v>252.2</v>
      </c>
      <c r="O13" s="138"/>
      <c r="P13" s="138">
        <f t="shared" si="2"/>
        <v>2009.6</v>
      </c>
      <c r="Q13" s="139">
        <f t="shared" si="3"/>
        <v>1.44625</v>
      </c>
      <c r="R13" s="139">
        <f t="shared" si="4"/>
        <v>8</v>
      </c>
      <c r="S13" s="139">
        <f t="shared" si="18"/>
        <v>0.99</v>
      </c>
      <c r="T13" s="139">
        <f t="shared" si="6"/>
        <v>2.5099999999999998</v>
      </c>
      <c r="U13" s="139">
        <f t="shared" si="7"/>
        <v>0</v>
      </c>
      <c r="V13" s="139">
        <f t="shared" si="8"/>
        <v>7.0000000000000007E-2</v>
      </c>
      <c r="W13" s="139">
        <v>0</v>
      </c>
      <c r="X13" s="140">
        <f t="shared" si="9"/>
        <v>11.57</v>
      </c>
      <c r="Y13" s="141">
        <f t="shared" si="20"/>
        <v>-2021.17</v>
      </c>
      <c r="Z13" s="142">
        <v>-2021.24</v>
      </c>
      <c r="AA13" s="143">
        <f t="shared" si="11"/>
        <v>-6.9999999999936335E-2</v>
      </c>
      <c r="AB13" s="133">
        <v>41022</v>
      </c>
      <c r="AC13" s="144">
        <f t="shared" si="12"/>
        <v>5.757E-3</v>
      </c>
      <c r="AD13" s="145">
        <f t="shared" si="13"/>
        <v>41022</v>
      </c>
      <c r="AE13" s="146" t="s">
        <v>449</v>
      </c>
      <c r="AF13" s="119"/>
    </row>
    <row r="14" spans="1:32" ht="12" customHeight="1">
      <c r="A14" s="120">
        <v>41029</v>
      </c>
      <c r="B14" s="121" t="s">
        <v>458</v>
      </c>
      <c r="C14" s="121"/>
      <c r="D14" s="121"/>
      <c r="E14" s="121"/>
      <c r="F14" s="121"/>
      <c r="G14" s="121"/>
      <c r="H14" s="122" t="s">
        <v>446</v>
      </c>
      <c r="I14" s="121" t="s">
        <v>447</v>
      </c>
      <c r="J14" s="121" t="s">
        <v>448</v>
      </c>
      <c r="K14" s="123">
        <v>2</v>
      </c>
      <c r="L14" s="124">
        <v>2442</v>
      </c>
      <c r="M14" s="125">
        <f t="shared" si="0"/>
        <v>9.77</v>
      </c>
      <c r="N14" s="125">
        <f t="shared" ref="N14:N17" si="21">L14-M14</f>
        <v>2432.23</v>
      </c>
      <c r="O14" s="125"/>
      <c r="P14" s="125">
        <f t="shared" si="2"/>
        <v>4884</v>
      </c>
      <c r="Q14" s="126">
        <f t="shared" si="3"/>
        <v>14.125</v>
      </c>
      <c r="R14" s="126">
        <f t="shared" si="4"/>
        <v>19.54</v>
      </c>
      <c r="S14" s="126">
        <f t="shared" si="18"/>
        <v>2.42</v>
      </c>
      <c r="T14" s="126">
        <f t="shared" si="6"/>
        <v>6.11</v>
      </c>
      <c r="U14" s="126">
        <f t="shared" si="7"/>
        <v>0</v>
      </c>
      <c r="V14" s="126">
        <f t="shared" si="8"/>
        <v>0.18</v>
      </c>
      <c r="W14" s="126">
        <v>0</v>
      </c>
      <c r="X14" s="126">
        <f t="shared" si="9"/>
        <v>28.25</v>
      </c>
      <c r="Y14" s="127">
        <f t="shared" ref="Y14:Y17" si="22">ROUND(P14-SUM(R14:W14),2)</f>
        <v>4855.75</v>
      </c>
      <c r="Z14" s="128">
        <v>4855.38</v>
      </c>
      <c r="AA14" s="129">
        <f t="shared" si="11"/>
        <v>-0.36999999999989086</v>
      </c>
      <c r="AB14" s="120">
        <v>41029</v>
      </c>
      <c r="AC14" s="130">
        <f t="shared" si="12"/>
        <v>5.7840000000000001E-3</v>
      </c>
      <c r="AD14" s="131">
        <f t="shared" si="13"/>
        <v>41029</v>
      </c>
      <c r="AE14" s="132" t="s">
        <v>449</v>
      </c>
      <c r="AF14" s="119"/>
    </row>
    <row r="15" spans="1:32" ht="12" customHeight="1">
      <c r="A15" s="120">
        <v>41122</v>
      </c>
      <c r="B15" s="121" t="s">
        <v>459</v>
      </c>
      <c r="C15" s="121"/>
      <c r="D15" s="121"/>
      <c r="E15" s="121"/>
      <c r="F15" s="121"/>
      <c r="G15" s="121"/>
      <c r="H15" s="122" t="s">
        <v>446</v>
      </c>
      <c r="I15" s="121" t="s">
        <v>447</v>
      </c>
      <c r="J15" s="121" t="s">
        <v>448</v>
      </c>
      <c r="K15" s="123">
        <v>50</v>
      </c>
      <c r="L15" s="124">
        <v>356.35</v>
      </c>
      <c r="M15" s="125">
        <f t="shared" si="0"/>
        <v>1.43</v>
      </c>
      <c r="N15" s="125">
        <f t="shared" si="21"/>
        <v>354.92</v>
      </c>
      <c r="O15" s="125"/>
      <c r="P15" s="125">
        <f t="shared" si="2"/>
        <v>17817.5</v>
      </c>
      <c r="Q15" s="126">
        <f t="shared" si="3"/>
        <v>1.9762</v>
      </c>
      <c r="R15" s="126">
        <f t="shared" si="4"/>
        <v>71.5</v>
      </c>
      <c r="S15" s="126">
        <f t="shared" si="18"/>
        <v>8.84</v>
      </c>
      <c r="T15" s="126">
        <f t="shared" ref="T15:T29" si="23">ROUND(P15*K$1806,2)</f>
        <v>17.82</v>
      </c>
      <c r="U15" s="126">
        <f t="shared" si="7"/>
        <v>0</v>
      </c>
      <c r="V15" s="126">
        <f t="shared" si="8"/>
        <v>0.65</v>
      </c>
      <c r="W15" s="126">
        <v>0</v>
      </c>
      <c r="X15" s="126">
        <f t="shared" si="9"/>
        <v>98.81</v>
      </c>
      <c r="Y15" s="127">
        <f t="shared" si="22"/>
        <v>17718.689999999999</v>
      </c>
      <c r="Z15" s="128">
        <v>17716.73</v>
      </c>
      <c r="AA15" s="129">
        <f t="shared" si="11"/>
        <v>-1.9599999999991269</v>
      </c>
      <c r="AB15" s="120">
        <v>41122</v>
      </c>
      <c r="AC15" s="130">
        <f t="shared" si="12"/>
        <v>5.5459999999999997E-3</v>
      </c>
      <c r="AD15" s="131">
        <f t="shared" si="13"/>
        <v>41122</v>
      </c>
      <c r="AE15" s="132" t="s">
        <v>449</v>
      </c>
      <c r="AF15" s="119"/>
    </row>
    <row r="16" spans="1:32" ht="12" customHeight="1">
      <c r="A16" s="120">
        <v>41185</v>
      </c>
      <c r="B16" s="121" t="s">
        <v>460</v>
      </c>
      <c r="C16" s="121"/>
      <c r="D16" s="121"/>
      <c r="E16" s="121"/>
      <c r="F16" s="121"/>
      <c r="G16" s="121"/>
      <c r="H16" s="122" t="s">
        <v>446</v>
      </c>
      <c r="I16" s="121" t="s">
        <v>447</v>
      </c>
      <c r="J16" s="121" t="s">
        <v>448</v>
      </c>
      <c r="K16" s="123">
        <v>4</v>
      </c>
      <c r="L16" s="124">
        <v>845.2</v>
      </c>
      <c r="M16" s="125">
        <f t="shared" si="0"/>
        <v>3.38</v>
      </c>
      <c r="N16" s="125">
        <f t="shared" si="21"/>
        <v>841.82</v>
      </c>
      <c r="O16" s="125"/>
      <c r="P16" s="125">
        <f t="shared" si="2"/>
        <v>3380.8</v>
      </c>
      <c r="Q16" s="126">
        <f t="shared" si="3"/>
        <v>4.6725000000000003</v>
      </c>
      <c r="R16" s="126">
        <f t="shared" si="4"/>
        <v>13.52</v>
      </c>
      <c r="S16" s="126">
        <f t="shared" si="18"/>
        <v>1.67</v>
      </c>
      <c r="T16" s="126">
        <f t="shared" si="23"/>
        <v>3.38</v>
      </c>
      <c r="U16" s="126">
        <f t="shared" si="7"/>
        <v>0</v>
      </c>
      <c r="V16" s="126">
        <f t="shared" si="8"/>
        <v>0.12</v>
      </c>
      <c r="W16" s="126">
        <v>0</v>
      </c>
      <c r="X16" s="126">
        <f t="shared" si="9"/>
        <v>18.690000000000001</v>
      </c>
      <c r="Y16" s="127">
        <f t="shared" si="22"/>
        <v>3362.11</v>
      </c>
      <c r="Z16" s="128">
        <v>3362.15</v>
      </c>
      <c r="AA16" s="129">
        <f t="shared" si="11"/>
        <v>3.999999999996362E-2</v>
      </c>
      <c r="AB16" s="120">
        <v>41185</v>
      </c>
      <c r="AC16" s="130">
        <f t="shared" si="12"/>
        <v>5.5279999999999999E-3</v>
      </c>
      <c r="AD16" s="131">
        <f t="shared" si="13"/>
        <v>41185</v>
      </c>
      <c r="AE16" s="132" t="s">
        <v>449</v>
      </c>
      <c r="AF16" s="119"/>
    </row>
    <row r="17" spans="1:32" ht="12" customHeight="1">
      <c r="A17" s="120">
        <v>41186</v>
      </c>
      <c r="B17" s="121" t="s">
        <v>456</v>
      </c>
      <c r="C17" s="121"/>
      <c r="D17" s="121"/>
      <c r="E17" s="121"/>
      <c r="F17" s="121"/>
      <c r="G17" s="121"/>
      <c r="H17" s="122" t="s">
        <v>446</v>
      </c>
      <c r="I17" s="121" t="s">
        <v>447</v>
      </c>
      <c r="J17" s="121" t="s">
        <v>448</v>
      </c>
      <c r="K17" s="123">
        <v>50</v>
      </c>
      <c r="L17" s="124">
        <v>383</v>
      </c>
      <c r="M17" s="125">
        <f t="shared" si="0"/>
        <v>1.53</v>
      </c>
      <c r="N17" s="125">
        <f t="shared" si="21"/>
        <v>381.47</v>
      </c>
      <c r="O17" s="125"/>
      <c r="P17" s="125">
        <f t="shared" si="2"/>
        <v>19150</v>
      </c>
      <c r="Q17" s="126">
        <f t="shared" si="3"/>
        <v>2.1162000000000005</v>
      </c>
      <c r="R17" s="126">
        <f t="shared" si="4"/>
        <v>76.5</v>
      </c>
      <c r="S17" s="126">
        <f t="shared" si="18"/>
        <v>9.4600000000000009</v>
      </c>
      <c r="T17" s="126">
        <f t="shared" si="23"/>
        <v>19.149999999999999</v>
      </c>
      <c r="U17" s="126">
        <f t="shared" si="7"/>
        <v>0</v>
      </c>
      <c r="V17" s="126">
        <f t="shared" si="8"/>
        <v>0.7</v>
      </c>
      <c r="W17" s="126">
        <v>0</v>
      </c>
      <c r="X17" s="126">
        <f t="shared" si="9"/>
        <v>105.81000000000002</v>
      </c>
      <c r="Y17" s="127">
        <f t="shared" si="22"/>
        <v>19044.189999999999</v>
      </c>
      <c r="Z17" s="128">
        <v>19042.419999999998</v>
      </c>
      <c r="AA17" s="129">
        <f t="shared" si="11"/>
        <v>-1.7700000000004366</v>
      </c>
      <c r="AB17" s="120">
        <v>41186</v>
      </c>
      <c r="AC17" s="130">
        <f t="shared" si="12"/>
        <v>5.5250000000000004E-3</v>
      </c>
      <c r="AD17" s="131">
        <f t="shared" si="13"/>
        <v>41186</v>
      </c>
      <c r="AE17" s="132" t="s">
        <v>449</v>
      </c>
      <c r="AF17" s="119"/>
    </row>
    <row r="18" spans="1:32" ht="12" customHeight="1">
      <c r="A18" s="133">
        <v>41194</v>
      </c>
      <c r="B18" s="134" t="s">
        <v>461</v>
      </c>
      <c r="C18" s="134"/>
      <c r="D18" s="134"/>
      <c r="E18" s="134"/>
      <c r="F18" s="134"/>
      <c r="G18" s="134"/>
      <c r="H18" s="135" t="s">
        <v>453</v>
      </c>
      <c r="I18" s="134" t="s">
        <v>447</v>
      </c>
      <c r="J18" s="134" t="s">
        <v>448</v>
      </c>
      <c r="K18" s="136">
        <v>5</v>
      </c>
      <c r="L18" s="137">
        <v>1779.45</v>
      </c>
      <c r="M18" s="138">
        <f t="shared" si="0"/>
        <v>7.12</v>
      </c>
      <c r="N18" s="138">
        <f>L18+M18</f>
        <v>1786.57</v>
      </c>
      <c r="O18" s="138"/>
      <c r="P18" s="138">
        <f t="shared" si="2"/>
        <v>8897.25</v>
      </c>
      <c r="Q18" s="139">
        <f t="shared" si="3"/>
        <v>9.8439999999999994</v>
      </c>
      <c r="R18" s="139">
        <f t="shared" si="4"/>
        <v>35.6</v>
      </c>
      <c r="S18" s="139">
        <f t="shared" si="18"/>
        <v>4.4000000000000004</v>
      </c>
      <c r="T18" s="139">
        <f t="shared" si="23"/>
        <v>8.9</v>
      </c>
      <c r="U18" s="139">
        <f t="shared" si="7"/>
        <v>0</v>
      </c>
      <c r="V18" s="139">
        <f t="shared" si="8"/>
        <v>0.32</v>
      </c>
      <c r="W18" s="139">
        <v>0</v>
      </c>
      <c r="X18" s="140">
        <f t="shared" si="9"/>
        <v>49.22</v>
      </c>
      <c r="Y18" s="141">
        <f>-ROUND(P18+SUM(R18:W18),2)</f>
        <v>-8946.4699999999993</v>
      </c>
      <c r="Z18" s="142">
        <v>-8947.4599999999991</v>
      </c>
      <c r="AA18" s="143">
        <f t="shared" si="11"/>
        <v>-0.98999999999978172</v>
      </c>
      <c r="AB18" s="133">
        <v>41198</v>
      </c>
      <c r="AC18" s="144">
        <f t="shared" si="12"/>
        <v>5.5319999999999996E-3</v>
      </c>
      <c r="AD18" s="145">
        <f t="shared" si="13"/>
        <v>41198</v>
      </c>
      <c r="AE18" s="146" t="s">
        <v>449</v>
      </c>
      <c r="AF18" s="119"/>
    </row>
    <row r="19" spans="1:32" ht="12" customHeight="1">
      <c r="A19" s="120">
        <v>41200</v>
      </c>
      <c r="B19" s="121" t="s">
        <v>462</v>
      </c>
      <c r="C19" s="121"/>
      <c r="D19" s="121"/>
      <c r="E19" s="121"/>
      <c r="F19" s="121"/>
      <c r="G19" s="121"/>
      <c r="H19" s="122" t="s">
        <v>446</v>
      </c>
      <c r="I19" s="121" t="s">
        <v>447</v>
      </c>
      <c r="J19" s="121" t="s">
        <v>448</v>
      </c>
      <c r="K19" s="123">
        <v>50</v>
      </c>
      <c r="L19" s="124">
        <v>102</v>
      </c>
      <c r="M19" s="125">
        <f t="shared" si="0"/>
        <v>0.41</v>
      </c>
      <c r="N19" s="125">
        <f t="shared" ref="N19:N20" si="24">L19-M19</f>
        <v>101.59</v>
      </c>
      <c r="O19" s="125"/>
      <c r="P19" s="125">
        <f t="shared" si="2"/>
        <v>5100</v>
      </c>
      <c r="Q19" s="126">
        <f t="shared" si="3"/>
        <v>0.56640000000000013</v>
      </c>
      <c r="R19" s="126">
        <f t="shared" si="4"/>
        <v>20.5</v>
      </c>
      <c r="S19" s="126">
        <f t="shared" si="18"/>
        <v>2.5299999999999998</v>
      </c>
      <c r="T19" s="126">
        <f t="shared" si="23"/>
        <v>5.0999999999999996</v>
      </c>
      <c r="U19" s="126">
        <f t="shared" si="7"/>
        <v>0</v>
      </c>
      <c r="V19" s="126">
        <f t="shared" si="8"/>
        <v>0.19</v>
      </c>
      <c r="W19" s="126">
        <v>0</v>
      </c>
      <c r="X19" s="126">
        <f t="shared" si="9"/>
        <v>28.320000000000004</v>
      </c>
      <c r="Y19" s="127">
        <f t="shared" ref="Y19:Y20" si="25">ROUND(P19-SUM(R19:W19),2)</f>
        <v>5071.68</v>
      </c>
      <c r="Z19" s="128">
        <v>5071.2700000000004</v>
      </c>
      <c r="AA19" s="129">
        <f t="shared" si="11"/>
        <v>-0.40999999999985448</v>
      </c>
      <c r="AB19" s="120">
        <v>41200</v>
      </c>
      <c r="AC19" s="130">
        <f t="shared" si="12"/>
        <v>5.5529999999999998E-3</v>
      </c>
      <c r="AD19" s="131">
        <f t="shared" si="13"/>
        <v>41200</v>
      </c>
      <c r="AE19" s="132" t="s">
        <v>449</v>
      </c>
      <c r="AF19" s="119"/>
    </row>
    <row r="20" spans="1:32" ht="12" customHeight="1">
      <c r="A20" s="120">
        <v>41200</v>
      </c>
      <c r="B20" s="121" t="s">
        <v>461</v>
      </c>
      <c r="C20" s="121"/>
      <c r="D20" s="121"/>
      <c r="E20" s="121"/>
      <c r="F20" s="121"/>
      <c r="G20" s="121"/>
      <c r="H20" s="122" t="s">
        <v>446</v>
      </c>
      <c r="I20" s="121" t="s">
        <v>447</v>
      </c>
      <c r="J20" s="121" t="s">
        <v>448</v>
      </c>
      <c r="K20" s="123">
        <v>5</v>
      </c>
      <c r="L20" s="124">
        <v>1839</v>
      </c>
      <c r="M20" s="125">
        <f t="shared" si="0"/>
        <v>7.36</v>
      </c>
      <c r="N20" s="125">
        <f t="shared" si="24"/>
        <v>1831.64</v>
      </c>
      <c r="O20" s="125"/>
      <c r="P20" s="125">
        <f t="shared" si="2"/>
        <v>9195</v>
      </c>
      <c r="Q20" s="126">
        <f t="shared" si="3"/>
        <v>10.178000000000001</v>
      </c>
      <c r="R20" s="126">
        <f t="shared" si="4"/>
        <v>36.799999999999997</v>
      </c>
      <c r="S20" s="126">
        <f t="shared" si="18"/>
        <v>4.55</v>
      </c>
      <c r="T20" s="126">
        <f t="shared" si="23"/>
        <v>9.1999999999999993</v>
      </c>
      <c r="U20" s="126">
        <f t="shared" si="7"/>
        <v>0</v>
      </c>
      <c r="V20" s="126">
        <f t="shared" si="8"/>
        <v>0.34</v>
      </c>
      <c r="W20" s="126">
        <v>0</v>
      </c>
      <c r="X20" s="126">
        <f t="shared" si="9"/>
        <v>50.89</v>
      </c>
      <c r="Y20" s="127">
        <f t="shared" si="25"/>
        <v>9144.11</v>
      </c>
      <c r="Z20" s="128">
        <v>9143.39</v>
      </c>
      <c r="AA20" s="129">
        <f t="shared" si="11"/>
        <v>-0.72000000000116415</v>
      </c>
      <c r="AB20" s="120">
        <v>41200</v>
      </c>
      <c r="AC20" s="130">
        <f t="shared" si="12"/>
        <v>5.535E-3</v>
      </c>
      <c r="AD20" s="131">
        <f t="shared" si="13"/>
        <v>41200</v>
      </c>
      <c r="AE20" s="132" t="s">
        <v>449</v>
      </c>
      <c r="AF20" s="119"/>
    </row>
    <row r="21" spans="1:32" ht="12" customHeight="1">
      <c r="A21" s="133">
        <v>41205</v>
      </c>
      <c r="B21" s="134" t="s">
        <v>463</v>
      </c>
      <c r="C21" s="134"/>
      <c r="D21" s="134"/>
      <c r="E21" s="134"/>
      <c r="F21" s="134"/>
      <c r="G21" s="134"/>
      <c r="H21" s="135" t="s">
        <v>453</v>
      </c>
      <c r="I21" s="134" t="s">
        <v>447</v>
      </c>
      <c r="J21" s="134" t="s">
        <v>448</v>
      </c>
      <c r="K21" s="136">
        <v>50</v>
      </c>
      <c r="L21" s="137">
        <v>131.6</v>
      </c>
      <c r="M21" s="138">
        <f t="shared" si="0"/>
        <v>0.53</v>
      </c>
      <c r="N21" s="138">
        <f t="shared" ref="N21:N24" si="26">L21+M21</f>
        <v>132.13</v>
      </c>
      <c r="O21" s="138"/>
      <c r="P21" s="138">
        <f t="shared" si="2"/>
        <v>6580</v>
      </c>
      <c r="Q21" s="139">
        <f t="shared" si="3"/>
        <v>0.73199999999999998</v>
      </c>
      <c r="R21" s="139">
        <f t="shared" si="4"/>
        <v>26.5</v>
      </c>
      <c r="S21" s="139">
        <f t="shared" si="18"/>
        <v>3.28</v>
      </c>
      <c r="T21" s="139">
        <f t="shared" si="23"/>
        <v>6.58</v>
      </c>
      <c r="U21" s="139">
        <f t="shared" si="7"/>
        <v>0</v>
      </c>
      <c r="V21" s="139">
        <f t="shared" si="8"/>
        <v>0.24</v>
      </c>
      <c r="W21" s="139">
        <v>0</v>
      </c>
      <c r="X21" s="140">
        <f t="shared" si="9"/>
        <v>36.6</v>
      </c>
      <c r="Y21" s="141">
        <f t="shared" ref="Y21:Y24" si="27">-ROUND(P21+SUM(R21:W21),2)</f>
        <v>-6616.6</v>
      </c>
      <c r="Z21" s="142">
        <v>-6617.68</v>
      </c>
      <c r="AA21" s="143">
        <f t="shared" si="11"/>
        <v>-1.0799999999999272</v>
      </c>
      <c r="AB21" s="133">
        <v>41211</v>
      </c>
      <c r="AC21" s="144">
        <f t="shared" si="12"/>
        <v>5.5620000000000001E-3</v>
      </c>
      <c r="AD21" s="145">
        <f t="shared" si="13"/>
        <v>41211</v>
      </c>
      <c r="AE21" s="146" t="s">
        <v>449</v>
      </c>
      <c r="AF21" s="119"/>
    </row>
    <row r="22" spans="1:32" ht="12" customHeight="1">
      <c r="A22" s="133">
        <v>41207</v>
      </c>
      <c r="B22" s="134" t="s">
        <v>464</v>
      </c>
      <c r="C22" s="134"/>
      <c r="D22" s="134"/>
      <c r="E22" s="134"/>
      <c r="F22" s="134"/>
      <c r="G22" s="134"/>
      <c r="H22" s="135" t="s">
        <v>453</v>
      </c>
      <c r="I22" s="134" t="s">
        <v>447</v>
      </c>
      <c r="J22" s="134" t="s">
        <v>448</v>
      </c>
      <c r="K22" s="136">
        <v>20</v>
      </c>
      <c r="L22" s="137">
        <v>133</v>
      </c>
      <c r="M22" s="138">
        <f t="shared" si="0"/>
        <v>0.53</v>
      </c>
      <c r="N22" s="138">
        <f t="shared" si="26"/>
        <v>133.53</v>
      </c>
      <c r="O22" s="138"/>
      <c r="P22" s="138">
        <f t="shared" si="2"/>
        <v>2660</v>
      </c>
      <c r="Q22" s="139">
        <f t="shared" si="3"/>
        <v>0.73350000000000004</v>
      </c>
      <c r="R22" s="139">
        <f t="shared" si="4"/>
        <v>10.6</v>
      </c>
      <c r="S22" s="139">
        <f t="shared" si="18"/>
        <v>1.31</v>
      </c>
      <c r="T22" s="139">
        <f t="shared" si="23"/>
        <v>2.66</v>
      </c>
      <c r="U22" s="139">
        <f t="shared" si="7"/>
        <v>0</v>
      </c>
      <c r="V22" s="139">
        <f t="shared" si="8"/>
        <v>0.1</v>
      </c>
      <c r="W22" s="139">
        <v>0</v>
      </c>
      <c r="X22" s="140">
        <f t="shared" si="9"/>
        <v>14.67</v>
      </c>
      <c r="Y22" s="141">
        <f t="shared" si="27"/>
        <v>-2674.67</v>
      </c>
      <c r="Z22" s="142">
        <v>-2675.28</v>
      </c>
      <c r="AA22" s="143">
        <f t="shared" si="11"/>
        <v>-0.61000000000012733</v>
      </c>
      <c r="AB22" s="133">
        <v>41212</v>
      </c>
      <c r="AC22" s="144">
        <f t="shared" si="12"/>
        <v>5.5149999999999999E-3</v>
      </c>
      <c r="AD22" s="145">
        <f t="shared" si="13"/>
        <v>41212</v>
      </c>
      <c r="AE22" s="146" t="s">
        <v>449</v>
      </c>
      <c r="AF22" s="119"/>
    </row>
    <row r="23" spans="1:32" ht="12" customHeight="1">
      <c r="A23" s="133">
        <v>41207</v>
      </c>
      <c r="B23" s="134" t="s">
        <v>465</v>
      </c>
      <c r="C23" s="134"/>
      <c r="D23" s="134"/>
      <c r="E23" s="134"/>
      <c r="F23" s="134"/>
      <c r="G23" s="134"/>
      <c r="H23" s="135" t="s">
        <v>453</v>
      </c>
      <c r="I23" s="134" t="s">
        <v>447</v>
      </c>
      <c r="J23" s="134" t="s">
        <v>448</v>
      </c>
      <c r="K23" s="136">
        <v>50</v>
      </c>
      <c r="L23" s="137">
        <v>105.2</v>
      </c>
      <c r="M23" s="138">
        <f t="shared" si="0"/>
        <v>0.42</v>
      </c>
      <c r="N23" s="138">
        <f t="shared" si="26"/>
        <v>105.62</v>
      </c>
      <c r="O23" s="138"/>
      <c r="P23" s="138">
        <f t="shared" si="2"/>
        <v>5260</v>
      </c>
      <c r="Q23" s="139">
        <f t="shared" si="3"/>
        <v>0.58099999999999996</v>
      </c>
      <c r="R23" s="139">
        <f t="shared" si="4"/>
        <v>21</v>
      </c>
      <c r="S23" s="139">
        <f t="shared" si="18"/>
        <v>2.6</v>
      </c>
      <c r="T23" s="139">
        <f t="shared" si="23"/>
        <v>5.26</v>
      </c>
      <c r="U23" s="139">
        <f t="shared" si="7"/>
        <v>0</v>
      </c>
      <c r="V23" s="139">
        <f t="shared" si="8"/>
        <v>0.19</v>
      </c>
      <c r="W23" s="139">
        <v>0</v>
      </c>
      <c r="X23" s="140">
        <f t="shared" si="9"/>
        <v>29.05</v>
      </c>
      <c r="Y23" s="141">
        <f t="shared" si="27"/>
        <v>-5289.05</v>
      </c>
      <c r="Z23" s="142">
        <v>-5289.31</v>
      </c>
      <c r="AA23" s="143">
        <f t="shared" si="11"/>
        <v>-0.26000000000021828</v>
      </c>
      <c r="AB23" s="133">
        <v>41212</v>
      </c>
      <c r="AC23" s="144">
        <f t="shared" si="12"/>
        <v>5.5230000000000001E-3</v>
      </c>
      <c r="AD23" s="145">
        <f t="shared" si="13"/>
        <v>41212</v>
      </c>
      <c r="AE23" s="146" t="s">
        <v>449</v>
      </c>
      <c r="AF23" s="119"/>
    </row>
    <row r="24" spans="1:32" ht="12" customHeight="1">
      <c r="A24" s="133">
        <v>41208</v>
      </c>
      <c r="B24" s="134" t="s">
        <v>466</v>
      </c>
      <c r="C24" s="134"/>
      <c r="D24" s="134"/>
      <c r="E24" s="134"/>
      <c r="F24" s="134"/>
      <c r="G24" s="134"/>
      <c r="H24" s="135" t="s">
        <v>453</v>
      </c>
      <c r="I24" s="134" t="s">
        <v>447</v>
      </c>
      <c r="J24" s="134" t="s">
        <v>448</v>
      </c>
      <c r="K24" s="136">
        <v>20</v>
      </c>
      <c r="L24" s="137">
        <v>219.2</v>
      </c>
      <c r="M24" s="138">
        <f t="shared" si="0"/>
        <v>0.88</v>
      </c>
      <c r="N24" s="138">
        <f t="shared" si="26"/>
        <v>220.07999999999998</v>
      </c>
      <c r="O24" s="138"/>
      <c r="P24" s="138">
        <f t="shared" si="2"/>
        <v>4384</v>
      </c>
      <c r="Q24" s="139">
        <f t="shared" si="3"/>
        <v>1.216</v>
      </c>
      <c r="R24" s="139">
        <f t="shared" si="4"/>
        <v>17.600000000000001</v>
      </c>
      <c r="S24" s="139">
        <f t="shared" si="18"/>
        <v>2.1800000000000002</v>
      </c>
      <c r="T24" s="139">
        <f t="shared" si="23"/>
        <v>4.38</v>
      </c>
      <c r="U24" s="139">
        <f t="shared" si="7"/>
        <v>0</v>
      </c>
      <c r="V24" s="139">
        <f t="shared" si="8"/>
        <v>0.16</v>
      </c>
      <c r="W24" s="139">
        <v>0</v>
      </c>
      <c r="X24" s="140">
        <f t="shared" si="9"/>
        <v>24.32</v>
      </c>
      <c r="Y24" s="141">
        <f t="shared" si="27"/>
        <v>-4408.32</v>
      </c>
      <c r="Z24" s="142">
        <v>-4408.76</v>
      </c>
      <c r="AA24" s="143">
        <f t="shared" si="11"/>
        <v>-0.44000000000050932</v>
      </c>
      <c r="AB24" s="133">
        <v>41212</v>
      </c>
      <c r="AC24" s="144">
        <f t="shared" si="12"/>
        <v>5.5469999999999998E-3</v>
      </c>
      <c r="AD24" s="145">
        <f t="shared" si="13"/>
        <v>41212</v>
      </c>
      <c r="AE24" s="146" t="s">
        <v>449</v>
      </c>
      <c r="AF24" s="119"/>
    </row>
    <row r="25" spans="1:32" ht="12" customHeight="1">
      <c r="A25" s="120">
        <v>41215</v>
      </c>
      <c r="B25" s="121" t="s">
        <v>465</v>
      </c>
      <c r="C25" s="121"/>
      <c r="D25" s="121"/>
      <c r="E25" s="121"/>
      <c r="F25" s="121"/>
      <c r="G25" s="121"/>
      <c r="H25" s="122" t="s">
        <v>446</v>
      </c>
      <c r="I25" s="121" t="s">
        <v>447</v>
      </c>
      <c r="J25" s="121" t="s">
        <v>448</v>
      </c>
      <c r="K25" s="123">
        <v>50</v>
      </c>
      <c r="L25" s="124">
        <v>106.5</v>
      </c>
      <c r="M25" s="125">
        <f t="shared" si="0"/>
        <v>0.43</v>
      </c>
      <c r="N25" s="125">
        <f t="shared" ref="N25:N27" si="28">L25-M25</f>
        <v>106.07</v>
      </c>
      <c r="O25" s="125"/>
      <c r="P25" s="125">
        <f t="shared" si="2"/>
        <v>5325</v>
      </c>
      <c r="Q25" s="126">
        <f t="shared" si="3"/>
        <v>0.59360000000000002</v>
      </c>
      <c r="R25" s="126">
        <f t="shared" si="4"/>
        <v>21.5</v>
      </c>
      <c r="S25" s="126">
        <f t="shared" si="18"/>
        <v>2.66</v>
      </c>
      <c r="T25" s="126">
        <f t="shared" si="23"/>
        <v>5.33</v>
      </c>
      <c r="U25" s="126">
        <f t="shared" si="7"/>
        <v>0</v>
      </c>
      <c r="V25" s="126">
        <f t="shared" si="8"/>
        <v>0.19</v>
      </c>
      <c r="W25" s="126">
        <v>0</v>
      </c>
      <c r="X25" s="126">
        <f t="shared" si="9"/>
        <v>29.680000000000003</v>
      </c>
      <c r="Y25" s="127">
        <f t="shared" ref="Y25:Y32" si="29">ROUND(P25-SUM(R25:W25),2)</f>
        <v>5295.32</v>
      </c>
      <c r="Z25" s="128">
        <v>5295.1</v>
      </c>
      <c r="AA25" s="129">
        <f t="shared" si="11"/>
        <v>-0.21999999999934516</v>
      </c>
      <c r="AB25" s="120">
        <v>41215</v>
      </c>
      <c r="AC25" s="130">
        <f t="shared" si="12"/>
        <v>5.574E-3</v>
      </c>
      <c r="AD25" s="131">
        <f t="shared" si="13"/>
        <v>41215</v>
      </c>
      <c r="AE25" s="132" t="s">
        <v>449</v>
      </c>
      <c r="AF25" s="119"/>
    </row>
    <row r="26" spans="1:32" ht="11.25" customHeight="1">
      <c r="A26" s="120">
        <v>41219</v>
      </c>
      <c r="B26" s="121" t="s">
        <v>466</v>
      </c>
      <c r="C26" s="121"/>
      <c r="D26" s="121"/>
      <c r="E26" s="121"/>
      <c r="F26" s="121"/>
      <c r="G26" s="121"/>
      <c r="H26" s="122" t="s">
        <v>446</v>
      </c>
      <c r="I26" s="121" t="s">
        <v>447</v>
      </c>
      <c r="J26" s="121" t="s">
        <v>448</v>
      </c>
      <c r="K26" s="123">
        <v>20</v>
      </c>
      <c r="L26" s="124">
        <v>226.15</v>
      </c>
      <c r="M26" s="125">
        <f t="shared" si="0"/>
        <v>0.9</v>
      </c>
      <c r="N26" s="125">
        <f t="shared" si="28"/>
        <v>225.25</v>
      </c>
      <c r="O26" s="125"/>
      <c r="P26" s="125">
        <f t="shared" si="2"/>
        <v>4523</v>
      </c>
      <c r="Q26" s="126">
        <f t="shared" si="3"/>
        <v>1.2455000000000001</v>
      </c>
      <c r="R26" s="126">
        <f t="shared" si="4"/>
        <v>18</v>
      </c>
      <c r="S26" s="126">
        <f t="shared" si="18"/>
        <v>2.2200000000000002</v>
      </c>
      <c r="T26" s="126">
        <f t="shared" si="23"/>
        <v>4.5199999999999996</v>
      </c>
      <c r="U26" s="126">
        <f t="shared" si="7"/>
        <v>0</v>
      </c>
      <c r="V26" s="126">
        <f t="shared" si="8"/>
        <v>0.17</v>
      </c>
      <c r="W26" s="126">
        <v>0</v>
      </c>
      <c r="X26" s="126">
        <f t="shared" si="9"/>
        <v>24.91</v>
      </c>
      <c r="Y26" s="127">
        <f t="shared" si="29"/>
        <v>4498.09</v>
      </c>
      <c r="Z26" s="128">
        <v>4497.32</v>
      </c>
      <c r="AA26" s="129">
        <f t="shared" si="11"/>
        <v>-0.77000000000043656</v>
      </c>
      <c r="AB26" s="120">
        <v>41219</v>
      </c>
      <c r="AC26" s="130">
        <f t="shared" si="12"/>
        <v>5.5069999999999997E-3</v>
      </c>
      <c r="AD26" s="131">
        <f t="shared" si="13"/>
        <v>41219</v>
      </c>
      <c r="AE26" s="132" t="s">
        <v>449</v>
      </c>
      <c r="AF26" s="119"/>
    </row>
    <row r="27" spans="1:32" ht="12" customHeight="1">
      <c r="A27" s="120">
        <v>42933</v>
      </c>
      <c r="B27" s="121" t="s">
        <v>467</v>
      </c>
      <c r="C27" s="121"/>
      <c r="D27" s="121"/>
      <c r="E27" s="121"/>
      <c r="F27" s="121"/>
      <c r="G27" s="121"/>
      <c r="H27" s="122" t="s">
        <v>446</v>
      </c>
      <c r="I27" s="121" t="s">
        <v>447</v>
      </c>
      <c r="J27" s="121" t="s">
        <v>448</v>
      </c>
      <c r="K27" s="123">
        <v>100</v>
      </c>
      <c r="L27" s="124">
        <v>208.6</v>
      </c>
      <c r="M27" s="125">
        <f t="shared" ref="M27:M30" si="30">ROUND(L27*K$1802,2)</f>
        <v>1.04</v>
      </c>
      <c r="N27" s="125">
        <f t="shared" si="28"/>
        <v>207.56</v>
      </c>
      <c r="O27" s="125"/>
      <c r="P27" s="125">
        <f t="shared" si="2"/>
        <v>20860</v>
      </c>
      <c r="Q27" s="126">
        <f t="shared" si="3"/>
        <v>1.4635999999999998</v>
      </c>
      <c r="R27" s="126">
        <f t="shared" si="4"/>
        <v>104</v>
      </c>
      <c r="S27" s="126">
        <f t="shared" ref="S27:S29" si="31">ROUND(R27*M$1805,2)</f>
        <v>18.72</v>
      </c>
      <c r="T27" s="126">
        <f t="shared" si="23"/>
        <v>20.86</v>
      </c>
      <c r="U27" s="126">
        <f t="shared" ref="U27:U29" si="32">MROUND(P27*J$1812,0.05)</f>
        <v>2.1</v>
      </c>
      <c r="V27" s="126">
        <f t="shared" ref="V27:V29" si="33">ROUND(P27*K$1809,2)</f>
        <v>0.68</v>
      </c>
      <c r="W27" s="126">
        <v>0</v>
      </c>
      <c r="X27" s="126">
        <f t="shared" si="9"/>
        <v>146.35999999999999</v>
      </c>
      <c r="Y27" s="127">
        <f t="shared" si="29"/>
        <v>20713.64</v>
      </c>
      <c r="Z27" s="128">
        <v>20713.39</v>
      </c>
      <c r="AA27" s="129">
        <f t="shared" si="11"/>
        <v>-0.25</v>
      </c>
      <c r="AB27" s="120">
        <v>42935</v>
      </c>
      <c r="AC27" s="130">
        <f t="shared" si="12"/>
        <v>7.0159999999999997E-3</v>
      </c>
      <c r="AD27" s="131">
        <f t="shared" si="13"/>
        <v>42935</v>
      </c>
      <c r="AE27" s="132" t="s">
        <v>449</v>
      </c>
      <c r="AF27" s="119"/>
    </row>
    <row r="28" spans="1:32" ht="12" customHeight="1">
      <c r="A28" s="120">
        <v>42954</v>
      </c>
      <c r="B28" s="121" t="s">
        <v>464</v>
      </c>
      <c r="C28" s="121"/>
      <c r="D28" s="121"/>
      <c r="E28" s="121"/>
      <c r="F28" s="121"/>
      <c r="G28" s="121"/>
      <c r="H28" s="122" t="s">
        <v>446</v>
      </c>
      <c r="I28" s="121" t="s">
        <v>447</v>
      </c>
      <c r="J28" s="121" t="s">
        <v>448</v>
      </c>
      <c r="K28" s="123">
        <v>20</v>
      </c>
      <c r="L28" s="124">
        <v>318.2</v>
      </c>
      <c r="M28" s="125">
        <f t="shared" si="30"/>
        <v>1.59</v>
      </c>
      <c r="N28" s="125">
        <f>L28+M28</f>
        <v>319.78999999999996</v>
      </c>
      <c r="O28" s="125"/>
      <c r="P28" s="125">
        <f t="shared" si="2"/>
        <v>6364</v>
      </c>
      <c r="Q28" s="126">
        <f t="shared" si="3"/>
        <v>2.2370000000000001</v>
      </c>
      <c r="R28" s="126">
        <f t="shared" si="4"/>
        <v>31.8</v>
      </c>
      <c r="S28" s="126">
        <f t="shared" si="31"/>
        <v>5.72</v>
      </c>
      <c r="T28" s="126">
        <f t="shared" si="23"/>
        <v>6.36</v>
      </c>
      <c r="U28" s="126">
        <f t="shared" si="32"/>
        <v>0.65</v>
      </c>
      <c r="V28" s="126">
        <f t="shared" si="33"/>
        <v>0.21</v>
      </c>
      <c r="W28" s="126">
        <v>0</v>
      </c>
      <c r="X28" s="126">
        <f t="shared" si="9"/>
        <v>44.74</v>
      </c>
      <c r="Y28" s="127">
        <f t="shared" si="29"/>
        <v>6319.26</v>
      </c>
      <c r="Z28" s="128">
        <v>6319.59</v>
      </c>
      <c r="AA28" s="129">
        <f t="shared" si="11"/>
        <v>0.32999999999992724</v>
      </c>
      <c r="AB28" s="120">
        <v>42956</v>
      </c>
      <c r="AC28" s="130">
        <f t="shared" si="12"/>
        <v>7.0299999999999998E-3</v>
      </c>
      <c r="AD28" s="131">
        <f t="shared" si="13"/>
        <v>42956</v>
      </c>
      <c r="AE28" s="132" t="s">
        <v>449</v>
      </c>
      <c r="AF28" s="119"/>
    </row>
    <row r="29" spans="1:32" ht="12" customHeight="1">
      <c r="A29" s="120">
        <v>43117</v>
      </c>
      <c r="B29" s="121" t="s">
        <v>468</v>
      </c>
      <c r="C29" s="121"/>
      <c r="D29" s="121"/>
      <c r="E29" s="121"/>
      <c r="F29" s="121"/>
      <c r="G29" s="121"/>
      <c r="H29" s="122" t="s">
        <v>446</v>
      </c>
      <c r="I29" s="121" t="s">
        <v>469</v>
      </c>
      <c r="J29" s="121" t="s">
        <v>448</v>
      </c>
      <c r="K29" s="123">
        <v>50</v>
      </c>
      <c r="L29" s="124">
        <v>97.5</v>
      </c>
      <c r="M29" s="125">
        <f t="shared" si="30"/>
        <v>0.49</v>
      </c>
      <c r="N29" s="125">
        <f t="shared" ref="N29:N32" si="34">L29-M29</f>
        <v>97.01</v>
      </c>
      <c r="O29" s="125"/>
      <c r="P29" s="125">
        <f t="shared" si="2"/>
        <v>4875</v>
      </c>
      <c r="Q29" s="126">
        <f t="shared" si="3"/>
        <v>0.68899999999999995</v>
      </c>
      <c r="R29" s="126">
        <f t="shared" si="4"/>
        <v>24.5</v>
      </c>
      <c r="S29" s="126">
        <f t="shared" si="31"/>
        <v>4.41</v>
      </c>
      <c r="T29" s="126">
        <f t="shared" si="23"/>
        <v>4.88</v>
      </c>
      <c r="U29" s="126">
        <f t="shared" si="32"/>
        <v>0.5</v>
      </c>
      <c r="V29" s="126">
        <f t="shared" si="33"/>
        <v>0.16</v>
      </c>
      <c r="W29" s="126">
        <v>0</v>
      </c>
      <c r="X29" s="126">
        <f t="shared" si="9"/>
        <v>34.449999999999996</v>
      </c>
      <c r="Y29" s="127">
        <f t="shared" si="29"/>
        <v>4840.55</v>
      </c>
      <c r="Z29" s="128">
        <v>4840.55</v>
      </c>
      <c r="AA29" s="129">
        <f t="shared" si="11"/>
        <v>0</v>
      </c>
      <c r="AB29" s="120">
        <v>43117</v>
      </c>
      <c r="AC29" s="130">
        <f t="shared" si="12"/>
        <v>7.0670000000000004E-3</v>
      </c>
      <c r="AD29" s="131">
        <f t="shared" si="13"/>
        <v>43117</v>
      </c>
      <c r="AE29" s="132" t="s">
        <v>449</v>
      </c>
      <c r="AF29" s="119"/>
    </row>
    <row r="30" spans="1:32" ht="12" customHeight="1">
      <c r="A30" s="120">
        <v>44127</v>
      </c>
      <c r="B30" s="121" t="s">
        <v>463</v>
      </c>
      <c r="C30" s="121"/>
      <c r="D30" s="121"/>
      <c r="E30" s="121"/>
      <c r="F30" s="121"/>
      <c r="G30" s="121"/>
      <c r="H30" s="122" t="s">
        <v>446</v>
      </c>
      <c r="I30" s="121" t="s">
        <v>447</v>
      </c>
      <c r="J30" s="121" t="s">
        <v>448</v>
      </c>
      <c r="K30" s="123">
        <v>50</v>
      </c>
      <c r="L30" s="124">
        <v>313</v>
      </c>
      <c r="M30" s="125">
        <f t="shared" si="30"/>
        <v>1.57</v>
      </c>
      <c r="N30" s="125">
        <f t="shared" si="34"/>
        <v>311.43</v>
      </c>
      <c r="O30" s="125"/>
      <c r="P30" s="125">
        <f t="shared" si="2"/>
        <v>15650</v>
      </c>
      <c r="Q30" s="126">
        <f t="shared" si="3"/>
        <v>2.2324000000000002</v>
      </c>
      <c r="R30" s="126">
        <f t="shared" si="4"/>
        <v>78.5</v>
      </c>
      <c r="S30" s="126">
        <f t="shared" ref="S30:S677" si="35">ROUND((R30+V30)*M$1805,2)</f>
        <v>14.23</v>
      </c>
      <c r="T30" s="126">
        <f t="shared" ref="T30:T54" si="36">ROUND(P30*K$1806,0)</f>
        <v>16</v>
      </c>
      <c r="U30" s="126">
        <f t="shared" ref="U30:U32" si="37">MROUND(P30*K$1812,0.05)</f>
        <v>2.35</v>
      </c>
      <c r="V30" s="126">
        <f>ROUND(P30*M$1809,2)</f>
        <v>0.54</v>
      </c>
      <c r="W30" s="126">
        <v>0</v>
      </c>
      <c r="X30" s="126">
        <f t="shared" si="9"/>
        <v>111.62</v>
      </c>
      <c r="Y30" s="127">
        <f t="shared" si="29"/>
        <v>15538.38</v>
      </c>
      <c r="Z30" s="128">
        <v>15540.86</v>
      </c>
      <c r="AA30" s="129">
        <f t="shared" si="11"/>
        <v>2.4800000000013824</v>
      </c>
      <c r="AB30" s="120">
        <v>44130</v>
      </c>
      <c r="AC30" s="130">
        <f t="shared" si="12"/>
        <v>7.1320000000000003E-3</v>
      </c>
      <c r="AD30" s="131">
        <f t="shared" si="13"/>
        <v>44130</v>
      </c>
      <c r="AE30" s="132" t="s">
        <v>449</v>
      </c>
      <c r="AF30" s="119"/>
    </row>
    <row r="31" spans="1:32" ht="12" customHeight="1">
      <c r="A31" s="120">
        <v>44148</v>
      </c>
      <c r="B31" s="121" t="s">
        <v>470</v>
      </c>
      <c r="C31" s="121"/>
      <c r="D31" s="121"/>
      <c r="E31" s="121"/>
      <c r="F31" s="121"/>
      <c r="G31" s="121"/>
      <c r="H31" s="122" t="s">
        <v>446</v>
      </c>
      <c r="I31" s="121" t="s">
        <v>447</v>
      </c>
      <c r="J31" s="121" t="s">
        <v>471</v>
      </c>
      <c r="K31" s="123">
        <v>12</v>
      </c>
      <c r="L31" s="124">
        <v>1313</v>
      </c>
      <c r="M31" s="125">
        <f t="shared" ref="M31:M677" si="38">ROUND(L31*L$1802,2)</f>
        <v>0</v>
      </c>
      <c r="N31" s="125">
        <f t="shared" si="34"/>
        <v>1313</v>
      </c>
      <c r="O31" s="125"/>
      <c r="P31" s="125">
        <f t="shared" si="2"/>
        <v>15756</v>
      </c>
      <c r="Q31" s="126">
        <f t="shared" si="3"/>
        <v>1.5766666666666669</v>
      </c>
      <c r="R31" s="126">
        <v>0.01</v>
      </c>
      <c r="S31" s="126">
        <f t="shared" si="35"/>
        <v>0.09</v>
      </c>
      <c r="T31" s="126">
        <f t="shared" si="36"/>
        <v>16</v>
      </c>
      <c r="U31" s="126">
        <f t="shared" si="37"/>
        <v>2.35</v>
      </c>
      <c r="V31" s="126">
        <f>ROUND(P31*M$1810,2)</f>
        <v>0.47</v>
      </c>
      <c r="W31" s="126">
        <f t="shared" ref="W31:W73" si="39">ROUND(P31*I$1815,2)</f>
        <v>0</v>
      </c>
      <c r="X31" s="126">
        <f t="shared" si="9"/>
        <v>18.920000000000002</v>
      </c>
      <c r="Y31" s="127">
        <f t="shared" si="29"/>
        <v>15737.08</v>
      </c>
      <c r="Z31" s="128">
        <v>15739.42</v>
      </c>
      <c r="AA31" s="129">
        <f t="shared" si="11"/>
        <v>2.3400000000001455</v>
      </c>
      <c r="AB31" s="120">
        <v>44148</v>
      </c>
      <c r="AC31" s="130">
        <f t="shared" si="12"/>
        <v>1.201E-3</v>
      </c>
      <c r="AD31" s="131">
        <f t="shared" si="13"/>
        <v>44148</v>
      </c>
      <c r="AE31" s="132" t="s">
        <v>403</v>
      </c>
      <c r="AF31" s="119"/>
    </row>
    <row r="32" spans="1:32" ht="12" customHeight="1">
      <c r="A32" s="120">
        <v>44155</v>
      </c>
      <c r="B32" s="121" t="s">
        <v>472</v>
      </c>
      <c r="C32" s="121"/>
      <c r="D32" s="121"/>
      <c r="E32" s="121"/>
      <c r="F32" s="121"/>
      <c r="G32" s="121"/>
      <c r="H32" s="122" t="s">
        <v>446</v>
      </c>
      <c r="I32" s="121" t="s">
        <v>469</v>
      </c>
      <c r="J32" s="121" t="s">
        <v>471</v>
      </c>
      <c r="K32" s="123">
        <v>10</v>
      </c>
      <c r="L32" s="124">
        <v>1750</v>
      </c>
      <c r="M32" s="125">
        <f t="shared" si="38"/>
        <v>0</v>
      </c>
      <c r="N32" s="125">
        <f t="shared" si="34"/>
        <v>1750</v>
      </c>
      <c r="O32" s="125"/>
      <c r="P32" s="125">
        <f t="shared" si="2"/>
        <v>17500</v>
      </c>
      <c r="Q32" s="126">
        <f t="shared" si="3"/>
        <v>2.1310000000000002</v>
      </c>
      <c r="R32" s="126">
        <f t="shared" ref="R32:R62" si="40">ROUND(M32*K32,2)</f>
        <v>0</v>
      </c>
      <c r="S32" s="126">
        <f t="shared" si="35"/>
        <v>0.11</v>
      </c>
      <c r="T32" s="126">
        <f t="shared" si="36"/>
        <v>18</v>
      </c>
      <c r="U32" s="126">
        <f t="shared" si="37"/>
        <v>2.6</v>
      </c>
      <c r="V32" s="126">
        <f t="shared" ref="V32:V37" si="41">ROUND(P32*M$1809,2)</f>
        <v>0.6</v>
      </c>
      <c r="W32" s="126">
        <f t="shared" si="39"/>
        <v>0</v>
      </c>
      <c r="X32" s="126">
        <f t="shared" si="9"/>
        <v>21.310000000000002</v>
      </c>
      <c r="Y32" s="127">
        <f t="shared" si="29"/>
        <v>17478.689999999999</v>
      </c>
      <c r="Z32" s="128">
        <v>17481.41</v>
      </c>
      <c r="AA32" s="129">
        <f t="shared" si="11"/>
        <v>2.7200000000011642</v>
      </c>
      <c r="AB32" s="120">
        <v>44159</v>
      </c>
      <c r="AC32" s="130">
        <f t="shared" si="12"/>
        <v>1.2179999999999999E-3</v>
      </c>
      <c r="AD32" s="131">
        <f t="shared" si="13"/>
        <v>44159</v>
      </c>
      <c r="AE32" s="132" t="s">
        <v>403</v>
      </c>
      <c r="AF32" s="119"/>
    </row>
    <row r="33" spans="1:32" ht="12" customHeight="1">
      <c r="A33" s="133">
        <v>44225</v>
      </c>
      <c r="B33" s="134" t="s">
        <v>473</v>
      </c>
      <c r="C33" s="134"/>
      <c r="D33" s="134"/>
      <c r="E33" s="134"/>
      <c r="F33" s="134"/>
      <c r="G33" s="134"/>
      <c r="H33" s="135" t="s">
        <v>453</v>
      </c>
      <c r="I33" s="134" t="s">
        <v>469</v>
      </c>
      <c r="J33" s="134" t="s">
        <v>471</v>
      </c>
      <c r="K33" s="136">
        <v>1</v>
      </c>
      <c r="L33" s="137">
        <v>1006</v>
      </c>
      <c r="M33" s="138">
        <f t="shared" si="38"/>
        <v>0</v>
      </c>
      <c r="N33" s="138">
        <f t="shared" ref="N33:N34" si="42">L33+M33</f>
        <v>1006</v>
      </c>
      <c r="O33" s="138"/>
      <c r="P33" s="138">
        <f t="shared" si="2"/>
        <v>1006</v>
      </c>
      <c r="Q33" s="139">
        <f t="shared" si="3"/>
        <v>1.04</v>
      </c>
      <c r="R33" s="139">
        <f t="shared" si="40"/>
        <v>0</v>
      </c>
      <c r="S33" s="139">
        <f t="shared" si="35"/>
        <v>0.01</v>
      </c>
      <c r="T33" s="139">
        <f t="shared" si="36"/>
        <v>1</v>
      </c>
      <c r="U33" s="139">
        <f t="shared" ref="U33:U34" si="43">ROUND(P33*K$1812,0)</f>
        <v>0</v>
      </c>
      <c r="V33" s="139">
        <f t="shared" si="41"/>
        <v>0.03</v>
      </c>
      <c r="W33" s="139">
        <f t="shared" si="39"/>
        <v>0</v>
      </c>
      <c r="X33" s="140">
        <f t="shared" si="9"/>
        <v>1.04</v>
      </c>
      <c r="Y33" s="141">
        <f t="shared" ref="Y33:Y34" si="44">-ROUND(P33+SUM(R33:W33),2)</f>
        <v>-1007.04</v>
      </c>
      <c r="Z33" s="142">
        <v>-9013.58</v>
      </c>
      <c r="AA33" s="143">
        <f>Z33-(Y34+Y33)</f>
        <v>-1.0000000000218279E-2</v>
      </c>
      <c r="AB33" s="133">
        <v>44229</v>
      </c>
      <c r="AC33" s="144">
        <f t="shared" si="12"/>
        <v>1.034E-3</v>
      </c>
      <c r="AD33" s="145">
        <f t="shared" si="13"/>
        <v>44229</v>
      </c>
      <c r="AE33" s="146" t="s">
        <v>403</v>
      </c>
      <c r="AF33" s="119"/>
    </row>
    <row r="34" spans="1:32" ht="12" customHeight="1">
      <c r="A34" s="133">
        <v>44225</v>
      </c>
      <c r="B34" s="134" t="s">
        <v>473</v>
      </c>
      <c r="C34" s="134"/>
      <c r="D34" s="134"/>
      <c r="E34" s="134"/>
      <c r="F34" s="134"/>
      <c r="G34" s="134"/>
      <c r="H34" s="135" t="s">
        <v>453</v>
      </c>
      <c r="I34" s="134" t="s">
        <v>469</v>
      </c>
      <c r="J34" s="134" t="s">
        <v>471</v>
      </c>
      <c r="K34" s="136">
        <v>8</v>
      </c>
      <c r="L34" s="137">
        <v>999.65</v>
      </c>
      <c r="M34" s="138">
        <f t="shared" si="38"/>
        <v>0</v>
      </c>
      <c r="N34" s="138">
        <f t="shared" si="42"/>
        <v>999.65</v>
      </c>
      <c r="O34" s="138"/>
      <c r="P34" s="138">
        <f t="shared" si="2"/>
        <v>7997.2</v>
      </c>
      <c r="Q34" s="139">
        <f t="shared" si="3"/>
        <v>1.16625</v>
      </c>
      <c r="R34" s="139">
        <f t="shared" si="40"/>
        <v>0</v>
      </c>
      <c r="S34" s="139">
        <f t="shared" si="35"/>
        <v>0.05</v>
      </c>
      <c r="T34" s="139">
        <f t="shared" si="36"/>
        <v>8</v>
      </c>
      <c r="U34" s="139">
        <f t="shared" si="43"/>
        <v>1</v>
      </c>
      <c r="V34" s="139">
        <f t="shared" si="41"/>
        <v>0.28000000000000003</v>
      </c>
      <c r="W34" s="139">
        <f t="shared" si="39"/>
        <v>0</v>
      </c>
      <c r="X34" s="140">
        <f t="shared" si="9"/>
        <v>9.33</v>
      </c>
      <c r="Y34" s="141">
        <f t="shared" si="44"/>
        <v>-8006.53</v>
      </c>
      <c r="Z34" s="147"/>
      <c r="AA34" s="143"/>
      <c r="AB34" s="133">
        <v>44229</v>
      </c>
      <c r="AC34" s="144">
        <f t="shared" si="12"/>
        <v>1.1670000000000001E-3</v>
      </c>
      <c r="AD34" s="145">
        <f t="shared" si="13"/>
        <v>44229</v>
      </c>
      <c r="AE34" s="146" t="s">
        <v>403</v>
      </c>
      <c r="AF34" s="119"/>
    </row>
    <row r="35" spans="1:32" ht="12" customHeight="1">
      <c r="A35" s="120">
        <v>44229</v>
      </c>
      <c r="B35" s="121" t="s">
        <v>474</v>
      </c>
      <c r="C35" s="121"/>
      <c r="D35" s="121"/>
      <c r="E35" s="121"/>
      <c r="F35" s="121"/>
      <c r="G35" s="121"/>
      <c r="H35" s="122" t="s">
        <v>446</v>
      </c>
      <c r="I35" s="121" t="s">
        <v>469</v>
      </c>
      <c r="J35" s="121" t="s">
        <v>471</v>
      </c>
      <c r="K35" s="123">
        <v>50</v>
      </c>
      <c r="L35" s="124">
        <v>390</v>
      </c>
      <c r="M35" s="125">
        <f t="shared" si="38"/>
        <v>0</v>
      </c>
      <c r="N35" s="125">
        <f t="shared" ref="N35:N40" si="45">L35-M35</f>
        <v>390</v>
      </c>
      <c r="O35" s="125"/>
      <c r="P35" s="125">
        <f t="shared" si="2"/>
        <v>19500</v>
      </c>
      <c r="Q35" s="126">
        <f t="shared" si="3"/>
        <v>0.41580000000000006</v>
      </c>
      <c r="R35" s="126">
        <f t="shared" si="40"/>
        <v>0</v>
      </c>
      <c r="S35" s="126">
        <f t="shared" si="35"/>
        <v>0.12</v>
      </c>
      <c r="T35" s="126">
        <f t="shared" si="36"/>
        <v>20</v>
      </c>
      <c r="U35" s="126">
        <v>0</v>
      </c>
      <c r="V35" s="126">
        <f t="shared" si="41"/>
        <v>0.67</v>
      </c>
      <c r="W35" s="126">
        <f t="shared" si="39"/>
        <v>0</v>
      </c>
      <c r="X35" s="126">
        <f t="shared" si="9"/>
        <v>20.790000000000003</v>
      </c>
      <c r="Y35" s="127">
        <f t="shared" ref="Y35:Y40" si="46">ROUND(P35-SUM(R35:W35),2)</f>
        <v>19479.21</v>
      </c>
      <c r="Z35" s="128">
        <v>19480.68</v>
      </c>
      <c r="AA35" s="129">
        <f t="shared" ref="AA35:AA827" si="47">Z35-Y35</f>
        <v>1.4700000000011642</v>
      </c>
      <c r="AB35" s="120">
        <v>44230</v>
      </c>
      <c r="AC35" s="130">
        <f t="shared" si="12"/>
        <v>1.0660000000000001E-3</v>
      </c>
      <c r="AD35" s="131">
        <f t="shared" si="13"/>
        <v>44230</v>
      </c>
      <c r="AE35" s="132" t="s">
        <v>403</v>
      </c>
      <c r="AF35" s="119"/>
    </row>
    <row r="36" spans="1:32" ht="12" customHeight="1">
      <c r="A36" s="120">
        <v>44229</v>
      </c>
      <c r="B36" s="121" t="s">
        <v>475</v>
      </c>
      <c r="C36" s="121"/>
      <c r="D36" s="121"/>
      <c r="E36" s="121"/>
      <c r="F36" s="121"/>
      <c r="G36" s="121"/>
      <c r="H36" s="122" t="s">
        <v>446</v>
      </c>
      <c r="I36" s="121" t="s">
        <v>469</v>
      </c>
      <c r="J36" s="121" t="s">
        <v>471</v>
      </c>
      <c r="K36" s="123">
        <v>1</v>
      </c>
      <c r="L36" s="124">
        <v>2557.6999999999998</v>
      </c>
      <c r="M36" s="125">
        <f t="shared" si="38"/>
        <v>0</v>
      </c>
      <c r="N36" s="125">
        <f t="shared" si="45"/>
        <v>2557.6999999999998</v>
      </c>
      <c r="O36" s="125"/>
      <c r="P36" s="125">
        <f t="shared" si="2"/>
        <v>2557.6999999999998</v>
      </c>
      <c r="Q36" s="126">
        <f t="shared" si="3"/>
        <v>3.11</v>
      </c>
      <c r="R36" s="126">
        <f t="shared" si="40"/>
        <v>0</v>
      </c>
      <c r="S36" s="126">
        <f t="shared" si="35"/>
        <v>0.02</v>
      </c>
      <c r="T36" s="126">
        <f t="shared" si="36"/>
        <v>3</v>
      </c>
      <c r="U36" s="126">
        <v>0</v>
      </c>
      <c r="V36" s="126">
        <f t="shared" si="41"/>
        <v>0.09</v>
      </c>
      <c r="W36" s="126">
        <f t="shared" si="39"/>
        <v>0</v>
      </c>
      <c r="X36" s="126">
        <f t="shared" si="9"/>
        <v>3.11</v>
      </c>
      <c r="Y36" s="127">
        <f t="shared" si="46"/>
        <v>2554.59</v>
      </c>
      <c r="Z36" s="128">
        <v>2554.5700000000002</v>
      </c>
      <c r="AA36" s="129">
        <f t="shared" si="47"/>
        <v>-1.999999999998181E-2</v>
      </c>
      <c r="AB36" s="120">
        <v>44230</v>
      </c>
      <c r="AC36" s="130">
        <f t="shared" si="12"/>
        <v>1.2160000000000001E-3</v>
      </c>
      <c r="AD36" s="131">
        <f t="shared" si="13"/>
        <v>44230</v>
      </c>
      <c r="AE36" s="132" t="s">
        <v>403</v>
      </c>
      <c r="AF36" s="119"/>
    </row>
    <row r="37" spans="1:32" ht="12" customHeight="1">
      <c r="A37" s="120">
        <v>44229</v>
      </c>
      <c r="B37" s="121" t="s">
        <v>475</v>
      </c>
      <c r="C37" s="121"/>
      <c r="D37" s="121"/>
      <c r="E37" s="121"/>
      <c r="F37" s="121"/>
      <c r="G37" s="121"/>
      <c r="H37" s="122" t="s">
        <v>446</v>
      </c>
      <c r="I37" s="121" t="s">
        <v>469</v>
      </c>
      <c r="J37" s="121" t="s">
        <v>471</v>
      </c>
      <c r="K37" s="123">
        <v>9</v>
      </c>
      <c r="L37" s="124">
        <v>2552.4</v>
      </c>
      <c r="M37" s="125">
        <f t="shared" si="38"/>
        <v>0</v>
      </c>
      <c r="N37" s="125">
        <f t="shared" si="45"/>
        <v>2552.4</v>
      </c>
      <c r="O37" s="125"/>
      <c r="P37" s="125">
        <f t="shared" si="2"/>
        <v>22971.599999999999</v>
      </c>
      <c r="Q37" s="126">
        <f t="shared" si="3"/>
        <v>2.6588888888888889</v>
      </c>
      <c r="R37" s="126">
        <f t="shared" si="40"/>
        <v>0</v>
      </c>
      <c r="S37" s="126">
        <f t="shared" si="35"/>
        <v>0.14000000000000001</v>
      </c>
      <c r="T37" s="126">
        <f t="shared" si="36"/>
        <v>23</v>
      </c>
      <c r="U37" s="126">
        <v>0</v>
      </c>
      <c r="V37" s="126">
        <f t="shared" si="41"/>
        <v>0.79</v>
      </c>
      <c r="W37" s="126">
        <f t="shared" si="39"/>
        <v>0</v>
      </c>
      <c r="X37" s="126">
        <f t="shared" si="9"/>
        <v>23.93</v>
      </c>
      <c r="Y37" s="127">
        <f t="shared" si="46"/>
        <v>22947.67</v>
      </c>
      <c r="Z37" s="128">
        <v>22947.66</v>
      </c>
      <c r="AA37" s="129">
        <f t="shared" si="47"/>
        <v>-9.9999999983992893E-3</v>
      </c>
      <c r="AB37" s="120">
        <v>44230</v>
      </c>
      <c r="AC37" s="130">
        <f t="shared" si="12"/>
        <v>1.042E-3</v>
      </c>
      <c r="AD37" s="131">
        <f t="shared" si="13"/>
        <v>44230</v>
      </c>
      <c r="AE37" s="132" t="s">
        <v>403</v>
      </c>
      <c r="AF37" s="119"/>
    </row>
    <row r="38" spans="1:32" ht="12" customHeight="1">
      <c r="A38" s="120">
        <v>44229</v>
      </c>
      <c r="B38" s="121" t="s">
        <v>473</v>
      </c>
      <c r="C38" s="121"/>
      <c r="D38" s="121"/>
      <c r="E38" s="121"/>
      <c r="F38" s="121"/>
      <c r="G38" s="121"/>
      <c r="H38" s="122" t="s">
        <v>446</v>
      </c>
      <c r="I38" s="121" t="s">
        <v>447</v>
      </c>
      <c r="J38" s="121" t="s">
        <v>471</v>
      </c>
      <c r="K38" s="123">
        <v>9</v>
      </c>
      <c r="L38" s="124">
        <v>1043.0999999999999</v>
      </c>
      <c r="M38" s="125">
        <f t="shared" si="38"/>
        <v>0</v>
      </c>
      <c r="N38" s="125">
        <f t="shared" si="45"/>
        <v>1043.0999999999999</v>
      </c>
      <c r="O38" s="125"/>
      <c r="P38" s="125">
        <f t="shared" si="2"/>
        <v>9387.9</v>
      </c>
      <c r="Q38" s="126">
        <f t="shared" si="3"/>
        <v>1.0366666666666666</v>
      </c>
      <c r="R38" s="126">
        <f t="shared" si="40"/>
        <v>0</v>
      </c>
      <c r="S38" s="126">
        <f t="shared" si="35"/>
        <v>0.05</v>
      </c>
      <c r="T38" s="126">
        <f t="shared" si="36"/>
        <v>9</v>
      </c>
      <c r="U38" s="126">
        <v>0</v>
      </c>
      <c r="V38" s="126">
        <f>ROUND(P38*M$1810,2)</f>
        <v>0.28000000000000003</v>
      </c>
      <c r="W38" s="126">
        <f t="shared" si="39"/>
        <v>0</v>
      </c>
      <c r="X38" s="126">
        <f t="shared" si="9"/>
        <v>9.33</v>
      </c>
      <c r="Y38" s="127">
        <f t="shared" si="46"/>
        <v>9378.57</v>
      </c>
      <c r="Z38" s="128">
        <v>9378.4500000000007</v>
      </c>
      <c r="AA38" s="129">
        <f t="shared" si="47"/>
        <v>-0.11999999999898137</v>
      </c>
      <c r="AB38" s="120">
        <v>44230</v>
      </c>
      <c r="AC38" s="130">
        <f t="shared" si="12"/>
        <v>9.9400000000000009E-4</v>
      </c>
      <c r="AD38" s="131">
        <f t="shared" si="13"/>
        <v>44230</v>
      </c>
      <c r="AE38" s="132" t="s">
        <v>403</v>
      </c>
      <c r="AF38" s="119"/>
    </row>
    <row r="39" spans="1:32" ht="12" customHeight="1">
      <c r="A39" s="120">
        <v>44243</v>
      </c>
      <c r="B39" s="121" t="s">
        <v>476</v>
      </c>
      <c r="C39" s="121"/>
      <c r="D39" s="121"/>
      <c r="E39" s="121"/>
      <c r="F39" s="121"/>
      <c r="G39" s="121"/>
      <c r="H39" s="122" t="s">
        <v>446</v>
      </c>
      <c r="I39" s="121" t="s">
        <v>469</v>
      </c>
      <c r="J39" s="121" t="s">
        <v>471</v>
      </c>
      <c r="K39" s="123">
        <v>10000</v>
      </c>
      <c r="L39" s="124">
        <v>12.574999999999999</v>
      </c>
      <c r="M39" s="125">
        <f t="shared" si="38"/>
        <v>0</v>
      </c>
      <c r="N39" s="125">
        <f t="shared" si="45"/>
        <v>12.574999999999999</v>
      </c>
      <c r="O39" s="125"/>
      <c r="P39" s="125">
        <f t="shared" si="2"/>
        <v>125750</v>
      </c>
      <c r="Q39" s="126">
        <f t="shared" si="3"/>
        <v>1.3112E-2</v>
      </c>
      <c r="R39" s="126">
        <f t="shared" si="40"/>
        <v>0</v>
      </c>
      <c r="S39" s="126">
        <f t="shared" si="35"/>
        <v>0.78</v>
      </c>
      <c r="T39" s="126">
        <f t="shared" si="36"/>
        <v>126</v>
      </c>
      <c r="U39" s="126">
        <v>0</v>
      </c>
      <c r="V39" s="126">
        <f t="shared" ref="V39:V43" si="48">ROUND(P39*M$1809,2)</f>
        <v>4.34</v>
      </c>
      <c r="W39" s="126">
        <f t="shared" si="39"/>
        <v>0</v>
      </c>
      <c r="X39" s="126">
        <f t="shared" si="9"/>
        <v>131.12</v>
      </c>
      <c r="Y39" s="127">
        <f t="shared" si="46"/>
        <v>125618.88</v>
      </c>
      <c r="Z39" s="128">
        <v>125620</v>
      </c>
      <c r="AA39" s="129">
        <f t="shared" si="47"/>
        <v>1.1199999999953434</v>
      </c>
      <c r="AB39" s="120" t="s">
        <v>477</v>
      </c>
      <c r="AC39" s="130">
        <f t="shared" si="12"/>
        <v>1.0430000000000001E-3</v>
      </c>
      <c r="AD39" s="131" t="str">
        <f t="shared" si="13"/>
        <v>Not Applicable</v>
      </c>
      <c r="AE39" s="132" t="s">
        <v>403</v>
      </c>
      <c r="AF39" s="119"/>
    </row>
    <row r="40" spans="1:32" ht="12" customHeight="1">
      <c r="A40" s="120">
        <v>44243</v>
      </c>
      <c r="B40" s="121" t="s">
        <v>478</v>
      </c>
      <c r="C40" s="121"/>
      <c r="D40" s="121"/>
      <c r="E40" s="121"/>
      <c r="F40" s="121"/>
      <c r="G40" s="121"/>
      <c r="H40" s="122" t="s">
        <v>446</v>
      </c>
      <c r="I40" s="121" t="s">
        <v>469</v>
      </c>
      <c r="J40" s="121" t="s">
        <v>471</v>
      </c>
      <c r="K40" s="123">
        <v>1000</v>
      </c>
      <c r="L40" s="124">
        <v>19.05</v>
      </c>
      <c r="M40" s="125">
        <f t="shared" si="38"/>
        <v>0</v>
      </c>
      <c r="N40" s="125">
        <f t="shared" si="45"/>
        <v>19.05</v>
      </c>
      <c r="O40" s="125"/>
      <c r="P40" s="125">
        <f t="shared" si="2"/>
        <v>19050</v>
      </c>
      <c r="Q40" s="126">
        <f t="shared" si="3"/>
        <v>1.9780000000000002E-2</v>
      </c>
      <c r="R40" s="126">
        <f t="shared" si="40"/>
        <v>0</v>
      </c>
      <c r="S40" s="126">
        <f t="shared" si="35"/>
        <v>0.12</v>
      </c>
      <c r="T40" s="126">
        <f t="shared" si="36"/>
        <v>19</v>
      </c>
      <c r="U40" s="126">
        <v>0</v>
      </c>
      <c r="V40" s="126">
        <f t="shared" si="48"/>
        <v>0.66</v>
      </c>
      <c r="W40" s="126">
        <f t="shared" si="39"/>
        <v>0</v>
      </c>
      <c r="X40" s="126">
        <f t="shared" si="9"/>
        <v>19.78</v>
      </c>
      <c r="Y40" s="127">
        <f t="shared" si="46"/>
        <v>19030.22</v>
      </c>
      <c r="Z40" s="128">
        <v>19030.2</v>
      </c>
      <c r="AA40" s="129">
        <f t="shared" si="47"/>
        <v>-2.0000000000436557E-2</v>
      </c>
      <c r="AB40" s="120" t="s">
        <v>477</v>
      </c>
      <c r="AC40" s="130">
        <f t="shared" si="12"/>
        <v>1.0380000000000001E-3</v>
      </c>
      <c r="AD40" s="131" t="str">
        <f t="shared" si="13"/>
        <v>Not Applicable</v>
      </c>
      <c r="AE40" s="132" t="s">
        <v>403</v>
      </c>
      <c r="AF40" s="119"/>
    </row>
    <row r="41" spans="1:32" ht="12" customHeight="1">
      <c r="A41" s="133">
        <v>44245</v>
      </c>
      <c r="B41" s="134" t="s">
        <v>479</v>
      </c>
      <c r="C41" s="134"/>
      <c r="D41" s="134"/>
      <c r="E41" s="134"/>
      <c r="F41" s="134"/>
      <c r="G41" s="134"/>
      <c r="H41" s="135" t="s">
        <v>453</v>
      </c>
      <c r="I41" s="134" t="s">
        <v>469</v>
      </c>
      <c r="J41" s="134" t="s">
        <v>471</v>
      </c>
      <c r="K41" s="136">
        <v>100</v>
      </c>
      <c r="L41" s="137">
        <v>420.13099999999997</v>
      </c>
      <c r="M41" s="138">
        <f t="shared" si="38"/>
        <v>0</v>
      </c>
      <c r="N41" s="138">
        <f t="shared" ref="N41:N45" si="49">L41+M41</f>
        <v>420.13099999999997</v>
      </c>
      <c r="O41" s="138"/>
      <c r="P41" s="138">
        <f t="shared" si="2"/>
        <v>42013.1</v>
      </c>
      <c r="Q41" s="139">
        <f t="shared" si="3"/>
        <v>0.49709999999999999</v>
      </c>
      <c r="R41" s="139">
        <f t="shared" si="40"/>
        <v>0</v>
      </c>
      <c r="S41" s="139">
        <f t="shared" si="35"/>
        <v>0.26</v>
      </c>
      <c r="T41" s="139">
        <f t="shared" si="36"/>
        <v>42</v>
      </c>
      <c r="U41" s="139">
        <f t="shared" ref="U41:U45" si="50">ROUND(P41*K$1812,0)</f>
        <v>6</v>
      </c>
      <c r="V41" s="139">
        <f t="shared" si="48"/>
        <v>1.45</v>
      </c>
      <c r="W41" s="139">
        <f t="shared" si="39"/>
        <v>0</v>
      </c>
      <c r="X41" s="140">
        <f t="shared" si="9"/>
        <v>49.71</v>
      </c>
      <c r="Y41" s="141">
        <f t="shared" ref="Y41:Y45" si="51">-ROUND(P41+SUM(R41:W41),2)</f>
        <v>-42062.81</v>
      </c>
      <c r="Z41" s="142">
        <v>-42062.83</v>
      </c>
      <c r="AA41" s="143">
        <f t="shared" si="47"/>
        <v>-2.0000000004074536E-2</v>
      </c>
      <c r="AB41" s="133">
        <v>44250</v>
      </c>
      <c r="AC41" s="144">
        <f t="shared" si="12"/>
        <v>1.183E-3</v>
      </c>
      <c r="AD41" s="145">
        <f t="shared" si="13"/>
        <v>44250</v>
      </c>
      <c r="AE41" s="146" t="s">
        <v>403</v>
      </c>
      <c r="AF41" s="119"/>
    </row>
    <row r="42" spans="1:32" ht="12" customHeight="1">
      <c r="A42" s="133">
        <v>44257</v>
      </c>
      <c r="B42" s="134" t="s">
        <v>480</v>
      </c>
      <c r="C42" s="134"/>
      <c r="D42" s="134"/>
      <c r="E42" s="134"/>
      <c r="F42" s="134"/>
      <c r="G42" s="134"/>
      <c r="H42" s="135" t="s">
        <v>453</v>
      </c>
      <c r="I42" s="134" t="s">
        <v>469</v>
      </c>
      <c r="J42" s="134" t="s">
        <v>471</v>
      </c>
      <c r="K42" s="136">
        <v>100</v>
      </c>
      <c r="L42" s="137">
        <v>149.85</v>
      </c>
      <c r="M42" s="138">
        <f t="shared" si="38"/>
        <v>0</v>
      </c>
      <c r="N42" s="138">
        <f t="shared" si="49"/>
        <v>149.85</v>
      </c>
      <c r="O42" s="138"/>
      <c r="P42" s="138">
        <f t="shared" si="2"/>
        <v>14985</v>
      </c>
      <c r="Q42" s="139">
        <f t="shared" si="3"/>
        <v>0.17610000000000001</v>
      </c>
      <c r="R42" s="139">
        <f t="shared" si="40"/>
        <v>0</v>
      </c>
      <c r="S42" s="139">
        <f t="shared" si="35"/>
        <v>0.09</v>
      </c>
      <c r="T42" s="139">
        <f t="shared" si="36"/>
        <v>15</v>
      </c>
      <c r="U42" s="139">
        <f t="shared" si="50"/>
        <v>2</v>
      </c>
      <c r="V42" s="139">
        <f t="shared" si="48"/>
        <v>0.52</v>
      </c>
      <c r="W42" s="139">
        <f t="shared" si="39"/>
        <v>0</v>
      </c>
      <c r="X42" s="140">
        <f t="shared" si="9"/>
        <v>17.61</v>
      </c>
      <c r="Y42" s="141">
        <f t="shared" si="51"/>
        <v>-15002.61</v>
      </c>
      <c r="Z42" s="142">
        <v>-15002.42</v>
      </c>
      <c r="AA42" s="143">
        <f t="shared" si="47"/>
        <v>0.19000000000050932</v>
      </c>
      <c r="AB42" s="133">
        <v>44259</v>
      </c>
      <c r="AC42" s="144">
        <f t="shared" si="12"/>
        <v>1.175E-3</v>
      </c>
      <c r="AD42" s="145">
        <f t="shared" si="13"/>
        <v>44259</v>
      </c>
      <c r="AE42" s="146" t="s">
        <v>403</v>
      </c>
      <c r="AF42" s="119"/>
    </row>
    <row r="43" spans="1:32" ht="12" customHeight="1">
      <c r="A43" s="133">
        <v>44257</v>
      </c>
      <c r="B43" s="134" t="s">
        <v>481</v>
      </c>
      <c r="C43" s="134"/>
      <c r="D43" s="134"/>
      <c r="E43" s="134"/>
      <c r="F43" s="134"/>
      <c r="G43" s="134"/>
      <c r="H43" s="135" t="s">
        <v>453</v>
      </c>
      <c r="I43" s="134" t="s">
        <v>469</v>
      </c>
      <c r="J43" s="134" t="s">
        <v>471</v>
      </c>
      <c r="K43" s="136">
        <v>100</v>
      </c>
      <c r="L43" s="137">
        <v>79.95</v>
      </c>
      <c r="M43" s="138">
        <f t="shared" si="38"/>
        <v>0</v>
      </c>
      <c r="N43" s="138">
        <f t="shared" si="49"/>
        <v>79.95</v>
      </c>
      <c r="O43" s="138"/>
      <c r="P43" s="138">
        <f t="shared" si="2"/>
        <v>7995</v>
      </c>
      <c r="Q43" s="139">
        <f t="shared" si="3"/>
        <v>9.3299999999999994E-2</v>
      </c>
      <c r="R43" s="139">
        <f t="shared" si="40"/>
        <v>0</v>
      </c>
      <c r="S43" s="139">
        <f t="shared" si="35"/>
        <v>0.05</v>
      </c>
      <c r="T43" s="139">
        <f t="shared" si="36"/>
        <v>8</v>
      </c>
      <c r="U43" s="139">
        <f t="shared" si="50"/>
        <v>1</v>
      </c>
      <c r="V43" s="139">
        <f t="shared" si="48"/>
        <v>0.28000000000000003</v>
      </c>
      <c r="W43" s="139">
        <f t="shared" si="39"/>
        <v>0</v>
      </c>
      <c r="X43" s="140">
        <f t="shared" si="9"/>
        <v>9.33</v>
      </c>
      <c r="Y43" s="141">
        <f t="shared" si="51"/>
        <v>-8004.33</v>
      </c>
      <c r="Z43" s="142">
        <v>-8004.33</v>
      </c>
      <c r="AA43" s="143">
        <f t="shared" si="47"/>
        <v>0</v>
      </c>
      <c r="AB43" s="133">
        <v>44259</v>
      </c>
      <c r="AC43" s="144">
        <f t="shared" si="12"/>
        <v>1.1670000000000001E-3</v>
      </c>
      <c r="AD43" s="145">
        <f t="shared" si="13"/>
        <v>44259</v>
      </c>
      <c r="AE43" s="146" t="s">
        <v>403</v>
      </c>
      <c r="AF43" s="119"/>
    </row>
    <row r="44" spans="1:32" ht="12" customHeight="1">
      <c r="A44" s="133">
        <v>44258</v>
      </c>
      <c r="B44" s="134" t="s">
        <v>482</v>
      </c>
      <c r="C44" s="134"/>
      <c r="D44" s="134"/>
      <c r="E44" s="134"/>
      <c r="F44" s="134"/>
      <c r="G44" s="134"/>
      <c r="H44" s="135" t="s">
        <v>453</v>
      </c>
      <c r="I44" s="134" t="s">
        <v>469</v>
      </c>
      <c r="J44" s="134" t="s">
        <v>471</v>
      </c>
      <c r="K44" s="136">
        <v>100</v>
      </c>
      <c r="L44" s="137">
        <v>63.55</v>
      </c>
      <c r="M44" s="138">
        <f t="shared" si="38"/>
        <v>0</v>
      </c>
      <c r="N44" s="138">
        <f t="shared" si="49"/>
        <v>63.55</v>
      </c>
      <c r="O44" s="138"/>
      <c r="P44" s="138">
        <f t="shared" si="2"/>
        <v>6355</v>
      </c>
      <c r="Q44" s="139">
        <f t="shared" si="3"/>
        <v>7.2000000000000008E-2</v>
      </c>
      <c r="R44" s="139">
        <f t="shared" si="40"/>
        <v>0</v>
      </c>
      <c r="S44" s="139">
        <f t="shared" si="35"/>
        <v>0.03</v>
      </c>
      <c r="T44" s="139">
        <f t="shared" si="36"/>
        <v>6</v>
      </c>
      <c r="U44" s="139">
        <f t="shared" si="50"/>
        <v>1</v>
      </c>
      <c r="V44" s="139">
        <f t="shared" ref="V44:V45" si="52">ROUND(P44*L$1809,2)</f>
        <v>0.17</v>
      </c>
      <c r="W44" s="139">
        <f t="shared" si="39"/>
        <v>0</v>
      </c>
      <c r="X44" s="140">
        <f t="shared" si="9"/>
        <v>7.2</v>
      </c>
      <c r="Y44" s="141">
        <f t="shared" si="51"/>
        <v>-6362.2</v>
      </c>
      <c r="Z44" s="142">
        <v>-6363.21</v>
      </c>
      <c r="AA44" s="143">
        <f t="shared" si="47"/>
        <v>-1.0100000000002183</v>
      </c>
      <c r="AB44" s="133">
        <v>44260</v>
      </c>
      <c r="AC44" s="144">
        <f t="shared" si="12"/>
        <v>1.1329999999999999E-3</v>
      </c>
      <c r="AD44" s="145">
        <f t="shared" si="13"/>
        <v>44260</v>
      </c>
      <c r="AE44" s="146" t="s">
        <v>403</v>
      </c>
      <c r="AF44" s="119"/>
    </row>
    <row r="45" spans="1:32" ht="12" customHeight="1">
      <c r="A45" s="133">
        <v>44267</v>
      </c>
      <c r="B45" s="134" t="s">
        <v>483</v>
      </c>
      <c r="C45" s="134"/>
      <c r="D45" s="134"/>
      <c r="E45" s="134"/>
      <c r="F45" s="134"/>
      <c r="G45" s="134"/>
      <c r="H45" s="135" t="s">
        <v>453</v>
      </c>
      <c r="I45" s="134" t="s">
        <v>469</v>
      </c>
      <c r="J45" s="134" t="s">
        <v>471</v>
      </c>
      <c r="K45" s="136">
        <v>100</v>
      </c>
      <c r="L45" s="137">
        <v>244.333</v>
      </c>
      <c r="M45" s="138">
        <f t="shared" si="38"/>
        <v>0</v>
      </c>
      <c r="N45" s="138">
        <f t="shared" si="49"/>
        <v>244.333</v>
      </c>
      <c r="O45" s="138"/>
      <c r="P45" s="138">
        <f t="shared" si="2"/>
        <v>24433.3</v>
      </c>
      <c r="Q45" s="139">
        <f t="shared" si="3"/>
        <v>0.28790000000000004</v>
      </c>
      <c r="R45" s="139">
        <f t="shared" si="40"/>
        <v>0</v>
      </c>
      <c r="S45" s="139">
        <f t="shared" si="35"/>
        <v>0.12</v>
      </c>
      <c r="T45" s="139">
        <f t="shared" si="36"/>
        <v>24</v>
      </c>
      <c r="U45" s="139">
        <f t="shared" si="50"/>
        <v>4</v>
      </c>
      <c r="V45" s="139">
        <f t="shared" si="52"/>
        <v>0.67</v>
      </c>
      <c r="W45" s="139">
        <f t="shared" si="39"/>
        <v>0</v>
      </c>
      <c r="X45" s="140">
        <f t="shared" si="9"/>
        <v>28.790000000000003</v>
      </c>
      <c r="Y45" s="141">
        <f t="shared" si="51"/>
        <v>-24462.09</v>
      </c>
      <c r="Z45" s="142">
        <v>-24462.1</v>
      </c>
      <c r="AA45" s="143">
        <f t="shared" si="47"/>
        <v>-9.9999999983992893E-3</v>
      </c>
      <c r="AB45" s="133">
        <v>44271</v>
      </c>
      <c r="AC45" s="144">
        <f t="shared" si="12"/>
        <v>1.178E-3</v>
      </c>
      <c r="AD45" s="145">
        <f t="shared" si="13"/>
        <v>44271</v>
      </c>
      <c r="AE45" s="146" t="s">
        <v>403</v>
      </c>
      <c r="AF45" s="119"/>
    </row>
    <row r="46" spans="1:32" ht="12" customHeight="1">
      <c r="A46" s="120">
        <v>44287</v>
      </c>
      <c r="B46" s="121" t="s">
        <v>481</v>
      </c>
      <c r="C46" s="121"/>
      <c r="D46" s="121"/>
      <c r="E46" s="121"/>
      <c r="F46" s="121"/>
      <c r="G46" s="121"/>
      <c r="H46" s="122" t="s">
        <v>446</v>
      </c>
      <c r="I46" s="121" t="s">
        <v>469</v>
      </c>
      <c r="J46" s="121" t="s">
        <v>471</v>
      </c>
      <c r="K46" s="123">
        <v>100</v>
      </c>
      <c r="L46" s="124">
        <v>82</v>
      </c>
      <c r="M46" s="125">
        <f t="shared" si="38"/>
        <v>0</v>
      </c>
      <c r="N46" s="125">
        <f>L46-M46</f>
        <v>82</v>
      </c>
      <c r="O46" s="125"/>
      <c r="P46" s="125">
        <f t="shared" si="2"/>
        <v>8200</v>
      </c>
      <c r="Q46" s="126">
        <f t="shared" si="3"/>
        <v>8.3299999999999999E-2</v>
      </c>
      <c r="R46" s="126">
        <f t="shared" si="40"/>
        <v>0</v>
      </c>
      <c r="S46" s="126">
        <f t="shared" si="35"/>
        <v>0.05</v>
      </c>
      <c r="T46" s="126">
        <f t="shared" si="36"/>
        <v>8</v>
      </c>
      <c r="U46" s="126">
        <v>0</v>
      </c>
      <c r="V46" s="126">
        <f t="shared" ref="V46:V53" si="53">ROUND(P46*M$1809,2)</f>
        <v>0.28000000000000003</v>
      </c>
      <c r="W46" s="126">
        <f t="shared" si="39"/>
        <v>0</v>
      </c>
      <c r="X46" s="126">
        <f t="shared" si="9"/>
        <v>8.33</v>
      </c>
      <c r="Y46" s="127">
        <f>ROUND(P46-SUM(R46:W46),2)</f>
        <v>8191.67</v>
      </c>
      <c r="Z46" s="128">
        <v>8192</v>
      </c>
      <c r="AA46" s="129">
        <f t="shared" si="47"/>
        <v>0.32999999999992724</v>
      </c>
      <c r="AB46" s="120">
        <v>44287</v>
      </c>
      <c r="AC46" s="130">
        <f t="shared" si="12"/>
        <v>1.016E-3</v>
      </c>
      <c r="AD46" s="131">
        <f t="shared" si="13"/>
        <v>44287</v>
      </c>
      <c r="AE46" s="132" t="s">
        <v>403</v>
      </c>
      <c r="AF46" s="119"/>
    </row>
    <row r="47" spans="1:32" ht="12" customHeight="1">
      <c r="A47" s="133">
        <v>44298</v>
      </c>
      <c r="B47" s="134" t="s">
        <v>479</v>
      </c>
      <c r="C47" s="134"/>
      <c r="D47" s="134"/>
      <c r="E47" s="134"/>
      <c r="F47" s="134"/>
      <c r="G47" s="134"/>
      <c r="H47" s="135" t="s">
        <v>453</v>
      </c>
      <c r="I47" s="134" t="s">
        <v>469</v>
      </c>
      <c r="J47" s="134" t="s">
        <v>471</v>
      </c>
      <c r="K47" s="136">
        <v>20</v>
      </c>
      <c r="L47" s="137">
        <v>332</v>
      </c>
      <c r="M47" s="138">
        <f t="shared" si="38"/>
        <v>0</v>
      </c>
      <c r="N47" s="138">
        <f t="shared" ref="N47:N51" si="54">L47+M47</f>
        <v>332</v>
      </c>
      <c r="O47" s="138"/>
      <c r="P47" s="138">
        <f t="shared" si="2"/>
        <v>6640</v>
      </c>
      <c r="Q47" s="139">
        <f t="shared" si="3"/>
        <v>0.41349999999999998</v>
      </c>
      <c r="R47" s="139">
        <f t="shared" si="40"/>
        <v>0</v>
      </c>
      <c r="S47" s="139">
        <f t="shared" si="35"/>
        <v>0.04</v>
      </c>
      <c r="T47" s="139">
        <f t="shared" si="36"/>
        <v>7</v>
      </c>
      <c r="U47" s="139">
        <f t="shared" ref="U47:U51" si="55">ROUND(P47*K$1812,0)</f>
        <v>1</v>
      </c>
      <c r="V47" s="139">
        <f t="shared" si="53"/>
        <v>0.23</v>
      </c>
      <c r="W47" s="139">
        <f t="shared" si="39"/>
        <v>0</v>
      </c>
      <c r="X47" s="140">
        <f t="shared" si="9"/>
        <v>8.27</v>
      </c>
      <c r="Y47" s="141">
        <f t="shared" ref="Y47:Y51" si="56">-ROUND(P47+SUM(R47:W47),2)</f>
        <v>-6648.27</v>
      </c>
      <c r="Z47" s="142">
        <v>-6648</v>
      </c>
      <c r="AA47" s="143">
        <f t="shared" si="47"/>
        <v>0.27000000000043656</v>
      </c>
      <c r="AB47" s="133">
        <v>44302</v>
      </c>
      <c r="AC47" s="144">
        <f t="shared" si="12"/>
        <v>1.245E-3</v>
      </c>
      <c r="AD47" s="145">
        <f t="shared" si="13"/>
        <v>44302</v>
      </c>
      <c r="AE47" s="146" t="s">
        <v>403</v>
      </c>
      <c r="AF47" s="119"/>
    </row>
    <row r="48" spans="1:32" ht="12" customHeight="1">
      <c r="A48" s="133">
        <v>44299</v>
      </c>
      <c r="B48" s="134" t="s">
        <v>484</v>
      </c>
      <c r="C48" s="134"/>
      <c r="D48" s="134"/>
      <c r="E48" s="134"/>
      <c r="F48" s="134"/>
      <c r="G48" s="134"/>
      <c r="H48" s="135" t="s">
        <v>453</v>
      </c>
      <c r="I48" s="134" t="s">
        <v>469</v>
      </c>
      <c r="J48" s="134" t="s">
        <v>471</v>
      </c>
      <c r="K48" s="136">
        <v>2</v>
      </c>
      <c r="L48" s="137">
        <v>4560</v>
      </c>
      <c r="M48" s="138">
        <f t="shared" si="38"/>
        <v>0</v>
      </c>
      <c r="N48" s="138">
        <f t="shared" si="54"/>
        <v>4560</v>
      </c>
      <c r="O48" s="138"/>
      <c r="P48" s="138">
        <f t="shared" si="2"/>
        <v>9120</v>
      </c>
      <c r="Q48" s="139">
        <f t="shared" si="3"/>
        <v>5.1850000000000005</v>
      </c>
      <c r="R48" s="139">
        <f t="shared" si="40"/>
        <v>0</v>
      </c>
      <c r="S48" s="139">
        <f t="shared" si="35"/>
        <v>0.06</v>
      </c>
      <c r="T48" s="139">
        <f t="shared" si="36"/>
        <v>9</v>
      </c>
      <c r="U48" s="139">
        <f t="shared" si="55"/>
        <v>1</v>
      </c>
      <c r="V48" s="139">
        <f t="shared" si="53"/>
        <v>0.31</v>
      </c>
      <c r="W48" s="139">
        <f t="shared" si="39"/>
        <v>0</v>
      </c>
      <c r="X48" s="140">
        <f t="shared" si="9"/>
        <v>10.370000000000001</v>
      </c>
      <c r="Y48" s="141">
        <f t="shared" si="56"/>
        <v>-9130.3700000000008</v>
      </c>
      <c r="Z48" s="142">
        <v>-9130</v>
      </c>
      <c r="AA48" s="143">
        <f t="shared" si="47"/>
        <v>0.37000000000080036</v>
      </c>
      <c r="AB48" s="133">
        <v>44302</v>
      </c>
      <c r="AC48" s="144">
        <f t="shared" si="12"/>
        <v>1.137E-3</v>
      </c>
      <c r="AD48" s="145">
        <f t="shared" si="13"/>
        <v>44302</v>
      </c>
      <c r="AE48" s="146" t="s">
        <v>403</v>
      </c>
      <c r="AF48" s="119"/>
    </row>
    <row r="49" spans="1:32" ht="12" customHeight="1">
      <c r="A49" s="133">
        <v>44299</v>
      </c>
      <c r="B49" s="134" t="s">
        <v>485</v>
      </c>
      <c r="C49" s="134"/>
      <c r="D49" s="134"/>
      <c r="E49" s="134"/>
      <c r="F49" s="134"/>
      <c r="G49" s="134"/>
      <c r="H49" s="135" t="s">
        <v>453</v>
      </c>
      <c r="I49" s="134" t="s">
        <v>469</v>
      </c>
      <c r="J49" s="134" t="s">
        <v>471</v>
      </c>
      <c r="K49" s="136">
        <v>25</v>
      </c>
      <c r="L49" s="137">
        <v>259</v>
      </c>
      <c r="M49" s="138">
        <f t="shared" si="38"/>
        <v>0</v>
      </c>
      <c r="N49" s="138">
        <f t="shared" si="54"/>
        <v>259</v>
      </c>
      <c r="O49" s="138"/>
      <c r="P49" s="138">
        <f t="shared" si="2"/>
        <v>6475</v>
      </c>
      <c r="Q49" s="139">
        <f t="shared" si="3"/>
        <v>0.29039999999999999</v>
      </c>
      <c r="R49" s="139">
        <f t="shared" si="40"/>
        <v>0</v>
      </c>
      <c r="S49" s="139">
        <f t="shared" si="35"/>
        <v>0.04</v>
      </c>
      <c r="T49" s="139">
        <f t="shared" si="36"/>
        <v>6</v>
      </c>
      <c r="U49" s="139">
        <f t="shared" si="55"/>
        <v>1</v>
      </c>
      <c r="V49" s="139">
        <f t="shared" si="53"/>
        <v>0.22</v>
      </c>
      <c r="W49" s="139">
        <f t="shared" si="39"/>
        <v>0</v>
      </c>
      <c r="X49" s="140">
        <f t="shared" si="9"/>
        <v>7.26</v>
      </c>
      <c r="Y49" s="141">
        <f t="shared" si="56"/>
        <v>-6482.26</v>
      </c>
      <c r="Z49" s="142">
        <v>-6482</v>
      </c>
      <c r="AA49" s="143">
        <f t="shared" si="47"/>
        <v>0.26000000000021828</v>
      </c>
      <c r="AB49" s="133">
        <v>44302</v>
      </c>
      <c r="AC49" s="144">
        <f t="shared" si="12"/>
        <v>1.121E-3</v>
      </c>
      <c r="AD49" s="145">
        <f t="shared" si="13"/>
        <v>44302</v>
      </c>
      <c r="AE49" s="146" t="s">
        <v>403</v>
      </c>
      <c r="AF49" s="119"/>
    </row>
    <row r="50" spans="1:32" ht="12" customHeight="1">
      <c r="A50" s="133">
        <v>44299</v>
      </c>
      <c r="B50" s="134" t="s">
        <v>486</v>
      </c>
      <c r="C50" s="134"/>
      <c r="D50" s="134"/>
      <c r="E50" s="134"/>
      <c r="F50" s="134"/>
      <c r="G50" s="134"/>
      <c r="H50" s="135" t="s">
        <v>453</v>
      </c>
      <c r="I50" s="134" t="s">
        <v>469</v>
      </c>
      <c r="J50" s="134" t="s">
        <v>471</v>
      </c>
      <c r="K50" s="136">
        <v>25</v>
      </c>
      <c r="L50" s="137">
        <v>511.6</v>
      </c>
      <c r="M50" s="138">
        <f t="shared" si="38"/>
        <v>0</v>
      </c>
      <c r="N50" s="138">
        <f t="shared" si="54"/>
        <v>511.6</v>
      </c>
      <c r="O50" s="138"/>
      <c r="P50" s="138">
        <f t="shared" si="2"/>
        <v>12790</v>
      </c>
      <c r="Q50" s="139">
        <f t="shared" si="3"/>
        <v>0.62080000000000002</v>
      </c>
      <c r="R50" s="139">
        <f t="shared" si="40"/>
        <v>0</v>
      </c>
      <c r="S50" s="139">
        <f t="shared" si="35"/>
        <v>0.08</v>
      </c>
      <c r="T50" s="139">
        <f t="shared" si="36"/>
        <v>13</v>
      </c>
      <c r="U50" s="139">
        <f t="shared" si="55"/>
        <v>2</v>
      </c>
      <c r="V50" s="139">
        <f t="shared" si="53"/>
        <v>0.44</v>
      </c>
      <c r="W50" s="139">
        <f t="shared" si="39"/>
        <v>0</v>
      </c>
      <c r="X50" s="140">
        <f t="shared" si="9"/>
        <v>15.52</v>
      </c>
      <c r="Y50" s="141">
        <f t="shared" si="56"/>
        <v>-12805.52</v>
      </c>
      <c r="Z50" s="142">
        <v>-12806</v>
      </c>
      <c r="AA50" s="143">
        <f t="shared" si="47"/>
        <v>-0.47999999999956344</v>
      </c>
      <c r="AB50" s="133">
        <v>44302</v>
      </c>
      <c r="AC50" s="144">
        <f t="shared" si="12"/>
        <v>1.2130000000000001E-3</v>
      </c>
      <c r="AD50" s="145">
        <f t="shared" si="13"/>
        <v>44302</v>
      </c>
      <c r="AE50" s="146" t="s">
        <v>403</v>
      </c>
      <c r="AF50" s="119"/>
    </row>
    <row r="51" spans="1:32" ht="12" customHeight="1">
      <c r="A51" s="133">
        <v>44299</v>
      </c>
      <c r="B51" s="134" t="s">
        <v>487</v>
      </c>
      <c r="C51" s="134"/>
      <c r="D51" s="134"/>
      <c r="E51" s="134"/>
      <c r="F51" s="134"/>
      <c r="G51" s="134"/>
      <c r="H51" s="135" t="s">
        <v>453</v>
      </c>
      <c r="I51" s="134" t="s">
        <v>469</v>
      </c>
      <c r="J51" s="134" t="s">
        <v>471</v>
      </c>
      <c r="K51" s="136">
        <v>25</v>
      </c>
      <c r="L51" s="137">
        <v>543.81200000000001</v>
      </c>
      <c r="M51" s="138">
        <f t="shared" si="38"/>
        <v>0</v>
      </c>
      <c r="N51" s="138">
        <f t="shared" si="54"/>
        <v>543.81200000000001</v>
      </c>
      <c r="O51" s="138"/>
      <c r="P51" s="138">
        <f t="shared" si="2"/>
        <v>13595.3</v>
      </c>
      <c r="Q51" s="139">
        <f t="shared" si="3"/>
        <v>0.66199999999999992</v>
      </c>
      <c r="R51" s="139">
        <f t="shared" si="40"/>
        <v>0</v>
      </c>
      <c r="S51" s="139">
        <f t="shared" si="35"/>
        <v>0.08</v>
      </c>
      <c r="T51" s="139">
        <f t="shared" si="36"/>
        <v>14</v>
      </c>
      <c r="U51" s="139">
        <f t="shared" si="55"/>
        <v>2</v>
      </c>
      <c r="V51" s="139">
        <f t="shared" si="53"/>
        <v>0.47</v>
      </c>
      <c r="W51" s="139">
        <f t="shared" si="39"/>
        <v>0</v>
      </c>
      <c r="X51" s="140">
        <f t="shared" si="9"/>
        <v>16.549999999999997</v>
      </c>
      <c r="Y51" s="141">
        <f t="shared" si="56"/>
        <v>-13611.85</v>
      </c>
      <c r="Z51" s="142">
        <v>-13612</v>
      </c>
      <c r="AA51" s="143">
        <f t="shared" si="47"/>
        <v>-0.1499999999996362</v>
      </c>
      <c r="AB51" s="133">
        <v>44302</v>
      </c>
      <c r="AC51" s="144">
        <f t="shared" si="12"/>
        <v>1.217E-3</v>
      </c>
      <c r="AD51" s="145">
        <f t="shared" si="13"/>
        <v>44302</v>
      </c>
      <c r="AE51" s="146" t="s">
        <v>403</v>
      </c>
      <c r="AF51" s="119"/>
    </row>
    <row r="52" spans="1:32" ht="12" customHeight="1">
      <c r="A52" s="120">
        <v>44301</v>
      </c>
      <c r="B52" s="121" t="s">
        <v>479</v>
      </c>
      <c r="C52" s="121"/>
      <c r="D52" s="121"/>
      <c r="E52" s="121"/>
      <c r="F52" s="121"/>
      <c r="G52" s="121"/>
      <c r="H52" s="122" t="s">
        <v>446</v>
      </c>
      <c r="I52" s="121" t="s">
        <v>469</v>
      </c>
      <c r="J52" s="121" t="s">
        <v>471</v>
      </c>
      <c r="K52" s="123">
        <v>20</v>
      </c>
      <c r="L52" s="124">
        <v>342</v>
      </c>
      <c r="M52" s="125">
        <f t="shared" si="38"/>
        <v>0</v>
      </c>
      <c r="N52" s="125">
        <f>L52-M52</f>
        <v>342</v>
      </c>
      <c r="O52" s="125"/>
      <c r="P52" s="125">
        <f t="shared" si="2"/>
        <v>6840</v>
      </c>
      <c r="Q52" s="126">
        <f t="shared" si="3"/>
        <v>0.36399999999999999</v>
      </c>
      <c r="R52" s="126">
        <f t="shared" si="40"/>
        <v>0</v>
      </c>
      <c r="S52" s="126">
        <f t="shared" si="35"/>
        <v>0.04</v>
      </c>
      <c r="T52" s="126">
        <f t="shared" si="36"/>
        <v>7</v>
      </c>
      <c r="U52" s="126">
        <v>0</v>
      </c>
      <c r="V52" s="126">
        <f t="shared" si="53"/>
        <v>0.24</v>
      </c>
      <c r="W52" s="126">
        <f t="shared" si="39"/>
        <v>0</v>
      </c>
      <c r="X52" s="126">
        <f t="shared" si="9"/>
        <v>7.28</v>
      </c>
      <c r="Y52" s="127">
        <f>ROUND(P52-SUM(R52:W52),2)</f>
        <v>6832.72</v>
      </c>
      <c r="Z52" s="128">
        <v>6833</v>
      </c>
      <c r="AA52" s="129">
        <f t="shared" si="47"/>
        <v>0.27999999999974534</v>
      </c>
      <c r="AB52" s="120">
        <v>44301</v>
      </c>
      <c r="AC52" s="130">
        <f t="shared" si="12"/>
        <v>1.0640000000000001E-3</v>
      </c>
      <c r="AD52" s="131">
        <f t="shared" si="13"/>
        <v>44301</v>
      </c>
      <c r="AE52" s="132" t="s">
        <v>403</v>
      </c>
      <c r="AF52" s="119"/>
    </row>
    <row r="53" spans="1:32" ht="12" customHeight="1">
      <c r="A53" s="148">
        <v>44302</v>
      </c>
      <c r="B53" s="149" t="s">
        <v>482</v>
      </c>
      <c r="C53" s="149"/>
      <c r="D53" s="149"/>
      <c r="E53" s="149"/>
      <c r="F53" s="149"/>
      <c r="G53" s="149"/>
      <c r="H53" s="135" t="s">
        <v>453</v>
      </c>
      <c r="I53" s="134" t="s">
        <v>469</v>
      </c>
      <c r="J53" s="135" t="s">
        <v>471</v>
      </c>
      <c r="K53" s="136">
        <v>50</v>
      </c>
      <c r="L53" s="137">
        <v>59</v>
      </c>
      <c r="M53" s="138">
        <f t="shared" si="38"/>
        <v>0</v>
      </c>
      <c r="N53" s="138">
        <f t="shared" ref="N53:N54" si="57">L53+M53</f>
        <v>59</v>
      </c>
      <c r="O53" s="138"/>
      <c r="P53" s="138">
        <f t="shared" si="2"/>
        <v>2950</v>
      </c>
      <c r="Q53" s="139">
        <f t="shared" si="3"/>
        <v>6.2400000000000004E-2</v>
      </c>
      <c r="R53" s="139">
        <f t="shared" si="40"/>
        <v>0</v>
      </c>
      <c r="S53" s="139">
        <f t="shared" si="35"/>
        <v>0.02</v>
      </c>
      <c r="T53" s="139">
        <f t="shared" si="36"/>
        <v>3</v>
      </c>
      <c r="U53" s="139">
        <f t="shared" ref="U53:U54" si="58">ROUND(P53*K$1812,0)</f>
        <v>0</v>
      </c>
      <c r="V53" s="139">
        <f t="shared" si="53"/>
        <v>0.1</v>
      </c>
      <c r="W53" s="139">
        <f t="shared" si="39"/>
        <v>0</v>
      </c>
      <c r="X53" s="140">
        <f t="shared" si="9"/>
        <v>3.12</v>
      </c>
      <c r="Y53" s="141">
        <f t="shared" ref="Y53:Y54" si="59">-ROUND(P53+SUM(R53:W53),2)</f>
        <v>-2953.12</v>
      </c>
      <c r="Z53" s="142">
        <v>-2953</v>
      </c>
      <c r="AA53" s="143">
        <f t="shared" si="47"/>
        <v>0.11999999999989086</v>
      </c>
      <c r="AB53" s="133">
        <v>44306</v>
      </c>
      <c r="AC53" s="144">
        <f t="shared" si="12"/>
        <v>1.0579999999999999E-3</v>
      </c>
      <c r="AD53" s="145">
        <f t="shared" si="13"/>
        <v>44306</v>
      </c>
      <c r="AE53" s="146" t="s">
        <v>403</v>
      </c>
      <c r="AF53" s="119"/>
    </row>
    <row r="54" spans="1:32" ht="12" customHeight="1">
      <c r="A54" s="148">
        <v>44302</v>
      </c>
      <c r="B54" s="149" t="s">
        <v>488</v>
      </c>
      <c r="C54" s="149"/>
      <c r="D54" s="149"/>
      <c r="E54" s="149"/>
      <c r="F54" s="149"/>
      <c r="G54" s="149"/>
      <c r="H54" s="135" t="s">
        <v>453</v>
      </c>
      <c r="I54" s="134" t="s">
        <v>469</v>
      </c>
      <c r="J54" s="135" t="s">
        <v>471</v>
      </c>
      <c r="K54" s="136">
        <v>5</v>
      </c>
      <c r="L54" s="137">
        <v>939.5</v>
      </c>
      <c r="M54" s="138">
        <f t="shared" si="38"/>
        <v>0</v>
      </c>
      <c r="N54" s="138">
        <f t="shared" si="57"/>
        <v>939.5</v>
      </c>
      <c r="O54" s="138"/>
      <c r="P54" s="138">
        <f t="shared" si="2"/>
        <v>4697.5</v>
      </c>
      <c r="Q54" s="139">
        <f t="shared" si="3"/>
        <v>1.23</v>
      </c>
      <c r="R54" s="139">
        <f t="shared" si="40"/>
        <v>0</v>
      </c>
      <c r="S54" s="139">
        <f t="shared" si="35"/>
        <v>0.02</v>
      </c>
      <c r="T54" s="139">
        <f t="shared" si="36"/>
        <v>5</v>
      </c>
      <c r="U54" s="139">
        <f t="shared" si="58"/>
        <v>1</v>
      </c>
      <c r="V54" s="139">
        <f>ROUND(P54*L$1809,2)</f>
        <v>0.13</v>
      </c>
      <c r="W54" s="139">
        <f t="shared" si="39"/>
        <v>0</v>
      </c>
      <c r="X54" s="140">
        <f t="shared" si="9"/>
        <v>6.1499999999999995</v>
      </c>
      <c r="Y54" s="141">
        <f t="shared" si="59"/>
        <v>-4703.6499999999996</v>
      </c>
      <c r="Z54" s="142">
        <v>-4703</v>
      </c>
      <c r="AA54" s="143">
        <f t="shared" si="47"/>
        <v>0.6499999999996362</v>
      </c>
      <c r="AB54" s="133">
        <v>44306</v>
      </c>
      <c r="AC54" s="144">
        <f t="shared" si="12"/>
        <v>1.3090000000000001E-3</v>
      </c>
      <c r="AD54" s="145">
        <f t="shared" si="13"/>
        <v>44306</v>
      </c>
      <c r="AE54" s="146" t="s">
        <v>403</v>
      </c>
      <c r="AF54" s="119"/>
    </row>
    <row r="55" spans="1:32" ht="12" customHeight="1">
      <c r="A55" s="150">
        <v>44308</v>
      </c>
      <c r="B55" s="151" t="s">
        <v>486</v>
      </c>
      <c r="C55" s="151"/>
      <c r="D55" s="151"/>
      <c r="E55" s="151"/>
      <c r="F55" s="151"/>
      <c r="G55" s="151"/>
      <c r="H55" s="122" t="s">
        <v>446</v>
      </c>
      <c r="I55" s="121" t="s">
        <v>469</v>
      </c>
      <c r="J55" s="122" t="s">
        <v>471</v>
      </c>
      <c r="K55" s="123">
        <v>25</v>
      </c>
      <c r="L55" s="124">
        <v>551.75</v>
      </c>
      <c r="M55" s="125">
        <f t="shared" si="38"/>
        <v>0</v>
      </c>
      <c r="N55" s="125">
        <f t="shared" ref="N55:N59" si="60">L55-M55</f>
        <v>551.75</v>
      </c>
      <c r="O55" s="125"/>
      <c r="P55" s="125">
        <f t="shared" si="2"/>
        <v>13793.75</v>
      </c>
      <c r="Q55" s="126">
        <f t="shared" si="3"/>
        <v>0.57440000000000002</v>
      </c>
      <c r="R55" s="126">
        <f t="shared" si="40"/>
        <v>0</v>
      </c>
      <c r="S55" s="126">
        <f t="shared" si="35"/>
        <v>0.09</v>
      </c>
      <c r="T55" s="126">
        <f t="shared" ref="T55:T361" si="61">ROUND(P55*K$1806,2)</f>
        <v>13.79</v>
      </c>
      <c r="U55" s="126">
        <v>0</v>
      </c>
      <c r="V55" s="126">
        <f t="shared" ref="V55:V68" si="62">ROUND(P55*M$1809,2)</f>
        <v>0.48</v>
      </c>
      <c r="W55" s="126">
        <f t="shared" si="39"/>
        <v>0</v>
      </c>
      <c r="X55" s="126">
        <f t="shared" si="9"/>
        <v>14.36</v>
      </c>
      <c r="Y55" s="127">
        <f t="shared" ref="Y55:Y59" si="63">ROUND(P55-SUM(R55:W55),2)</f>
        <v>13779.39</v>
      </c>
      <c r="Z55" s="128">
        <v>13779</v>
      </c>
      <c r="AA55" s="129">
        <f t="shared" si="47"/>
        <v>-0.38999999999941792</v>
      </c>
      <c r="AB55" s="120">
        <v>44308</v>
      </c>
      <c r="AC55" s="130">
        <f t="shared" si="12"/>
        <v>1.041E-3</v>
      </c>
      <c r="AD55" s="131">
        <f t="shared" si="13"/>
        <v>44308</v>
      </c>
      <c r="AE55" s="132" t="s">
        <v>403</v>
      </c>
      <c r="AF55" s="119"/>
    </row>
    <row r="56" spans="1:32" ht="12" customHeight="1">
      <c r="A56" s="150">
        <v>44308</v>
      </c>
      <c r="B56" s="151" t="s">
        <v>487</v>
      </c>
      <c r="C56" s="151"/>
      <c r="D56" s="151"/>
      <c r="E56" s="151"/>
      <c r="F56" s="151"/>
      <c r="G56" s="151"/>
      <c r="H56" s="122" t="s">
        <v>446</v>
      </c>
      <c r="I56" s="121" t="s">
        <v>469</v>
      </c>
      <c r="J56" s="122" t="s">
        <v>471</v>
      </c>
      <c r="K56" s="123">
        <v>25</v>
      </c>
      <c r="L56" s="124">
        <v>563.5</v>
      </c>
      <c r="M56" s="125">
        <f t="shared" si="38"/>
        <v>0</v>
      </c>
      <c r="N56" s="125">
        <f t="shared" si="60"/>
        <v>563.5</v>
      </c>
      <c r="O56" s="125"/>
      <c r="P56" s="125">
        <f t="shared" si="2"/>
        <v>14087.5</v>
      </c>
      <c r="Q56" s="126">
        <f t="shared" si="3"/>
        <v>0.58679999999999999</v>
      </c>
      <c r="R56" s="126">
        <f t="shared" si="40"/>
        <v>0</v>
      </c>
      <c r="S56" s="126">
        <f t="shared" si="35"/>
        <v>0.09</v>
      </c>
      <c r="T56" s="126">
        <f t="shared" si="61"/>
        <v>14.09</v>
      </c>
      <c r="U56" s="126">
        <v>0</v>
      </c>
      <c r="V56" s="126">
        <f t="shared" si="62"/>
        <v>0.49</v>
      </c>
      <c r="W56" s="126">
        <f t="shared" si="39"/>
        <v>0</v>
      </c>
      <c r="X56" s="126">
        <f t="shared" si="9"/>
        <v>14.67</v>
      </c>
      <c r="Y56" s="127">
        <f t="shared" si="63"/>
        <v>14072.83</v>
      </c>
      <c r="Z56" s="128">
        <v>14073</v>
      </c>
      <c r="AA56" s="129">
        <f t="shared" si="47"/>
        <v>0.17000000000007276</v>
      </c>
      <c r="AB56" s="120">
        <v>44308</v>
      </c>
      <c r="AC56" s="130">
        <f t="shared" si="12"/>
        <v>1.041E-3</v>
      </c>
      <c r="AD56" s="131">
        <f t="shared" si="13"/>
        <v>44308</v>
      </c>
      <c r="AE56" s="132" t="s">
        <v>403</v>
      </c>
      <c r="AF56" s="119"/>
    </row>
    <row r="57" spans="1:32" ht="12" customHeight="1">
      <c r="A57" s="150">
        <v>44309</v>
      </c>
      <c r="B57" s="151" t="s">
        <v>489</v>
      </c>
      <c r="C57" s="151"/>
      <c r="D57" s="151"/>
      <c r="E57" s="151"/>
      <c r="F57" s="151"/>
      <c r="G57" s="151"/>
      <c r="H57" s="122" t="s">
        <v>446</v>
      </c>
      <c r="I57" s="121" t="s">
        <v>469</v>
      </c>
      <c r="J57" s="122" t="s">
        <v>471</v>
      </c>
      <c r="K57" s="123">
        <v>100</v>
      </c>
      <c r="L57" s="124">
        <v>40.200000000000003</v>
      </c>
      <c r="M57" s="125">
        <f t="shared" si="38"/>
        <v>0</v>
      </c>
      <c r="N57" s="125">
        <f t="shared" si="60"/>
        <v>40.200000000000003</v>
      </c>
      <c r="O57" s="125"/>
      <c r="P57" s="125">
        <f t="shared" si="2"/>
        <v>4020</v>
      </c>
      <c r="Q57" s="126">
        <f t="shared" si="3"/>
        <v>4.1899999999999993E-2</v>
      </c>
      <c r="R57" s="126">
        <f t="shared" si="40"/>
        <v>0</v>
      </c>
      <c r="S57" s="126">
        <f t="shared" si="35"/>
        <v>0.03</v>
      </c>
      <c r="T57" s="126">
        <f t="shared" si="61"/>
        <v>4.0199999999999996</v>
      </c>
      <c r="U57" s="126">
        <v>0</v>
      </c>
      <c r="V57" s="126">
        <f t="shared" si="62"/>
        <v>0.14000000000000001</v>
      </c>
      <c r="W57" s="126">
        <f t="shared" si="39"/>
        <v>0</v>
      </c>
      <c r="X57" s="126">
        <f t="shared" si="9"/>
        <v>4.1899999999999995</v>
      </c>
      <c r="Y57" s="127">
        <f t="shared" si="63"/>
        <v>4015.81</v>
      </c>
      <c r="Z57" s="128">
        <v>4015.86</v>
      </c>
      <c r="AA57" s="129">
        <f t="shared" si="47"/>
        <v>5.0000000000181899E-2</v>
      </c>
      <c r="AB57" s="120">
        <v>44309</v>
      </c>
      <c r="AC57" s="130">
        <f t="shared" si="12"/>
        <v>1.042E-3</v>
      </c>
      <c r="AD57" s="131">
        <f t="shared" si="13"/>
        <v>44309</v>
      </c>
      <c r="AE57" s="132" t="s">
        <v>403</v>
      </c>
      <c r="AF57" s="119"/>
    </row>
    <row r="58" spans="1:32" ht="12" customHeight="1">
      <c r="A58" s="150">
        <v>44313</v>
      </c>
      <c r="B58" s="151" t="s">
        <v>484</v>
      </c>
      <c r="C58" s="151"/>
      <c r="D58" s="151"/>
      <c r="E58" s="151"/>
      <c r="F58" s="151"/>
      <c r="G58" s="151"/>
      <c r="H58" s="122" t="s">
        <v>446</v>
      </c>
      <c r="I58" s="121" t="s">
        <v>469</v>
      </c>
      <c r="J58" s="122" t="s">
        <v>471</v>
      </c>
      <c r="K58" s="123">
        <v>2</v>
      </c>
      <c r="L58" s="124">
        <v>4813</v>
      </c>
      <c r="M58" s="125">
        <f t="shared" si="38"/>
        <v>0</v>
      </c>
      <c r="N58" s="125">
        <f t="shared" si="60"/>
        <v>4813</v>
      </c>
      <c r="O58" s="125"/>
      <c r="P58" s="125">
        <f t="shared" si="2"/>
        <v>9626</v>
      </c>
      <c r="Q58" s="126">
        <f t="shared" si="3"/>
        <v>5.0100000000000007</v>
      </c>
      <c r="R58" s="126">
        <f t="shared" si="40"/>
        <v>0</v>
      </c>
      <c r="S58" s="126">
        <f t="shared" si="35"/>
        <v>0.06</v>
      </c>
      <c r="T58" s="126">
        <f t="shared" si="61"/>
        <v>9.6300000000000008</v>
      </c>
      <c r="U58" s="126">
        <v>0</v>
      </c>
      <c r="V58" s="126">
        <f t="shared" si="62"/>
        <v>0.33</v>
      </c>
      <c r="W58" s="126">
        <f t="shared" si="39"/>
        <v>0</v>
      </c>
      <c r="X58" s="126">
        <f t="shared" si="9"/>
        <v>10.020000000000001</v>
      </c>
      <c r="Y58" s="127">
        <f t="shared" si="63"/>
        <v>9615.98</v>
      </c>
      <c r="Z58" s="128">
        <v>9616</v>
      </c>
      <c r="AA58" s="129">
        <f t="shared" si="47"/>
        <v>2.0000000000436557E-2</v>
      </c>
      <c r="AB58" s="120">
        <v>44313</v>
      </c>
      <c r="AC58" s="130">
        <f t="shared" si="12"/>
        <v>1.041E-3</v>
      </c>
      <c r="AD58" s="131">
        <f t="shared" si="13"/>
        <v>44313</v>
      </c>
      <c r="AE58" s="132" t="s">
        <v>403</v>
      </c>
      <c r="AF58" s="119"/>
    </row>
    <row r="59" spans="1:32" ht="12" customHeight="1">
      <c r="A59" s="150">
        <v>44314</v>
      </c>
      <c r="B59" s="151" t="s">
        <v>488</v>
      </c>
      <c r="C59" s="151"/>
      <c r="D59" s="151"/>
      <c r="E59" s="151"/>
      <c r="F59" s="151"/>
      <c r="G59" s="151"/>
      <c r="H59" s="122" t="s">
        <v>446</v>
      </c>
      <c r="I59" s="121" t="s">
        <v>469</v>
      </c>
      <c r="J59" s="122" t="s">
        <v>471</v>
      </c>
      <c r="K59" s="123">
        <v>5</v>
      </c>
      <c r="L59" s="124">
        <v>980</v>
      </c>
      <c r="M59" s="125">
        <f t="shared" si="38"/>
        <v>0</v>
      </c>
      <c r="N59" s="125">
        <f t="shared" si="60"/>
        <v>980</v>
      </c>
      <c r="O59" s="125"/>
      <c r="P59" s="125">
        <f t="shared" si="2"/>
        <v>4900</v>
      </c>
      <c r="Q59" s="126">
        <f t="shared" si="3"/>
        <v>1.02</v>
      </c>
      <c r="R59" s="126">
        <f t="shared" si="40"/>
        <v>0</v>
      </c>
      <c r="S59" s="126">
        <f t="shared" si="35"/>
        <v>0.03</v>
      </c>
      <c r="T59" s="126">
        <f t="shared" si="61"/>
        <v>4.9000000000000004</v>
      </c>
      <c r="U59" s="126">
        <v>0</v>
      </c>
      <c r="V59" s="126">
        <f t="shared" si="62"/>
        <v>0.17</v>
      </c>
      <c r="W59" s="126">
        <f t="shared" si="39"/>
        <v>0</v>
      </c>
      <c r="X59" s="126">
        <f t="shared" si="9"/>
        <v>5.1000000000000005</v>
      </c>
      <c r="Y59" s="127">
        <f t="shared" si="63"/>
        <v>4894.8999999999996</v>
      </c>
      <c r="Z59" s="128">
        <v>4895</v>
      </c>
      <c r="AA59" s="129">
        <f t="shared" si="47"/>
        <v>0.1000000000003638</v>
      </c>
      <c r="AB59" s="120">
        <v>44314</v>
      </c>
      <c r="AC59" s="130">
        <f t="shared" si="12"/>
        <v>1.041E-3</v>
      </c>
      <c r="AD59" s="131">
        <f t="shared" si="13"/>
        <v>44314</v>
      </c>
      <c r="AE59" s="132" t="s">
        <v>403</v>
      </c>
      <c r="AF59" s="119"/>
    </row>
    <row r="60" spans="1:32" ht="12" customHeight="1">
      <c r="A60" s="148">
        <v>44314</v>
      </c>
      <c r="B60" s="149" t="s">
        <v>490</v>
      </c>
      <c r="C60" s="149"/>
      <c r="D60" s="149"/>
      <c r="E60" s="149"/>
      <c r="F60" s="149"/>
      <c r="G60" s="149"/>
      <c r="H60" s="135" t="s">
        <v>453</v>
      </c>
      <c r="I60" s="134" t="s">
        <v>469</v>
      </c>
      <c r="J60" s="135" t="s">
        <v>471</v>
      </c>
      <c r="K60" s="136">
        <v>5</v>
      </c>
      <c r="L60" s="137">
        <v>2400</v>
      </c>
      <c r="M60" s="138">
        <f t="shared" si="38"/>
        <v>0</v>
      </c>
      <c r="N60" s="138">
        <f>L60+M60</f>
        <v>2400</v>
      </c>
      <c r="O60" s="138"/>
      <c r="P60" s="138">
        <f t="shared" si="2"/>
        <v>12000</v>
      </c>
      <c r="Q60" s="139">
        <f t="shared" si="3"/>
        <v>2.8560000000000003</v>
      </c>
      <c r="R60" s="139">
        <f t="shared" si="40"/>
        <v>0</v>
      </c>
      <c r="S60" s="139">
        <f t="shared" si="35"/>
        <v>7.0000000000000007E-2</v>
      </c>
      <c r="T60" s="139">
        <f t="shared" si="61"/>
        <v>12</v>
      </c>
      <c r="U60" s="139">
        <f>ROUND(P60*K$1812,2)</f>
        <v>1.8</v>
      </c>
      <c r="V60" s="139">
        <f t="shared" si="62"/>
        <v>0.41</v>
      </c>
      <c r="W60" s="139">
        <f t="shared" si="39"/>
        <v>0</v>
      </c>
      <c r="X60" s="140">
        <f t="shared" si="9"/>
        <v>14.280000000000001</v>
      </c>
      <c r="Y60" s="141">
        <f>-ROUND(P60+SUM(R60:W60),2)</f>
        <v>-12014.28</v>
      </c>
      <c r="Z60" s="142">
        <v>-12014</v>
      </c>
      <c r="AA60" s="143">
        <f t="shared" si="47"/>
        <v>0.28000000000065484</v>
      </c>
      <c r="AB60" s="133">
        <v>44316</v>
      </c>
      <c r="AC60" s="144">
        <f t="shared" si="12"/>
        <v>1.1900000000000001E-3</v>
      </c>
      <c r="AD60" s="145">
        <f t="shared" si="13"/>
        <v>44316</v>
      </c>
      <c r="AE60" s="146" t="s">
        <v>403</v>
      </c>
      <c r="AF60" s="119"/>
    </row>
    <row r="61" spans="1:32" ht="12" customHeight="1">
      <c r="A61" s="150">
        <v>44315</v>
      </c>
      <c r="B61" s="151" t="s">
        <v>482</v>
      </c>
      <c r="C61" s="151"/>
      <c r="D61" s="151"/>
      <c r="E61" s="151"/>
      <c r="F61" s="151"/>
      <c r="G61" s="151"/>
      <c r="H61" s="122" t="s">
        <v>446</v>
      </c>
      <c r="I61" s="121" t="s">
        <v>469</v>
      </c>
      <c r="J61" s="122" t="s">
        <v>471</v>
      </c>
      <c r="K61" s="123">
        <v>150</v>
      </c>
      <c r="L61" s="124">
        <v>63.5</v>
      </c>
      <c r="M61" s="125">
        <f t="shared" si="38"/>
        <v>0</v>
      </c>
      <c r="N61" s="125">
        <f>L61-M61</f>
        <v>63.5</v>
      </c>
      <c r="O61" s="125"/>
      <c r="P61" s="125">
        <f t="shared" si="2"/>
        <v>9525</v>
      </c>
      <c r="Q61" s="126">
        <f t="shared" si="3"/>
        <v>6.6133333333333336E-2</v>
      </c>
      <c r="R61" s="126">
        <f t="shared" si="40"/>
        <v>0</v>
      </c>
      <c r="S61" s="126">
        <f t="shared" si="35"/>
        <v>0.06</v>
      </c>
      <c r="T61" s="126">
        <f t="shared" si="61"/>
        <v>9.5299999999999994</v>
      </c>
      <c r="U61" s="126">
        <v>0</v>
      </c>
      <c r="V61" s="126">
        <f t="shared" si="62"/>
        <v>0.33</v>
      </c>
      <c r="W61" s="126">
        <f t="shared" si="39"/>
        <v>0</v>
      </c>
      <c r="X61" s="126">
        <f t="shared" si="9"/>
        <v>9.92</v>
      </c>
      <c r="Y61" s="127">
        <f>ROUND(P61-SUM(R61:W61),2)</f>
        <v>9515.08</v>
      </c>
      <c r="Z61" s="128">
        <v>9515</v>
      </c>
      <c r="AA61" s="129">
        <f t="shared" si="47"/>
        <v>-7.999999999992724E-2</v>
      </c>
      <c r="AB61" s="120">
        <v>44315</v>
      </c>
      <c r="AC61" s="130">
        <f t="shared" si="12"/>
        <v>1.041E-3</v>
      </c>
      <c r="AD61" s="131">
        <f t="shared" si="13"/>
        <v>44315</v>
      </c>
      <c r="AE61" s="132" t="s">
        <v>403</v>
      </c>
      <c r="AF61" s="119"/>
    </row>
    <row r="62" spans="1:32" ht="12" customHeight="1">
      <c r="A62" s="148">
        <v>44316</v>
      </c>
      <c r="B62" s="149" t="s">
        <v>491</v>
      </c>
      <c r="C62" s="149"/>
      <c r="D62" s="149"/>
      <c r="E62" s="149"/>
      <c r="F62" s="149"/>
      <c r="G62" s="149"/>
      <c r="H62" s="135" t="s">
        <v>453</v>
      </c>
      <c r="I62" s="134" t="s">
        <v>469</v>
      </c>
      <c r="J62" s="135" t="s">
        <v>471</v>
      </c>
      <c r="K62" s="136">
        <v>20</v>
      </c>
      <c r="L62" s="137">
        <v>559</v>
      </c>
      <c r="M62" s="138">
        <f t="shared" si="38"/>
        <v>0</v>
      </c>
      <c r="N62" s="138">
        <f>L62+M62</f>
        <v>559</v>
      </c>
      <c r="O62" s="138"/>
      <c r="P62" s="138">
        <f t="shared" si="2"/>
        <v>11180</v>
      </c>
      <c r="Q62" s="139">
        <f t="shared" si="3"/>
        <v>0.66600000000000004</v>
      </c>
      <c r="R62" s="139">
        <f t="shared" si="40"/>
        <v>0</v>
      </c>
      <c r="S62" s="139">
        <f t="shared" si="35"/>
        <v>7.0000000000000007E-2</v>
      </c>
      <c r="T62" s="139">
        <f t="shared" si="61"/>
        <v>11.18</v>
      </c>
      <c r="U62" s="139">
        <f>ROUND(P62*K$1812,2)</f>
        <v>1.68</v>
      </c>
      <c r="V62" s="139">
        <f t="shared" si="62"/>
        <v>0.39</v>
      </c>
      <c r="W62" s="139">
        <f t="shared" si="39"/>
        <v>0</v>
      </c>
      <c r="X62" s="140">
        <f t="shared" si="9"/>
        <v>13.32</v>
      </c>
      <c r="Y62" s="141">
        <f>-ROUND(P62+SUM(R62:W62),2)</f>
        <v>-11193.32</v>
      </c>
      <c r="Z62" s="142">
        <v>-11193</v>
      </c>
      <c r="AA62" s="143">
        <f t="shared" si="47"/>
        <v>0.31999999999970896</v>
      </c>
      <c r="AB62" s="133">
        <v>44320</v>
      </c>
      <c r="AC62" s="144">
        <f t="shared" si="12"/>
        <v>1.191E-3</v>
      </c>
      <c r="AD62" s="145">
        <f t="shared" si="13"/>
        <v>44320</v>
      </c>
      <c r="AE62" s="146" t="s">
        <v>403</v>
      </c>
      <c r="AF62" s="119"/>
    </row>
    <row r="63" spans="1:32" ht="12" customHeight="1">
      <c r="A63" s="150">
        <v>44320</v>
      </c>
      <c r="B63" s="151" t="s">
        <v>491</v>
      </c>
      <c r="C63" s="151"/>
      <c r="D63" s="151"/>
      <c r="E63" s="151"/>
      <c r="F63" s="151"/>
      <c r="G63" s="151"/>
      <c r="H63" s="122" t="s">
        <v>446</v>
      </c>
      <c r="I63" s="121" t="s">
        <v>469</v>
      </c>
      <c r="J63" s="122" t="s">
        <v>471</v>
      </c>
      <c r="K63" s="123">
        <v>20</v>
      </c>
      <c r="L63" s="124">
        <v>584</v>
      </c>
      <c r="M63" s="125">
        <f t="shared" si="38"/>
        <v>0</v>
      </c>
      <c r="N63" s="125">
        <f>L63-M63</f>
        <v>584</v>
      </c>
      <c r="O63" s="125"/>
      <c r="P63" s="125">
        <f t="shared" si="2"/>
        <v>11680</v>
      </c>
      <c r="Q63" s="126">
        <f t="shared" si="3"/>
        <v>0.60799999999999998</v>
      </c>
      <c r="R63" s="126">
        <f t="shared" ref="R63:R65" si="64">ROUND(M63*K63,2)+0.01</f>
        <v>0.01</v>
      </c>
      <c r="S63" s="126">
        <f t="shared" si="35"/>
        <v>7.0000000000000007E-2</v>
      </c>
      <c r="T63" s="126">
        <f t="shared" si="61"/>
        <v>11.68</v>
      </c>
      <c r="U63" s="126">
        <v>0</v>
      </c>
      <c r="V63" s="126">
        <f t="shared" si="62"/>
        <v>0.4</v>
      </c>
      <c r="W63" s="126">
        <f t="shared" si="39"/>
        <v>0</v>
      </c>
      <c r="X63" s="126">
        <f t="shared" si="9"/>
        <v>12.16</v>
      </c>
      <c r="Y63" s="127">
        <f>ROUND(P63-SUM(R63:W63),2)</f>
        <v>11667.84</v>
      </c>
      <c r="Z63" s="128">
        <v>11668</v>
      </c>
      <c r="AA63" s="129">
        <f t="shared" si="47"/>
        <v>0.15999999999985448</v>
      </c>
      <c r="AB63" s="120">
        <v>44320</v>
      </c>
      <c r="AC63" s="130">
        <f t="shared" si="12"/>
        <v>1.041E-3</v>
      </c>
      <c r="AD63" s="131">
        <f t="shared" si="13"/>
        <v>44320</v>
      </c>
      <c r="AE63" s="132" t="s">
        <v>403</v>
      </c>
      <c r="AF63" s="119"/>
    </row>
    <row r="64" spans="1:32" ht="12" customHeight="1">
      <c r="A64" s="148">
        <v>44320</v>
      </c>
      <c r="B64" s="149" t="s">
        <v>492</v>
      </c>
      <c r="C64" s="149"/>
      <c r="D64" s="149"/>
      <c r="E64" s="149"/>
      <c r="F64" s="149"/>
      <c r="G64" s="149"/>
      <c r="H64" s="135" t="s">
        <v>453</v>
      </c>
      <c r="I64" s="134" t="s">
        <v>469</v>
      </c>
      <c r="J64" s="135" t="s">
        <v>471</v>
      </c>
      <c r="K64" s="136">
        <v>5</v>
      </c>
      <c r="L64" s="137">
        <v>2400</v>
      </c>
      <c r="M64" s="138">
        <f t="shared" si="38"/>
        <v>0</v>
      </c>
      <c r="N64" s="138">
        <f t="shared" ref="N64:N67" si="65">L64+M64</f>
        <v>2400</v>
      </c>
      <c r="O64" s="138"/>
      <c r="P64" s="138">
        <f t="shared" si="2"/>
        <v>12000</v>
      </c>
      <c r="Q64" s="139">
        <f t="shared" si="3"/>
        <v>2.8600000000000003</v>
      </c>
      <c r="R64" s="139">
        <f t="shared" si="64"/>
        <v>0.01</v>
      </c>
      <c r="S64" s="139">
        <f t="shared" si="35"/>
        <v>0.08</v>
      </c>
      <c r="T64" s="139">
        <f t="shared" si="61"/>
        <v>12</v>
      </c>
      <c r="U64" s="139">
        <f t="shared" ref="U64:U67" si="66">ROUND(P64*K$1812,2)</f>
        <v>1.8</v>
      </c>
      <c r="V64" s="139">
        <f t="shared" si="62"/>
        <v>0.41</v>
      </c>
      <c r="W64" s="139">
        <f t="shared" si="39"/>
        <v>0</v>
      </c>
      <c r="X64" s="140">
        <f t="shared" si="9"/>
        <v>14.3</v>
      </c>
      <c r="Y64" s="141">
        <f t="shared" ref="Y64:Y67" si="67">-ROUND(P64+SUM(R64:W64),2)</f>
        <v>-12014.3</v>
      </c>
      <c r="Z64" s="142">
        <v>-12014</v>
      </c>
      <c r="AA64" s="143">
        <f t="shared" si="47"/>
        <v>0.2999999999992724</v>
      </c>
      <c r="AB64" s="133">
        <v>44322</v>
      </c>
      <c r="AC64" s="144">
        <f t="shared" si="12"/>
        <v>1.1919999999999999E-3</v>
      </c>
      <c r="AD64" s="145">
        <f t="shared" si="13"/>
        <v>44322</v>
      </c>
      <c r="AE64" s="146" t="s">
        <v>403</v>
      </c>
      <c r="AF64" s="119"/>
    </row>
    <row r="65" spans="1:32" ht="12" customHeight="1">
      <c r="A65" s="148">
        <v>44320</v>
      </c>
      <c r="B65" s="149" t="s">
        <v>493</v>
      </c>
      <c r="C65" s="149"/>
      <c r="D65" s="149"/>
      <c r="E65" s="149"/>
      <c r="F65" s="149"/>
      <c r="G65" s="149"/>
      <c r="H65" s="135" t="s">
        <v>453</v>
      </c>
      <c r="I65" s="134" t="s">
        <v>469</v>
      </c>
      <c r="J65" s="135" t="s">
        <v>471</v>
      </c>
      <c r="K65" s="136">
        <v>100</v>
      </c>
      <c r="L65" s="137">
        <v>53.6</v>
      </c>
      <c r="M65" s="138">
        <f t="shared" si="38"/>
        <v>0</v>
      </c>
      <c r="N65" s="138">
        <f t="shared" si="65"/>
        <v>53.6</v>
      </c>
      <c r="O65" s="138"/>
      <c r="P65" s="138">
        <f t="shared" si="2"/>
        <v>5360</v>
      </c>
      <c r="Q65" s="139">
        <f t="shared" si="3"/>
        <v>6.3799999999999996E-2</v>
      </c>
      <c r="R65" s="139">
        <f t="shared" si="64"/>
        <v>0.01</v>
      </c>
      <c r="S65" s="139">
        <f t="shared" si="35"/>
        <v>0.03</v>
      </c>
      <c r="T65" s="139">
        <f t="shared" si="61"/>
        <v>5.36</v>
      </c>
      <c r="U65" s="139">
        <f t="shared" si="66"/>
        <v>0.8</v>
      </c>
      <c r="V65" s="139">
        <f t="shared" si="62"/>
        <v>0.18</v>
      </c>
      <c r="W65" s="139">
        <f t="shared" si="39"/>
        <v>0</v>
      </c>
      <c r="X65" s="140">
        <f t="shared" si="9"/>
        <v>6.38</v>
      </c>
      <c r="Y65" s="141">
        <f t="shared" si="67"/>
        <v>-5366.38</v>
      </c>
      <c r="Z65" s="142">
        <v>-5367</v>
      </c>
      <c r="AA65" s="143">
        <f t="shared" si="47"/>
        <v>-0.61999999999989086</v>
      </c>
      <c r="AB65" s="133">
        <v>44322</v>
      </c>
      <c r="AC65" s="144">
        <f t="shared" si="12"/>
        <v>1.1900000000000001E-3</v>
      </c>
      <c r="AD65" s="145">
        <f t="shared" si="13"/>
        <v>44322</v>
      </c>
      <c r="AE65" s="146" t="s">
        <v>403</v>
      </c>
      <c r="AF65" s="119"/>
    </row>
    <row r="66" spans="1:32" ht="12" customHeight="1">
      <c r="A66" s="148">
        <v>44321</v>
      </c>
      <c r="B66" s="149" t="s">
        <v>494</v>
      </c>
      <c r="C66" s="149"/>
      <c r="D66" s="149"/>
      <c r="E66" s="149"/>
      <c r="F66" s="149"/>
      <c r="G66" s="149"/>
      <c r="H66" s="135" t="s">
        <v>453</v>
      </c>
      <c r="I66" s="134" t="s">
        <v>469</v>
      </c>
      <c r="J66" s="135" t="s">
        <v>471</v>
      </c>
      <c r="K66" s="136">
        <v>25</v>
      </c>
      <c r="L66" s="137">
        <v>380</v>
      </c>
      <c r="M66" s="138">
        <f t="shared" si="38"/>
        <v>0</v>
      </c>
      <c r="N66" s="138">
        <f t="shared" si="65"/>
        <v>380</v>
      </c>
      <c r="O66" s="138"/>
      <c r="P66" s="138">
        <f t="shared" si="2"/>
        <v>9500</v>
      </c>
      <c r="Q66" s="139">
        <f t="shared" si="3"/>
        <v>0.45280000000000004</v>
      </c>
      <c r="R66" s="139">
        <f t="shared" ref="R66:R67" si="68">ROUND(M66*K66,2)</f>
        <v>0</v>
      </c>
      <c r="S66" s="139">
        <f t="shared" si="35"/>
        <v>0.06</v>
      </c>
      <c r="T66" s="139">
        <f t="shared" si="61"/>
        <v>9.5</v>
      </c>
      <c r="U66" s="139">
        <f t="shared" si="66"/>
        <v>1.43</v>
      </c>
      <c r="V66" s="139">
        <f t="shared" si="62"/>
        <v>0.33</v>
      </c>
      <c r="W66" s="139">
        <f t="shared" si="39"/>
        <v>0</v>
      </c>
      <c r="X66" s="140">
        <f t="shared" si="9"/>
        <v>11.32</v>
      </c>
      <c r="Y66" s="141">
        <f t="shared" si="67"/>
        <v>-9511.32</v>
      </c>
      <c r="Z66" s="142">
        <v>-9511</v>
      </c>
      <c r="AA66" s="143">
        <f t="shared" si="47"/>
        <v>0.31999999999970896</v>
      </c>
      <c r="AB66" s="133">
        <v>44323</v>
      </c>
      <c r="AC66" s="144">
        <f t="shared" si="12"/>
        <v>1.1919999999999999E-3</v>
      </c>
      <c r="AD66" s="145">
        <f t="shared" si="13"/>
        <v>44323</v>
      </c>
      <c r="AE66" s="146" t="s">
        <v>403</v>
      </c>
      <c r="AF66" s="119"/>
    </row>
    <row r="67" spans="1:32" ht="12" customHeight="1">
      <c r="A67" s="148">
        <v>44321</v>
      </c>
      <c r="B67" s="149" t="s">
        <v>495</v>
      </c>
      <c r="C67" s="149"/>
      <c r="D67" s="149"/>
      <c r="E67" s="149"/>
      <c r="F67" s="149"/>
      <c r="G67" s="149"/>
      <c r="H67" s="135" t="s">
        <v>453</v>
      </c>
      <c r="I67" s="134" t="s">
        <v>469</v>
      </c>
      <c r="J67" s="135" t="s">
        <v>471</v>
      </c>
      <c r="K67" s="136">
        <v>100</v>
      </c>
      <c r="L67" s="137">
        <v>49.5</v>
      </c>
      <c r="M67" s="138">
        <f t="shared" si="38"/>
        <v>0</v>
      </c>
      <c r="N67" s="138">
        <f t="shared" si="65"/>
        <v>49.5</v>
      </c>
      <c r="O67" s="138"/>
      <c r="P67" s="138">
        <f t="shared" si="2"/>
        <v>4950</v>
      </c>
      <c r="Q67" s="139">
        <f t="shared" si="3"/>
        <v>5.8900000000000008E-2</v>
      </c>
      <c r="R67" s="139">
        <f t="shared" si="68"/>
        <v>0</v>
      </c>
      <c r="S67" s="139">
        <f t="shared" si="35"/>
        <v>0.03</v>
      </c>
      <c r="T67" s="139">
        <f t="shared" si="61"/>
        <v>4.95</v>
      </c>
      <c r="U67" s="139">
        <f t="shared" si="66"/>
        <v>0.74</v>
      </c>
      <c r="V67" s="139">
        <f t="shared" si="62"/>
        <v>0.17</v>
      </c>
      <c r="W67" s="139">
        <f t="shared" si="39"/>
        <v>0</v>
      </c>
      <c r="X67" s="140">
        <f t="shared" si="9"/>
        <v>5.8900000000000006</v>
      </c>
      <c r="Y67" s="141">
        <f t="shared" si="67"/>
        <v>-4955.8900000000003</v>
      </c>
      <c r="Z67" s="142">
        <v>-4956</v>
      </c>
      <c r="AA67" s="143">
        <f t="shared" si="47"/>
        <v>-0.10999999999967258</v>
      </c>
      <c r="AB67" s="133">
        <v>44323</v>
      </c>
      <c r="AC67" s="144">
        <f t="shared" si="12"/>
        <v>1.1900000000000001E-3</v>
      </c>
      <c r="AD67" s="145">
        <f t="shared" si="13"/>
        <v>44323</v>
      </c>
      <c r="AE67" s="146" t="s">
        <v>403</v>
      </c>
      <c r="AF67" s="119"/>
    </row>
    <row r="68" spans="1:32" ht="12" customHeight="1">
      <c r="A68" s="150">
        <v>44322</v>
      </c>
      <c r="B68" s="151" t="s">
        <v>492</v>
      </c>
      <c r="C68" s="151"/>
      <c r="D68" s="151"/>
      <c r="E68" s="151"/>
      <c r="F68" s="151"/>
      <c r="G68" s="151"/>
      <c r="H68" s="122" t="s">
        <v>446</v>
      </c>
      <c r="I68" s="121" t="s">
        <v>469</v>
      </c>
      <c r="J68" s="122" t="s">
        <v>471</v>
      </c>
      <c r="K68" s="123">
        <v>5</v>
      </c>
      <c r="L68" s="124">
        <v>2410</v>
      </c>
      <c r="M68" s="125">
        <f t="shared" si="38"/>
        <v>0</v>
      </c>
      <c r="N68" s="125">
        <f>L68-M68</f>
        <v>2410</v>
      </c>
      <c r="O68" s="125"/>
      <c r="P68" s="125">
        <f t="shared" si="2"/>
        <v>12050</v>
      </c>
      <c r="Q68" s="126">
        <f t="shared" si="3"/>
        <v>2.512</v>
      </c>
      <c r="R68" s="126">
        <f t="shared" ref="R68:R70" si="69">ROUND(M68*K68,2)+0.01</f>
        <v>0.01</v>
      </c>
      <c r="S68" s="126">
        <f t="shared" si="35"/>
        <v>0.08</v>
      </c>
      <c r="T68" s="126">
        <f t="shared" si="61"/>
        <v>12.05</v>
      </c>
      <c r="U68" s="126">
        <v>0</v>
      </c>
      <c r="V68" s="126">
        <f t="shared" si="62"/>
        <v>0.42</v>
      </c>
      <c r="W68" s="126">
        <f t="shared" si="39"/>
        <v>0</v>
      </c>
      <c r="X68" s="126">
        <f t="shared" si="9"/>
        <v>12.56</v>
      </c>
      <c r="Y68" s="127">
        <f>ROUND(P68-SUM(R68:W68),2)</f>
        <v>12037.44</v>
      </c>
      <c r="Z68" s="128">
        <v>12037</v>
      </c>
      <c r="AA68" s="129">
        <f t="shared" si="47"/>
        <v>-0.44000000000050932</v>
      </c>
      <c r="AB68" s="120">
        <v>44322</v>
      </c>
      <c r="AC68" s="130">
        <f t="shared" si="12"/>
        <v>1.042E-3</v>
      </c>
      <c r="AD68" s="131">
        <f t="shared" si="13"/>
        <v>44322</v>
      </c>
      <c r="AE68" s="132" t="s">
        <v>403</v>
      </c>
      <c r="AF68" s="119"/>
    </row>
    <row r="69" spans="1:32" ht="12" customHeight="1">
      <c r="A69" s="148">
        <v>44322</v>
      </c>
      <c r="B69" s="149" t="s">
        <v>486</v>
      </c>
      <c r="C69" s="149"/>
      <c r="D69" s="149"/>
      <c r="E69" s="149"/>
      <c r="F69" s="149"/>
      <c r="G69" s="149"/>
      <c r="H69" s="135" t="s">
        <v>453</v>
      </c>
      <c r="I69" s="134" t="s">
        <v>469</v>
      </c>
      <c r="J69" s="135" t="s">
        <v>471</v>
      </c>
      <c r="K69" s="136">
        <v>10</v>
      </c>
      <c r="L69" s="137">
        <v>574.9</v>
      </c>
      <c r="M69" s="138">
        <f t="shared" si="38"/>
        <v>0</v>
      </c>
      <c r="N69" s="138">
        <f t="shared" ref="N69:N72" si="70">L69+M69</f>
        <v>574.9</v>
      </c>
      <c r="O69" s="138"/>
      <c r="P69" s="138">
        <f t="shared" si="2"/>
        <v>5749</v>
      </c>
      <c r="Q69" s="139">
        <f t="shared" si="3"/>
        <v>0.68100000000000005</v>
      </c>
      <c r="R69" s="139">
        <f t="shared" si="69"/>
        <v>0.01</v>
      </c>
      <c r="S69" s="139">
        <f t="shared" si="35"/>
        <v>0.03</v>
      </c>
      <c r="T69" s="139">
        <f t="shared" si="61"/>
        <v>5.75</v>
      </c>
      <c r="U69" s="139">
        <f t="shared" ref="U69:U72" si="71">ROUND(P69*K$1812,2)</f>
        <v>0.86</v>
      </c>
      <c r="V69" s="139">
        <f t="shared" ref="V69:V70" si="72">ROUND(P69*L$1809,2)</f>
        <v>0.16</v>
      </c>
      <c r="W69" s="139">
        <f t="shared" si="39"/>
        <v>0</v>
      </c>
      <c r="X69" s="140">
        <f t="shared" si="9"/>
        <v>6.8100000000000005</v>
      </c>
      <c r="Y69" s="141">
        <f t="shared" ref="Y69:Y72" si="73">-ROUND(P69+SUM(R69:W69),2)</f>
        <v>-5755.81</v>
      </c>
      <c r="Z69" s="142">
        <v>-5756</v>
      </c>
      <c r="AA69" s="143">
        <f t="shared" si="47"/>
        <v>-0.18999999999959982</v>
      </c>
      <c r="AB69" s="133">
        <v>44326</v>
      </c>
      <c r="AC69" s="144">
        <f t="shared" si="12"/>
        <v>1.1850000000000001E-3</v>
      </c>
      <c r="AD69" s="145">
        <f t="shared" si="13"/>
        <v>44326</v>
      </c>
      <c r="AE69" s="146" t="s">
        <v>403</v>
      </c>
      <c r="AF69" s="119"/>
    </row>
    <row r="70" spans="1:32" ht="12" customHeight="1">
      <c r="A70" s="148">
        <v>44322</v>
      </c>
      <c r="B70" s="149" t="s">
        <v>481</v>
      </c>
      <c r="C70" s="149"/>
      <c r="D70" s="149"/>
      <c r="E70" s="149"/>
      <c r="F70" s="149"/>
      <c r="G70" s="149"/>
      <c r="H70" s="135" t="s">
        <v>453</v>
      </c>
      <c r="I70" s="134" t="s">
        <v>469</v>
      </c>
      <c r="J70" s="135" t="s">
        <v>471</v>
      </c>
      <c r="K70" s="136">
        <v>50</v>
      </c>
      <c r="L70" s="137">
        <v>131</v>
      </c>
      <c r="M70" s="138">
        <f t="shared" si="38"/>
        <v>0</v>
      </c>
      <c r="N70" s="138">
        <f t="shared" si="70"/>
        <v>131</v>
      </c>
      <c r="O70" s="138"/>
      <c r="P70" s="138">
        <f t="shared" si="2"/>
        <v>6550</v>
      </c>
      <c r="Q70" s="139">
        <f t="shared" si="3"/>
        <v>0.155</v>
      </c>
      <c r="R70" s="139">
        <f t="shared" si="69"/>
        <v>0.01</v>
      </c>
      <c r="S70" s="139">
        <f t="shared" si="35"/>
        <v>0.03</v>
      </c>
      <c r="T70" s="139">
        <f t="shared" si="61"/>
        <v>6.55</v>
      </c>
      <c r="U70" s="139">
        <f t="shared" si="71"/>
        <v>0.98</v>
      </c>
      <c r="V70" s="139">
        <f t="shared" si="72"/>
        <v>0.18</v>
      </c>
      <c r="W70" s="139">
        <f t="shared" si="39"/>
        <v>0</v>
      </c>
      <c r="X70" s="140">
        <f t="shared" si="9"/>
        <v>7.75</v>
      </c>
      <c r="Y70" s="141">
        <f t="shared" si="73"/>
        <v>-6557.75</v>
      </c>
      <c r="Z70" s="142">
        <v>-6558</v>
      </c>
      <c r="AA70" s="143">
        <f t="shared" si="47"/>
        <v>-0.25</v>
      </c>
      <c r="AB70" s="133">
        <v>44326</v>
      </c>
      <c r="AC70" s="144">
        <f t="shared" si="12"/>
        <v>1.183E-3</v>
      </c>
      <c r="AD70" s="145">
        <f t="shared" si="13"/>
        <v>44326</v>
      </c>
      <c r="AE70" s="146" t="s">
        <v>403</v>
      </c>
      <c r="AF70" s="119"/>
    </row>
    <row r="71" spans="1:32" ht="12" customHeight="1">
      <c r="A71" s="148">
        <v>44323</v>
      </c>
      <c r="B71" s="149" t="s">
        <v>496</v>
      </c>
      <c r="C71" s="149"/>
      <c r="D71" s="149"/>
      <c r="E71" s="149"/>
      <c r="F71" s="149"/>
      <c r="G71" s="149"/>
      <c r="H71" s="135" t="s">
        <v>453</v>
      </c>
      <c r="I71" s="134" t="s">
        <v>469</v>
      </c>
      <c r="J71" s="135" t="s">
        <v>471</v>
      </c>
      <c r="K71" s="136">
        <v>50</v>
      </c>
      <c r="L71" s="137">
        <v>157.5</v>
      </c>
      <c r="M71" s="138">
        <f t="shared" si="38"/>
        <v>0</v>
      </c>
      <c r="N71" s="138">
        <f t="shared" si="70"/>
        <v>157.5</v>
      </c>
      <c r="O71" s="138"/>
      <c r="P71" s="138">
        <f t="shared" si="2"/>
        <v>7875</v>
      </c>
      <c r="Q71" s="139">
        <f t="shared" si="3"/>
        <v>0.18759999999999999</v>
      </c>
      <c r="R71" s="139">
        <f t="shared" ref="R71:R827" si="74">ROUND(M71*K71,2)</f>
        <v>0</v>
      </c>
      <c r="S71" s="139">
        <f t="shared" si="35"/>
        <v>0.05</v>
      </c>
      <c r="T71" s="139">
        <f t="shared" si="61"/>
        <v>7.88</v>
      </c>
      <c r="U71" s="139">
        <f t="shared" si="71"/>
        <v>1.18</v>
      </c>
      <c r="V71" s="139">
        <f t="shared" ref="V71:V87" si="75">ROUND(P71*M$1809,2)</f>
        <v>0.27</v>
      </c>
      <c r="W71" s="139">
        <f t="shared" si="39"/>
        <v>0</v>
      </c>
      <c r="X71" s="140">
        <f t="shared" si="9"/>
        <v>9.379999999999999</v>
      </c>
      <c r="Y71" s="141">
        <f t="shared" si="73"/>
        <v>-7884.38</v>
      </c>
      <c r="Z71" s="142">
        <v>-7884</v>
      </c>
      <c r="AA71" s="143">
        <f t="shared" si="47"/>
        <v>0.38000000000010914</v>
      </c>
      <c r="AB71" s="133">
        <v>44327</v>
      </c>
      <c r="AC71" s="144">
        <f t="shared" si="12"/>
        <v>1.191E-3</v>
      </c>
      <c r="AD71" s="145">
        <f t="shared" si="13"/>
        <v>44327</v>
      </c>
      <c r="AE71" s="146" t="s">
        <v>403</v>
      </c>
      <c r="AF71" s="119"/>
    </row>
    <row r="72" spans="1:32" ht="12" customHeight="1">
      <c r="A72" s="148">
        <v>44323</v>
      </c>
      <c r="B72" s="149" t="s">
        <v>497</v>
      </c>
      <c r="C72" s="149"/>
      <c r="D72" s="149"/>
      <c r="E72" s="149"/>
      <c r="F72" s="149"/>
      <c r="G72" s="149"/>
      <c r="H72" s="135" t="s">
        <v>453</v>
      </c>
      <c r="I72" s="134" t="s">
        <v>469</v>
      </c>
      <c r="J72" s="135" t="s">
        <v>471</v>
      </c>
      <c r="K72" s="136">
        <v>100</v>
      </c>
      <c r="L72" s="137">
        <v>46.1</v>
      </c>
      <c r="M72" s="138">
        <f t="shared" si="38"/>
        <v>0</v>
      </c>
      <c r="N72" s="138">
        <f t="shared" si="70"/>
        <v>46.1</v>
      </c>
      <c r="O72" s="138"/>
      <c r="P72" s="138">
        <f t="shared" si="2"/>
        <v>4610</v>
      </c>
      <c r="Q72" s="139">
        <f t="shared" si="3"/>
        <v>5.4900000000000004E-2</v>
      </c>
      <c r="R72" s="139">
        <f t="shared" si="74"/>
        <v>0</v>
      </c>
      <c r="S72" s="139">
        <f t="shared" si="35"/>
        <v>0.03</v>
      </c>
      <c r="T72" s="139">
        <f t="shared" si="61"/>
        <v>4.6100000000000003</v>
      </c>
      <c r="U72" s="139">
        <f t="shared" si="71"/>
        <v>0.69</v>
      </c>
      <c r="V72" s="139">
        <f t="shared" si="75"/>
        <v>0.16</v>
      </c>
      <c r="W72" s="139">
        <f t="shared" si="39"/>
        <v>0</v>
      </c>
      <c r="X72" s="140">
        <f t="shared" si="9"/>
        <v>5.49</v>
      </c>
      <c r="Y72" s="141">
        <f t="shared" si="73"/>
        <v>-4615.49</v>
      </c>
      <c r="Z72" s="142">
        <v>-4616</v>
      </c>
      <c r="AA72" s="143">
        <f t="shared" si="47"/>
        <v>-0.51000000000021828</v>
      </c>
      <c r="AB72" s="133">
        <v>44327</v>
      </c>
      <c r="AC72" s="144">
        <f t="shared" si="12"/>
        <v>1.191E-3</v>
      </c>
      <c r="AD72" s="145">
        <f t="shared" si="13"/>
        <v>44327</v>
      </c>
      <c r="AE72" s="146" t="s">
        <v>403</v>
      </c>
      <c r="AF72" s="119"/>
    </row>
    <row r="73" spans="1:32" ht="12" customHeight="1">
      <c r="A73" s="150">
        <v>44323</v>
      </c>
      <c r="B73" s="151" t="s">
        <v>481</v>
      </c>
      <c r="C73" s="151"/>
      <c r="D73" s="151"/>
      <c r="E73" s="151"/>
      <c r="F73" s="151"/>
      <c r="G73" s="151"/>
      <c r="H73" s="122" t="s">
        <v>446</v>
      </c>
      <c r="I73" s="121" t="s">
        <v>469</v>
      </c>
      <c r="J73" s="122" t="s">
        <v>471</v>
      </c>
      <c r="K73" s="123">
        <v>50</v>
      </c>
      <c r="L73" s="124">
        <v>144.25</v>
      </c>
      <c r="M73" s="125">
        <f t="shared" si="38"/>
        <v>0</v>
      </c>
      <c r="N73" s="125">
        <f t="shared" ref="N73:N77" si="76">L73-M73</f>
        <v>144.25</v>
      </c>
      <c r="O73" s="125"/>
      <c r="P73" s="125">
        <f t="shared" si="2"/>
        <v>7212.5</v>
      </c>
      <c r="Q73" s="126">
        <f t="shared" si="3"/>
        <v>0.1502</v>
      </c>
      <c r="R73" s="126">
        <f t="shared" si="74"/>
        <v>0</v>
      </c>
      <c r="S73" s="126">
        <f t="shared" si="35"/>
        <v>0.05</v>
      </c>
      <c r="T73" s="126">
        <f t="shared" si="61"/>
        <v>7.21</v>
      </c>
      <c r="U73" s="126">
        <v>0</v>
      </c>
      <c r="V73" s="126">
        <f t="shared" si="75"/>
        <v>0.25</v>
      </c>
      <c r="W73" s="126">
        <f t="shared" si="39"/>
        <v>0</v>
      </c>
      <c r="X73" s="126">
        <f t="shared" si="9"/>
        <v>7.51</v>
      </c>
      <c r="Y73" s="127">
        <f t="shared" ref="Y73:Y77" si="77">ROUND(P73-SUM(R73:W73),2)</f>
        <v>7204.99</v>
      </c>
      <c r="Z73" s="128">
        <f>6848+357</f>
        <v>7205</v>
      </c>
      <c r="AA73" s="129">
        <f t="shared" si="47"/>
        <v>1.0000000000218279E-2</v>
      </c>
      <c r="AB73" s="120">
        <v>44326</v>
      </c>
      <c r="AC73" s="130">
        <f t="shared" si="12"/>
        <v>1.041E-3</v>
      </c>
      <c r="AD73" s="131">
        <f t="shared" si="13"/>
        <v>44326</v>
      </c>
      <c r="AE73" s="132" t="s">
        <v>403</v>
      </c>
      <c r="AF73" s="119"/>
    </row>
    <row r="74" spans="1:32" ht="12" customHeight="1">
      <c r="A74" s="150">
        <v>44326</v>
      </c>
      <c r="B74" s="151" t="s">
        <v>495</v>
      </c>
      <c r="C74" s="151"/>
      <c r="D74" s="151"/>
      <c r="E74" s="151"/>
      <c r="F74" s="151"/>
      <c r="G74" s="151"/>
      <c r="H74" s="122" t="s">
        <v>446</v>
      </c>
      <c r="I74" s="121" t="s">
        <v>469</v>
      </c>
      <c r="J74" s="122" t="s">
        <v>471</v>
      </c>
      <c r="K74" s="123">
        <v>100</v>
      </c>
      <c r="L74" s="124">
        <v>53.85</v>
      </c>
      <c r="M74" s="125">
        <f t="shared" si="38"/>
        <v>0</v>
      </c>
      <c r="N74" s="125">
        <f t="shared" si="76"/>
        <v>53.85</v>
      </c>
      <c r="O74" s="125"/>
      <c r="P74" s="125">
        <f t="shared" si="2"/>
        <v>5385</v>
      </c>
      <c r="Q74" s="126">
        <f t="shared" si="3"/>
        <v>5.62E-2</v>
      </c>
      <c r="R74" s="126">
        <f t="shared" si="74"/>
        <v>0</v>
      </c>
      <c r="S74" s="126">
        <f t="shared" si="35"/>
        <v>0.03</v>
      </c>
      <c r="T74" s="126">
        <f t="shared" si="61"/>
        <v>5.39</v>
      </c>
      <c r="U74" s="126">
        <v>0</v>
      </c>
      <c r="V74" s="126">
        <f t="shared" si="75"/>
        <v>0.19</v>
      </c>
      <c r="W74" s="126">
        <f>ROUND(P74*J$1815,2)</f>
        <v>0.01</v>
      </c>
      <c r="X74" s="126">
        <f t="shared" si="9"/>
        <v>5.62</v>
      </c>
      <c r="Y74" s="127">
        <f t="shared" si="77"/>
        <v>5379.38</v>
      </c>
      <c r="Z74" s="128">
        <v>5379</v>
      </c>
      <c r="AA74" s="129">
        <f t="shared" si="47"/>
        <v>-0.38000000000010914</v>
      </c>
      <c r="AB74" s="120">
        <v>44326</v>
      </c>
      <c r="AC74" s="130">
        <f t="shared" si="12"/>
        <v>1.044E-3</v>
      </c>
      <c r="AD74" s="131">
        <f t="shared" si="13"/>
        <v>44326</v>
      </c>
      <c r="AE74" s="132" t="s">
        <v>403</v>
      </c>
      <c r="AF74" s="119"/>
    </row>
    <row r="75" spans="1:32" ht="12" customHeight="1">
      <c r="A75" s="150">
        <v>44326</v>
      </c>
      <c r="B75" s="151" t="s">
        <v>483</v>
      </c>
      <c r="C75" s="151"/>
      <c r="D75" s="151"/>
      <c r="E75" s="151"/>
      <c r="F75" s="151"/>
      <c r="G75" s="151"/>
      <c r="H75" s="122" t="s">
        <v>446</v>
      </c>
      <c r="I75" s="121" t="s">
        <v>469</v>
      </c>
      <c r="J75" s="122" t="s">
        <v>471</v>
      </c>
      <c r="K75" s="123">
        <v>100</v>
      </c>
      <c r="L75" s="124">
        <v>251</v>
      </c>
      <c r="M75" s="125">
        <f t="shared" si="38"/>
        <v>0</v>
      </c>
      <c r="N75" s="125">
        <f t="shared" si="76"/>
        <v>251</v>
      </c>
      <c r="O75" s="125"/>
      <c r="P75" s="125">
        <f t="shared" si="2"/>
        <v>25100</v>
      </c>
      <c r="Q75" s="126">
        <f t="shared" si="3"/>
        <v>0.26130000000000003</v>
      </c>
      <c r="R75" s="126">
        <f t="shared" si="74"/>
        <v>0</v>
      </c>
      <c r="S75" s="126">
        <f t="shared" si="35"/>
        <v>0.16</v>
      </c>
      <c r="T75" s="126">
        <f t="shared" si="61"/>
        <v>25.1</v>
      </c>
      <c r="U75" s="126">
        <v>0</v>
      </c>
      <c r="V75" s="126">
        <f t="shared" si="75"/>
        <v>0.87</v>
      </c>
      <c r="W75" s="126">
        <f t="shared" ref="W75:W76" si="78">ROUND(P75*I$1815,2)</f>
        <v>0</v>
      </c>
      <c r="X75" s="126">
        <f t="shared" si="9"/>
        <v>26.130000000000003</v>
      </c>
      <c r="Y75" s="127">
        <f t="shared" si="77"/>
        <v>25073.87</v>
      </c>
      <c r="Z75" s="128">
        <v>25074</v>
      </c>
      <c r="AA75" s="129">
        <f t="shared" si="47"/>
        <v>0.13000000000101863</v>
      </c>
      <c r="AB75" s="120">
        <v>44326</v>
      </c>
      <c r="AC75" s="130">
        <f t="shared" si="12"/>
        <v>1.041E-3</v>
      </c>
      <c r="AD75" s="131">
        <f t="shared" si="13"/>
        <v>44326</v>
      </c>
      <c r="AE75" s="132" t="s">
        <v>403</v>
      </c>
      <c r="AF75" s="119"/>
    </row>
    <row r="76" spans="1:32" ht="12" customHeight="1">
      <c r="A76" s="150">
        <v>44326</v>
      </c>
      <c r="B76" s="151" t="s">
        <v>498</v>
      </c>
      <c r="C76" s="151"/>
      <c r="D76" s="151"/>
      <c r="E76" s="151"/>
      <c r="F76" s="151"/>
      <c r="G76" s="151"/>
      <c r="H76" s="122" t="s">
        <v>446</v>
      </c>
      <c r="I76" s="121" t="s">
        <v>469</v>
      </c>
      <c r="J76" s="122" t="s">
        <v>471</v>
      </c>
      <c r="K76" s="123">
        <v>1075</v>
      </c>
      <c r="L76" s="124">
        <v>21.2</v>
      </c>
      <c r="M76" s="125">
        <f t="shared" si="38"/>
        <v>0</v>
      </c>
      <c r="N76" s="125">
        <f t="shared" si="76"/>
        <v>21.2</v>
      </c>
      <c r="O76" s="125"/>
      <c r="P76" s="125">
        <f t="shared" si="2"/>
        <v>22790</v>
      </c>
      <c r="Q76" s="126">
        <f t="shared" si="3"/>
        <v>2.2065116279069766E-2</v>
      </c>
      <c r="R76" s="126">
        <f t="shared" si="74"/>
        <v>0</v>
      </c>
      <c r="S76" s="126">
        <f t="shared" si="35"/>
        <v>0.14000000000000001</v>
      </c>
      <c r="T76" s="126">
        <f t="shared" si="61"/>
        <v>22.79</v>
      </c>
      <c r="U76" s="126">
        <v>0</v>
      </c>
      <c r="V76" s="126">
        <f t="shared" si="75"/>
        <v>0.79</v>
      </c>
      <c r="W76" s="126">
        <f t="shared" si="78"/>
        <v>0</v>
      </c>
      <c r="X76" s="126">
        <f t="shared" si="9"/>
        <v>23.72</v>
      </c>
      <c r="Y76" s="127">
        <f t="shared" si="77"/>
        <v>22766.28</v>
      </c>
      <c r="Z76" s="128">
        <v>22766</v>
      </c>
      <c r="AA76" s="129">
        <f t="shared" si="47"/>
        <v>-0.27999999999883585</v>
      </c>
      <c r="AB76" s="120">
        <v>44326</v>
      </c>
      <c r="AC76" s="130">
        <f t="shared" si="12"/>
        <v>1.041E-3</v>
      </c>
      <c r="AD76" s="131">
        <f t="shared" si="13"/>
        <v>44326</v>
      </c>
      <c r="AE76" s="132" t="s">
        <v>403</v>
      </c>
      <c r="AF76" s="119"/>
    </row>
    <row r="77" spans="1:32" ht="12" customHeight="1">
      <c r="A77" s="150">
        <v>44327</v>
      </c>
      <c r="B77" s="151" t="s">
        <v>457</v>
      </c>
      <c r="C77" s="151"/>
      <c r="D77" s="151"/>
      <c r="E77" s="151"/>
      <c r="F77" s="151"/>
      <c r="G77" s="151"/>
      <c r="H77" s="122" t="s">
        <v>446</v>
      </c>
      <c r="I77" s="121" t="s">
        <v>469</v>
      </c>
      <c r="J77" s="122" t="s">
        <v>448</v>
      </c>
      <c r="K77" s="123">
        <v>72</v>
      </c>
      <c r="L77" s="124">
        <v>70.25</v>
      </c>
      <c r="M77" s="125">
        <f t="shared" si="38"/>
        <v>0</v>
      </c>
      <c r="N77" s="125">
        <f t="shared" si="76"/>
        <v>70.25</v>
      </c>
      <c r="O77" s="125"/>
      <c r="P77" s="125">
        <f t="shared" si="2"/>
        <v>5058</v>
      </c>
      <c r="Q77" s="126">
        <f t="shared" si="3"/>
        <v>7.3194444444444437E-2</v>
      </c>
      <c r="R77" s="126">
        <f t="shared" si="74"/>
        <v>0</v>
      </c>
      <c r="S77" s="126">
        <f t="shared" si="35"/>
        <v>0.03</v>
      </c>
      <c r="T77" s="126">
        <f t="shared" si="61"/>
        <v>5.0599999999999996</v>
      </c>
      <c r="U77" s="126">
        <v>0</v>
      </c>
      <c r="V77" s="126">
        <f t="shared" si="75"/>
        <v>0.17</v>
      </c>
      <c r="W77" s="126">
        <f t="shared" ref="W77:W90" si="79">ROUND(P77*J$1815,2)</f>
        <v>0.01</v>
      </c>
      <c r="X77" s="126">
        <f t="shared" si="9"/>
        <v>5.27</v>
      </c>
      <c r="Y77" s="127">
        <f t="shared" si="77"/>
        <v>5052.7299999999996</v>
      </c>
      <c r="Z77" s="128">
        <v>5053</v>
      </c>
      <c r="AA77" s="129">
        <f t="shared" si="47"/>
        <v>0.27000000000043656</v>
      </c>
      <c r="AB77" s="120">
        <v>44327</v>
      </c>
      <c r="AC77" s="130">
        <f t="shared" si="12"/>
        <v>1.042E-3</v>
      </c>
      <c r="AD77" s="131">
        <f t="shared" si="13"/>
        <v>44327</v>
      </c>
      <c r="AE77" s="132" t="s">
        <v>403</v>
      </c>
      <c r="AF77" s="119"/>
    </row>
    <row r="78" spans="1:32" ht="12" customHeight="1">
      <c r="A78" s="148">
        <v>44327</v>
      </c>
      <c r="B78" s="149" t="s">
        <v>496</v>
      </c>
      <c r="C78" s="149"/>
      <c r="D78" s="149"/>
      <c r="E78" s="149"/>
      <c r="F78" s="149"/>
      <c r="G78" s="149"/>
      <c r="H78" s="135" t="s">
        <v>453</v>
      </c>
      <c r="I78" s="134" t="s">
        <v>469</v>
      </c>
      <c r="J78" s="135" t="s">
        <v>471</v>
      </c>
      <c r="K78" s="136">
        <v>50</v>
      </c>
      <c r="L78" s="137">
        <v>153</v>
      </c>
      <c r="M78" s="138">
        <f t="shared" si="38"/>
        <v>0</v>
      </c>
      <c r="N78" s="138">
        <f t="shared" ref="N78:N83" si="80">L78+M78</f>
        <v>153</v>
      </c>
      <c r="O78" s="138"/>
      <c r="P78" s="138">
        <f t="shared" si="2"/>
        <v>7650</v>
      </c>
      <c r="Q78" s="139">
        <f t="shared" si="3"/>
        <v>0.18239999999999998</v>
      </c>
      <c r="R78" s="139">
        <f t="shared" si="74"/>
        <v>0</v>
      </c>
      <c r="S78" s="139">
        <f t="shared" si="35"/>
        <v>0.05</v>
      </c>
      <c r="T78" s="139">
        <f t="shared" si="61"/>
        <v>7.65</v>
      </c>
      <c r="U78" s="139">
        <f t="shared" ref="U78:U83" si="81">ROUND(P78*K$1812,2)</f>
        <v>1.1499999999999999</v>
      </c>
      <c r="V78" s="139">
        <f t="shared" si="75"/>
        <v>0.26</v>
      </c>
      <c r="W78" s="139">
        <f t="shared" si="79"/>
        <v>0.01</v>
      </c>
      <c r="X78" s="140">
        <f t="shared" si="9"/>
        <v>9.1199999999999992</v>
      </c>
      <c r="Y78" s="141">
        <f t="shared" ref="Y78:Y83" si="82">-ROUND(P78+SUM(R78:W78),2)</f>
        <v>-7659.12</v>
      </c>
      <c r="Z78" s="142">
        <v>-7659</v>
      </c>
      <c r="AA78" s="143">
        <f t="shared" si="47"/>
        <v>0.11999999999989086</v>
      </c>
      <c r="AB78" s="133">
        <v>44330</v>
      </c>
      <c r="AC78" s="144">
        <f t="shared" si="12"/>
        <v>1.1919999999999999E-3</v>
      </c>
      <c r="AD78" s="145">
        <f t="shared" si="13"/>
        <v>44330</v>
      </c>
      <c r="AE78" s="146" t="s">
        <v>403</v>
      </c>
      <c r="AF78" s="119"/>
    </row>
    <row r="79" spans="1:32" ht="12" customHeight="1">
      <c r="A79" s="148">
        <v>44327</v>
      </c>
      <c r="B79" s="149" t="s">
        <v>484</v>
      </c>
      <c r="C79" s="149"/>
      <c r="D79" s="149"/>
      <c r="E79" s="149"/>
      <c r="F79" s="149"/>
      <c r="G79" s="149"/>
      <c r="H79" s="135" t="s">
        <v>453</v>
      </c>
      <c r="I79" s="134" t="s">
        <v>469</v>
      </c>
      <c r="J79" s="135" t="s">
        <v>471</v>
      </c>
      <c r="K79" s="136">
        <v>2</v>
      </c>
      <c r="L79" s="137">
        <v>5400</v>
      </c>
      <c r="M79" s="138">
        <f t="shared" si="38"/>
        <v>0</v>
      </c>
      <c r="N79" s="138">
        <f t="shared" si="80"/>
        <v>5400</v>
      </c>
      <c r="O79" s="138"/>
      <c r="P79" s="138">
        <f t="shared" si="2"/>
        <v>10800</v>
      </c>
      <c r="Q79" s="139">
        <f t="shared" si="3"/>
        <v>6.4350000000000005</v>
      </c>
      <c r="R79" s="139">
        <f t="shared" si="74"/>
        <v>0</v>
      </c>
      <c r="S79" s="139">
        <f t="shared" si="35"/>
        <v>7.0000000000000007E-2</v>
      </c>
      <c r="T79" s="139">
        <f t="shared" si="61"/>
        <v>10.8</v>
      </c>
      <c r="U79" s="139">
        <f t="shared" si="81"/>
        <v>1.62</v>
      </c>
      <c r="V79" s="139">
        <f t="shared" si="75"/>
        <v>0.37</v>
      </c>
      <c r="W79" s="139">
        <f t="shared" si="79"/>
        <v>0.01</v>
      </c>
      <c r="X79" s="140">
        <f t="shared" si="9"/>
        <v>12.870000000000001</v>
      </c>
      <c r="Y79" s="141">
        <f t="shared" si="82"/>
        <v>-10812.87</v>
      </c>
      <c r="Z79" s="142">
        <v>-10813</v>
      </c>
      <c r="AA79" s="143">
        <f t="shared" si="47"/>
        <v>-0.12999999999919964</v>
      </c>
      <c r="AB79" s="133">
        <v>44330</v>
      </c>
      <c r="AC79" s="144">
        <f t="shared" si="12"/>
        <v>1.1919999999999999E-3</v>
      </c>
      <c r="AD79" s="145">
        <f t="shared" si="13"/>
        <v>44330</v>
      </c>
      <c r="AE79" s="146" t="s">
        <v>403</v>
      </c>
      <c r="AF79" s="119"/>
    </row>
    <row r="80" spans="1:32" ht="12" customHeight="1">
      <c r="A80" s="148">
        <v>44327</v>
      </c>
      <c r="B80" s="149" t="s">
        <v>499</v>
      </c>
      <c r="C80" s="149"/>
      <c r="D80" s="149"/>
      <c r="E80" s="149"/>
      <c r="F80" s="149"/>
      <c r="G80" s="149"/>
      <c r="H80" s="135" t="s">
        <v>453</v>
      </c>
      <c r="I80" s="134" t="s">
        <v>469</v>
      </c>
      <c r="J80" s="135" t="s">
        <v>471</v>
      </c>
      <c r="K80" s="136">
        <v>10</v>
      </c>
      <c r="L80" s="137">
        <v>1400</v>
      </c>
      <c r="M80" s="138">
        <f t="shared" si="38"/>
        <v>0</v>
      </c>
      <c r="N80" s="138">
        <f t="shared" si="80"/>
        <v>1400</v>
      </c>
      <c r="O80" s="138"/>
      <c r="P80" s="138">
        <f t="shared" si="2"/>
        <v>14000</v>
      </c>
      <c r="Q80" s="139">
        <f t="shared" si="3"/>
        <v>1.6680000000000004</v>
      </c>
      <c r="R80" s="139">
        <f t="shared" si="74"/>
        <v>0</v>
      </c>
      <c r="S80" s="139">
        <f t="shared" si="35"/>
        <v>0.09</v>
      </c>
      <c r="T80" s="139">
        <f t="shared" si="61"/>
        <v>14</v>
      </c>
      <c r="U80" s="139">
        <f t="shared" si="81"/>
        <v>2.1</v>
      </c>
      <c r="V80" s="139">
        <f t="shared" si="75"/>
        <v>0.48</v>
      </c>
      <c r="W80" s="139">
        <f t="shared" si="79"/>
        <v>0.01</v>
      </c>
      <c r="X80" s="140">
        <f t="shared" si="9"/>
        <v>16.680000000000003</v>
      </c>
      <c r="Y80" s="141">
        <f t="shared" si="82"/>
        <v>-14016.68</v>
      </c>
      <c r="Z80" s="142">
        <v>-14017</v>
      </c>
      <c r="AA80" s="143">
        <f t="shared" si="47"/>
        <v>-0.31999999999970896</v>
      </c>
      <c r="AB80" s="133">
        <v>44330</v>
      </c>
      <c r="AC80" s="144">
        <f t="shared" si="12"/>
        <v>1.191E-3</v>
      </c>
      <c r="AD80" s="145">
        <f t="shared" si="13"/>
        <v>44330</v>
      </c>
      <c r="AE80" s="146" t="s">
        <v>403</v>
      </c>
      <c r="AF80" s="119"/>
    </row>
    <row r="81" spans="1:32" ht="12" customHeight="1">
      <c r="A81" s="148">
        <v>44327</v>
      </c>
      <c r="B81" s="149" t="s">
        <v>500</v>
      </c>
      <c r="C81" s="149"/>
      <c r="D81" s="149"/>
      <c r="E81" s="149"/>
      <c r="F81" s="149"/>
      <c r="G81" s="149"/>
      <c r="H81" s="135" t="s">
        <v>453</v>
      </c>
      <c r="I81" s="134" t="s">
        <v>469</v>
      </c>
      <c r="J81" s="135" t="s">
        <v>471</v>
      </c>
      <c r="K81" s="136">
        <v>50</v>
      </c>
      <c r="L81" s="137">
        <v>116.9</v>
      </c>
      <c r="M81" s="138">
        <f t="shared" si="38"/>
        <v>0</v>
      </c>
      <c r="N81" s="138">
        <f t="shared" si="80"/>
        <v>116.9</v>
      </c>
      <c r="O81" s="138"/>
      <c r="P81" s="138">
        <f t="shared" si="2"/>
        <v>5845</v>
      </c>
      <c r="Q81" s="139">
        <f t="shared" si="3"/>
        <v>0.1396</v>
      </c>
      <c r="R81" s="139">
        <f t="shared" si="74"/>
        <v>0</v>
      </c>
      <c r="S81" s="139">
        <f t="shared" si="35"/>
        <v>0.04</v>
      </c>
      <c r="T81" s="139">
        <f t="shared" si="61"/>
        <v>5.85</v>
      </c>
      <c r="U81" s="139">
        <f t="shared" si="81"/>
        <v>0.88</v>
      </c>
      <c r="V81" s="139">
        <f t="shared" si="75"/>
        <v>0.2</v>
      </c>
      <c r="W81" s="139">
        <f t="shared" si="79"/>
        <v>0.01</v>
      </c>
      <c r="X81" s="140">
        <f t="shared" si="9"/>
        <v>6.9799999999999995</v>
      </c>
      <c r="Y81" s="141">
        <f t="shared" si="82"/>
        <v>-5851.98</v>
      </c>
      <c r="Z81" s="142">
        <v>-5852</v>
      </c>
      <c r="AA81" s="143">
        <f t="shared" si="47"/>
        <v>-2.0000000000436557E-2</v>
      </c>
      <c r="AB81" s="133">
        <v>44330</v>
      </c>
      <c r="AC81" s="144">
        <f t="shared" si="12"/>
        <v>1.194E-3</v>
      </c>
      <c r="AD81" s="145">
        <f t="shared" si="13"/>
        <v>44330</v>
      </c>
      <c r="AE81" s="146" t="s">
        <v>403</v>
      </c>
      <c r="AF81" s="119"/>
    </row>
    <row r="82" spans="1:32" ht="12" customHeight="1">
      <c r="A82" s="148">
        <v>44327</v>
      </c>
      <c r="B82" s="149" t="s">
        <v>501</v>
      </c>
      <c r="C82" s="149"/>
      <c r="D82" s="149"/>
      <c r="E82" s="149"/>
      <c r="F82" s="149"/>
      <c r="G82" s="149"/>
      <c r="H82" s="135" t="s">
        <v>453</v>
      </c>
      <c r="I82" s="134" t="s">
        <v>469</v>
      </c>
      <c r="J82" s="135" t="s">
        <v>471</v>
      </c>
      <c r="K82" s="136">
        <v>20</v>
      </c>
      <c r="L82" s="137">
        <v>515</v>
      </c>
      <c r="M82" s="138">
        <f t="shared" si="38"/>
        <v>0</v>
      </c>
      <c r="N82" s="138">
        <f t="shared" si="80"/>
        <v>515</v>
      </c>
      <c r="O82" s="138"/>
      <c r="P82" s="138">
        <f t="shared" si="2"/>
        <v>10300</v>
      </c>
      <c r="Q82" s="139">
        <f t="shared" si="3"/>
        <v>0.6140000000000001</v>
      </c>
      <c r="R82" s="139">
        <f t="shared" si="74"/>
        <v>0</v>
      </c>
      <c r="S82" s="139">
        <f t="shared" si="35"/>
        <v>0.06</v>
      </c>
      <c r="T82" s="139">
        <f t="shared" si="61"/>
        <v>10.3</v>
      </c>
      <c r="U82" s="139">
        <f t="shared" si="81"/>
        <v>1.55</v>
      </c>
      <c r="V82" s="139">
        <f t="shared" si="75"/>
        <v>0.36</v>
      </c>
      <c r="W82" s="139">
        <f t="shared" si="79"/>
        <v>0.01</v>
      </c>
      <c r="X82" s="140">
        <f t="shared" si="9"/>
        <v>12.280000000000001</v>
      </c>
      <c r="Y82" s="141">
        <f t="shared" si="82"/>
        <v>-10312.280000000001</v>
      </c>
      <c r="Z82" s="142">
        <v>-10312</v>
      </c>
      <c r="AA82" s="143">
        <f t="shared" si="47"/>
        <v>0.28000000000065484</v>
      </c>
      <c r="AB82" s="133">
        <v>44330</v>
      </c>
      <c r="AC82" s="144">
        <f t="shared" si="12"/>
        <v>1.1919999999999999E-3</v>
      </c>
      <c r="AD82" s="145">
        <f t="shared" si="13"/>
        <v>44330</v>
      </c>
      <c r="AE82" s="146" t="s">
        <v>403</v>
      </c>
      <c r="AF82" s="119"/>
    </row>
    <row r="83" spans="1:32" ht="12" customHeight="1">
      <c r="A83" s="148">
        <v>44327</v>
      </c>
      <c r="B83" s="148" t="s">
        <v>481</v>
      </c>
      <c r="C83" s="148"/>
      <c r="D83" s="148"/>
      <c r="E83" s="148"/>
      <c r="F83" s="148"/>
      <c r="G83" s="148"/>
      <c r="H83" s="135" t="s">
        <v>453</v>
      </c>
      <c r="I83" s="134" t="s">
        <v>469</v>
      </c>
      <c r="J83" s="135" t="s">
        <v>471</v>
      </c>
      <c r="K83" s="136">
        <v>100</v>
      </c>
      <c r="L83" s="137">
        <v>141</v>
      </c>
      <c r="M83" s="138">
        <f t="shared" si="38"/>
        <v>0</v>
      </c>
      <c r="N83" s="138">
        <f t="shared" si="80"/>
        <v>141</v>
      </c>
      <c r="O83" s="138"/>
      <c r="P83" s="138">
        <f t="shared" si="2"/>
        <v>14100</v>
      </c>
      <c r="Q83" s="139">
        <f t="shared" si="3"/>
        <v>0.1681</v>
      </c>
      <c r="R83" s="139">
        <f t="shared" si="74"/>
        <v>0</v>
      </c>
      <c r="S83" s="139">
        <f t="shared" si="35"/>
        <v>0.09</v>
      </c>
      <c r="T83" s="139">
        <f t="shared" si="61"/>
        <v>14.1</v>
      </c>
      <c r="U83" s="139">
        <f t="shared" si="81"/>
        <v>2.12</v>
      </c>
      <c r="V83" s="139">
        <f t="shared" si="75"/>
        <v>0.49</v>
      </c>
      <c r="W83" s="139">
        <f t="shared" si="79"/>
        <v>0.01</v>
      </c>
      <c r="X83" s="140">
        <f t="shared" si="9"/>
        <v>16.809999999999999</v>
      </c>
      <c r="Y83" s="141">
        <f t="shared" si="82"/>
        <v>-14116.81</v>
      </c>
      <c r="Z83" s="142">
        <v>-14117</v>
      </c>
      <c r="AA83" s="143">
        <f t="shared" si="47"/>
        <v>-0.19000000000050932</v>
      </c>
      <c r="AB83" s="133">
        <v>44330</v>
      </c>
      <c r="AC83" s="144">
        <f t="shared" si="12"/>
        <v>1.1919999999999999E-3</v>
      </c>
      <c r="AD83" s="145">
        <f t="shared" si="13"/>
        <v>44330</v>
      </c>
      <c r="AE83" s="146" t="s">
        <v>403</v>
      </c>
      <c r="AF83" s="119"/>
    </row>
    <row r="84" spans="1:32" ht="12" customHeight="1">
      <c r="A84" s="150">
        <v>44328</v>
      </c>
      <c r="B84" s="151" t="s">
        <v>502</v>
      </c>
      <c r="C84" s="151"/>
      <c r="D84" s="151"/>
      <c r="E84" s="151"/>
      <c r="F84" s="151"/>
      <c r="G84" s="151"/>
      <c r="H84" s="122" t="s">
        <v>446</v>
      </c>
      <c r="I84" s="121" t="s">
        <v>469</v>
      </c>
      <c r="J84" s="122" t="s">
        <v>448</v>
      </c>
      <c r="K84" s="123">
        <v>51</v>
      </c>
      <c r="L84" s="124">
        <v>18.600000000000001</v>
      </c>
      <c r="M84" s="125">
        <f t="shared" si="38"/>
        <v>0</v>
      </c>
      <c r="N84" s="125">
        <f t="shared" ref="N84:N86" si="83">L84-M84</f>
        <v>18.600000000000001</v>
      </c>
      <c r="O84" s="125"/>
      <c r="P84" s="125">
        <f t="shared" si="2"/>
        <v>948.6</v>
      </c>
      <c r="Q84" s="126">
        <f t="shared" si="3"/>
        <v>1.9411764705882354E-2</v>
      </c>
      <c r="R84" s="126">
        <f t="shared" si="74"/>
        <v>0</v>
      </c>
      <c r="S84" s="126">
        <f t="shared" si="35"/>
        <v>0.01</v>
      </c>
      <c r="T84" s="126">
        <f t="shared" si="61"/>
        <v>0.95</v>
      </c>
      <c r="U84" s="126">
        <v>0</v>
      </c>
      <c r="V84" s="126">
        <f t="shared" si="75"/>
        <v>0.03</v>
      </c>
      <c r="W84" s="126">
        <f t="shared" si="79"/>
        <v>0</v>
      </c>
      <c r="X84" s="126">
        <f t="shared" si="9"/>
        <v>0.99</v>
      </c>
      <c r="Y84" s="127">
        <f t="shared" ref="Y84:Y86" si="84">ROUND(P84-SUM(R84:W84),2)</f>
        <v>947.61</v>
      </c>
      <c r="Z84" s="128">
        <v>948</v>
      </c>
      <c r="AA84" s="129">
        <f t="shared" si="47"/>
        <v>0.38999999999998636</v>
      </c>
      <c r="AB84" s="120">
        <v>44328</v>
      </c>
      <c r="AC84" s="130">
        <f t="shared" si="12"/>
        <v>1.044E-3</v>
      </c>
      <c r="AD84" s="131">
        <f t="shared" si="13"/>
        <v>44328</v>
      </c>
      <c r="AE84" s="132" t="s">
        <v>403</v>
      </c>
      <c r="AF84" s="119"/>
    </row>
    <row r="85" spans="1:32" ht="12" customHeight="1">
      <c r="A85" s="150">
        <v>44328</v>
      </c>
      <c r="B85" s="151" t="s">
        <v>455</v>
      </c>
      <c r="C85" s="151"/>
      <c r="D85" s="151"/>
      <c r="E85" s="151"/>
      <c r="F85" s="151"/>
      <c r="G85" s="151"/>
      <c r="H85" s="122" t="s">
        <v>446</v>
      </c>
      <c r="I85" s="121" t="s">
        <v>469</v>
      </c>
      <c r="J85" s="122" t="s">
        <v>448</v>
      </c>
      <c r="K85" s="123">
        <v>100</v>
      </c>
      <c r="L85" s="124">
        <v>5.04</v>
      </c>
      <c r="M85" s="125">
        <f t="shared" si="38"/>
        <v>0</v>
      </c>
      <c r="N85" s="125">
        <f t="shared" si="83"/>
        <v>5.04</v>
      </c>
      <c r="O85" s="125"/>
      <c r="P85" s="125">
        <f t="shared" si="2"/>
        <v>504</v>
      </c>
      <c r="Q85" s="126">
        <f t="shared" si="3"/>
        <v>5.1999999999999998E-3</v>
      </c>
      <c r="R85" s="126">
        <f t="shared" si="74"/>
        <v>0</v>
      </c>
      <c r="S85" s="126">
        <f t="shared" si="35"/>
        <v>0</v>
      </c>
      <c r="T85" s="126">
        <f t="shared" si="61"/>
        <v>0.5</v>
      </c>
      <c r="U85" s="126">
        <v>0</v>
      </c>
      <c r="V85" s="126">
        <f t="shared" si="75"/>
        <v>0.02</v>
      </c>
      <c r="W85" s="126">
        <f t="shared" si="79"/>
        <v>0</v>
      </c>
      <c r="X85" s="126">
        <f t="shared" si="9"/>
        <v>0.52</v>
      </c>
      <c r="Y85" s="127">
        <f t="shared" si="84"/>
        <v>503.48</v>
      </c>
      <c r="Z85" s="128">
        <v>503</v>
      </c>
      <c r="AA85" s="129">
        <f t="shared" si="47"/>
        <v>-0.48000000000001819</v>
      </c>
      <c r="AB85" s="120">
        <v>44328</v>
      </c>
      <c r="AC85" s="130">
        <f t="shared" si="12"/>
        <v>1.0319999999999999E-3</v>
      </c>
      <c r="AD85" s="131">
        <f t="shared" si="13"/>
        <v>44328</v>
      </c>
      <c r="AE85" s="132" t="s">
        <v>403</v>
      </c>
      <c r="AF85" s="119"/>
    </row>
    <row r="86" spans="1:32" ht="12" customHeight="1">
      <c r="A86" s="150">
        <v>44328</v>
      </c>
      <c r="B86" s="151" t="s">
        <v>497</v>
      </c>
      <c r="C86" s="151"/>
      <c r="D86" s="151"/>
      <c r="E86" s="151"/>
      <c r="F86" s="151"/>
      <c r="G86" s="151"/>
      <c r="H86" s="122" t="s">
        <v>446</v>
      </c>
      <c r="I86" s="121" t="s">
        <v>469</v>
      </c>
      <c r="J86" s="122" t="s">
        <v>471</v>
      </c>
      <c r="K86" s="123">
        <v>100</v>
      </c>
      <c r="L86" s="124">
        <v>57.5</v>
      </c>
      <c r="M86" s="125">
        <f t="shared" si="38"/>
        <v>0</v>
      </c>
      <c r="N86" s="125">
        <f t="shared" si="83"/>
        <v>57.5</v>
      </c>
      <c r="O86" s="125"/>
      <c r="P86" s="125">
        <f t="shared" si="2"/>
        <v>5750</v>
      </c>
      <c r="Q86" s="126">
        <f t="shared" si="3"/>
        <v>0.06</v>
      </c>
      <c r="R86" s="126">
        <f t="shared" si="74"/>
        <v>0</v>
      </c>
      <c r="S86" s="126">
        <f t="shared" si="35"/>
        <v>0.04</v>
      </c>
      <c r="T86" s="126">
        <f t="shared" si="61"/>
        <v>5.75</v>
      </c>
      <c r="U86" s="126">
        <v>0</v>
      </c>
      <c r="V86" s="126">
        <f t="shared" si="75"/>
        <v>0.2</v>
      </c>
      <c r="W86" s="126">
        <f t="shared" si="79"/>
        <v>0.01</v>
      </c>
      <c r="X86" s="126">
        <f t="shared" si="9"/>
        <v>6</v>
      </c>
      <c r="Y86" s="127">
        <f t="shared" si="84"/>
        <v>5744</v>
      </c>
      <c r="Z86" s="128">
        <v>5744</v>
      </c>
      <c r="AA86" s="129">
        <f t="shared" si="47"/>
        <v>0</v>
      </c>
      <c r="AB86" s="120">
        <v>44328</v>
      </c>
      <c r="AC86" s="130">
        <f t="shared" si="12"/>
        <v>1.0430000000000001E-3</v>
      </c>
      <c r="AD86" s="131">
        <f t="shared" si="13"/>
        <v>44328</v>
      </c>
      <c r="AE86" s="132" t="s">
        <v>403</v>
      </c>
      <c r="AF86" s="119"/>
    </row>
    <row r="87" spans="1:32" ht="12" customHeight="1">
      <c r="A87" s="148">
        <v>44328</v>
      </c>
      <c r="B87" s="149" t="s">
        <v>486</v>
      </c>
      <c r="C87" s="149"/>
      <c r="D87" s="149"/>
      <c r="E87" s="149"/>
      <c r="F87" s="149"/>
      <c r="G87" s="149"/>
      <c r="H87" s="135" t="s">
        <v>453</v>
      </c>
      <c r="I87" s="134" t="s">
        <v>469</v>
      </c>
      <c r="J87" s="135" t="s">
        <v>471</v>
      </c>
      <c r="K87" s="136">
        <v>5</v>
      </c>
      <c r="L87" s="137">
        <v>525</v>
      </c>
      <c r="M87" s="138">
        <f t="shared" si="38"/>
        <v>0</v>
      </c>
      <c r="N87" s="138">
        <f t="shared" ref="N87:N89" si="85">L87+M87</f>
        <v>525</v>
      </c>
      <c r="O87" s="138"/>
      <c r="P87" s="138">
        <f t="shared" si="2"/>
        <v>2625</v>
      </c>
      <c r="Q87" s="139">
        <f t="shared" si="3"/>
        <v>0.626</v>
      </c>
      <c r="R87" s="139">
        <f t="shared" si="74"/>
        <v>0</v>
      </c>
      <c r="S87" s="139">
        <f t="shared" si="35"/>
        <v>0.02</v>
      </c>
      <c r="T87" s="139">
        <f t="shared" si="61"/>
        <v>2.63</v>
      </c>
      <c r="U87" s="139">
        <f t="shared" ref="U87:U89" si="86">ROUND(P87*K$1812,2)</f>
        <v>0.39</v>
      </c>
      <c r="V87" s="139">
        <f t="shared" si="75"/>
        <v>0.09</v>
      </c>
      <c r="W87" s="139">
        <f t="shared" si="79"/>
        <v>0</v>
      </c>
      <c r="X87" s="140">
        <f t="shared" si="9"/>
        <v>3.13</v>
      </c>
      <c r="Y87" s="141">
        <f t="shared" ref="Y87:Y89" si="87">-ROUND(P87+SUM(R87:W87),2)</f>
        <v>-2628.13</v>
      </c>
      <c r="Z87" s="142">
        <v>-2628</v>
      </c>
      <c r="AA87" s="143">
        <f t="shared" si="47"/>
        <v>0.13000000000010914</v>
      </c>
      <c r="AB87" s="133">
        <v>44333</v>
      </c>
      <c r="AC87" s="144">
        <f t="shared" si="12"/>
        <v>1.1919999999999999E-3</v>
      </c>
      <c r="AD87" s="145">
        <f t="shared" si="13"/>
        <v>44333</v>
      </c>
      <c r="AE87" s="146" t="s">
        <v>403</v>
      </c>
      <c r="AF87" s="119"/>
    </row>
    <row r="88" spans="1:32" ht="12" customHeight="1">
      <c r="A88" s="148">
        <v>44328</v>
      </c>
      <c r="B88" s="149" t="s">
        <v>503</v>
      </c>
      <c r="C88" s="149"/>
      <c r="D88" s="149"/>
      <c r="E88" s="149"/>
      <c r="F88" s="149"/>
      <c r="G88" s="149"/>
      <c r="H88" s="135" t="s">
        <v>453</v>
      </c>
      <c r="I88" s="134" t="s">
        <v>469</v>
      </c>
      <c r="J88" s="135" t="s">
        <v>471</v>
      </c>
      <c r="K88" s="136">
        <v>100</v>
      </c>
      <c r="L88" s="137">
        <v>104.5</v>
      </c>
      <c r="M88" s="138">
        <f t="shared" si="38"/>
        <v>0</v>
      </c>
      <c r="N88" s="138">
        <f t="shared" si="85"/>
        <v>104.5</v>
      </c>
      <c r="O88" s="138"/>
      <c r="P88" s="138">
        <f t="shared" si="2"/>
        <v>10450</v>
      </c>
      <c r="Q88" s="139">
        <f t="shared" si="3"/>
        <v>0.12369999999999999</v>
      </c>
      <c r="R88" s="139">
        <f t="shared" si="74"/>
        <v>0</v>
      </c>
      <c r="S88" s="139">
        <f t="shared" si="35"/>
        <v>0.05</v>
      </c>
      <c r="T88" s="139">
        <f t="shared" si="61"/>
        <v>10.45</v>
      </c>
      <c r="U88" s="139">
        <f t="shared" si="86"/>
        <v>1.57</v>
      </c>
      <c r="V88" s="139">
        <f>ROUND(P88*L$1809,2)</f>
        <v>0.28999999999999998</v>
      </c>
      <c r="W88" s="139">
        <f t="shared" si="79"/>
        <v>0.01</v>
      </c>
      <c r="X88" s="140">
        <f t="shared" si="9"/>
        <v>12.37</v>
      </c>
      <c r="Y88" s="141">
        <f t="shared" si="87"/>
        <v>-10462.370000000001</v>
      </c>
      <c r="Z88" s="142">
        <v>-10462</v>
      </c>
      <c r="AA88" s="143">
        <f t="shared" si="47"/>
        <v>0.37000000000080036</v>
      </c>
      <c r="AB88" s="133">
        <v>44333</v>
      </c>
      <c r="AC88" s="144">
        <f t="shared" si="12"/>
        <v>1.1839999999999999E-3</v>
      </c>
      <c r="AD88" s="145">
        <f t="shared" si="13"/>
        <v>44333</v>
      </c>
      <c r="AE88" s="146" t="s">
        <v>403</v>
      </c>
      <c r="AF88" s="119"/>
    </row>
    <row r="89" spans="1:32" ht="12" customHeight="1">
      <c r="A89" s="148">
        <v>44330</v>
      </c>
      <c r="B89" s="149" t="s">
        <v>504</v>
      </c>
      <c r="C89" s="149"/>
      <c r="D89" s="149"/>
      <c r="E89" s="149"/>
      <c r="F89" s="149"/>
      <c r="G89" s="149"/>
      <c r="H89" s="135" t="s">
        <v>453</v>
      </c>
      <c r="I89" s="134" t="s">
        <v>469</v>
      </c>
      <c r="J89" s="135" t="s">
        <v>471</v>
      </c>
      <c r="K89" s="136">
        <v>50</v>
      </c>
      <c r="L89" s="137">
        <v>326.5</v>
      </c>
      <c r="M89" s="138">
        <f t="shared" si="38"/>
        <v>0</v>
      </c>
      <c r="N89" s="138">
        <f t="shared" si="85"/>
        <v>326.5</v>
      </c>
      <c r="O89" s="138"/>
      <c r="P89" s="138">
        <f t="shared" si="2"/>
        <v>16325</v>
      </c>
      <c r="Q89" s="139">
        <f t="shared" si="3"/>
        <v>0.38919999999999993</v>
      </c>
      <c r="R89" s="139">
        <f t="shared" si="74"/>
        <v>0</v>
      </c>
      <c r="S89" s="139">
        <f t="shared" si="35"/>
        <v>0.1</v>
      </c>
      <c r="T89" s="139">
        <f t="shared" si="61"/>
        <v>16.329999999999998</v>
      </c>
      <c r="U89" s="139">
        <f t="shared" si="86"/>
        <v>2.4500000000000002</v>
      </c>
      <c r="V89" s="139">
        <f t="shared" ref="V89:V90" si="88">ROUND(P89*M$1809,2)</f>
        <v>0.56000000000000005</v>
      </c>
      <c r="W89" s="139">
        <f t="shared" si="79"/>
        <v>0.02</v>
      </c>
      <c r="X89" s="140">
        <f t="shared" si="9"/>
        <v>19.459999999999997</v>
      </c>
      <c r="Y89" s="141">
        <f t="shared" si="87"/>
        <v>-16344.46</v>
      </c>
      <c r="Z89" s="142">
        <v>-16344</v>
      </c>
      <c r="AA89" s="143">
        <f t="shared" si="47"/>
        <v>0.45999999999912689</v>
      </c>
      <c r="AB89" s="133">
        <v>44334</v>
      </c>
      <c r="AC89" s="144">
        <f t="shared" si="12"/>
        <v>1.1919999999999999E-3</v>
      </c>
      <c r="AD89" s="145">
        <f t="shared" si="13"/>
        <v>44334</v>
      </c>
      <c r="AE89" s="146" t="s">
        <v>403</v>
      </c>
      <c r="AF89" s="119"/>
    </row>
    <row r="90" spans="1:32" ht="12" customHeight="1">
      <c r="A90" s="150">
        <v>44330</v>
      </c>
      <c r="B90" s="151" t="s">
        <v>494</v>
      </c>
      <c r="C90" s="151"/>
      <c r="D90" s="151"/>
      <c r="E90" s="151"/>
      <c r="F90" s="151"/>
      <c r="G90" s="151"/>
      <c r="H90" s="122" t="s">
        <v>446</v>
      </c>
      <c r="I90" s="121" t="s">
        <v>469</v>
      </c>
      <c r="J90" s="122" t="s">
        <v>471</v>
      </c>
      <c r="K90" s="123">
        <v>25</v>
      </c>
      <c r="L90" s="124">
        <v>391</v>
      </c>
      <c r="M90" s="125">
        <f t="shared" si="38"/>
        <v>0</v>
      </c>
      <c r="N90" s="125">
        <f>L90-M90</f>
        <v>391</v>
      </c>
      <c r="O90" s="125"/>
      <c r="P90" s="125">
        <f t="shared" si="2"/>
        <v>9775</v>
      </c>
      <c r="Q90" s="126">
        <f t="shared" si="3"/>
        <v>0.40759999999999996</v>
      </c>
      <c r="R90" s="126">
        <f t="shared" si="74"/>
        <v>0</v>
      </c>
      <c r="S90" s="126">
        <f t="shared" si="35"/>
        <v>0.06</v>
      </c>
      <c r="T90" s="126">
        <f t="shared" si="61"/>
        <v>9.7799999999999994</v>
      </c>
      <c r="U90" s="126">
        <v>0</v>
      </c>
      <c r="V90" s="126">
        <f t="shared" si="88"/>
        <v>0.34</v>
      </c>
      <c r="W90" s="126">
        <f t="shared" si="79"/>
        <v>0.01</v>
      </c>
      <c r="X90" s="126">
        <f t="shared" si="9"/>
        <v>10.19</v>
      </c>
      <c r="Y90" s="127">
        <f>ROUND(P90-SUM(R90:W90),2)</f>
        <v>9764.81</v>
      </c>
      <c r="Z90" s="128">
        <v>9765</v>
      </c>
      <c r="AA90" s="129">
        <f t="shared" si="47"/>
        <v>0.19000000000050932</v>
      </c>
      <c r="AB90" s="120">
        <v>44330</v>
      </c>
      <c r="AC90" s="130">
        <f t="shared" si="12"/>
        <v>1.042E-3</v>
      </c>
      <c r="AD90" s="131">
        <f t="shared" si="13"/>
        <v>44330</v>
      </c>
      <c r="AE90" s="132" t="s">
        <v>403</v>
      </c>
      <c r="AF90" s="119"/>
    </row>
    <row r="91" spans="1:32" ht="12" customHeight="1">
      <c r="A91" s="148">
        <v>44333</v>
      </c>
      <c r="B91" s="149" t="s">
        <v>496</v>
      </c>
      <c r="C91" s="149"/>
      <c r="D91" s="149"/>
      <c r="E91" s="149"/>
      <c r="F91" s="149"/>
      <c r="G91" s="149"/>
      <c r="H91" s="135" t="s">
        <v>453</v>
      </c>
      <c r="I91" s="134" t="s">
        <v>469</v>
      </c>
      <c r="J91" s="135" t="s">
        <v>471</v>
      </c>
      <c r="K91" s="136">
        <v>50</v>
      </c>
      <c r="L91" s="137">
        <v>135.5</v>
      </c>
      <c r="M91" s="138">
        <f t="shared" si="38"/>
        <v>0</v>
      </c>
      <c r="N91" s="138">
        <f>L91+M91</f>
        <v>135.5</v>
      </c>
      <c r="O91" s="138"/>
      <c r="P91" s="138">
        <f t="shared" si="2"/>
        <v>6775</v>
      </c>
      <c r="Q91" s="139">
        <f t="shared" si="3"/>
        <v>0.16039999999999999</v>
      </c>
      <c r="R91" s="139">
        <f t="shared" si="74"/>
        <v>0</v>
      </c>
      <c r="S91" s="139">
        <f t="shared" si="35"/>
        <v>0.03</v>
      </c>
      <c r="T91" s="139">
        <f t="shared" si="61"/>
        <v>6.78</v>
      </c>
      <c r="U91" s="139">
        <f>ROUND(P91*K$1812,2)</f>
        <v>1.02</v>
      </c>
      <c r="V91" s="139">
        <f>ROUND(P91*L$1809,2)</f>
        <v>0.19</v>
      </c>
      <c r="W91" s="139">
        <f t="shared" ref="W91:W93" si="89">ROUND(P91*I$1815,2)</f>
        <v>0</v>
      </c>
      <c r="X91" s="140">
        <f t="shared" si="9"/>
        <v>8.02</v>
      </c>
      <c r="Y91" s="141">
        <f>-ROUND(P91+SUM(R91:W91),2)</f>
        <v>-6783.02</v>
      </c>
      <c r="Z91" s="142">
        <v>-6783</v>
      </c>
      <c r="AA91" s="143">
        <f t="shared" si="47"/>
        <v>2.0000000000436557E-2</v>
      </c>
      <c r="AB91" s="133">
        <v>44335</v>
      </c>
      <c r="AC91" s="144">
        <f t="shared" si="12"/>
        <v>1.1839999999999999E-3</v>
      </c>
      <c r="AD91" s="145">
        <f t="shared" si="13"/>
        <v>44335</v>
      </c>
      <c r="AE91" s="146" t="s">
        <v>403</v>
      </c>
      <c r="AF91" s="119"/>
    </row>
    <row r="92" spans="1:32" ht="12" customHeight="1">
      <c r="A92" s="150">
        <v>44333</v>
      </c>
      <c r="B92" s="151" t="s">
        <v>479</v>
      </c>
      <c r="C92" s="151"/>
      <c r="D92" s="151"/>
      <c r="E92" s="151"/>
      <c r="F92" s="151"/>
      <c r="G92" s="151"/>
      <c r="H92" s="122" t="s">
        <v>446</v>
      </c>
      <c r="I92" s="121" t="s">
        <v>469</v>
      </c>
      <c r="J92" s="122" t="s">
        <v>471</v>
      </c>
      <c r="K92" s="123">
        <v>100</v>
      </c>
      <c r="L92" s="124">
        <v>379</v>
      </c>
      <c r="M92" s="125">
        <f t="shared" si="38"/>
        <v>0</v>
      </c>
      <c r="N92" s="125">
        <f>L92-M92</f>
        <v>379</v>
      </c>
      <c r="O92" s="125"/>
      <c r="P92" s="125">
        <f t="shared" si="2"/>
        <v>37900</v>
      </c>
      <c r="Q92" s="126">
        <f t="shared" si="3"/>
        <v>0.39450000000000002</v>
      </c>
      <c r="R92" s="126">
        <f t="shared" si="74"/>
        <v>0</v>
      </c>
      <c r="S92" s="126">
        <f t="shared" si="35"/>
        <v>0.24</v>
      </c>
      <c r="T92" s="126">
        <f t="shared" si="61"/>
        <v>37.9</v>
      </c>
      <c r="U92" s="126">
        <v>0</v>
      </c>
      <c r="V92" s="126">
        <f t="shared" ref="V92:V95" si="90">ROUND(P92*M$1809,2)</f>
        <v>1.31</v>
      </c>
      <c r="W92" s="126">
        <f t="shared" si="89"/>
        <v>0</v>
      </c>
      <c r="X92" s="126">
        <f t="shared" si="9"/>
        <v>39.450000000000003</v>
      </c>
      <c r="Y92" s="127">
        <f>ROUND(P92-SUM(R92:W92),2)</f>
        <v>37860.550000000003</v>
      </c>
      <c r="Z92" s="128">
        <v>37861</v>
      </c>
      <c r="AA92" s="129">
        <f t="shared" si="47"/>
        <v>0.44999999999708962</v>
      </c>
      <c r="AB92" s="120">
        <v>44335</v>
      </c>
      <c r="AC92" s="130">
        <f t="shared" si="12"/>
        <v>1.041E-3</v>
      </c>
      <c r="AD92" s="131">
        <f t="shared" si="13"/>
        <v>44335</v>
      </c>
      <c r="AE92" s="132" t="s">
        <v>403</v>
      </c>
      <c r="AF92" s="119"/>
    </row>
    <row r="93" spans="1:32" ht="12" customHeight="1">
      <c r="A93" s="148">
        <v>44334</v>
      </c>
      <c r="B93" s="149" t="s">
        <v>505</v>
      </c>
      <c r="C93" s="149"/>
      <c r="D93" s="149"/>
      <c r="E93" s="149"/>
      <c r="F93" s="149"/>
      <c r="G93" s="149"/>
      <c r="H93" s="135" t="s">
        <v>453</v>
      </c>
      <c r="I93" s="134" t="s">
        <v>469</v>
      </c>
      <c r="J93" s="135" t="s">
        <v>471</v>
      </c>
      <c r="K93" s="136">
        <v>10</v>
      </c>
      <c r="L93" s="137">
        <v>1462</v>
      </c>
      <c r="M93" s="138">
        <f t="shared" si="38"/>
        <v>0</v>
      </c>
      <c r="N93" s="138">
        <f t="shared" ref="N93:N95" si="91">L93+M93</f>
        <v>1462</v>
      </c>
      <c r="O93" s="138"/>
      <c r="P93" s="138">
        <f t="shared" si="2"/>
        <v>14620</v>
      </c>
      <c r="Q93" s="139">
        <f t="shared" si="3"/>
        <v>1.7399999999999998</v>
      </c>
      <c r="R93" s="139">
        <f t="shared" si="74"/>
        <v>0</v>
      </c>
      <c r="S93" s="139">
        <f t="shared" si="35"/>
        <v>0.09</v>
      </c>
      <c r="T93" s="139">
        <f t="shared" si="61"/>
        <v>14.62</v>
      </c>
      <c r="U93" s="139">
        <f t="shared" ref="U93:U95" si="92">ROUND(P93*K$1812,2)</f>
        <v>2.19</v>
      </c>
      <c r="V93" s="139">
        <f t="shared" si="90"/>
        <v>0.5</v>
      </c>
      <c r="W93" s="139">
        <f t="shared" si="89"/>
        <v>0</v>
      </c>
      <c r="X93" s="140">
        <f t="shared" si="9"/>
        <v>17.399999999999999</v>
      </c>
      <c r="Y93" s="141">
        <f t="shared" ref="Y93:Y95" si="93">-ROUND(P93+SUM(R93:W93),2)</f>
        <v>-14637.4</v>
      </c>
      <c r="Z93" s="142">
        <v>-14637</v>
      </c>
      <c r="AA93" s="143">
        <f t="shared" si="47"/>
        <v>0.3999999999996362</v>
      </c>
      <c r="AB93" s="133">
        <v>44336</v>
      </c>
      <c r="AC93" s="144">
        <f t="shared" si="12"/>
        <v>1.1900000000000001E-3</v>
      </c>
      <c r="AD93" s="145">
        <f t="shared" si="13"/>
        <v>44336</v>
      </c>
      <c r="AE93" s="146" t="s">
        <v>403</v>
      </c>
      <c r="AF93" s="119"/>
    </row>
    <row r="94" spans="1:32" ht="12" customHeight="1">
      <c r="A94" s="148">
        <v>44334</v>
      </c>
      <c r="B94" s="149" t="s">
        <v>506</v>
      </c>
      <c r="C94" s="149"/>
      <c r="D94" s="149"/>
      <c r="E94" s="149"/>
      <c r="F94" s="149"/>
      <c r="G94" s="149"/>
      <c r="H94" s="135" t="s">
        <v>453</v>
      </c>
      <c r="I94" s="134" t="s">
        <v>469</v>
      </c>
      <c r="J94" s="135" t="s">
        <v>471</v>
      </c>
      <c r="K94" s="136">
        <v>100</v>
      </c>
      <c r="L94" s="137">
        <v>144.5</v>
      </c>
      <c r="M94" s="138">
        <f t="shared" si="38"/>
        <v>0</v>
      </c>
      <c r="N94" s="138">
        <f t="shared" si="91"/>
        <v>144.5</v>
      </c>
      <c r="O94" s="138"/>
      <c r="P94" s="138">
        <f t="shared" si="2"/>
        <v>14450</v>
      </c>
      <c r="Q94" s="139">
        <f t="shared" si="3"/>
        <v>0.17220000000000002</v>
      </c>
      <c r="R94" s="139">
        <f t="shared" si="74"/>
        <v>0</v>
      </c>
      <c r="S94" s="139">
        <f t="shared" si="35"/>
        <v>0.09</v>
      </c>
      <c r="T94" s="139">
        <f t="shared" si="61"/>
        <v>14.45</v>
      </c>
      <c r="U94" s="139">
        <f t="shared" si="92"/>
        <v>2.17</v>
      </c>
      <c r="V94" s="139">
        <f t="shared" si="90"/>
        <v>0.5</v>
      </c>
      <c r="W94" s="139">
        <f>ROUND(P94*J$1815,2)</f>
        <v>0.01</v>
      </c>
      <c r="X94" s="140">
        <f t="shared" si="9"/>
        <v>17.220000000000002</v>
      </c>
      <c r="Y94" s="141">
        <f t="shared" si="93"/>
        <v>-14467.22</v>
      </c>
      <c r="Z94" s="142">
        <v>-14467</v>
      </c>
      <c r="AA94" s="143">
        <f t="shared" si="47"/>
        <v>0.21999999999934516</v>
      </c>
      <c r="AB94" s="133">
        <v>44336</v>
      </c>
      <c r="AC94" s="144">
        <f t="shared" si="12"/>
        <v>1.1919999999999999E-3</v>
      </c>
      <c r="AD94" s="145">
        <f t="shared" si="13"/>
        <v>44336</v>
      </c>
      <c r="AE94" s="146" t="s">
        <v>403</v>
      </c>
      <c r="AF94" s="119"/>
    </row>
    <row r="95" spans="1:32" ht="12" customHeight="1">
      <c r="A95" s="148">
        <v>44334</v>
      </c>
      <c r="B95" s="149" t="s">
        <v>487</v>
      </c>
      <c r="C95" s="149"/>
      <c r="D95" s="149"/>
      <c r="E95" s="149"/>
      <c r="F95" s="149"/>
      <c r="G95" s="149"/>
      <c r="H95" s="135" t="s">
        <v>453</v>
      </c>
      <c r="I95" s="134" t="s">
        <v>469</v>
      </c>
      <c r="J95" s="135" t="s">
        <v>471</v>
      </c>
      <c r="K95" s="136">
        <v>25</v>
      </c>
      <c r="L95" s="137">
        <v>630</v>
      </c>
      <c r="M95" s="138">
        <f t="shared" si="38"/>
        <v>0</v>
      </c>
      <c r="N95" s="138">
        <f t="shared" si="91"/>
        <v>630</v>
      </c>
      <c r="O95" s="138"/>
      <c r="P95" s="138">
        <f t="shared" si="2"/>
        <v>15750</v>
      </c>
      <c r="Q95" s="139">
        <f t="shared" si="3"/>
        <v>0.75</v>
      </c>
      <c r="R95" s="139">
        <f t="shared" si="74"/>
        <v>0</v>
      </c>
      <c r="S95" s="139">
        <f t="shared" si="35"/>
        <v>0.1</v>
      </c>
      <c r="T95" s="139">
        <f t="shared" si="61"/>
        <v>15.75</v>
      </c>
      <c r="U95" s="139">
        <f t="shared" si="92"/>
        <v>2.36</v>
      </c>
      <c r="V95" s="139">
        <f t="shared" si="90"/>
        <v>0.54</v>
      </c>
      <c r="W95" s="139">
        <f t="shared" ref="W95:W96" si="94">ROUND(P95*I$1815,2)</f>
        <v>0</v>
      </c>
      <c r="X95" s="140">
        <f t="shared" si="9"/>
        <v>18.75</v>
      </c>
      <c r="Y95" s="141">
        <f t="shared" si="93"/>
        <v>-15768.75</v>
      </c>
      <c r="Z95" s="142">
        <v>-15769</v>
      </c>
      <c r="AA95" s="143">
        <f t="shared" si="47"/>
        <v>-0.25</v>
      </c>
      <c r="AB95" s="133">
        <v>44336</v>
      </c>
      <c r="AC95" s="144">
        <f t="shared" si="12"/>
        <v>1.1900000000000001E-3</v>
      </c>
      <c r="AD95" s="145">
        <f t="shared" si="13"/>
        <v>44336</v>
      </c>
      <c r="AE95" s="146" t="s">
        <v>403</v>
      </c>
      <c r="AF95" s="119"/>
    </row>
    <row r="96" spans="1:32" ht="12" customHeight="1">
      <c r="A96" s="150">
        <v>44334</v>
      </c>
      <c r="B96" s="151" t="s">
        <v>496</v>
      </c>
      <c r="C96" s="151"/>
      <c r="D96" s="151"/>
      <c r="E96" s="151"/>
      <c r="F96" s="151"/>
      <c r="G96" s="151"/>
      <c r="H96" s="122" t="s">
        <v>446</v>
      </c>
      <c r="I96" s="121" t="s">
        <v>469</v>
      </c>
      <c r="J96" s="122" t="s">
        <v>471</v>
      </c>
      <c r="K96" s="123">
        <v>50</v>
      </c>
      <c r="L96" s="124">
        <v>139.30000000000001</v>
      </c>
      <c r="M96" s="125">
        <f t="shared" si="38"/>
        <v>0</v>
      </c>
      <c r="N96" s="125">
        <f t="shared" ref="N96:N101" si="95">L96-M96</f>
        <v>139.30000000000001</v>
      </c>
      <c r="O96" s="125"/>
      <c r="P96" s="125">
        <f t="shared" si="2"/>
        <v>6965</v>
      </c>
      <c r="Q96" s="126">
        <f t="shared" si="3"/>
        <v>0.14380000000000001</v>
      </c>
      <c r="R96" s="126">
        <f t="shared" si="74"/>
        <v>0</v>
      </c>
      <c r="S96" s="126">
        <f t="shared" si="35"/>
        <v>0.03</v>
      </c>
      <c r="T96" s="126">
        <f t="shared" si="61"/>
        <v>6.97</v>
      </c>
      <c r="U96" s="126">
        <v>0</v>
      </c>
      <c r="V96" s="126">
        <f t="shared" ref="V96:V99" si="96">ROUND(P96*L$1809,2)</f>
        <v>0.19</v>
      </c>
      <c r="W96" s="126">
        <f t="shared" si="94"/>
        <v>0</v>
      </c>
      <c r="X96" s="126">
        <f t="shared" si="9"/>
        <v>7.19</v>
      </c>
      <c r="Y96" s="127">
        <f t="shared" ref="Y96:Y101" si="97">ROUND(P96-SUM(R96:W96),2)</f>
        <v>6957.81</v>
      </c>
      <c r="Z96" s="128">
        <v>6958</v>
      </c>
      <c r="AA96" s="129">
        <f t="shared" si="47"/>
        <v>0.18999999999959982</v>
      </c>
      <c r="AB96" s="120">
        <v>44336</v>
      </c>
      <c r="AC96" s="130">
        <f t="shared" si="12"/>
        <v>1.0319999999999999E-3</v>
      </c>
      <c r="AD96" s="131">
        <f t="shared" si="13"/>
        <v>44336</v>
      </c>
      <c r="AE96" s="132" t="s">
        <v>403</v>
      </c>
      <c r="AF96" s="119"/>
    </row>
    <row r="97" spans="1:32" ht="12" customHeight="1">
      <c r="A97" s="150">
        <v>44334</v>
      </c>
      <c r="B97" s="151" t="s">
        <v>501</v>
      </c>
      <c r="C97" s="151"/>
      <c r="D97" s="151"/>
      <c r="E97" s="151"/>
      <c r="F97" s="151"/>
      <c r="G97" s="151"/>
      <c r="H97" s="122" t="s">
        <v>446</v>
      </c>
      <c r="I97" s="121" t="s">
        <v>469</v>
      </c>
      <c r="J97" s="122" t="s">
        <v>471</v>
      </c>
      <c r="K97" s="123">
        <v>20</v>
      </c>
      <c r="L97" s="124">
        <v>560</v>
      </c>
      <c r="M97" s="125">
        <f t="shared" si="38"/>
        <v>0</v>
      </c>
      <c r="N97" s="125">
        <f t="shared" si="95"/>
        <v>560</v>
      </c>
      <c r="O97" s="125"/>
      <c r="P97" s="125">
        <f t="shared" si="2"/>
        <v>11200</v>
      </c>
      <c r="Q97" s="126">
        <f t="shared" si="3"/>
        <v>0.57899999999999996</v>
      </c>
      <c r="R97" s="126">
        <f t="shared" si="74"/>
        <v>0</v>
      </c>
      <c r="S97" s="126">
        <f t="shared" si="35"/>
        <v>0.06</v>
      </c>
      <c r="T97" s="126">
        <f t="shared" si="61"/>
        <v>11.2</v>
      </c>
      <c r="U97" s="126">
        <v>0</v>
      </c>
      <c r="V97" s="126">
        <f t="shared" si="96"/>
        <v>0.31</v>
      </c>
      <c r="W97" s="126">
        <f>ROUND(P97*J$1815,2)</f>
        <v>0.01</v>
      </c>
      <c r="X97" s="126">
        <f t="shared" si="9"/>
        <v>11.58</v>
      </c>
      <c r="Y97" s="127">
        <f t="shared" si="97"/>
        <v>11188.42</v>
      </c>
      <c r="Z97" s="128">
        <v>11188</v>
      </c>
      <c r="AA97" s="129">
        <f t="shared" si="47"/>
        <v>-0.42000000000007276</v>
      </c>
      <c r="AB97" s="120">
        <v>44336</v>
      </c>
      <c r="AC97" s="130">
        <f t="shared" si="12"/>
        <v>1.034E-3</v>
      </c>
      <c r="AD97" s="131">
        <f t="shared" si="13"/>
        <v>44336</v>
      </c>
      <c r="AE97" s="132" t="s">
        <v>403</v>
      </c>
      <c r="AF97" s="119"/>
    </row>
    <row r="98" spans="1:32" ht="12" customHeight="1">
      <c r="A98" s="150">
        <v>44334</v>
      </c>
      <c r="B98" s="151" t="s">
        <v>484</v>
      </c>
      <c r="C98" s="151"/>
      <c r="D98" s="151"/>
      <c r="E98" s="151"/>
      <c r="F98" s="151"/>
      <c r="G98" s="151"/>
      <c r="H98" s="122" t="s">
        <v>446</v>
      </c>
      <c r="I98" s="121" t="s">
        <v>469</v>
      </c>
      <c r="J98" s="122" t="s">
        <v>471</v>
      </c>
      <c r="K98" s="123">
        <v>2</v>
      </c>
      <c r="L98" s="124">
        <v>5650</v>
      </c>
      <c r="M98" s="125">
        <f t="shared" si="38"/>
        <v>0</v>
      </c>
      <c r="N98" s="125">
        <f t="shared" si="95"/>
        <v>5650</v>
      </c>
      <c r="O98" s="125"/>
      <c r="P98" s="125">
        <f t="shared" si="2"/>
        <v>11300</v>
      </c>
      <c r="Q98" s="126">
        <f t="shared" si="3"/>
        <v>5.8350000000000009</v>
      </c>
      <c r="R98" s="126">
        <f t="shared" si="74"/>
        <v>0</v>
      </c>
      <c r="S98" s="126">
        <f t="shared" si="35"/>
        <v>0.06</v>
      </c>
      <c r="T98" s="126">
        <f t="shared" si="61"/>
        <v>11.3</v>
      </c>
      <c r="U98" s="126">
        <v>0</v>
      </c>
      <c r="V98" s="126">
        <f t="shared" si="96"/>
        <v>0.31</v>
      </c>
      <c r="W98" s="126">
        <f t="shared" ref="W98:W212" si="98">ROUND(P98*I$1815,2)</f>
        <v>0</v>
      </c>
      <c r="X98" s="126">
        <f t="shared" si="9"/>
        <v>11.670000000000002</v>
      </c>
      <c r="Y98" s="127">
        <f t="shared" si="97"/>
        <v>11288.33</v>
      </c>
      <c r="Z98" s="128">
        <v>11288</v>
      </c>
      <c r="AA98" s="129">
        <f t="shared" si="47"/>
        <v>-0.32999999999992724</v>
      </c>
      <c r="AB98" s="120">
        <v>44336</v>
      </c>
      <c r="AC98" s="130">
        <f t="shared" si="12"/>
        <v>1.0330000000000001E-3</v>
      </c>
      <c r="AD98" s="131">
        <f t="shared" si="13"/>
        <v>44336</v>
      </c>
      <c r="AE98" s="132" t="s">
        <v>403</v>
      </c>
      <c r="AF98" s="119"/>
    </row>
    <row r="99" spans="1:32" ht="12" customHeight="1">
      <c r="A99" s="150">
        <v>44334</v>
      </c>
      <c r="B99" s="151" t="s">
        <v>480</v>
      </c>
      <c r="C99" s="151"/>
      <c r="D99" s="151"/>
      <c r="E99" s="151"/>
      <c r="F99" s="151"/>
      <c r="G99" s="151"/>
      <c r="H99" s="122" t="s">
        <v>446</v>
      </c>
      <c r="I99" s="121" t="s">
        <v>469</v>
      </c>
      <c r="J99" s="122" t="s">
        <v>471</v>
      </c>
      <c r="K99" s="123">
        <v>100</v>
      </c>
      <c r="L99" s="124">
        <v>150.6</v>
      </c>
      <c r="M99" s="125">
        <f t="shared" si="38"/>
        <v>0</v>
      </c>
      <c r="N99" s="125">
        <f t="shared" si="95"/>
        <v>150.6</v>
      </c>
      <c r="O99" s="125"/>
      <c r="P99" s="125">
        <f t="shared" si="2"/>
        <v>15060</v>
      </c>
      <c r="Q99" s="126">
        <f t="shared" si="3"/>
        <v>0.15540000000000001</v>
      </c>
      <c r="R99" s="126">
        <f t="shared" si="74"/>
        <v>0</v>
      </c>
      <c r="S99" s="126">
        <f t="shared" si="35"/>
        <v>7.0000000000000007E-2</v>
      </c>
      <c r="T99" s="126">
        <f t="shared" si="61"/>
        <v>15.06</v>
      </c>
      <c r="U99" s="126">
        <v>0</v>
      </c>
      <c r="V99" s="126">
        <f t="shared" si="96"/>
        <v>0.41</v>
      </c>
      <c r="W99" s="126">
        <f t="shared" si="98"/>
        <v>0</v>
      </c>
      <c r="X99" s="126">
        <f t="shared" si="9"/>
        <v>15.540000000000001</v>
      </c>
      <c r="Y99" s="127">
        <f t="shared" si="97"/>
        <v>15044.46</v>
      </c>
      <c r="Z99" s="128">
        <v>15044</v>
      </c>
      <c r="AA99" s="129">
        <f t="shared" si="47"/>
        <v>-0.45999999999912689</v>
      </c>
      <c r="AB99" s="120">
        <v>44336</v>
      </c>
      <c r="AC99" s="130">
        <f t="shared" si="12"/>
        <v>1.0319999999999999E-3</v>
      </c>
      <c r="AD99" s="131">
        <f t="shared" si="13"/>
        <v>44336</v>
      </c>
      <c r="AE99" s="132" t="s">
        <v>403</v>
      </c>
      <c r="AF99" s="119"/>
    </row>
    <row r="100" spans="1:32" ht="12" customHeight="1">
      <c r="A100" s="150">
        <v>44334</v>
      </c>
      <c r="B100" s="151" t="s">
        <v>499</v>
      </c>
      <c r="C100" s="151"/>
      <c r="D100" s="151"/>
      <c r="E100" s="151"/>
      <c r="F100" s="151"/>
      <c r="G100" s="151"/>
      <c r="H100" s="122" t="s">
        <v>446</v>
      </c>
      <c r="I100" s="121" t="s">
        <v>469</v>
      </c>
      <c r="J100" s="122" t="s">
        <v>471</v>
      </c>
      <c r="K100" s="123">
        <v>10</v>
      </c>
      <c r="L100" s="124">
        <v>1465</v>
      </c>
      <c r="M100" s="125">
        <f t="shared" si="38"/>
        <v>0</v>
      </c>
      <c r="N100" s="125">
        <f t="shared" si="95"/>
        <v>1465</v>
      </c>
      <c r="O100" s="125"/>
      <c r="P100" s="125">
        <f t="shared" si="2"/>
        <v>14650</v>
      </c>
      <c r="Q100" s="126">
        <f t="shared" si="3"/>
        <v>1.5249999999999999</v>
      </c>
      <c r="R100" s="126">
        <f t="shared" si="74"/>
        <v>0</v>
      </c>
      <c r="S100" s="126">
        <f t="shared" si="35"/>
        <v>0.09</v>
      </c>
      <c r="T100" s="126">
        <f t="shared" si="61"/>
        <v>14.65</v>
      </c>
      <c r="U100" s="126">
        <v>0</v>
      </c>
      <c r="V100" s="126">
        <f t="shared" ref="V100:V101" si="99">ROUND(P100*M$1809,2)</f>
        <v>0.51</v>
      </c>
      <c r="W100" s="126">
        <f t="shared" si="98"/>
        <v>0</v>
      </c>
      <c r="X100" s="126">
        <f t="shared" si="9"/>
        <v>15.25</v>
      </c>
      <c r="Y100" s="127">
        <f t="shared" si="97"/>
        <v>14634.75</v>
      </c>
      <c r="Z100" s="128">
        <v>14635</v>
      </c>
      <c r="AA100" s="129">
        <f t="shared" si="47"/>
        <v>0.25</v>
      </c>
      <c r="AB100" s="120">
        <v>44336</v>
      </c>
      <c r="AC100" s="130">
        <f t="shared" si="12"/>
        <v>1.041E-3</v>
      </c>
      <c r="AD100" s="131">
        <f t="shared" si="13"/>
        <v>44336</v>
      </c>
      <c r="AE100" s="132" t="s">
        <v>403</v>
      </c>
      <c r="AF100" s="119"/>
    </row>
    <row r="101" spans="1:32" ht="12" customHeight="1">
      <c r="A101" s="150">
        <v>44334</v>
      </c>
      <c r="B101" s="151" t="s">
        <v>504</v>
      </c>
      <c r="C101" s="151"/>
      <c r="D101" s="151"/>
      <c r="E101" s="151"/>
      <c r="F101" s="151"/>
      <c r="G101" s="151"/>
      <c r="H101" s="122" t="s">
        <v>446</v>
      </c>
      <c r="I101" s="121" t="s">
        <v>469</v>
      </c>
      <c r="J101" s="122" t="s">
        <v>471</v>
      </c>
      <c r="K101" s="123">
        <v>50</v>
      </c>
      <c r="L101" s="124">
        <v>332.1</v>
      </c>
      <c r="M101" s="125">
        <f t="shared" si="38"/>
        <v>0</v>
      </c>
      <c r="N101" s="125">
        <f t="shared" si="95"/>
        <v>332.1</v>
      </c>
      <c r="O101" s="125"/>
      <c r="P101" s="125">
        <f t="shared" si="2"/>
        <v>16605</v>
      </c>
      <c r="Q101" s="126">
        <f t="shared" si="3"/>
        <v>0.34560000000000002</v>
      </c>
      <c r="R101" s="126">
        <f t="shared" si="74"/>
        <v>0</v>
      </c>
      <c r="S101" s="126">
        <f t="shared" si="35"/>
        <v>0.1</v>
      </c>
      <c r="T101" s="126">
        <f t="shared" si="61"/>
        <v>16.61</v>
      </c>
      <c r="U101" s="126">
        <v>0</v>
      </c>
      <c r="V101" s="126">
        <f t="shared" si="99"/>
        <v>0.56999999999999995</v>
      </c>
      <c r="W101" s="126">
        <f t="shared" si="98"/>
        <v>0</v>
      </c>
      <c r="X101" s="126">
        <f t="shared" si="9"/>
        <v>17.28</v>
      </c>
      <c r="Y101" s="127">
        <f t="shared" si="97"/>
        <v>16587.72</v>
      </c>
      <c r="Z101" s="128">
        <v>16588</v>
      </c>
      <c r="AA101" s="129">
        <f t="shared" si="47"/>
        <v>0.27999999999883585</v>
      </c>
      <c r="AB101" s="120">
        <v>44336</v>
      </c>
      <c r="AC101" s="130">
        <f t="shared" si="12"/>
        <v>1.041E-3</v>
      </c>
      <c r="AD101" s="131">
        <f t="shared" si="13"/>
        <v>44336</v>
      </c>
      <c r="AE101" s="132" t="s">
        <v>403</v>
      </c>
      <c r="AF101" s="119"/>
    </row>
    <row r="102" spans="1:32" ht="12" customHeight="1">
      <c r="A102" s="148">
        <v>44335</v>
      </c>
      <c r="B102" s="149" t="s">
        <v>507</v>
      </c>
      <c r="C102" s="149"/>
      <c r="D102" s="149"/>
      <c r="E102" s="149"/>
      <c r="F102" s="149"/>
      <c r="G102" s="149"/>
      <c r="H102" s="135" t="s">
        <v>453</v>
      </c>
      <c r="I102" s="134" t="s">
        <v>469</v>
      </c>
      <c r="J102" s="135" t="s">
        <v>471</v>
      </c>
      <c r="K102" s="136">
        <v>2500</v>
      </c>
      <c r="L102" s="137">
        <v>8.4</v>
      </c>
      <c r="M102" s="138">
        <f t="shared" si="38"/>
        <v>0</v>
      </c>
      <c r="N102" s="138">
        <f t="shared" ref="N102:N103" si="100">L102+M102</f>
        <v>8.4</v>
      </c>
      <c r="O102" s="138"/>
      <c r="P102" s="138">
        <f t="shared" si="2"/>
        <v>21000</v>
      </c>
      <c r="Q102" s="139">
        <f t="shared" si="3"/>
        <v>9.9319999999999999E-3</v>
      </c>
      <c r="R102" s="139">
        <f t="shared" si="74"/>
        <v>0</v>
      </c>
      <c r="S102" s="139">
        <f t="shared" si="35"/>
        <v>0.1</v>
      </c>
      <c r="T102" s="139">
        <f t="shared" si="61"/>
        <v>21</v>
      </c>
      <c r="U102" s="139">
        <f t="shared" ref="U102:U103" si="101">ROUND(P102*K$1812,2)</f>
        <v>3.15</v>
      </c>
      <c r="V102" s="139">
        <f t="shared" ref="V102:V103" si="102">ROUND(P102*L$1809,2)</f>
        <v>0.57999999999999996</v>
      </c>
      <c r="W102" s="139">
        <f t="shared" si="98"/>
        <v>0</v>
      </c>
      <c r="X102" s="140">
        <f t="shared" si="9"/>
        <v>24.83</v>
      </c>
      <c r="Y102" s="141">
        <f t="shared" ref="Y102:Y103" si="103">-ROUND(P102+SUM(R102:W102),2)</f>
        <v>-21024.83</v>
      </c>
      <c r="Z102" s="142">
        <v>-21025</v>
      </c>
      <c r="AA102" s="143">
        <f t="shared" si="47"/>
        <v>-0.16999999999825377</v>
      </c>
      <c r="AB102" s="133">
        <v>44337</v>
      </c>
      <c r="AC102" s="144">
        <f t="shared" si="12"/>
        <v>1.1820000000000001E-3</v>
      </c>
      <c r="AD102" s="145">
        <f t="shared" si="13"/>
        <v>44337</v>
      </c>
      <c r="AE102" s="146" t="s">
        <v>403</v>
      </c>
      <c r="AF102" s="119"/>
    </row>
    <row r="103" spans="1:32" ht="12" customHeight="1">
      <c r="A103" s="148">
        <v>44335</v>
      </c>
      <c r="B103" s="149" t="s">
        <v>460</v>
      </c>
      <c r="C103" s="149"/>
      <c r="D103" s="149"/>
      <c r="E103" s="149"/>
      <c r="F103" s="149"/>
      <c r="G103" s="149"/>
      <c r="H103" s="135" t="s">
        <v>453</v>
      </c>
      <c r="I103" s="134" t="s">
        <v>469</v>
      </c>
      <c r="J103" s="135" t="s">
        <v>471</v>
      </c>
      <c r="K103" s="136">
        <v>10</v>
      </c>
      <c r="L103" s="137">
        <v>2000</v>
      </c>
      <c r="M103" s="138">
        <f t="shared" si="38"/>
        <v>0</v>
      </c>
      <c r="N103" s="138">
        <f t="shared" si="100"/>
        <v>2000</v>
      </c>
      <c r="O103" s="138"/>
      <c r="P103" s="138">
        <f t="shared" si="2"/>
        <v>20000</v>
      </c>
      <c r="Q103" s="139">
        <f t="shared" si="3"/>
        <v>2.3650000000000002</v>
      </c>
      <c r="R103" s="139">
        <f t="shared" si="74"/>
        <v>0</v>
      </c>
      <c r="S103" s="139">
        <f t="shared" si="35"/>
        <v>0.1</v>
      </c>
      <c r="T103" s="139">
        <f t="shared" si="61"/>
        <v>20</v>
      </c>
      <c r="U103" s="139">
        <f t="shared" si="101"/>
        <v>3</v>
      </c>
      <c r="V103" s="139">
        <f t="shared" si="102"/>
        <v>0.55000000000000004</v>
      </c>
      <c r="W103" s="139">
        <f t="shared" si="98"/>
        <v>0</v>
      </c>
      <c r="X103" s="140">
        <f t="shared" si="9"/>
        <v>23.650000000000002</v>
      </c>
      <c r="Y103" s="141">
        <f t="shared" si="103"/>
        <v>-20023.650000000001</v>
      </c>
      <c r="Z103" s="142">
        <v>-20024</v>
      </c>
      <c r="AA103" s="143">
        <f t="shared" si="47"/>
        <v>-0.34999999999854481</v>
      </c>
      <c r="AB103" s="133">
        <v>44337</v>
      </c>
      <c r="AC103" s="144">
        <f t="shared" si="12"/>
        <v>1.183E-3</v>
      </c>
      <c r="AD103" s="145">
        <f t="shared" si="13"/>
        <v>44337</v>
      </c>
      <c r="AE103" s="146" t="s">
        <v>403</v>
      </c>
      <c r="AF103" s="119"/>
    </row>
    <row r="104" spans="1:32" ht="12" customHeight="1">
      <c r="A104" s="150">
        <v>44335</v>
      </c>
      <c r="B104" s="151" t="s">
        <v>486</v>
      </c>
      <c r="C104" s="151"/>
      <c r="D104" s="151"/>
      <c r="E104" s="151"/>
      <c r="F104" s="151"/>
      <c r="G104" s="151"/>
      <c r="H104" s="122" t="s">
        <v>446</v>
      </c>
      <c r="I104" s="121" t="s">
        <v>469</v>
      </c>
      <c r="J104" s="122" t="s">
        <v>471</v>
      </c>
      <c r="K104" s="123">
        <v>5</v>
      </c>
      <c r="L104" s="124">
        <v>549</v>
      </c>
      <c r="M104" s="125">
        <f t="shared" si="38"/>
        <v>0</v>
      </c>
      <c r="N104" s="125">
        <f t="shared" ref="N104:N105" si="104">L104-M104</f>
        <v>549</v>
      </c>
      <c r="O104" s="125"/>
      <c r="P104" s="125">
        <f t="shared" si="2"/>
        <v>2745</v>
      </c>
      <c r="Q104" s="126">
        <f t="shared" si="3"/>
        <v>0.57199999999999995</v>
      </c>
      <c r="R104" s="126">
        <f t="shared" si="74"/>
        <v>0</v>
      </c>
      <c r="S104" s="126">
        <f t="shared" si="35"/>
        <v>0.02</v>
      </c>
      <c r="T104" s="126">
        <f t="shared" si="61"/>
        <v>2.75</v>
      </c>
      <c r="U104" s="126">
        <v>0</v>
      </c>
      <c r="V104" s="126">
        <f>ROUND(P104*M$1809,2)</f>
        <v>0.09</v>
      </c>
      <c r="W104" s="126">
        <f t="shared" si="98"/>
        <v>0</v>
      </c>
      <c r="X104" s="126">
        <f t="shared" si="9"/>
        <v>2.86</v>
      </c>
      <c r="Y104" s="127">
        <f t="shared" ref="Y104:Y105" si="105">ROUND(P104-SUM(R104:W104),2)</f>
        <v>2742.14</v>
      </c>
      <c r="Z104" s="128">
        <v>2742</v>
      </c>
      <c r="AA104" s="129">
        <f t="shared" si="47"/>
        <v>-0.13999999999987267</v>
      </c>
      <c r="AB104" s="120">
        <v>44337</v>
      </c>
      <c r="AC104" s="130">
        <f t="shared" si="12"/>
        <v>1.042E-3</v>
      </c>
      <c r="AD104" s="131">
        <f t="shared" si="13"/>
        <v>44337</v>
      </c>
      <c r="AE104" s="132" t="s">
        <v>403</v>
      </c>
      <c r="AF104" s="119"/>
    </row>
    <row r="105" spans="1:32" ht="12" customHeight="1">
      <c r="A105" s="150">
        <v>44335</v>
      </c>
      <c r="B105" s="151" t="s">
        <v>485</v>
      </c>
      <c r="C105" s="151"/>
      <c r="D105" s="151"/>
      <c r="E105" s="151"/>
      <c r="F105" s="151"/>
      <c r="G105" s="151"/>
      <c r="H105" s="122" t="s">
        <v>446</v>
      </c>
      <c r="I105" s="121" t="s">
        <v>469</v>
      </c>
      <c r="J105" s="122" t="s">
        <v>471</v>
      </c>
      <c r="K105" s="123">
        <v>25</v>
      </c>
      <c r="L105" s="124">
        <v>270.5</v>
      </c>
      <c r="M105" s="125">
        <f t="shared" si="38"/>
        <v>0</v>
      </c>
      <c r="N105" s="125">
        <f t="shared" si="104"/>
        <v>270.5</v>
      </c>
      <c r="O105" s="125"/>
      <c r="P105" s="125">
        <f t="shared" si="2"/>
        <v>6762.5</v>
      </c>
      <c r="Q105" s="126">
        <f t="shared" si="3"/>
        <v>0.2792</v>
      </c>
      <c r="R105" s="126">
        <f t="shared" si="74"/>
        <v>0</v>
      </c>
      <c r="S105" s="126">
        <f t="shared" si="35"/>
        <v>0.03</v>
      </c>
      <c r="T105" s="126">
        <f t="shared" si="61"/>
        <v>6.76</v>
      </c>
      <c r="U105" s="126">
        <v>0</v>
      </c>
      <c r="V105" s="126">
        <f t="shared" ref="V105:V110" si="106">ROUND(P105*L$1809,2)</f>
        <v>0.19</v>
      </c>
      <c r="W105" s="126">
        <f t="shared" si="98"/>
        <v>0</v>
      </c>
      <c r="X105" s="126">
        <f t="shared" si="9"/>
        <v>6.98</v>
      </c>
      <c r="Y105" s="127">
        <f t="shared" si="105"/>
        <v>6755.52</v>
      </c>
      <c r="Z105" s="128">
        <v>6756</v>
      </c>
      <c r="AA105" s="129">
        <f t="shared" si="47"/>
        <v>0.47999999999956344</v>
      </c>
      <c r="AB105" s="120">
        <v>44337</v>
      </c>
      <c r="AC105" s="130">
        <f t="shared" si="12"/>
        <v>1.0319999999999999E-3</v>
      </c>
      <c r="AD105" s="131">
        <f t="shared" si="13"/>
        <v>44337</v>
      </c>
      <c r="AE105" s="132" t="s">
        <v>403</v>
      </c>
      <c r="AF105" s="119"/>
    </row>
    <row r="106" spans="1:32" ht="12" customHeight="1">
      <c r="A106" s="148">
        <v>44336</v>
      </c>
      <c r="B106" s="149" t="s">
        <v>481</v>
      </c>
      <c r="C106" s="149"/>
      <c r="D106" s="149"/>
      <c r="E106" s="149"/>
      <c r="F106" s="149"/>
      <c r="G106" s="149"/>
      <c r="H106" s="135" t="s">
        <v>453</v>
      </c>
      <c r="I106" s="134" t="s">
        <v>469</v>
      </c>
      <c r="J106" s="135" t="s">
        <v>471</v>
      </c>
      <c r="K106" s="136">
        <v>100</v>
      </c>
      <c r="L106" s="137">
        <v>123</v>
      </c>
      <c r="M106" s="138">
        <f t="shared" si="38"/>
        <v>0</v>
      </c>
      <c r="N106" s="138">
        <f>L106+M106</f>
        <v>123</v>
      </c>
      <c r="O106" s="138"/>
      <c r="P106" s="138">
        <f t="shared" si="2"/>
        <v>12300</v>
      </c>
      <c r="Q106" s="139">
        <f t="shared" si="3"/>
        <v>0.14550000000000002</v>
      </c>
      <c r="R106" s="139">
        <f t="shared" si="74"/>
        <v>0</v>
      </c>
      <c r="S106" s="139">
        <f t="shared" si="35"/>
        <v>0.06</v>
      </c>
      <c r="T106" s="139">
        <f t="shared" si="61"/>
        <v>12.3</v>
      </c>
      <c r="U106" s="139">
        <f>ROUND(P106*K$1812,2)</f>
        <v>1.85</v>
      </c>
      <c r="V106" s="139">
        <f t="shared" si="106"/>
        <v>0.34</v>
      </c>
      <c r="W106" s="139">
        <f t="shared" si="98"/>
        <v>0</v>
      </c>
      <c r="X106" s="140">
        <f t="shared" si="9"/>
        <v>14.55</v>
      </c>
      <c r="Y106" s="141">
        <f>-ROUND(P106+SUM(R106:W106),2)</f>
        <v>-12314.55</v>
      </c>
      <c r="Z106" s="142">
        <v>-12315</v>
      </c>
      <c r="AA106" s="143">
        <f t="shared" si="47"/>
        <v>-0.4500000000007276</v>
      </c>
      <c r="AB106" s="133">
        <v>44340</v>
      </c>
      <c r="AC106" s="144">
        <f t="shared" si="12"/>
        <v>1.183E-3</v>
      </c>
      <c r="AD106" s="145">
        <f t="shared" si="13"/>
        <v>44340</v>
      </c>
      <c r="AE106" s="146" t="s">
        <v>403</v>
      </c>
      <c r="AF106" s="119"/>
    </row>
    <row r="107" spans="1:32" ht="12" customHeight="1">
      <c r="A107" s="150">
        <v>44336</v>
      </c>
      <c r="B107" s="151" t="s">
        <v>486</v>
      </c>
      <c r="C107" s="151"/>
      <c r="D107" s="151"/>
      <c r="E107" s="151"/>
      <c r="F107" s="151"/>
      <c r="G107" s="151"/>
      <c r="H107" s="122" t="s">
        <v>446</v>
      </c>
      <c r="I107" s="121" t="s">
        <v>469</v>
      </c>
      <c r="J107" s="122" t="s">
        <v>471</v>
      </c>
      <c r="K107" s="123">
        <v>10</v>
      </c>
      <c r="L107" s="124">
        <v>555.20000000000005</v>
      </c>
      <c r="M107" s="125">
        <f t="shared" si="38"/>
        <v>0</v>
      </c>
      <c r="N107" s="125">
        <f t="shared" ref="N107:N109" si="107">L107-M107</f>
        <v>555.20000000000005</v>
      </c>
      <c r="O107" s="125"/>
      <c r="P107" s="125">
        <f t="shared" si="2"/>
        <v>5552</v>
      </c>
      <c r="Q107" s="126">
        <f t="shared" si="3"/>
        <v>0.57300000000000006</v>
      </c>
      <c r="R107" s="126">
        <f t="shared" si="74"/>
        <v>0</v>
      </c>
      <c r="S107" s="126">
        <f t="shared" si="35"/>
        <v>0.03</v>
      </c>
      <c r="T107" s="126">
        <f t="shared" si="61"/>
        <v>5.55</v>
      </c>
      <c r="U107" s="126">
        <v>0</v>
      </c>
      <c r="V107" s="126">
        <f t="shared" si="106"/>
        <v>0.15</v>
      </c>
      <c r="W107" s="126">
        <f t="shared" si="98"/>
        <v>0</v>
      </c>
      <c r="X107" s="126">
        <f t="shared" si="9"/>
        <v>5.73</v>
      </c>
      <c r="Y107" s="127">
        <f t="shared" ref="Y107:Y109" si="108">ROUND(P107-SUM(R107:W107),2)</f>
        <v>5546.27</v>
      </c>
      <c r="Z107" s="128">
        <v>5546</v>
      </c>
      <c r="AA107" s="129">
        <f t="shared" si="47"/>
        <v>-0.27000000000043656</v>
      </c>
      <c r="AB107" s="120">
        <v>44340</v>
      </c>
      <c r="AC107" s="130">
        <f t="shared" si="12"/>
        <v>1.0319999999999999E-3</v>
      </c>
      <c r="AD107" s="131">
        <f t="shared" si="13"/>
        <v>44340</v>
      </c>
      <c r="AE107" s="132" t="s">
        <v>403</v>
      </c>
      <c r="AF107" s="119"/>
    </row>
    <row r="108" spans="1:32" ht="12" customHeight="1">
      <c r="A108" s="150">
        <v>44337</v>
      </c>
      <c r="B108" s="151" t="s">
        <v>507</v>
      </c>
      <c r="C108" s="151"/>
      <c r="D108" s="151"/>
      <c r="E108" s="151"/>
      <c r="F108" s="151"/>
      <c r="G108" s="151"/>
      <c r="H108" s="122" t="s">
        <v>446</v>
      </c>
      <c r="I108" s="121" t="s">
        <v>469</v>
      </c>
      <c r="J108" s="122" t="s">
        <v>471</v>
      </c>
      <c r="K108" s="123">
        <v>2500</v>
      </c>
      <c r="L108" s="124">
        <v>8.5</v>
      </c>
      <c r="M108" s="125">
        <f t="shared" si="38"/>
        <v>0</v>
      </c>
      <c r="N108" s="125">
        <f t="shared" si="107"/>
        <v>8.5</v>
      </c>
      <c r="O108" s="125"/>
      <c r="P108" s="125">
        <f t="shared" si="2"/>
        <v>21250</v>
      </c>
      <c r="Q108" s="126">
        <f t="shared" si="3"/>
        <v>8.7720000000000003E-3</v>
      </c>
      <c r="R108" s="126">
        <f t="shared" si="74"/>
        <v>0</v>
      </c>
      <c r="S108" s="126">
        <f t="shared" si="35"/>
        <v>0.1</v>
      </c>
      <c r="T108" s="126">
        <f t="shared" si="61"/>
        <v>21.25</v>
      </c>
      <c r="U108" s="126">
        <v>0</v>
      </c>
      <c r="V108" s="126">
        <f t="shared" si="106"/>
        <v>0.57999999999999996</v>
      </c>
      <c r="W108" s="126">
        <f t="shared" si="98"/>
        <v>0</v>
      </c>
      <c r="X108" s="126">
        <f t="shared" si="9"/>
        <v>21.93</v>
      </c>
      <c r="Y108" s="127">
        <f t="shared" si="108"/>
        <v>21228.07</v>
      </c>
      <c r="Z108" s="128">
        <v>21228</v>
      </c>
      <c r="AA108" s="129">
        <f t="shared" si="47"/>
        <v>-6.9999999999708962E-2</v>
      </c>
      <c r="AB108" s="120">
        <v>44341</v>
      </c>
      <c r="AC108" s="130">
        <f t="shared" si="12"/>
        <v>1.0319999999999999E-3</v>
      </c>
      <c r="AD108" s="131">
        <f t="shared" si="13"/>
        <v>44341</v>
      </c>
      <c r="AE108" s="132" t="s">
        <v>403</v>
      </c>
      <c r="AF108" s="119"/>
    </row>
    <row r="109" spans="1:32" ht="12" customHeight="1">
      <c r="A109" s="150">
        <v>44337</v>
      </c>
      <c r="B109" s="151" t="s">
        <v>500</v>
      </c>
      <c r="C109" s="151"/>
      <c r="D109" s="151"/>
      <c r="E109" s="151"/>
      <c r="F109" s="151"/>
      <c r="G109" s="151"/>
      <c r="H109" s="122" t="s">
        <v>446</v>
      </c>
      <c r="I109" s="121" t="s">
        <v>469</v>
      </c>
      <c r="J109" s="122" t="s">
        <v>471</v>
      </c>
      <c r="K109" s="123">
        <v>50</v>
      </c>
      <c r="L109" s="124">
        <v>118.5</v>
      </c>
      <c r="M109" s="125">
        <f t="shared" si="38"/>
        <v>0</v>
      </c>
      <c r="N109" s="125">
        <f t="shared" si="107"/>
        <v>118.5</v>
      </c>
      <c r="O109" s="125"/>
      <c r="P109" s="125">
        <f t="shared" si="2"/>
        <v>5925</v>
      </c>
      <c r="Q109" s="126">
        <f t="shared" si="3"/>
        <v>0.12240000000000001</v>
      </c>
      <c r="R109" s="126">
        <f t="shared" si="74"/>
        <v>0</v>
      </c>
      <c r="S109" s="126">
        <f t="shared" si="35"/>
        <v>0.03</v>
      </c>
      <c r="T109" s="126">
        <f t="shared" si="61"/>
        <v>5.93</v>
      </c>
      <c r="U109" s="126">
        <v>0</v>
      </c>
      <c r="V109" s="126">
        <f t="shared" si="106"/>
        <v>0.16</v>
      </c>
      <c r="W109" s="126">
        <f t="shared" si="98"/>
        <v>0</v>
      </c>
      <c r="X109" s="126">
        <f t="shared" si="9"/>
        <v>6.12</v>
      </c>
      <c r="Y109" s="127">
        <f t="shared" si="108"/>
        <v>5918.88</v>
      </c>
      <c r="Z109" s="128">
        <v>5919</v>
      </c>
      <c r="AA109" s="129">
        <f t="shared" si="47"/>
        <v>0.11999999999989086</v>
      </c>
      <c r="AB109" s="120">
        <v>44341</v>
      </c>
      <c r="AC109" s="130">
        <f t="shared" si="12"/>
        <v>1.0330000000000001E-3</v>
      </c>
      <c r="AD109" s="131">
        <f t="shared" si="13"/>
        <v>44341</v>
      </c>
      <c r="AE109" s="132" t="s">
        <v>403</v>
      </c>
      <c r="AF109" s="119"/>
    </row>
    <row r="110" spans="1:32" ht="12" customHeight="1">
      <c r="A110" s="148">
        <v>44337</v>
      </c>
      <c r="B110" s="149" t="s">
        <v>508</v>
      </c>
      <c r="C110" s="149"/>
      <c r="D110" s="149"/>
      <c r="E110" s="149"/>
      <c r="F110" s="149"/>
      <c r="G110" s="149"/>
      <c r="H110" s="135" t="s">
        <v>453</v>
      </c>
      <c r="I110" s="134" t="s">
        <v>469</v>
      </c>
      <c r="J110" s="135" t="s">
        <v>471</v>
      </c>
      <c r="K110" s="136">
        <v>30</v>
      </c>
      <c r="L110" s="137">
        <v>610</v>
      </c>
      <c r="M110" s="138">
        <f t="shared" si="38"/>
        <v>0</v>
      </c>
      <c r="N110" s="138">
        <f>L110+M110</f>
        <v>610</v>
      </c>
      <c r="O110" s="138"/>
      <c r="P110" s="138">
        <f t="shared" si="2"/>
        <v>18300</v>
      </c>
      <c r="Q110" s="139">
        <f t="shared" si="3"/>
        <v>0.72133333333333338</v>
      </c>
      <c r="R110" s="139">
        <f t="shared" si="74"/>
        <v>0</v>
      </c>
      <c r="S110" s="139">
        <f t="shared" si="35"/>
        <v>0.09</v>
      </c>
      <c r="T110" s="139">
        <f t="shared" si="61"/>
        <v>18.3</v>
      </c>
      <c r="U110" s="139">
        <f>ROUND(P110*K$1812,2)</f>
        <v>2.75</v>
      </c>
      <c r="V110" s="139">
        <f t="shared" si="106"/>
        <v>0.5</v>
      </c>
      <c r="W110" s="139">
        <f t="shared" si="98"/>
        <v>0</v>
      </c>
      <c r="X110" s="140">
        <f t="shared" si="9"/>
        <v>21.64</v>
      </c>
      <c r="Y110" s="141">
        <f>-ROUND(P110+SUM(R110:W110),2)</f>
        <v>-18321.64</v>
      </c>
      <c r="Z110" s="142">
        <v>-18322</v>
      </c>
      <c r="AA110" s="143">
        <f t="shared" si="47"/>
        <v>-0.36000000000058208</v>
      </c>
      <c r="AB110" s="133">
        <v>44341</v>
      </c>
      <c r="AC110" s="144">
        <f t="shared" si="12"/>
        <v>1.183E-3</v>
      </c>
      <c r="AD110" s="145">
        <f t="shared" si="13"/>
        <v>44341</v>
      </c>
      <c r="AE110" s="146" t="s">
        <v>403</v>
      </c>
      <c r="AF110" s="119"/>
    </row>
    <row r="111" spans="1:32" ht="12" customHeight="1">
      <c r="A111" s="150">
        <v>44340</v>
      </c>
      <c r="B111" s="151" t="s">
        <v>493</v>
      </c>
      <c r="C111" s="151"/>
      <c r="D111" s="151"/>
      <c r="E111" s="151"/>
      <c r="F111" s="151"/>
      <c r="G111" s="151"/>
      <c r="H111" s="122" t="s">
        <v>446</v>
      </c>
      <c r="I111" s="121" t="s">
        <v>469</v>
      </c>
      <c r="J111" s="122" t="s">
        <v>471</v>
      </c>
      <c r="K111" s="123">
        <v>100</v>
      </c>
      <c r="L111" s="124">
        <v>56.15</v>
      </c>
      <c r="M111" s="125">
        <f t="shared" si="38"/>
        <v>0</v>
      </c>
      <c r="N111" s="125">
        <f t="shared" ref="N111:N114" si="109">L111-M111</f>
        <v>56.15</v>
      </c>
      <c r="O111" s="125"/>
      <c r="P111" s="125">
        <f t="shared" si="2"/>
        <v>5615</v>
      </c>
      <c r="Q111" s="126">
        <f t="shared" si="3"/>
        <v>5.8400000000000007E-2</v>
      </c>
      <c r="R111" s="126">
        <f t="shared" si="74"/>
        <v>0</v>
      </c>
      <c r="S111" s="126">
        <f t="shared" si="35"/>
        <v>0.03</v>
      </c>
      <c r="T111" s="126">
        <f t="shared" si="61"/>
        <v>5.62</v>
      </c>
      <c r="U111" s="126">
        <v>0</v>
      </c>
      <c r="V111" s="126">
        <f t="shared" ref="V111:V112" si="110">ROUND(P111*M$1809,2)</f>
        <v>0.19</v>
      </c>
      <c r="W111" s="126">
        <f t="shared" si="98"/>
        <v>0</v>
      </c>
      <c r="X111" s="126">
        <f t="shared" si="9"/>
        <v>5.8400000000000007</v>
      </c>
      <c r="Y111" s="127">
        <f t="shared" ref="Y111:Y114" si="111">ROUND(P111-SUM(R111:W111),2)</f>
        <v>5609.16</v>
      </c>
      <c r="Z111" s="128">
        <v>5609</v>
      </c>
      <c r="AA111" s="129">
        <f t="shared" si="47"/>
        <v>-0.15999999999985448</v>
      </c>
      <c r="AB111" s="120">
        <v>44343</v>
      </c>
      <c r="AC111" s="130">
        <f t="shared" si="12"/>
        <v>1.0399999999999999E-3</v>
      </c>
      <c r="AD111" s="131">
        <f t="shared" si="13"/>
        <v>44343</v>
      </c>
      <c r="AE111" s="132" t="s">
        <v>403</v>
      </c>
      <c r="AF111" s="119"/>
    </row>
    <row r="112" spans="1:32" ht="12" customHeight="1">
      <c r="A112" s="150">
        <v>44340</v>
      </c>
      <c r="B112" s="151" t="s">
        <v>503</v>
      </c>
      <c r="C112" s="151"/>
      <c r="D112" s="151"/>
      <c r="E112" s="151"/>
      <c r="F112" s="151"/>
      <c r="G112" s="151"/>
      <c r="H112" s="122" t="s">
        <v>446</v>
      </c>
      <c r="I112" s="121" t="s">
        <v>469</v>
      </c>
      <c r="J112" s="122" t="s">
        <v>471</v>
      </c>
      <c r="K112" s="123">
        <v>100</v>
      </c>
      <c r="L112" s="124">
        <v>106.75</v>
      </c>
      <c r="M112" s="125">
        <f t="shared" si="38"/>
        <v>0</v>
      </c>
      <c r="N112" s="125">
        <f t="shared" si="109"/>
        <v>106.75</v>
      </c>
      <c r="O112" s="125"/>
      <c r="P112" s="125">
        <f t="shared" si="2"/>
        <v>10675</v>
      </c>
      <c r="Q112" s="126">
        <f t="shared" si="3"/>
        <v>0.11119999999999999</v>
      </c>
      <c r="R112" s="126">
        <f t="shared" si="74"/>
        <v>0</v>
      </c>
      <c r="S112" s="126">
        <f t="shared" si="35"/>
        <v>7.0000000000000007E-2</v>
      </c>
      <c r="T112" s="126">
        <f t="shared" si="61"/>
        <v>10.68</v>
      </c>
      <c r="U112" s="126">
        <v>0</v>
      </c>
      <c r="V112" s="126">
        <f t="shared" si="110"/>
        <v>0.37</v>
      </c>
      <c r="W112" s="126">
        <f t="shared" si="98"/>
        <v>0</v>
      </c>
      <c r="X112" s="126">
        <f t="shared" si="9"/>
        <v>11.12</v>
      </c>
      <c r="Y112" s="127">
        <f t="shared" si="111"/>
        <v>10663.88</v>
      </c>
      <c r="Z112" s="128">
        <v>10664</v>
      </c>
      <c r="AA112" s="129">
        <f t="shared" si="47"/>
        <v>0.12000000000080036</v>
      </c>
      <c r="AB112" s="120">
        <v>44343</v>
      </c>
      <c r="AC112" s="130">
        <f t="shared" si="12"/>
        <v>1.042E-3</v>
      </c>
      <c r="AD112" s="131">
        <f t="shared" si="13"/>
        <v>44343</v>
      </c>
      <c r="AE112" s="132" t="s">
        <v>403</v>
      </c>
      <c r="AF112" s="119"/>
    </row>
    <row r="113" spans="1:32" ht="12" customHeight="1">
      <c r="A113" s="150">
        <v>44340</v>
      </c>
      <c r="B113" s="151" t="s">
        <v>508</v>
      </c>
      <c r="C113" s="151"/>
      <c r="D113" s="151"/>
      <c r="E113" s="151"/>
      <c r="F113" s="151"/>
      <c r="G113" s="151"/>
      <c r="H113" s="122" t="s">
        <v>446</v>
      </c>
      <c r="I113" s="121" t="s">
        <v>469</v>
      </c>
      <c r="J113" s="122" t="s">
        <v>471</v>
      </c>
      <c r="K113" s="123">
        <v>11</v>
      </c>
      <c r="L113" s="124">
        <v>628</v>
      </c>
      <c r="M113" s="125">
        <f t="shared" si="38"/>
        <v>0</v>
      </c>
      <c r="N113" s="125">
        <f t="shared" si="109"/>
        <v>628</v>
      </c>
      <c r="O113" s="125"/>
      <c r="P113" s="125">
        <f t="shared" si="2"/>
        <v>6908</v>
      </c>
      <c r="Q113" s="126">
        <f t="shared" si="3"/>
        <v>0.6481818181818183</v>
      </c>
      <c r="R113" s="126">
        <f t="shared" si="74"/>
        <v>0</v>
      </c>
      <c r="S113" s="126">
        <f t="shared" si="35"/>
        <v>0.03</v>
      </c>
      <c r="T113" s="126">
        <f t="shared" si="61"/>
        <v>6.91</v>
      </c>
      <c r="U113" s="126">
        <v>0</v>
      </c>
      <c r="V113" s="126">
        <f>ROUND(P113*L$1809,2)</f>
        <v>0.19</v>
      </c>
      <c r="W113" s="126">
        <f t="shared" si="98"/>
        <v>0</v>
      </c>
      <c r="X113" s="126">
        <f t="shared" si="9"/>
        <v>7.1300000000000008</v>
      </c>
      <c r="Y113" s="127">
        <f t="shared" si="111"/>
        <v>6900.87</v>
      </c>
      <c r="Z113" s="128">
        <v>6901</v>
      </c>
      <c r="AA113" s="129">
        <f t="shared" si="47"/>
        <v>0.13000000000010914</v>
      </c>
      <c r="AB113" s="120"/>
      <c r="AC113" s="130">
        <f t="shared" si="12"/>
        <v>1.0319999999999999E-3</v>
      </c>
      <c r="AD113" s="131">
        <f t="shared" si="13"/>
        <v>0</v>
      </c>
      <c r="AE113" s="132" t="s">
        <v>403</v>
      </c>
      <c r="AF113" s="119"/>
    </row>
    <row r="114" spans="1:32" ht="12" customHeight="1">
      <c r="A114" s="150">
        <v>44341</v>
      </c>
      <c r="B114" s="151" t="s">
        <v>506</v>
      </c>
      <c r="C114" s="151"/>
      <c r="D114" s="151"/>
      <c r="E114" s="151"/>
      <c r="F114" s="151"/>
      <c r="G114" s="151"/>
      <c r="H114" s="122" t="s">
        <v>446</v>
      </c>
      <c r="I114" s="121" t="s">
        <v>469</v>
      </c>
      <c r="J114" s="122" t="s">
        <v>471</v>
      </c>
      <c r="K114" s="123">
        <v>100</v>
      </c>
      <c r="L114" s="124">
        <v>154</v>
      </c>
      <c r="M114" s="125">
        <f t="shared" si="38"/>
        <v>0</v>
      </c>
      <c r="N114" s="125">
        <f t="shared" si="109"/>
        <v>154</v>
      </c>
      <c r="O114" s="125"/>
      <c r="P114" s="125">
        <f t="shared" si="2"/>
        <v>15400</v>
      </c>
      <c r="Q114" s="126">
        <f t="shared" si="3"/>
        <v>0.1603</v>
      </c>
      <c r="R114" s="126">
        <f t="shared" si="74"/>
        <v>0</v>
      </c>
      <c r="S114" s="126">
        <f t="shared" si="35"/>
        <v>0.1</v>
      </c>
      <c r="T114" s="126">
        <f t="shared" si="61"/>
        <v>15.4</v>
      </c>
      <c r="U114" s="126">
        <v>0</v>
      </c>
      <c r="V114" s="126">
        <f>ROUND(P114*M$1809,2)</f>
        <v>0.53</v>
      </c>
      <c r="W114" s="126">
        <f t="shared" si="98"/>
        <v>0</v>
      </c>
      <c r="X114" s="126">
        <f t="shared" si="9"/>
        <v>16.03</v>
      </c>
      <c r="Y114" s="127">
        <f t="shared" si="111"/>
        <v>15383.97</v>
      </c>
      <c r="Z114" s="128">
        <v>15384</v>
      </c>
      <c r="AA114" s="129">
        <f t="shared" si="47"/>
        <v>3.0000000000654836E-2</v>
      </c>
      <c r="AB114" s="120">
        <v>44344</v>
      </c>
      <c r="AC114" s="130">
        <f t="shared" si="12"/>
        <v>1.041E-3</v>
      </c>
      <c r="AD114" s="131">
        <f t="shared" si="13"/>
        <v>44344</v>
      </c>
      <c r="AE114" s="132" t="s">
        <v>403</v>
      </c>
      <c r="AF114" s="119"/>
    </row>
    <row r="115" spans="1:32" ht="12" customHeight="1">
      <c r="A115" s="148">
        <v>44341</v>
      </c>
      <c r="B115" s="149" t="s">
        <v>486</v>
      </c>
      <c r="C115" s="149"/>
      <c r="D115" s="149"/>
      <c r="E115" s="149"/>
      <c r="F115" s="149"/>
      <c r="G115" s="149"/>
      <c r="H115" s="135" t="s">
        <v>453</v>
      </c>
      <c r="I115" s="134" t="s">
        <v>469</v>
      </c>
      <c r="J115" s="135" t="s">
        <v>471</v>
      </c>
      <c r="K115" s="136">
        <v>30</v>
      </c>
      <c r="L115" s="137">
        <v>550</v>
      </c>
      <c r="M115" s="138">
        <f t="shared" si="38"/>
        <v>0</v>
      </c>
      <c r="N115" s="138">
        <f t="shared" ref="N115:N117" si="112">L115+M115</f>
        <v>550</v>
      </c>
      <c r="O115" s="138"/>
      <c r="P115" s="138">
        <f t="shared" si="2"/>
        <v>16500</v>
      </c>
      <c r="Q115" s="139">
        <f t="shared" si="3"/>
        <v>0.65033333333333332</v>
      </c>
      <c r="R115" s="139">
        <f t="shared" si="74"/>
        <v>0</v>
      </c>
      <c r="S115" s="139">
        <f t="shared" si="35"/>
        <v>0.08</v>
      </c>
      <c r="T115" s="139">
        <f t="shared" si="61"/>
        <v>16.5</v>
      </c>
      <c r="U115" s="139">
        <f t="shared" ref="U115:U117" si="113">ROUND(P115*K$1812,2)</f>
        <v>2.48</v>
      </c>
      <c r="V115" s="139">
        <f t="shared" ref="V115:V117" si="114">ROUND(P115*L$1809,2)</f>
        <v>0.45</v>
      </c>
      <c r="W115" s="139">
        <f t="shared" si="98"/>
        <v>0</v>
      </c>
      <c r="X115" s="140">
        <f t="shared" si="9"/>
        <v>19.509999999999998</v>
      </c>
      <c r="Y115" s="141">
        <f t="shared" ref="Y115:Y117" si="115">-ROUND(P115+SUM(R115:W115),2)</f>
        <v>-16519.509999999998</v>
      </c>
      <c r="Z115" s="142">
        <v>-16520</v>
      </c>
      <c r="AA115" s="143">
        <f t="shared" si="47"/>
        <v>-0.49000000000160071</v>
      </c>
      <c r="AB115" s="133">
        <v>44344</v>
      </c>
      <c r="AC115" s="144">
        <f t="shared" si="12"/>
        <v>1.1820000000000001E-3</v>
      </c>
      <c r="AD115" s="145">
        <f t="shared" si="13"/>
        <v>44344</v>
      </c>
      <c r="AE115" s="146" t="s">
        <v>403</v>
      </c>
      <c r="AF115" s="119"/>
    </row>
    <row r="116" spans="1:32" ht="12" customHeight="1">
      <c r="A116" s="148">
        <v>44341</v>
      </c>
      <c r="B116" s="149" t="s">
        <v>509</v>
      </c>
      <c r="C116" s="149"/>
      <c r="D116" s="149"/>
      <c r="E116" s="149"/>
      <c r="F116" s="149"/>
      <c r="G116" s="149"/>
      <c r="H116" s="135" t="s">
        <v>453</v>
      </c>
      <c r="I116" s="134" t="s">
        <v>469</v>
      </c>
      <c r="J116" s="135" t="s">
        <v>471</v>
      </c>
      <c r="K116" s="136">
        <v>50</v>
      </c>
      <c r="L116" s="137">
        <v>352</v>
      </c>
      <c r="M116" s="138">
        <f t="shared" si="38"/>
        <v>0</v>
      </c>
      <c r="N116" s="138">
        <f t="shared" si="112"/>
        <v>352</v>
      </c>
      <c r="O116" s="138"/>
      <c r="P116" s="138">
        <f t="shared" si="2"/>
        <v>17600</v>
      </c>
      <c r="Q116" s="139">
        <f t="shared" si="3"/>
        <v>0.41620000000000007</v>
      </c>
      <c r="R116" s="139">
        <f t="shared" si="74"/>
        <v>0</v>
      </c>
      <c r="S116" s="139">
        <f t="shared" si="35"/>
        <v>0.09</v>
      </c>
      <c r="T116" s="139">
        <f t="shared" si="61"/>
        <v>17.600000000000001</v>
      </c>
      <c r="U116" s="139">
        <f t="shared" si="113"/>
        <v>2.64</v>
      </c>
      <c r="V116" s="139">
        <f t="shared" si="114"/>
        <v>0.48</v>
      </c>
      <c r="W116" s="139">
        <f t="shared" si="98"/>
        <v>0</v>
      </c>
      <c r="X116" s="140">
        <f t="shared" si="9"/>
        <v>20.810000000000002</v>
      </c>
      <c r="Y116" s="141">
        <f t="shared" si="115"/>
        <v>-17620.810000000001</v>
      </c>
      <c r="Z116" s="142">
        <v>-17621</v>
      </c>
      <c r="AA116" s="143">
        <f t="shared" si="47"/>
        <v>-0.18999999999869033</v>
      </c>
      <c r="AB116" s="133">
        <v>44344</v>
      </c>
      <c r="AC116" s="144">
        <f t="shared" si="12"/>
        <v>1.1820000000000001E-3</v>
      </c>
      <c r="AD116" s="145">
        <f t="shared" si="13"/>
        <v>44344</v>
      </c>
      <c r="AE116" s="146" t="s">
        <v>403</v>
      </c>
      <c r="AF116" s="119"/>
    </row>
    <row r="117" spans="1:32" ht="12" customHeight="1">
      <c r="A117" s="148">
        <v>44341</v>
      </c>
      <c r="B117" s="149" t="s">
        <v>510</v>
      </c>
      <c r="C117" s="149"/>
      <c r="D117" s="149"/>
      <c r="E117" s="149"/>
      <c r="F117" s="149"/>
      <c r="G117" s="149"/>
      <c r="H117" s="135" t="s">
        <v>453</v>
      </c>
      <c r="I117" s="134" t="s">
        <v>469</v>
      </c>
      <c r="J117" s="135" t="s">
        <v>471</v>
      </c>
      <c r="K117" s="136">
        <v>200</v>
      </c>
      <c r="L117" s="137">
        <v>42</v>
      </c>
      <c r="M117" s="138">
        <f t="shared" si="38"/>
        <v>0</v>
      </c>
      <c r="N117" s="138">
        <f t="shared" si="112"/>
        <v>42</v>
      </c>
      <c r="O117" s="138"/>
      <c r="P117" s="138">
        <f t="shared" si="2"/>
        <v>8400</v>
      </c>
      <c r="Q117" s="139">
        <f t="shared" si="3"/>
        <v>4.965E-2</v>
      </c>
      <c r="R117" s="139">
        <f t="shared" si="74"/>
        <v>0</v>
      </c>
      <c r="S117" s="139">
        <f t="shared" si="35"/>
        <v>0.04</v>
      </c>
      <c r="T117" s="139">
        <f t="shared" si="61"/>
        <v>8.4</v>
      </c>
      <c r="U117" s="139">
        <f t="shared" si="113"/>
        <v>1.26</v>
      </c>
      <c r="V117" s="139">
        <f t="shared" si="114"/>
        <v>0.23</v>
      </c>
      <c r="W117" s="139">
        <f t="shared" si="98"/>
        <v>0</v>
      </c>
      <c r="X117" s="140">
        <f t="shared" si="9"/>
        <v>9.93</v>
      </c>
      <c r="Y117" s="141">
        <f t="shared" si="115"/>
        <v>-8409.93</v>
      </c>
      <c r="Z117" s="142">
        <v>-8410</v>
      </c>
      <c r="AA117" s="143">
        <f t="shared" si="47"/>
        <v>-6.9999999999708962E-2</v>
      </c>
      <c r="AB117" s="133"/>
      <c r="AC117" s="144">
        <f t="shared" si="12"/>
        <v>1.1820000000000001E-3</v>
      </c>
      <c r="AD117" s="145">
        <f t="shared" si="13"/>
        <v>0</v>
      </c>
      <c r="AE117" s="146" t="s">
        <v>403</v>
      </c>
      <c r="AF117" s="119"/>
    </row>
    <row r="118" spans="1:32" ht="12" customHeight="1">
      <c r="A118" s="150">
        <v>44342</v>
      </c>
      <c r="B118" s="151" t="s">
        <v>510</v>
      </c>
      <c r="C118" s="151"/>
      <c r="D118" s="151"/>
      <c r="E118" s="151"/>
      <c r="F118" s="151"/>
      <c r="G118" s="151"/>
      <c r="H118" s="122" t="s">
        <v>446</v>
      </c>
      <c r="I118" s="121" t="s">
        <v>469</v>
      </c>
      <c r="J118" s="122" t="s">
        <v>471</v>
      </c>
      <c r="K118" s="123">
        <v>200</v>
      </c>
      <c r="L118" s="124">
        <v>42.6</v>
      </c>
      <c r="M118" s="125">
        <f t="shared" si="38"/>
        <v>0</v>
      </c>
      <c r="N118" s="125">
        <f>L118-M118</f>
        <v>42.6</v>
      </c>
      <c r="O118" s="125"/>
      <c r="P118" s="125">
        <f t="shared" si="2"/>
        <v>8520</v>
      </c>
      <c r="Q118" s="126">
        <f t="shared" si="3"/>
        <v>4.4299999999999999E-2</v>
      </c>
      <c r="R118" s="126">
        <f t="shared" si="74"/>
        <v>0</v>
      </c>
      <c r="S118" s="126">
        <f t="shared" si="35"/>
        <v>0.05</v>
      </c>
      <c r="T118" s="126">
        <f t="shared" si="61"/>
        <v>8.52</v>
      </c>
      <c r="U118" s="126">
        <v>0</v>
      </c>
      <c r="V118" s="126">
        <f>ROUND(P118*M$1809,2)</f>
        <v>0.28999999999999998</v>
      </c>
      <c r="W118" s="126">
        <f t="shared" si="98"/>
        <v>0</v>
      </c>
      <c r="X118" s="126">
        <f t="shared" si="9"/>
        <v>8.86</v>
      </c>
      <c r="Y118" s="127">
        <f>ROUND(P118-SUM(R118:W118),2)</f>
        <v>8511.14</v>
      </c>
      <c r="Z118" s="128">
        <v>8511</v>
      </c>
      <c r="AA118" s="129">
        <f t="shared" si="47"/>
        <v>-0.13999999999941792</v>
      </c>
      <c r="AB118" s="120"/>
      <c r="AC118" s="130">
        <f t="shared" si="12"/>
        <v>1.0399999999999999E-3</v>
      </c>
      <c r="AD118" s="131">
        <f t="shared" si="13"/>
        <v>0</v>
      </c>
      <c r="AE118" s="132" t="s">
        <v>403</v>
      </c>
      <c r="AF118" s="119"/>
    </row>
    <row r="119" spans="1:32" ht="12" customHeight="1">
      <c r="A119" s="148">
        <v>44342</v>
      </c>
      <c r="B119" s="149" t="s">
        <v>511</v>
      </c>
      <c r="C119" s="149"/>
      <c r="D119" s="149"/>
      <c r="E119" s="149"/>
      <c r="F119" s="149"/>
      <c r="G119" s="149"/>
      <c r="H119" s="135" t="s">
        <v>453</v>
      </c>
      <c r="I119" s="134" t="s">
        <v>469</v>
      </c>
      <c r="J119" s="135" t="s">
        <v>471</v>
      </c>
      <c r="K119" s="136">
        <v>10</v>
      </c>
      <c r="L119" s="137">
        <v>1085</v>
      </c>
      <c r="M119" s="138">
        <f t="shared" si="38"/>
        <v>0</v>
      </c>
      <c r="N119" s="138">
        <f t="shared" ref="N119:N120" si="116">L119+M119</f>
        <v>1085</v>
      </c>
      <c r="O119" s="138"/>
      <c r="P119" s="138">
        <f t="shared" si="2"/>
        <v>10850</v>
      </c>
      <c r="Q119" s="139">
        <f t="shared" si="3"/>
        <v>1.2830000000000001</v>
      </c>
      <c r="R119" s="139">
        <f t="shared" si="74"/>
        <v>0</v>
      </c>
      <c r="S119" s="139">
        <f t="shared" si="35"/>
        <v>0.05</v>
      </c>
      <c r="T119" s="139">
        <f t="shared" si="61"/>
        <v>10.85</v>
      </c>
      <c r="U119" s="139">
        <f t="shared" ref="U119:U120" si="117">ROUND(P119*K$1812,2)</f>
        <v>1.63</v>
      </c>
      <c r="V119" s="139">
        <f t="shared" ref="V119:V120" si="118">ROUND(P119*L$1809,2)</f>
        <v>0.3</v>
      </c>
      <c r="W119" s="139">
        <f t="shared" si="98"/>
        <v>0</v>
      </c>
      <c r="X119" s="140">
        <f t="shared" si="9"/>
        <v>12.830000000000002</v>
      </c>
      <c r="Y119" s="141">
        <f t="shared" ref="Y119:Y120" si="119">-ROUND(P119+SUM(R119:W119),2)</f>
        <v>-10862.83</v>
      </c>
      <c r="Z119" s="142">
        <v>-10863</v>
      </c>
      <c r="AA119" s="143">
        <f t="shared" si="47"/>
        <v>-0.17000000000007276</v>
      </c>
      <c r="AB119" s="133">
        <v>44345</v>
      </c>
      <c r="AC119" s="144">
        <f t="shared" si="12"/>
        <v>1.1820000000000001E-3</v>
      </c>
      <c r="AD119" s="145">
        <f t="shared" si="13"/>
        <v>44345</v>
      </c>
      <c r="AE119" s="146" t="s">
        <v>403</v>
      </c>
      <c r="AF119" s="119"/>
    </row>
    <row r="120" spans="1:32" ht="12" customHeight="1">
      <c r="A120" s="148">
        <v>44342</v>
      </c>
      <c r="B120" s="149" t="s">
        <v>512</v>
      </c>
      <c r="C120" s="149"/>
      <c r="D120" s="149"/>
      <c r="E120" s="149"/>
      <c r="F120" s="149"/>
      <c r="G120" s="149"/>
      <c r="H120" s="135" t="s">
        <v>453</v>
      </c>
      <c r="I120" s="134" t="s">
        <v>469</v>
      </c>
      <c r="J120" s="135" t="s">
        <v>471</v>
      </c>
      <c r="K120" s="136">
        <v>100</v>
      </c>
      <c r="L120" s="137">
        <v>117</v>
      </c>
      <c r="M120" s="138">
        <f t="shared" si="38"/>
        <v>0</v>
      </c>
      <c r="N120" s="138">
        <f t="shared" si="116"/>
        <v>117</v>
      </c>
      <c r="O120" s="138"/>
      <c r="P120" s="138">
        <f t="shared" si="2"/>
        <v>11700</v>
      </c>
      <c r="Q120" s="139">
        <f t="shared" si="3"/>
        <v>0.1384</v>
      </c>
      <c r="R120" s="139">
        <f t="shared" si="74"/>
        <v>0</v>
      </c>
      <c r="S120" s="139">
        <f t="shared" si="35"/>
        <v>0.06</v>
      </c>
      <c r="T120" s="139">
        <f t="shared" si="61"/>
        <v>11.7</v>
      </c>
      <c r="U120" s="139">
        <f t="shared" si="117"/>
        <v>1.76</v>
      </c>
      <c r="V120" s="139">
        <f t="shared" si="118"/>
        <v>0.32</v>
      </c>
      <c r="W120" s="139">
        <f t="shared" si="98"/>
        <v>0</v>
      </c>
      <c r="X120" s="140">
        <f t="shared" si="9"/>
        <v>13.84</v>
      </c>
      <c r="Y120" s="141">
        <f t="shared" si="119"/>
        <v>-11713.84</v>
      </c>
      <c r="Z120" s="142">
        <v>-11714</v>
      </c>
      <c r="AA120" s="143">
        <f t="shared" si="47"/>
        <v>-0.15999999999985448</v>
      </c>
      <c r="AB120" s="133">
        <v>44345</v>
      </c>
      <c r="AC120" s="144">
        <f t="shared" si="12"/>
        <v>1.183E-3</v>
      </c>
      <c r="AD120" s="145">
        <f t="shared" si="13"/>
        <v>44345</v>
      </c>
      <c r="AE120" s="146" t="s">
        <v>403</v>
      </c>
      <c r="AF120" s="119"/>
    </row>
    <row r="121" spans="1:32" ht="12" customHeight="1">
      <c r="A121" s="150">
        <v>44343</v>
      </c>
      <c r="B121" s="150" t="s">
        <v>505</v>
      </c>
      <c r="C121" s="150"/>
      <c r="D121" s="150"/>
      <c r="E121" s="150"/>
      <c r="F121" s="150"/>
      <c r="G121" s="150"/>
      <c r="H121" s="122" t="s">
        <v>446</v>
      </c>
      <c r="I121" s="121" t="s">
        <v>469</v>
      </c>
      <c r="J121" s="122" t="s">
        <v>471</v>
      </c>
      <c r="K121" s="123">
        <v>10</v>
      </c>
      <c r="L121" s="124">
        <v>1515</v>
      </c>
      <c r="M121" s="125">
        <f t="shared" si="38"/>
        <v>0</v>
      </c>
      <c r="N121" s="125">
        <f>L121-M121</f>
        <v>1515</v>
      </c>
      <c r="O121" s="125"/>
      <c r="P121" s="125">
        <f t="shared" si="2"/>
        <v>15150</v>
      </c>
      <c r="Q121" s="126">
        <f t="shared" si="3"/>
        <v>1.5760000000000001</v>
      </c>
      <c r="R121" s="126">
        <f t="shared" si="74"/>
        <v>0</v>
      </c>
      <c r="S121" s="126">
        <f t="shared" si="35"/>
        <v>0.09</v>
      </c>
      <c r="T121" s="126">
        <f t="shared" si="61"/>
        <v>15.15</v>
      </c>
      <c r="U121" s="126">
        <v>0</v>
      </c>
      <c r="V121" s="126">
        <f t="shared" ref="V121:V123" si="120">ROUND(P121*M$1809,2)</f>
        <v>0.52</v>
      </c>
      <c r="W121" s="126">
        <f t="shared" si="98"/>
        <v>0</v>
      </c>
      <c r="X121" s="126">
        <f t="shared" si="9"/>
        <v>15.76</v>
      </c>
      <c r="Y121" s="127">
        <f>ROUND(P121-SUM(R121:W121),2)</f>
        <v>15134.24</v>
      </c>
      <c r="Z121" s="128">
        <v>15134</v>
      </c>
      <c r="AA121" s="129">
        <f t="shared" si="47"/>
        <v>-0.23999999999978172</v>
      </c>
      <c r="AB121" s="120">
        <v>44347</v>
      </c>
      <c r="AC121" s="130">
        <f t="shared" si="12"/>
        <v>1.0399999999999999E-3</v>
      </c>
      <c r="AD121" s="131">
        <f t="shared" si="13"/>
        <v>44347</v>
      </c>
      <c r="AE121" s="132" t="s">
        <v>403</v>
      </c>
      <c r="AF121" s="119"/>
    </row>
    <row r="122" spans="1:32" ht="12" customHeight="1">
      <c r="A122" s="148">
        <v>44343</v>
      </c>
      <c r="B122" s="149" t="s">
        <v>513</v>
      </c>
      <c r="C122" s="149"/>
      <c r="D122" s="149"/>
      <c r="E122" s="149"/>
      <c r="F122" s="149"/>
      <c r="G122" s="149"/>
      <c r="H122" s="135" t="s">
        <v>453</v>
      </c>
      <c r="I122" s="134" t="s">
        <v>469</v>
      </c>
      <c r="J122" s="135" t="s">
        <v>471</v>
      </c>
      <c r="K122" s="136">
        <v>50</v>
      </c>
      <c r="L122" s="137">
        <v>475</v>
      </c>
      <c r="M122" s="138">
        <f t="shared" si="38"/>
        <v>0</v>
      </c>
      <c r="N122" s="138">
        <f t="shared" ref="N122:N123" si="121">L122+M122</f>
        <v>475</v>
      </c>
      <c r="O122" s="138"/>
      <c r="P122" s="138">
        <f t="shared" si="2"/>
        <v>23750</v>
      </c>
      <c r="Q122" s="139">
        <f t="shared" si="3"/>
        <v>0.56559999999999999</v>
      </c>
      <c r="R122" s="139">
        <f t="shared" si="74"/>
        <v>0</v>
      </c>
      <c r="S122" s="139">
        <f t="shared" si="35"/>
        <v>0.15</v>
      </c>
      <c r="T122" s="139">
        <f t="shared" si="61"/>
        <v>23.75</v>
      </c>
      <c r="U122" s="139">
        <f t="shared" ref="U122:U123" si="122">ROUND(P122*K$1812,2)</f>
        <v>3.56</v>
      </c>
      <c r="V122" s="139">
        <f t="shared" si="120"/>
        <v>0.82</v>
      </c>
      <c r="W122" s="139">
        <f t="shared" si="98"/>
        <v>0</v>
      </c>
      <c r="X122" s="140">
        <f t="shared" si="9"/>
        <v>28.279999999999998</v>
      </c>
      <c r="Y122" s="141">
        <f t="shared" ref="Y122:Y123" si="123">-ROUND(P122+SUM(R122:W122),2)</f>
        <v>-23778.28</v>
      </c>
      <c r="Z122" s="142">
        <v>-23778</v>
      </c>
      <c r="AA122" s="143">
        <f t="shared" si="47"/>
        <v>0.27999999999883585</v>
      </c>
      <c r="AB122" s="133">
        <v>44347</v>
      </c>
      <c r="AC122" s="144">
        <f t="shared" si="12"/>
        <v>1.191E-3</v>
      </c>
      <c r="AD122" s="145">
        <f t="shared" si="13"/>
        <v>44347</v>
      </c>
      <c r="AE122" s="146" t="s">
        <v>403</v>
      </c>
      <c r="AF122" s="119"/>
    </row>
    <row r="123" spans="1:32" ht="12" customHeight="1">
      <c r="A123" s="148">
        <v>44343</v>
      </c>
      <c r="B123" s="149" t="s">
        <v>514</v>
      </c>
      <c r="C123" s="149"/>
      <c r="D123" s="149"/>
      <c r="E123" s="149"/>
      <c r="F123" s="149"/>
      <c r="G123" s="149"/>
      <c r="H123" s="135" t="s">
        <v>453</v>
      </c>
      <c r="I123" s="134" t="s">
        <v>469</v>
      </c>
      <c r="J123" s="135" t="s">
        <v>471</v>
      </c>
      <c r="K123" s="136">
        <v>50</v>
      </c>
      <c r="L123" s="137">
        <v>209</v>
      </c>
      <c r="M123" s="138">
        <f t="shared" si="38"/>
        <v>0</v>
      </c>
      <c r="N123" s="138">
        <f t="shared" si="121"/>
        <v>209</v>
      </c>
      <c r="O123" s="138"/>
      <c r="P123" s="138">
        <f t="shared" si="2"/>
        <v>10450</v>
      </c>
      <c r="Q123" s="139">
        <f t="shared" si="3"/>
        <v>0.24879999999999999</v>
      </c>
      <c r="R123" s="139">
        <f t="shared" si="74"/>
        <v>0</v>
      </c>
      <c r="S123" s="139">
        <f t="shared" si="35"/>
        <v>0.06</v>
      </c>
      <c r="T123" s="139">
        <f t="shared" si="61"/>
        <v>10.45</v>
      </c>
      <c r="U123" s="139">
        <f t="shared" si="122"/>
        <v>1.57</v>
      </c>
      <c r="V123" s="139">
        <f t="shared" si="120"/>
        <v>0.36</v>
      </c>
      <c r="W123" s="139">
        <f t="shared" si="98"/>
        <v>0</v>
      </c>
      <c r="X123" s="140">
        <f t="shared" si="9"/>
        <v>12.44</v>
      </c>
      <c r="Y123" s="141">
        <f t="shared" si="123"/>
        <v>-10462.44</v>
      </c>
      <c r="Z123" s="142">
        <v>-10462</v>
      </c>
      <c r="AA123" s="143">
        <f t="shared" si="47"/>
        <v>0.44000000000050932</v>
      </c>
      <c r="AB123" s="133"/>
      <c r="AC123" s="144">
        <f t="shared" si="12"/>
        <v>1.1900000000000001E-3</v>
      </c>
      <c r="AD123" s="145">
        <f t="shared" si="13"/>
        <v>0</v>
      </c>
      <c r="AE123" s="146" t="s">
        <v>403</v>
      </c>
      <c r="AF123" s="119"/>
    </row>
    <row r="124" spans="1:32" ht="12" customHeight="1">
      <c r="A124" s="150">
        <v>44344</v>
      </c>
      <c r="B124" s="150" t="s">
        <v>460</v>
      </c>
      <c r="C124" s="150"/>
      <c r="D124" s="150"/>
      <c r="E124" s="150"/>
      <c r="F124" s="150"/>
      <c r="G124" s="150"/>
      <c r="H124" s="122" t="s">
        <v>446</v>
      </c>
      <c r="I124" s="121" t="s">
        <v>469</v>
      </c>
      <c r="J124" s="122" t="s">
        <v>471</v>
      </c>
      <c r="K124" s="123">
        <v>10</v>
      </c>
      <c r="L124" s="124">
        <v>2050</v>
      </c>
      <c r="M124" s="125">
        <f t="shared" si="38"/>
        <v>0</v>
      </c>
      <c r="N124" s="125">
        <f t="shared" ref="N124:N125" si="124">L124-M124</f>
        <v>2050</v>
      </c>
      <c r="O124" s="125"/>
      <c r="P124" s="125">
        <f t="shared" si="2"/>
        <v>20500</v>
      </c>
      <c r="Q124" s="126">
        <f t="shared" si="3"/>
        <v>2.1160000000000001</v>
      </c>
      <c r="R124" s="126">
        <f t="shared" si="74"/>
        <v>0</v>
      </c>
      <c r="S124" s="126">
        <f t="shared" si="35"/>
        <v>0.1</v>
      </c>
      <c r="T124" s="126">
        <f t="shared" si="61"/>
        <v>20.5</v>
      </c>
      <c r="U124" s="126">
        <v>0</v>
      </c>
      <c r="V124" s="126">
        <f>ROUND(P124*L$1809,2)</f>
        <v>0.56000000000000005</v>
      </c>
      <c r="W124" s="126">
        <f t="shared" si="98"/>
        <v>0</v>
      </c>
      <c r="X124" s="126">
        <f t="shared" si="9"/>
        <v>21.16</v>
      </c>
      <c r="Y124" s="127">
        <f t="shared" ref="Y124:Y125" si="125">ROUND(P124-SUM(R124:W124),2)</f>
        <v>20478.84</v>
      </c>
      <c r="Z124" s="128">
        <v>20479</v>
      </c>
      <c r="AA124" s="129">
        <f t="shared" si="47"/>
        <v>0.15999999999985448</v>
      </c>
      <c r="AB124" s="120">
        <v>44348</v>
      </c>
      <c r="AC124" s="130">
        <f t="shared" si="12"/>
        <v>1.0319999999999999E-3</v>
      </c>
      <c r="AD124" s="131">
        <f t="shared" si="13"/>
        <v>44348</v>
      </c>
      <c r="AE124" s="132" t="s">
        <v>403</v>
      </c>
      <c r="AF124" s="119"/>
    </row>
    <row r="125" spans="1:32" ht="12" customHeight="1">
      <c r="A125" s="150">
        <v>44344</v>
      </c>
      <c r="B125" s="151" t="s">
        <v>514</v>
      </c>
      <c r="C125" s="151"/>
      <c r="D125" s="151"/>
      <c r="E125" s="151"/>
      <c r="F125" s="151"/>
      <c r="G125" s="151"/>
      <c r="H125" s="122" t="s">
        <v>446</v>
      </c>
      <c r="I125" s="121" t="s">
        <v>469</v>
      </c>
      <c r="J125" s="122" t="s">
        <v>471</v>
      </c>
      <c r="K125" s="123">
        <v>50</v>
      </c>
      <c r="L125" s="124">
        <v>214</v>
      </c>
      <c r="M125" s="125">
        <f t="shared" si="38"/>
        <v>0</v>
      </c>
      <c r="N125" s="125">
        <f t="shared" si="124"/>
        <v>214</v>
      </c>
      <c r="O125" s="125"/>
      <c r="P125" s="125">
        <f t="shared" si="2"/>
        <v>10700</v>
      </c>
      <c r="Q125" s="126">
        <f t="shared" si="3"/>
        <v>0.22279999999999997</v>
      </c>
      <c r="R125" s="126">
        <f t="shared" si="74"/>
        <v>0</v>
      </c>
      <c r="S125" s="126">
        <f t="shared" si="35"/>
        <v>7.0000000000000007E-2</v>
      </c>
      <c r="T125" s="126">
        <f t="shared" si="61"/>
        <v>10.7</v>
      </c>
      <c r="U125" s="126">
        <v>0</v>
      </c>
      <c r="V125" s="126">
        <f t="shared" ref="V125:V126" si="126">ROUND(P125*M$1809,2)</f>
        <v>0.37</v>
      </c>
      <c r="W125" s="126">
        <f t="shared" si="98"/>
        <v>0</v>
      </c>
      <c r="X125" s="126">
        <f t="shared" si="9"/>
        <v>11.139999999999999</v>
      </c>
      <c r="Y125" s="127">
        <f t="shared" si="125"/>
        <v>10688.86</v>
      </c>
      <c r="Z125" s="128">
        <v>10689</v>
      </c>
      <c r="AA125" s="129">
        <f t="shared" si="47"/>
        <v>0.13999999999941792</v>
      </c>
      <c r="AB125" s="120"/>
      <c r="AC125" s="130">
        <f t="shared" si="12"/>
        <v>1.041E-3</v>
      </c>
      <c r="AD125" s="131">
        <f t="shared" si="13"/>
        <v>0</v>
      </c>
      <c r="AE125" s="132" t="s">
        <v>403</v>
      </c>
      <c r="AF125" s="119"/>
    </row>
    <row r="126" spans="1:32" ht="12" customHeight="1">
      <c r="A126" s="148">
        <v>44344</v>
      </c>
      <c r="B126" s="149" t="s">
        <v>515</v>
      </c>
      <c r="C126" s="149"/>
      <c r="D126" s="149"/>
      <c r="E126" s="149"/>
      <c r="F126" s="149"/>
      <c r="G126" s="149"/>
      <c r="H126" s="135" t="s">
        <v>453</v>
      </c>
      <c r="I126" s="134" t="s">
        <v>469</v>
      </c>
      <c r="J126" s="135" t="s">
        <v>471</v>
      </c>
      <c r="K126" s="136">
        <v>15</v>
      </c>
      <c r="L126" s="137">
        <v>838</v>
      </c>
      <c r="M126" s="138">
        <f t="shared" si="38"/>
        <v>0</v>
      </c>
      <c r="N126" s="138">
        <f t="shared" ref="N126:N128" si="127">L126+M126</f>
        <v>838</v>
      </c>
      <c r="O126" s="138"/>
      <c r="P126" s="138">
        <f t="shared" si="2"/>
        <v>12570</v>
      </c>
      <c r="Q126" s="139">
        <f t="shared" si="3"/>
        <v>0.998</v>
      </c>
      <c r="R126" s="139">
        <f t="shared" si="74"/>
        <v>0</v>
      </c>
      <c r="S126" s="139">
        <f t="shared" si="35"/>
        <v>0.08</v>
      </c>
      <c r="T126" s="139">
        <f t="shared" si="61"/>
        <v>12.57</v>
      </c>
      <c r="U126" s="139">
        <f t="shared" ref="U126:U128" si="128">ROUND(P126*K$1812,2)</f>
        <v>1.89</v>
      </c>
      <c r="V126" s="139">
        <f t="shared" si="126"/>
        <v>0.43</v>
      </c>
      <c r="W126" s="139">
        <f t="shared" si="98"/>
        <v>0</v>
      </c>
      <c r="X126" s="140">
        <f t="shared" si="9"/>
        <v>14.97</v>
      </c>
      <c r="Y126" s="141">
        <f t="shared" ref="Y126:Y128" si="129">-ROUND(P126+SUM(R126:W126),2)</f>
        <v>-12584.97</v>
      </c>
      <c r="Z126" s="142">
        <v>-12585</v>
      </c>
      <c r="AA126" s="143">
        <f t="shared" si="47"/>
        <v>-3.0000000000654836E-2</v>
      </c>
      <c r="AB126" s="133">
        <v>44348</v>
      </c>
      <c r="AC126" s="144">
        <f t="shared" si="12"/>
        <v>1.191E-3</v>
      </c>
      <c r="AD126" s="145">
        <f t="shared" si="13"/>
        <v>44348</v>
      </c>
      <c r="AE126" s="146" t="s">
        <v>403</v>
      </c>
      <c r="AF126" s="119"/>
    </row>
    <row r="127" spans="1:32" ht="12" customHeight="1">
      <c r="A127" s="148">
        <v>44344</v>
      </c>
      <c r="B127" s="149" t="s">
        <v>516</v>
      </c>
      <c r="C127" s="149"/>
      <c r="D127" s="149"/>
      <c r="E127" s="149"/>
      <c r="F127" s="149"/>
      <c r="G127" s="149"/>
      <c r="H127" s="135" t="s">
        <v>453</v>
      </c>
      <c r="I127" s="134" t="s">
        <v>469</v>
      </c>
      <c r="J127" s="135" t="s">
        <v>471</v>
      </c>
      <c r="K127" s="136">
        <v>10</v>
      </c>
      <c r="L127" s="137">
        <v>550</v>
      </c>
      <c r="M127" s="138">
        <f t="shared" si="38"/>
        <v>0</v>
      </c>
      <c r="N127" s="138">
        <f t="shared" si="127"/>
        <v>550</v>
      </c>
      <c r="O127" s="138"/>
      <c r="P127" s="138">
        <f t="shared" si="2"/>
        <v>5500</v>
      </c>
      <c r="Q127" s="139">
        <f t="shared" si="3"/>
        <v>0.65100000000000002</v>
      </c>
      <c r="R127" s="139">
        <f t="shared" si="74"/>
        <v>0</v>
      </c>
      <c r="S127" s="139">
        <f t="shared" si="35"/>
        <v>0.03</v>
      </c>
      <c r="T127" s="139">
        <f t="shared" si="61"/>
        <v>5.5</v>
      </c>
      <c r="U127" s="139">
        <f t="shared" si="128"/>
        <v>0.83</v>
      </c>
      <c r="V127" s="139">
        <f>ROUND(P127*L$1809,2)</f>
        <v>0.15</v>
      </c>
      <c r="W127" s="139">
        <f t="shared" si="98"/>
        <v>0</v>
      </c>
      <c r="X127" s="140">
        <f t="shared" si="9"/>
        <v>6.5100000000000007</v>
      </c>
      <c r="Y127" s="141">
        <f t="shared" si="129"/>
        <v>-5506.51</v>
      </c>
      <c r="Z127" s="142">
        <v>-5507</v>
      </c>
      <c r="AA127" s="143">
        <f t="shared" si="47"/>
        <v>-0.48999999999978172</v>
      </c>
      <c r="AB127" s="133">
        <v>44348</v>
      </c>
      <c r="AC127" s="144">
        <f t="shared" si="12"/>
        <v>1.1839999999999999E-3</v>
      </c>
      <c r="AD127" s="145">
        <f t="shared" si="13"/>
        <v>44348</v>
      </c>
      <c r="AE127" s="146" t="s">
        <v>403</v>
      </c>
      <c r="AF127" s="119"/>
    </row>
    <row r="128" spans="1:32" ht="12" customHeight="1">
      <c r="A128" s="148">
        <v>44344</v>
      </c>
      <c r="B128" s="148" t="s">
        <v>517</v>
      </c>
      <c r="C128" s="148"/>
      <c r="D128" s="148"/>
      <c r="E128" s="148"/>
      <c r="F128" s="148"/>
      <c r="G128" s="148"/>
      <c r="H128" s="135" t="s">
        <v>453</v>
      </c>
      <c r="I128" s="134" t="s">
        <v>469</v>
      </c>
      <c r="J128" s="135" t="s">
        <v>471</v>
      </c>
      <c r="K128" s="136">
        <v>25</v>
      </c>
      <c r="L128" s="137">
        <v>843</v>
      </c>
      <c r="M128" s="138">
        <f t="shared" si="38"/>
        <v>0</v>
      </c>
      <c r="N128" s="138">
        <f t="shared" si="127"/>
        <v>843</v>
      </c>
      <c r="O128" s="138"/>
      <c r="P128" s="138">
        <f t="shared" si="2"/>
        <v>21075</v>
      </c>
      <c r="Q128" s="139">
        <f t="shared" si="3"/>
        <v>1.004</v>
      </c>
      <c r="R128" s="139">
        <f t="shared" si="74"/>
        <v>0</v>
      </c>
      <c r="S128" s="139">
        <f t="shared" si="35"/>
        <v>0.13</v>
      </c>
      <c r="T128" s="139">
        <f t="shared" si="61"/>
        <v>21.08</v>
      </c>
      <c r="U128" s="139">
        <f t="shared" si="128"/>
        <v>3.16</v>
      </c>
      <c r="V128" s="139">
        <f t="shared" ref="V128:V129" si="130">ROUND(P128*M$1809,2)</f>
        <v>0.73</v>
      </c>
      <c r="W128" s="139">
        <f t="shared" si="98"/>
        <v>0</v>
      </c>
      <c r="X128" s="140">
        <f t="shared" si="9"/>
        <v>25.099999999999998</v>
      </c>
      <c r="Y128" s="141">
        <f t="shared" si="129"/>
        <v>-21100.1</v>
      </c>
      <c r="Z128" s="142">
        <v>-21100</v>
      </c>
      <c r="AA128" s="143">
        <f t="shared" si="47"/>
        <v>9.9999999998544808E-2</v>
      </c>
      <c r="AB128" s="133">
        <v>44348</v>
      </c>
      <c r="AC128" s="144">
        <f t="shared" si="12"/>
        <v>1.191E-3</v>
      </c>
      <c r="AD128" s="145">
        <f t="shared" si="13"/>
        <v>44348</v>
      </c>
      <c r="AE128" s="146" t="s">
        <v>403</v>
      </c>
      <c r="AF128" s="119"/>
    </row>
    <row r="129" spans="1:32" ht="12" customHeight="1">
      <c r="A129" s="150">
        <v>44347</v>
      </c>
      <c r="B129" s="150" t="s">
        <v>487</v>
      </c>
      <c r="C129" s="150"/>
      <c r="D129" s="150"/>
      <c r="E129" s="150"/>
      <c r="F129" s="150"/>
      <c r="G129" s="150"/>
      <c r="H129" s="122" t="s">
        <v>446</v>
      </c>
      <c r="I129" s="121" t="s">
        <v>469</v>
      </c>
      <c r="J129" s="122" t="s">
        <v>471</v>
      </c>
      <c r="K129" s="123">
        <v>25</v>
      </c>
      <c r="L129" s="124">
        <v>659</v>
      </c>
      <c r="M129" s="125">
        <f t="shared" si="38"/>
        <v>0</v>
      </c>
      <c r="N129" s="125">
        <f>L129-M129</f>
        <v>659</v>
      </c>
      <c r="O129" s="125"/>
      <c r="P129" s="125">
        <f t="shared" si="2"/>
        <v>16475</v>
      </c>
      <c r="Q129" s="126">
        <f t="shared" si="3"/>
        <v>0.68600000000000005</v>
      </c>
      <c r="R129" s="126">
        <f t="shared" si="74"/>
        <v>0</v>
      </c>
      <c r="S129" s="126">
        <f t="shared" si="35"/>
        <v>0.1</v>
      </c>
      <c r="T129" s="126">
        <f t="shared" si="61"/>
        <v>16.48</v>
      </c>
      <c r="U129" s="126">
        <v>0</v>
      </c>
      <c r="V129" s="126">
        <f t="shared" si="130"/>
        <v>0.56999999999999995</v>
      </c>
      <c r="W129" s="126">
        <f t="shared" si="98"/>
        <v>0</v>
      </c>
      <c r="X129" s="126">
        <f t="shared" si="9"/>
        <v>17.150000000000002</v>
      </c>
      <c r="Y129" s="127">
        <f>ROUND(P129-SUM(R129:W129),2)</f>
        <v>16457.849999999999</v>
      </c>
      <c r="Z129" s="128">
        <v>16458</v>
      </c>
      <c r="AA129" s="129">
        <f t="shared" si="47"/>
        <v>0.15000000000145519</v>
      </c>
      <c r="AB129" s="120">
        <v>44349</v>
      </c>
      <c r="AC129" s="130">
        <f t="shared" si="12"/>
        <v>1.041E-3</v>
      </c>
      <c r="AD129" s="131">
        <f t="shared" si="13"/>
        <v>44349</v>
      </c>
      <c r="AE129" s="132" t="s">
        <v>403</v>
      </c>
      <c r="AF129" s="119"/>
    </row>
    <row r="130" spans="1:32" ht="12" customHeight="1">
      <c r="A130" s="148">
        <v>44348</v>
      </c>
      <c r="B130" s="148" t="s">
        <v>507</v>
      </c>
      <c r="C130" s="148"/>
      <c r="D130" s="148"/>
      <c r="E130" s="148"/>
      <c r="F130" s="148"/>
      <c r="G130" s="148"/>
      <c r="H130" s="135" t="s">
        <v>453</v>
      </c>
      <c r="I130" s="134" t="s">
        <v>469</v>
      </c>
      <c r="J130" s="135" t="s">
        <v>471</v>
      </c>
      <c r="K130" s="136">
        <v>2500</v>
      </c>
      <c r="L130" s="137">
        <v>8.5</v>
      </c>
      <c r="M130" s="138">
        <f t="shared" si="38"/>
        <v>0</v>
      </c>
      <c r="N130" s="138">
        <f t="shared" ref="N130:N131" si="131">L130+M130</f>
        <v>8.5</v>
      </c>
      <c r="O130" s="138"/>
      <c r="P130" s="138">
        <f t="shared" si="2"/>
        <v>21250</v>
      </c>
      <c r="Q130" s="139">
        <f t="shared" si="3"/>
        <v>1.0048E-2</v>
      </c>
      <c r="R130" s="139">
        <f t="shared" si="74"/>
        <v>0</v>
      </c>
      <c r="S130" s="139">
        <f t="shared" si="35"/>
        <v>0.1</v>
      </c>
      <c r="T130" s="139">
        <f t="shared" si="61"/>
        <v>21.25</v>
      </c>
      <c r="U130" s="139">
        <f t="shared" ref="U130:U131" si="132">ROUND(P130*K$1812,2)</f>
        <v>3.19</v>
      </c>
      <c r="V130" s="139">
        <f t="shared" ref="V130:V131" si="133">ROUND(P130*L$1809,2)</f>
        <v>0.57999999999999996</v>
      </c>
      <c r="W130" s="139">
        <f t="shared" si="98"/>
        <v>0</v>
      </c>
      <c r="X130" s="140">
        <f t="shared" si="9"/>
        <v>25.12</v>
      </c>
      <c r="Y130" s="141">
        <f t="shared" ref="Y130:Y131" si="134">-ROUND(P130+SUM(R130:W130),2)</f>
        <v>-21275.119999999999</v>
      </c>
      <c r="Z130" s="142">
        <v>-21275</v>
      </c>
      <c r="AA130" s="143">
        <f t="shared" si="47"/>
        <v>0.11999999999898137</v>
      </c>
      <c r="AB130" s="133"/>
      <c r="AC130" s="144">
        <f t="shared" si="12"/>
        <v>1.1820000000000001E-3</v>
      </c>
      <c r="AD130" s="145">
        <f t="shared" si="13"/>
        <v>0</v>
      </c>
      <c r="AE130" s="146" t="s">
        <v>403</v>
      </c>
      <c r="AF130" s="119"/>
    </row>
    <row r="131" spans="1:32" ht="12" customHeight="1">
      <c r="A131" s="148">
        <v>44348</v>
      </c>
      <c r="B131" s="148" t="s">
        <v>518</v>
      </c>
      <c r="C131" s="148"/>
      <c r="D131" s="148"/>
      <c r="E131" s="148"/>
      <c r="F131" s="148"/>
      <c r="G131" s="148"/>
      <c r="H131" s="135" t="s">
        <v>453</v>
      </c>
      <c r="I131" s="134" t="s">
        <v>469</v>
      </c>
      <c r="J131" s="135" t="s">
        <v>471</v>
      </c>
      <c r="K131" s="136">
        <v>100</v>
      </c>
      <c r="L131" s="137">
        <v>125</v>
      </c>
      <c r="M131" s="138">
        <f t="shared" si="38"/>
        <v>0</v>
      </c>
      <c r="N131" s="138">
        <f t="shared" si="131"/>
        <v>125</v>
      </c>
      <c r="O131" s="138"/>
      <c r="P131" s="138">
        <f t="shared" si="2"/>
        <v>12500</v>
      </c>
      <c r="Q131" s="139">
        <f t="shared" si="3"/>
        <v>0.14780000000000001</v>
      </c>
      <c r="R131" s="139">
        <f t="shared" si="74"/>
        <v>0</v>
      </c>
      <c r="S131" s="139">
        <f t="shared" si="35"/>
        <v>0.06</v>
      </c>
      <c r="T131" s="139">
        <f t="shared" si="61"/>
        <v>12.5</v>
      </c>
      <c r="U131" s="139">
        <f t="shared" si="132"/>
        <v>1.88</v>
      </c>
      <c r="V131" s="139">
        <f t="shared" si="133"/>
        <v>0.34</v>
      </c>
      <c r="W131" s="139">
        <f t="shared" si="98"/>
        <v>0</v>
      </c>
      <c r="X131" s="140">
        <f t="shared" si="9"/>
        <v>14.780000000000001</v>
      </c>
      <c r="Y131" s="141">
        <f t="shared" si="134"/>
        <v>-12514.78</v>
      </c>
      <c r="Z131" s="142">
        <v>-12515</v>
      </c>
      <c r="AA131" s="143">
        <f t="shared" si="47"/>
        <v>-0.21999999999934516</v>
      </c>
      <c r="AB131" s="133">
        <v>44350</v>
      </c>
      <c r="AC131" s="144">
        <f t="shared" si="12"/>
        <v>1.1820000000000001E-3</v>
      </c>
      <c r="AD131" s="145">
        <f t="shared" si="13"/>
        <v>44350</v>
      </c>
      <c r="AE131" s="146" t="s">
        <v>403</v>
      </c>
      <c r="AF131" s="119"/>
    </row>
    <row r="132" spans="1:32" ht="12" customHeight="1">
      <c r="A132" s="150">
        <v>44349</v>
      </c>
      <c r="B132" s="150" t="s">
        <v>507</v>
      </c>
      <c r="C132" s="150"/>
      <c r="D132" s="150"/>
      <c r="E132" s="150"/>
      <c r="F132" s="150"/>
      <c r="G132" s="150"/>
      <c r="H132" s="122" t="s">
        <v>446</v>
      </c>
      <c r="I132" s="121" t="s">
        <v>469</v>
      </c>
      <c r="J132" s="122" t="s">
        <v>471</v>
      </c>
      <c r="K132" s="123">
        <v>2500</v>
      </c>
      <c r="L132" s="124">
        <v>8.6999999999999993</v>
      </c>
      <c r="M132" s="125">
        <f t="shared" si="38"/>
        <v>0</v>
      </c>
      <c r="N132" s="125">
        <f t="shared" ref="N132:N133" si="135">L132-M132</f>
        <v>8.6999999999999993</v>
      </c>
      <c r="O132" s="125"/>
      <c r="P132" s="125">
        <f t="shared" si="2"/>
        <v>21750</v>
      </c>
      <c r="Q132" s="126">
        <f t="shared" si="3"/>
        <v>9.0559999999999998E-3</v>
      </c>
      <c r="R132" s="126">
        <f t="shared" si="74"/>
        <v>0</v>
      </c>
      <c r="S132" s="126">
        <f t="shared" si="35"/>
        <v>0.14000000000000001</v>
      </c>
      <c r="T132" s="126">
        <f t="shared" si="61"/>
        <v>21.75</v>
      </c>
      <c r="U132" s="126">
        <v>0</v>
      </c>
      <c r="V132" s="126">
        <f t="shared" ref="V132:V134" si="136">ROUND(P132*M$1809,2)</f>
        <v>0.75</v>
      </c>
      <c r="W132" s="126">
        <f t="shared" si="98"/>
        <v>0</v>
      </c>
      <c r="X132" s="126">
        <f t="shared" si="9"/>
        <v>22.64</v>
      </c>
      <c r="Y132" s="127">
        <f t="shared" ref="Y132:Y133" si="137">ROUND(P132-SUM(R132:W132),2)</f>
        <v>21727.360000000001</v>
      </c>
      <c r="Z132" s="128">
        <v>21727</v>
      </c>
      <c r="AA132" s="129">
        <f t="shared" si="47"/>
        <v>-0.36000000000058208</v>
      </c>
      <c r="AB132" s="120"/>
      <c r="AC132" s="130">
        <f t="shared" si="12"/>
        <v>1.041E-3</v>
      </c>
      <c r="AD132" s="131">
        <f t="shared" si="13"/>
        <v>0</v>
      </c>
      <c r="AE132" s="132" t="s">
        <v>403</v>
      </c>
      <c r="AF132" s="119"/>
    </row>
    <row r="133" spans="1:32" ht="12" customHeight="1">
      <c r="A133" s="150">
        <v>44349</v>
      </c>
      <c r="B133" s="150" t="s">
        <v>508</v>
      </c>
      <c r="C133" s="150"/>
      <c r="D133" s="150"/>
      <c r="E133" s="150"/>
      <c r="F133" s="150"/>
      <c r="G133" s="150"/>
      <c r="H133" s="122" t="s">
        <v>446</v>
      </c>
      <c r="I133" s="121" t="s">
        <v>469</v>
      </c>
      <c r="J133" s="122" t="s">
        <v>471</v>
      </c>
      <c r="K133" s="123">
        <v>19</v>
      </c>
      <c r="L133" s="124">
        <v>636</v>
      </c>
      <c r="M133" s="125">
        <f t="shared" si="38"/>
        <v>0</v>
      </c>
      <c r="N133" s="125">
        <f t="shared" si="135"/>
        <v>636</v>
      </c>
      <c r="O133" s="125"/>
      <c r="P133" s="125">
        <f t="shared" si="2"/>
        <v>12084</v>
      </c>
      <c r="Q133" s="126">
        <f t="shared" si="3"/>
        <v>0.66210526315789475</v>
      </c>
      <c r="R133" s="126">
        <f t="shared" si="74"/>
        <v>0</v>
      </c>
      <c r="S133" s="126">
        <f t="shared" si="35"/>
        <v>0.08</v>
      </c>
      <c r="T133" s="126">
        <f t="shared" si="61"/>
        <v>12.08</v>
      </c>
      <c r="U133" s="126">
        <v>0</v>
      </c>
      <c r="V133" s="126">
        <f t="shared" si="136"/>
        <v>0.42</v>
      </c>
      <c r="W133" s="126">
        <f t="shared" si="98"/>
        <v>0</v>
      </c>
      <c r="X133" s="126">
        <f t="shared" si="9"/>
        <v>12.58</v>
      </c>
      <c r="Y133" s="127">
        <f t="shared" si="137"/>
        <v>12071.42</v>
      </c>
      <c r="Z133" s="128">
        <v>12071</v>
      </c>
      <c r="AA133" s="129">
        <f t="shared" si="47"/>
        <v>-0.42000000000007276</v>
      </c>
      <c r="AB133" s="120">
        <v>44351</v>
      </c>
      <c r="AC133" s="130">
        <f t="shared" si="12"/>
        <v>1.041E-3</v>
      </c>
      <c r="AD133" s="131">
        <f t="shared" si="13"/>
        <v>44351</v>
      </c>
      <c r="AE133" s="132" t="s">
        <v>403</v>
      </c>
      <c r="AF133" s="119"/>
    </row>
    <row r="134" spans="1:32" ht="12" customHeight="1">
      <c r="A134" s="148">
        <v>44349</v>
      </c>
      <c r="B134" s="148" t="s">
        <v>519</v>
      </c>
      <c r="C134" s="148"/>
      <c r="D134" s="148"/>
      <c r="E134" s="148"/>
      <c r="F134" s="148"/>
      <c r="G134" s="148"/>
      <c r="H134" s="135" t="s">
        <v>453</v>
      </c>
      <c r="I134" s="134" t="s">
        <v>469</v>
      </c>
      <c r="J134" s="135" t="s">
        <v>471</v>
      </c>
      <c r="K134" s="136">
        <v>200</v>
      </c>
      <c r="L134" s="137">
        <v>44</v>
      </c>
      <c r="M134" s="138">
        <f t="shared" si="38"/>
        <v>0</v>
      </c>
      <c r="N134" s="138">
        <f t="shared" ref="N134:N136" si="138">L134+M134</f>
        <v>44</v>
      </c>
      <c r="O134" s="138"/>
      <c r="P134" s="138">
        <f t="shared" si="2"/>
        <v>8800</v>
      </c>
      <c r="Q134" s="139">
        <f t="shared" si="3"/>
        <v>5.2350000000000015E-2</v>
      </c>
      <c r="R134" s="139">
        <f t="shared" si="74"/>
        <v>0</v>
      </c>
      <c r="S134" s="139">
        <f t="shared" si="35"/>
        <v>0.05</v>
      </c>
      <c r="T134" s="139">
        <f t="shared" si="61"/>
        <v>8.8000000000000007</v>
      </c>
      <c r="U134" s="139">
        <f t="shared" ref="U134:U136" si="139">ROUND(P134*K$1812,2)</f>
        <v>1.32</v>
      </c>
      <c r="V134" s="139">
        <f t="shared" si="136"/>
        <v>0.3</v>
      </c>
      <c r="W134" s="139">
        <f t="shared" si="98"/>
        <v>0</v>
      </c>
      <c r="X134" s="140">
        <f t="shared" si="9"/>
        <v>10.470000000000002</v>
      </c>
      <c r="Y134" s="141">
        <f t="shared" ref="Y134:Y136" si="140">-ROUND(P134+SUM(R134:W134),2)</f>
        <v>-8810.4699999999993</v>
      </c>
      <c r="Z134" s="142">
        <v>-8810</v>
      </c>
      <c r="AA134" s="143">
        <f t="shared" si="47"/>
        <v>0.46999999999934516</v>
      </c>
      <c r="AB134" s="133">
        <v>44351</v>
      </c>
      <c r="AC134" s="144">
        <f t="shared" si="12"/>
        <v>1.1900000000000001E-3</v>
      </c>
      <c r="AD134" s="145">
        <f t="shared" si="13"/>
        <v>44351</v>
      </c>
      <c r="AE134" s="146" t="s">
        <v>403</v>
      </c>
      <c r="AF134" s="119"/>
    </row>
    <row r="135" spans="1:32" ht="12" customHeight="1">
      <c r="A135" s="148">
        <v>44349</v>
      </c>
      <c r="B135" s="148" t="s">
        <v>520</v>
      </c>
      <c r="C135" s="148"/>
      <c r="D135" s="148"/>
      <c r="E135" s="148"/>
      <c r="F135" s="148"/>
      <c r="G135" s="148"/>
      <c r="H135" s="135" t="s">
        <v>453</v>
      </c>
      <c r="I135" s="134" t="s">
        <v>469</v>
      </c>
      <c r="J135" s="135" t="s">
        <v>471</v>
      </c>
      <c r="K135" s="136">
        <v>100</v>
      </c>
      <c r="L135" s="137">
        <v>113.5</v>
      </c>
      <c r="M135" s="138">
        <f t="shared" si="38"/>
        <v>0</v>
      </c>
      <c r="N135" s="138">
        <f t="shared" si="138"/>
        <v>113.5</v>
      </c>
      <c r="O135" s="138"/>
      <c r="P135" s="138">
        <f t="shared" si="2"/>
        <v>11350</v>
      </c>
      <c r="Q135" s="139">
        <f t="shared" si="3"/>
        <v>0.13419999999999999</v>
      </c>
      <c r="R135" s="139">
        <f t="shared" si="74"/>
        <v>0</v>
      </c>
      <c r="S135" s="139">
        <f t="shared" si="35"/>
        <v>0.06</v>
      </c>
      <c r="T135" s="139">
        <f t="shared" si="61"/>
        <v>11.35</v>
      </c>
      <c r="U135" s="139">
        <f t="shared" si="139"/>
        <v>1.7</v>
      </c>
      <c r="V135" s="139">
        <f t="shared" ref="V135:V136" si="141">ROUND(P135*L$1809,2)</f>
        <v>0.31</v>
      </c>
      <c r="W135" s="139">
        <f t="shared" si="98"/>
        <v>0</v>
      </c>
      <c r="X135" s="140">
        <f t="shared" si="9"/>
        <v>13.42</v>
      </c>
      <c r="Y135" s="141">
        <f t="shared" si="140"/>
        <v>-11363.42</v>
      </c>
      <c r="Z135" s="142">
        <v>-11364</v>
      </c>
      <c r="AA135" s="143">
        <f t="shared" si="47"/>
        <v>-0.57999999999992724</v>
      </c>
      <c r="AB135" s="133">
        <v>44351</v>
      </c>
      <c r="AC135" s="144">
        <f t="shared" si="12"/>
        <v>1.1820000000000001E-3</v>
      </c>
      <c r="AD135" s="145">
        <f t="shared" si="13"/>
        <v>44351</v>
      </c>
      <c r="AE135" s="146" t="s">
        <v>403</v>
      </c>
      <c r="AF135" s="119"/>
    </row>
    <row r="136" spans="1:32" ht="12" customHeight="1">
      <c r="A136" s="148">
        <v>44350</v>
      </c>
      <c r="B136" s="148" t="s">
        <v>521</v>
      </c>
      <c r="C136" s="148"/>
      <c r="D136" s="148"/>
      <c r="E136" s="148"/>
      <c r="F136" s="148"/>
      <c r="G136" s="148"/>
      <c r="H136" s="135" t="s">
        <v>453</v>
      </c>
      <c r="I136" s="134" t="s">
        <v>469</v>
      </c>
      <c r="J136" s="135" t="s">
        <v>471</v>
      </c>
      <c r="K136" s="136">
        <v>50</v>
      </c>
      <c r="L136" s="137">
        <v>229</v>
      </c>
      <c r="M136" s="138">
        <f t="shared" si="38"/>
        <v>0</v>
      </c>
      <c r="N136" s="138">
        <f t="shared" si="138"/>
        <v>229</v>
      </c>
      <c r="O136" s="138"/>
      <c r="P136" s="138">
        <f t="shared" si="2"/>
        <v>11450</v>
      </c>
      <c r="Q136" s="139">
        <f t="shared" si="3"/>
        <v>0.27080000000000004</v>
      </c>
      <c r="R136" s="139">
        <f t="shared" si="74"/>
        <v>0</v>
      </c>
      <c r="S136" s="139">
        <f t="shared" si="35"/>
        <v>0.06</v>
      </c>
      <c r="T136" s="139">
        <f t="shared" si="61"/>
        <v>11.45</v>
      </c>
      <c r="U136" s="139">
        <f t="shared" si="139"/>
        <v>1.72</v>
      </c>
      <c r="V136" s="139">
        <f t="shared" si="141"/>
        <v>0.31</v>
      </c>
      <c r="W136" s="139">
        <f t="shared" si="98"/>
        <v>0</v>
      </c>
      <c r="X136" s="140">
        <f t="shared" si="9"/>
        <v>13.540000000000001</v>
      </c>
      <c r="Y136" s="141">
        <f t="shared" si="140"/>
        <v>-11463.54</v>
      </c>
      <c r="Z136" s="142">
        <v>-11464</v>
      </c>
      <c r="AA136" s="143">
        <f t="shared" si="47"/>
        <v>-0.45999999999912689</v>
      </c>
      <c r="AB136" s="133">
        <v>44354</v>
      </c>
      <c r="AC136" s="144">
        <f t="shared" si="12"/>
        <v>1.183E-3</v>
      </c>
      <c r="AD136" s="145">
        <f t="shared" si="13"/>
        <v>44354</v>
      </c>
      <c r="AE136" s="146" t="s">
        <v>403</v>
      </c>
      <c r="AF136" s="119"/>
    </row>
    <row r="137" spans="1:32" ht="12" customHeight="1">
      <c r="A137" s="150">
        <v>44351</v>
      </c>
      <c r="B137" s="151" t="s">
        <v>513</v>
      </c>
      <c r="C137" s="151"/>
      <c r="D137" s="151"/>
      <c r="E137" s="151"/>
      <c r="F137" s="151"/>
      <c r="G137" s="151"/>
      <c r="H137" s="122" t="s">
        <v>446</v>
      </c>
      <c r="I137" s="121" t="s">
        <v>469</v>
      </c>
      <c r="J137" s="122" t="s">
        <v>471</v>
      </c>
      <c r="K137" s="123">
        <v>50</v>
      </c>
      <c r="L137" s="124">
        <v>482</v>
      </c>
      <c r="M137" s="125">
        <f t="shared" si="38"/>
        <v>0</v>
      </c>
      <c r="N137" s="125">
        <f>L137-M137</f>
        <v>482</v>
      </c>
      <c r="O137" s="125"/>
      <c r="P137" s="125">
        <f t="shared" si="2"/>
        <v>24100</v>
      </c>
      <c r="Q137" s="126">
        <f t="shared" si="3"/>
        <v>0.50159999999999993</v>
      </c>
      <c r="R137" s="126">
        <f t="shared" si="74"/>
        <v>0</v>
      </c>
      <c r="S137" s="126">
        <f t="shared" si="35"/>
        <v>0.15</v>
      </c>
      <c r="T137" s="126">
        <f t="shared" si="61"/>
        <v>24.1</v>
      </c>
      <c r="U137" s="126">
        <v>0</v>
      </c>
      <c r="V137" s="126">
        <f>ROUND(P137*M$1809,2)</f>
        <v>0.83</v>
      </c>
      <c r="W137" s="126">
        <f t="shared" si="98"/>
        <v>0</v>
      </c>
      <c r="X137" s="126">
        <f t="shared" si="9"/>
        <v>25.08</v>
      </c>
      <c r="Y137" s="127">
        <f>ROUND(P137-SUM(R137:W137),2)</f>
        <v>24074.92</v>
      </c>
      <c r="Z137" s="128">
        <v>24075</v>
      </c>
      <c r="AA137" s="129">
        <f t="shared" si="47"/>
        <v>8.000000000174623E-2</v>
      </c>
      <c r="AB137" s="120">
        <v>44355</v>
      </c>
      <c r="AC137" s="130">
        <f t="shared" si="12"/>
        <v>1.041E-3</v>
      </c>
      <c r="AD137" s="131">
        <f t="shared" si="13"/>
        <v>44355</v>
      </c>
      <c r="AE137" s="132" t="s">
        <v>403</v>
      </c>
      <c r="AF137" s="119"/>
    </row>
    <row r="138" spans="1:32" ht="12" customHeight="1">
      <c r="A138" s="148">
        <v>44351</v>
      </c>
      <c r="B138" s="148" t="s">
        <v>522</v>
      </c>
      <c r="C138" s="148"/>
      <c r="D138" s="148"/>
      <c r="E138" s="148"/>
      <c r="F138" s="148"/>
      <c r="G138" s="148"/>
      <c r="H138" s="135" t="s">
        <v>453</v>
      </c>
      <c r="I138" s="134" t="s">
        <v>469</v>
      </c>
      <c r="J138" s="135" t="s">
        <v>471</v>
      </c>
      <c r="K138" s="136">
        <v>100</v>
      </c>
      <c r="L138" s="137">
        <v>229</v>
      </c>
      <c r="M138" s="138">
        <f t="shared" si="38"/>
        <v>0</v>
      </c>
      <c r="N138" s="138">
        <f>L138+M138</f>
        <v>229</v>
      </c>
      <c r="O138" s="138"/>
      <c r="P138" s="138">
        <f t="shared" si="2"/>
        <v>22900</v>
      </c>
      <c r="Q138" s="139">
        <f t="shared" si="3"/>
        <v>0.27079999999999999</v>
      </c>
      <c r="R138" s="139">
        <f t="shared" si="74"/>
        <v>0</v>
      </c>
      <c r="S138" s="139">
        <f t="shared" si="35"/>
        <v>0.11</v>
      </c>
      <c r="T138" s="139">
        <f t="shared" si="61"/>
        <v>22.9</v>
      </c>
      <c r="U138" s="139">
        <f>ROUND(P138*K$1812,2)</f>
        <v>3.44</v>
      </c>
      <c r="V138" s="139">
        <f>ROUND(P138*L$1809,2)</f>
        <v>0.63</v>
      </c>
      <c r="W138" s="139">
        <f t="shared" si="98"/>
        <v>0</v>
      </c>
      <c r="X138" s="140">
        <f t="shared" si="9"/>
        <v>27.08</v>
      </c>
      <c r="Y138" s="141">
        <f>-ROUND(P138+SUM(R138:W138),2)</f>
        <v>-22927.08</v>
      </c>
      <c r="Z138" s="142">
        <v>-22927</v>
      </c>
      <c r="AA138" s="143">
        <f t="shared" si="47"/>
        <v>8.000000000174623E-2</v>
      </c>
      <c r="AB138" s="133">
        <v>44355</v>
      </c>
      <c r="AC138" s="144">
        <f t="shared" si="12"/>
        <v>1.183E-3</v>
      </c>
      <c r="AD138" s="145">
        <f t="shared" si="13"/>
        <v>44355</v>
      </c>
      <c r="AE138" s="146" t="s">
        <v>403</v>
      </c>
      <c r="AF138" s="119"/>
    </row>
    <row r="139" spans="1:32" ht="12" customHeight="1">
      <c r="A139" s="150">
        <v>44354</v>
      </c>
      <c r="B139" s="150" t="s">
        <v>522</v>
      </c>
      <c r="C139" s="150"/>
      <c r="D139" s="150"/>
      <c r="E139" s="150"/>
      <c r="F139" s="150"/>
      <c r="G139" s="150"/>
      <c r="H139" s="122" t="s">
        <v>446</v>
      </c>
      <c r="I139" s="121" t="s">
        <v>469</v>
      </c>
      <c r="J139" s="122" t="s">
        <v>471</v>
      </c>
      <c r="K139" s="123">
        <v>100</v>
      </c>
      <c r="L139" s="124">
        <v>238</v>
      </c>
      <c r="M139" s="125">
        <f t="shared" si="38"/>
        <v>0</v>
      </c>
      <c r="N139" s="125">
        <f t="shared" ref="N139:N140" si="142">L139-M139</f>
        <v>238</v>
      </c>
      <c r="O139" s="125"/>
      <c r="P139" s="125">
        <f t="shared" si="2"/>
        <v>23800</v>
      </c>
      <c r="Q139" s="126">
        <f t="shared" si="3"/>
        <v>0.2477</v>
      </c>
      <c r="R139" s="126">
        <f t="shared" si="74"/>
        <v>0</v>
      </c>
      <c r="S139" s="126">
        <f t="shared" si="35"/>
        <v>0.15</v>
      </c>
      <c r="T139" s="126">
        <f t="shared" si="61"/>
        <v>23.8</v>
      </c>
      <c r="U139" s="126">
        <v>0</v>
      </c>
      <c r="V139" s="126">
        <f>ROUND(P139*M$1809,2)</f>
        <v>0.82</v>
      </c>
      <c r="W139" s="126">
        <f t="shared" si="98"/>
        <v>0</v>
      </c>
      <c r="X139" s="126">
        <f t="shared" si="9"/>
        <v>24.77</v>
      </c>
      <c r="Y139" s="127">
        <f t="shared" ref="Y139:Y140" si="143">ROUND(P139-SUM(R139:W139),2)</f>
        <v>23775.23</v>
      </c>
      <c r="Z139" s="128">
        <v>23775</v>
      </c>
      <c r="AA139" s="129">
        <f t="shared" si="47"/>
        <v>-0.22999999999956344</v>
      </c>
      <c r="AB139" s="120">
        <v>44356</v>
      </c>
      <c r="AC139" s="130">
        <f t="shared" si="12"/>
        <v>1.041E-3</v>
      </c>
      <c r="AD139" s="131">
        <f t="shared" si="13"/>
        <v>44356</v>
      </c>
      <c r="AE139" s="132" t="s">
        <v>403</v>
      </c>
      <c r="AF139" s="119"/>
    </row>
    <row r="140" spans="1:32" ht="12" customHeight="1">
      <c r="A140" s="150">
        <v>44354</v>
      </c>
      <c r="B140" s="150" t="s">
        <v>486</v>
      </c>
      <c r="C140" s="150"/>
      <c r="D140" s="150"/>
      <c r="E140" s="150"/>
      <c r="F140" s="150"/>
      <c r="G140" s="150"/>
      <c r="H140" s="122" t="s">
        <v>446</v>
      </c>
      <c r="I140" s="121" t="s">
        <v>469</v>
      </c>
      <c r="J140" s="122" t="s">
        <v>471</v>
      </c>
      <c r="K140" s="123">
        <v>30</v>
      </c>
      <c r="L140" s="124">
        <v>578</v>
      </c>
      <c r="M140" s="125">
        <f t="shared" si="38"/>
        <v>0</v>
      </c>
      <c r="N140" s="125">
        <f t="shared" si="142"/>
        <v>578</v>
      </c>
      <c r="O140" s="125"/>
      <c r="P140" s="125">
        <f t="shared" si="2"/>
        <v>17340</v>
      </c>
      <c r="Q140" s="126">
        <f t="shared" si="3"/>
        <v>0.59699999999999998</v>
      </c>
      <c r="R140" s="126">
        <f t="shared" si="74"/>
        <v>0</v>
      </c>
      <c r="S140" s="126">
        <f t="shared" si="35"/>
        <v>0.09</v>
      </c>
      <c r="T140" s="126">
        <f t="shared" si="61"/>
        <v>17.34</v>
      </c>
      <c r="U140" s="126">
        <v>0</v>
      </c>
      <c r="V140" s="126">
        <f t="shared" ref="V140:V146" si="144">ROUND(P140*L$1809,2)</f>
        <v>0.48</v>
      </c>
      <c r="W140" s="126">
        <f t="shared" si="98"/>
        <v>0</v>
      </c>
      <c r="X140" s="126">
        <f t="shared" si="9"/>
        <v>17.91</v>
      </c>
      <c r="Y140" s="127">
        <f t="shared" si="143"/>
        <v>17322.09</v>
      </c>
      <c r="Z140" s="128">
        <v>17322</v>
      </c>
      <c r="AA140" s="129">
        <f t="shared" si="47"/>
        <v>-9.0000000000145519E-2</v>
      </c>
      <c r="AB140" s="120">
        <v>44356</v>
      </c>
      <c r="AC140" s="130">
        <f t="shared" si="12"/>
        <v>1.0330000000000001E-3</v>
      </c>
      <c r="AD140" s="131">
        <f t="shared" si="13"/>
        <v>44356</v>
      </c>
      <c r="AE140" s="132" t="s">
        <v>403</v>
      </c>
      <c r="AF140" s="119"/>
    </row>
    <row r="141" spans="1:32" ht="12" customHeight="1">
      <c r="A141" s="148">
        <v>44355</v>
      </c>
      <c r="B141" s="148" t="s">
        <v>465</v>
      </c>
      <c r="C141" s="148"/>
      <c r="D141" s="148"/>
      <c r="E141" s="148"/>
      <c r="F141" s="148"/>
      <c r="G141" s="148"/>
      <c r="H141" s="135" t="s">
        <v>453</v>
      </c>
      <c r="I141" s="134" t="s">
        <v>469</v>
      </c>
      <c r="J141" s="135" t="s">
        <v>471</v>
      </c>
      <c r="K141" s="136">
        <v>100</v>
      </c>
      <c r="L141" s="137">
        <v>117</v>
      </c>
      <c r="M141" s="138">
        <f t="shared" si="38"/>
        <v>0</v>
      </c>
      <c r="N141" s="138">
        <f>L141+M141</f>
        <v>117</v>
      </c>
      <c r="O141" s="138"/>
      <c r="P141" s="138">
        <f t="shared" si="2"/>
        <v>11700</v>
      </c>
      <c r="Q141" s="139">
        <f t="shared" si="3"/>
        <v>0.1384</v>
      </c>
      <c r="R141" s="139">
        <f t="shared" si="74"/>
        <v>0</v>
      </c>
      <c r="S141" s="139">
        <f t="shared" si="35"/>
        <v>0.06</v>
      </c>
      <c r="T141" s="139">
        <f t="shared" si="61"/>
        <v>11.7</v>
      </c>
      <c r="U141" s="139">
        <f>ROUND(P141*K$1812,2)</f>
        <v>1.76</v>
      </c>
      <c r="V141" s="139">
        <f t="shared" si="144"/>
        <v>0.32</v>
      </c>
      <c r="W141" s="139">
        <f t="shared" si="98"/>
        <v>0</v>
      </c>
      <c r="X141" s="140">
        <f t="shared" si="9"/>
        <v>13.84</v>
      </c>
      <c r="Y141" s="141">
        <f>-ROUND(P141+SUM(R141:W141),2)</f>
        <v>-11713.84</v>
      </c>
      <c r="Z141" s="142">
        <v>-11714</v>
      </c>
      <c r="AA141" s="143">
        <f t="shared" si="47"/>
        <v>-0.15999999999985448</v>
      </c>
      <c r="AB141" s="133">
        <v>44357</v>
      </c>
      <c r="AC141" s="144">
        <f t="shared" si="12"/>
        <v>1.183E-3</v>
      </c>
      <c r="AD141" s="145">
        <f t="shared" si="13"/>
        <v>44357</v>
      </c>
      <c r="AE141" s="146" t="s">
        <v>403</v>
      </c>
      <c r="AF141" s="119"/>
    </row>
    <row r="142" spans="1:32" ht="12" customHeight="1">
      <c r="A142" s="150">
        <v>44356</v>
      </c>
      <c r="B142" s="150" t="s">
        <v>481</v>
      </c>
      <c r="C142" s="150"/>
      <c r="D142" s="150"/>
      <c r="E142" s="150"/>
      <c r="F142" s="150"/>
      <c r="G142" s="150"/>
      <c r="H142" s="122" t="s">
        <v>446</v>
      </c>
      <c r="I142" s="121" t="s">
        <v>469</v>
      </c>
      <c r="J142" s="122" t="s">
        <v>471</v>
      </c>
      <c r="K142" s="123">
        <v>100</v>
      </c>
      <c r="L142" s="124">
        <v>124.5</v>
      </c>
      <c r="M142" s="125">
        <f t="shared" si="38"/>
        <v>0</v>
      </c>
      <c r="N142" s="125">
        <f t="shared" ref="N142:N145" si="145">L142-M142</f>
        <v>124.5</v>
      </c>
      <c r="O142" s="125"/>
      <c r="P142" s="125">
        <f t="shared" si="2"/>
        <v>12450</v>
      </c>
      <c r="Q142" s="126">
        <f t="shared" si="3"/>
        <v>0.1285</v>
      </c>
      <c r="R142" s="126">
        <f t="shared" si="74"/>
        <v>0</v>
      </c>
      <c r="S142" s="126">
        <f t="shared" si="35"/>
        <v>0.06</v>
      </c>
      <c r="T142" s="126">
        <f t="shared" si="61"/>
        <v>12.45</v>
      </c>
      <c r="U142" s="126">
        <v>0</v>
      </c>
      <c r="V142" s="126">
        <f t="shared" si="144"/>
        <v>0.34</v>
      </c>
      <c r="W142" s="126">
        <f t="shared" si="98"/>
        <v>0</v>
      </c>
      <c r="X142" s="126">
        <f t="shared" si="9"/>
        <v>12.85</v>
      </c>
      <c r="Y142" s="127">
        <f t="shared" ref="Y142:Y145" si="146">ROUND(P142-SUM(R142:W142),2)</f>
        <v>12437.15</v>
      </c>
      <c r="Z142" s="128">
        <v>12437</v>
      </c>
      <c r="AA142" s="129">
        <f t="shared" si="47"/>
        <v>-0.1499999999996362</v>
      </c>
      <c r="AB142" s="120">
        <v>44358</v>
      </c>
      <c r="AC142" s="130">
        <f t="shared" si="12"/>
        <v>1.0319999999999999E-3</v>
      </c>
      <c r="AD142" s="131">
        <f t="shared" si="13"/>
        <v>44358</v>
      </c>
      <c r="AE142" s="132" t="s">
        <v>403</v>
      </c>
      <c r="AF142" s="119"/>
    </row>
    <row r="143" spans="1:32" ht="12" customHeight="1">
      <c r="A143" s="150">
        <v>44356</v>
      </c>
      <c r="B143" s="150" t="s">
        <v>518</v>
      </c>
      <c r="C143" s="150"/>
      <c r="D143" s="150"/>
      <c r="E143" s="150"/>
      <c r="F143" s="150"/>
      <c r="G143" s="150"/>
      <c r="H143" s="122" t="s">
        <v>446</v>
      </c>
      <c r="I143" s="121" t="s">
        <v>469</v>
      </c>
      <c r="J143" s="122" t="s">
        <v>471</v>
      </c>
      <c r="K143" s="123">
        <v>100</v>
      </c>
      <c r="L143" s="124">
        <v>134.69999999999999</v>
      </c>
      <c r="M143" s="125">
        <f t="shared" si="38"/>
        <v>0</v>
      </c>
      <c r="N143" s="125">
        <f t="shared" si="145"/>
        <v>134.69999999999999</v>
      </c>
      <c r="O143" s="125"/>
      <c r="P143" s="125">
        <f t="shared" si="2"/>
        <v>13470</v>
      </c>
      <c r="Q143" s="126">
        <f t="shared" si="3"/>
        <v>0.1391</v>
      </c>
      <c r="R143" s="126">
        <f t="shared" si="74"/>
        <v>0</v>
      </c>
      <c r="S143" s="126">
        <f t="shared" si="35"/>
        <v>7.0000000000000007E-2</v>
      </c>
      <c r="T143" s="126">
        <f t="shared" si="61"/>
        <v>13.47</v>
      </c>
      <c r="U143" s="126">
        <v>0</v>
      </c>
      <c r="V143" s="126">
        <f t="shared" si="144"/>
        <v>0.37</v>
      </c>
      <c r="W143" s="126">
        <f t="shared" si="98"/>
        <v>0</v>
      </c>
      <c r="X143" s="126">
        <f t="shared" si="9"/>
        <v>13.91</v>
      </c>
      <c r="Y143" s="127">
        <f t="shared" si="146"/>
        <v>13456.09</v>
      </c>
      <c r="Z143" s="128">
        <v>13456</v>
      </c>
      <c r="AA143" s="129">
        <f t="shared" si="47"/>
        <v>-9.0000000000145519E-2</v>
      </c>
      <c r="AB143" s="120">
        <v>44358</v>
      </c>
      <c r="AC143" s="130">
        <f t="shared" si="12"/>
        <v>1.0330000000000001E-3</v>
      </c>
      <c r="AD143" s="131">
        <f t="shared" si="13"/>
        <v>44358</v>
      </c>
      <c r="AE143" s="132" t="s">
        <v>403</v>
      </c>
      <c r="AF143" s="119"/>
    </row>
    <row r="144" spans="1:32" ht="12" customHeight="1">
      <c r="A144" s="150">
        <v>44356</v>
      </c>
      <c r="B144" s="150" t="s">
        <v>517</v>
      </c>
      <c r="C144" s="150"/>
      <c r="D144" s="150"/>
      <c r="E144" s="150"/>
      <c r="F144" s="150"/>
      <c r="G144" s="150"/>
      <c r="H144" s="122" t="s">
        <v>446</v>
      </c>
      <c r="I144" s="121" t="s">
        <v>469</v>
      </c>
      <c r="J144" s="122" t="s">
        <v>471</v>
      </c>
      <c r="K144" s="123">
        <v>25</v>
      </c>
      <c r="L144" s="124">
        <v>870</v>
      </c>
      <c r="M144" s="125">
        <f t="shared" si="38"/>
        <v>0</v>
      </c>
      <c r="N144" s="125">
        <f t="shared" si="145"/>
        <v>870</v>
      </c>
      <c r="O144" s="125"/>
      <c r="P144" s="125">
        <f t="shared" si="2"/>
        <v>21750</v>
      </c>
      <c r="Q144" s="126">
        <f t="shared" si="3"/>
        <v>0.89840000000000009</v>
      </c>
      <c r="R144" s="126">
        <f t="shared" si="74"/>
        <v>0</v>
      </c>
      <c r="S144" s="126">
        <f t="shared" si="35"/>
        <v>0.11</v>
      </c>
      <c r="T144" s="126">
        <f t="shared" si="61"/>
        <v>21.75</v>
      </c>
      <c r="U144" s="126">
        <v>0</v>
      </c>
      <c r="V144" s="126">
        <f t="shared" si="144"/>
        <v>0.6</v>
      </c>
      <c r="W144" s="126">
        <f t="shared" si="98"/>
        <v>0</v>
      </c>
      <c r="X144" s="126">
        <f t="shared" si="9"/>
        <v>22.46</v>
      </c>
      <c r="Y144" s="127">
        <f t="shared" si="146"/>
        <v>21727.54</v>
      </c>
      <c r="Z144" s="128">
        <v>21727</v>
      </c>
      <c r="AA144" s="129">
        <f t="shared" si="47"/>
        <v>-0.54000000000087311</v>
      </c>
      <c r="AB144" s="120">
        <v>44358</v>
      </c>
      <c r="AC144" s="130">
        <f t="shared" si="12"/>
        <v>1.0330000000000001E-3</v>
      </c>
      <c r="AD144" s="131">
        <f t="shared" si="13"/>
        <v>44358</v>
      </c>
      <c r="AE144" s="132" t="s">
        <v>403</v>
      </c>
      <c r="AF144" s="119"/>
    </row>
    <row r="145" spans="1:32" ht="12" customHeight="1">
      <c r="A145" s="150">
        <v>44356</v>
      </c>
      <c r="B145" s="150" t="s">
        <v>465</v>
      </c>
      <c r="C145" s="150"/>
      <c r="D145" s="150"/>
      <c r="E145" s="150"/>
      <c r="F145" s="150"/>
      <c r="G145" s="150"/>
      <c r="H145" s="122" t="s">
        <v>446</v>
      </c>
      <c r="I145" s="121" t="s">
        <v>469</v>
      </c>
      <c r="J145" s="122" t="s">
        <v>471</v>
      </c>
      <c r="K145" s="123">
        <v>100</v>
      </c>
      <c r="L145" s="124">
        <v>128</v>
      </c>
      <c r="M145" s="125">
        <f t="shared" si="38"/>
        <v>0</v>
      </c>
      <c r="N145" s="125">
        <f t="shared" si="145"/>
        <v>128</v>
      </c>
      <c r="O145" s="125"/>
      <c r="P145" s="125">
        <f t="shared" si="2"/>
        <v>12800</v>
      </c>
      <c r="Q145" s="126">
        <f t="shared" si="3"/>
        <v>0.1321</v>
      </c>
      <c r="R145" s="126">
        <f t="shared" si="74"/>
        <v>0</v>
      </c>
      <c r="S145" s="126">
        <f t="shared" si="35"/>
        <v>0.06</v>
      </c>
      <c r="T145" s="126">
        <f t="shared" si="61"/>
        <v>12.8</v>
      </c>
      <c r="U145" s="126">
        <v>0</v>
      </c>
      <c r="V145" s="126">
        <f t="shared" si="144"/>
        <v>0.35</v>
      </c>
      <c r="W145" s="126">
        <f t="shared" si="98"/>
        <v>0</v>
      </c>
      <c r="X145" s="126">
        <f t="shared" si="9"/>
        <v>13.21</v>
      </c>
      <c r="Y145" s="127">
        <f t="shared" si="146"/>
        <v>12786.79</v>
      </c>
      <c r="Z145" s="128">
        <v>12787</v>
      </c>
      <c r="AA145" s="129">
        <f t="shared" si="47"/>
        <v>0.20999999999912689</v>
      </c>
      <c r="AB145" s="120">
        <v>44358</v>
      </c>
      <c r="AC145" s="130">
        <f t="shared" si="12"/>
        <v>1.0319999999999999E-3</v>
      </c>
      <c r="AD145" s="131">
        <f t="shared" si="13"/>
        <v>44358</v>
      </c>
      <c r="AE145" s="132" t="s">
        <v>403</v>
      </c>
      <c r="AF145" s="119"/>
    </row>
    <row r="146" spans="1:32" ht="12" customHeight="1">
      <c r="A146" s="148">
        <v>44356</v>
      </c>
      <c r="B146" s="148" t="s">
        <v>494</v>
      </c>
      <c r="C146" s="148"/>
      <c r="D146" s="148"/>
      <c r="E146" s="148"/>
      <c r="F146" s="148"/>
      <c r="G146" s="148"/>
      <c r="H146" s="135" t="s">
        <v>453</v>
      </c>
      <c r="I146" s="134" t="s">
        <v>469</v>
      </c>
      <c r="J146" s="135" t="s">
        <v>471</v>
      </c>
      <c r="K146" s="136">
        <v>50</v>
      </c>
      <c r="L146" s="137">
        <v>410</v>
      </c>
      <c r="M146" s="138">
        <f t="shared" si="38"/>
        <v>0</v>
      </c>
      <c r="N146" s="138">
        <f t="shared" ref="N146:N151" si="147">L146+M146</f>
        <v>410</v>
      </c>
      <c r="O146" s="138"/>
      <c r="P146" s="138">
        <f t="shared" si="2"/>
        <v>20500</v>
      </c>
      <c r="Q146" s="139">
        <f t="shared" si="3"/>
        <v>0.48479999999999995</v>
      </c>
      <c r="R146" s="139">
        <f t="shared" si="74"/>
        <v>0</v>
      </c>
      <c r="S146" s="139">
        <f t="shared" si="35"/>
        <v>0.1</v>
      </c>
      <c r="T146" s="139">
        <f t="shared" si="61"/>
        <v>20.5</v>
      </c>
      <c r="U146" s="139">
        <f t="shared" ref="U146:U151" si="148">ROUND(P146*K$1812,2)</f>
        <v>3.08</v>
      </c>
      <c r="V146" s="139">
        <f t="shared" si="144"/>
        <v>0.56000000000000005</v>
      </c>
      <c r="W146" s="139">
        <f t="shared" si="98"/>
        <v>0</v>
      </c>
      <c r="X146" s="140">
        <f t="shared" si="9"/>
        <v>24.24</v>
      </c>
      <c r="Y146" s="141">
        <f t="shared" ref="Y146:Y151" si="149">-ROUND(P146+SUM(R146:W146),2)</f>
        <v>-20524.240000000002</v>
      </c>
      <c r="Z146" s="142">
        <v>-20524</v>
      </c>
      <c r="AA146" s="143">
        <f t="shared" si="47"/>
        <v>0.24000000000160071</v>
      </c>
      <c r="AB146" s="133">
        <v>44358</v>
      </c>
      <c r="AC146" s="144">
        <f t="shared" si="12"/>
        <v>1.1820000000000001E-3</v>
      </c>
      <c r="AD146" s="145">
        <f t="shared" si="13"/>
        <v>44358</v>
      </c>
      <c r="AE146" s="146" t="s">
        <v>403</v>
      </c>
      <c r="AF146" s="119"/>
    </row>
    <row r="147" spans="1:32" ht="12" customHeight="1">
      <c r="A147" s="148">
        <v>44356</v>
      </c>
      <c r="B147" s="149" t="s">
        <v>523</v>
      </c>
      <c r="C147" s="149"/>
      <c r="D147" s="149"/>
      <c r="E147" s="149"/>
      <c r="F147" s="149"/>
      <c r="G147" s="149"/>
      <c r="H147" s="135" t="s">
        <v>453</v>
      </c>
      <c r="I147" s="134" t="s">
        <v>469</v>
      </c>
      <c r="J147" s="135" t="s">
        <v>471</v>
      </c>
      <c r="K147" s="136">
        <v>25</v>
      </c>
      <c r="L147" s="137">
        <v>816</v>
      </c>
      <c r="M147" s="138">
        <f t="shared" si="38"/>
        <v>0</v>
      </c>
      <c r="N147" s="138">
        <f t="shared" si="147"/>
        <v>816</v>
      </c>
      <c r="O147" s="138"/>
      <c r="P147" s="138">
        <f t="shared" si="2"/>
        <v>20400</v>
      </c>
      <c r="Q147" s="139">
        <f t="shared" si="3"/>
        <v>0.9715999999999998</v>
      </c>
      <c r="R147" s="139">
        <f t="shared" si="74"/>
        <v>0</v>
      </c>
      <c r="S147" s="139">
        <f t="shared" si="35"/>
        <v>0.13</v>
      </c>
      <c r="T147" s="139">
        <f t="shared" si="61"/>
        <v>20.399999999999999</v>
      </c>
      <c r="U147" s="139">
        <f t="shared" si="148"/>
        <v>3.06</v>
      </c>
      <c r="V147" s="139">
        <f>ROUND(P147*M$1809,2)</f>
        <v>0.7</v>
      </c>
      <c r="W147" s="139">
        <f t="shared" si="98"/>
        <v>0</v>
      </c>
      <c r="X147" s="140">
        <f t="shared" si="9"/>
        <v>24.289999999999996</v>
      </c>
      <c r="Y147" s="141">
        <f t="shared" si="149"/>
        <v>-20424.29</v>
      </c>
      <c r="Z147" s="142">
        <v>-20424</v>
      </c>
      <c r="AA147" s="143">
        <f t="shared" si="47"/>
        <v>0.29000000000087311</v>
      </c>
      <c r="AB147" s="133">
        <v>44358</v>
      </c>
      <c r="AC147" s="144">
        <f t="shared" si="12"/>
        <v>1.191E-3</v>
      </c>
      <c r="AD147" s="145">
        <f t="shared" si="13"/>
        <v>44358</v>
      </c>
      <c r="AE147" s="146" t="s">
        <v>403</v>
      </c>
      <c r="AF147" s="119"/>
    </row>
    <row r="148" spans="1:32" ht="12" customHeight="1">
      <c r="A148" s="148">
        <v>44357</v>
      </c>
      <c r="B148" s="149" t="s">
        <v>486</v>
      </c>
      <c r="C148" s="149"/>
      <c r="D148" s="149"/>
      <c r="E148" s="149"/>
      <c r="F148" s="149"/>
      <c r="G148" s="149"/>
      <c r="H148" s="135" t="s">
        <v>453</v>
      </c>
      <c r="I148" s="134" t="s">
        <v>469</v>
      </c>
      <c r="J148" s="135" t="s">
        <v>471</v>
      </c>
      <c r="K148" s="136">
        <v>50</v>
      </c>
      <c r="L148" s="137">
        <v>565.5</v>
      </c>
      <c r="M148" s="138">
        <f t="shared" si="38"/>
        <v>0</v>
      </c>
      <c r="N148" s="138">
        <f t="shared" si="147"/>
        <v>565.5</v>
      </c>
      <c r="O148" s="138"/>
      <c r="P148" s="138">
        <f t="shared" si="2"/>
        <v>28275</v>
      </c>
      <c r="Q148" s="139">
        <f t="shared" si="3"/>
        <v>0.66880000000000006</v>
      </c>
      <c r="R148" s="139">
        <f t="shared" si="74"/>
        <v>0</v>
      </c>
      <c r="S148" s="139">
        <f t="shared" si="35"/>
        <v>0.14000000000000001</v>
      </c>
      <c r="T148" s="139">
        <f t="shared" si="61"/>
        <v>28.28</v>
      </c>
      <c r="U148" s="139">
        <f t="shared" si="148"/>
        <v>4.24</v>
      </c>
      <c r="V148" s="139">
        <f t="shared" ref="V148:V151" si="150">ROUND(P148*L$1809,2)</f>
        <v>0.78</v>
      </c>
      <c r="W148" s="139">
        <f t="shared" si="98"/>
        <v>0</v>
      </c>
      <c r="X148" s="140">
        <f t="shared" si="9"/>
        <v>33.440000000000005</v>
      </c>
      <c r="Y148" s="141">
        <f t="shared" si="149"/>
        <v>-28308.44</v>
      </c>
      <c r="Z148" s="142">
        <v>-28309</v>
      </c>
      <c r="AA148" s="143">
        <f t="shared" si="47"/>
        <v>-0.56000000000130967</v>
      </c>
      <c r="AB148" s="133">
        <v>44361</v>
      </c>
      <c r="AC148" s="144">
        <f t="shared" si="12"/>
        <v>1.183E-3</v>
      </c>
      <c r="AD148" s="145">
        <f t="shared" si="13"/>
        <v>44361</v>
      </c>
      <c r="AE148" s="146" t="s">
        <v>403</v>
      </c>
      <c r="AF148" s="119"/>
    </row>
    <row r="149" spans="1:32" ht="12" customHeight="1">
      <c r="A149" s="148">
        <v>44357</v>
      </c>
      <c r="B149" s="149" t="s">
        <v>524</v>
      </c>
      <c r="C149" s="149"/>
      <c r="D149" s="149"/>
      <c r="E149" s="149"/>
      <c r="F149" s="149"/>
      <c r="G149" s="149"/>
      <c r="H149" s="135" t="s">
        <v>453</v>
      </c>
      <c r="I149" s="134" t="s">
        <v>469</v>
      </c>
      <c r="J149" s="135" t="s">
        <v>471</v>
      </c>
      <c r="K149" s="136">
        <v>100</v>
      </c>
      <c r="L149" s="137">
        <v>94.9</v>
      </c>
      <c r="M149" s="138">
        <f t="shared" si="38"/>
        <v>0</v>
      </c>
      <c r="N149" s="138">
        <f t="shared" si="147"/>
        <v>94.9</v>
      </c>
      <c r="O149" s="138"/>
      <c r="P149" s="138">
        <f t="shared" si="2"/>
        <v>9490</v>
      </c>
      <c r="Q149" s="139">
        <f t="shared" si="3"/>
        <v>0.11220000000000001</v>
      </c>
      <c r="R149" s="139">
        <f t="shared" si="74"/>
        <v>0</v>
      </c>
      <c r="S149" s="139">
        <f t="shared" si="35"/>
        <v>0.05</v>
      </c>
      <c r="T149" s="139">
        <f t="shared" si="61"/>
        <v>9.49</v>
      </c>
      <c r="U149" s="139">
        <f t="shared" si="148"/>
        <v>1.42</v>
      </c>
      <c r="V149" s="139">
        <f t="shared" si="150"/>
        <v>0.26</v>
      </c>
      <c r="W149" s="139">
        <f t="shared" si="98"/>
        <v>0</v>
      </c>
      <c r="X149" s="140">
        <f t="shared" si="9"/>
        <v>11.22</v>
      </c>
      <c r="Y149" s="141">
        <f t="shared" si="149"/>
        <v>-9501.2199999999993</v>
      </c>
      <c r="Z149" s="142">
        <v>-9501</v>
      </c>
      <c r="AA149" s="143">
        <f t="shared" si="47"/>
        <v>0.21999999999934516</v>
      </c>
      <c r="AB149" s="133">
        <v>44361</v>
      </c>
      <c r="AC149" s="144">
        <f t="shared" si="12"/>
        <v>1.1820000000000001E-3</v>
      </c>
      <c r="AD149" s="145">
        <f t="shared" si="13"/>
        <v>44361</v>
      </c>
      <c r="AE149" s="146" t="s">
        <v>403</v>
      </c>
      <c r="AF149" s="119"/>
    </row>
    <row r="150" spans="1:32" ht="12" customHeight="1">
      <c r="A150" s="148">
        <v>44358</v>
      </c>
      <c r="B150" s="148" t="s">
        <v>525</v>
      </c>
      <c r="C150" s="148"/>
      <c r="D150" s="148"/>
      <c r="E150" s="148"/>
      <c r="F150" s="148"/>
      <c r="G150" s="148"/>
      <c r="H150" s="135" t="s">
        <v>453</v>
      </c>
      <c r="I150" s="134" t="s">
        <v>469</v>
      </c>
      <c r="J150" s="135" t="s">
        <v>471</v>
      </c>
      <c r="K150" s="136">
        <v>200</v>
      </c>
      <c r="L150" s="137">
        <v>105.3</v>
      </c>
      <c r="M150" s="138">
        <f t="shared" si="38"/>
        <v>0</v>
      </c>
      <c r="N150" s="138">
        <f t="shared" si="147"/>
        <v>105.3</v>
      </c>
      <c r="O150" s="138"/>
      <c r="P150" s="138">
        <f t="shared" si="2"/>
        <v>21060</v>
      </c>
      <c r="Q150" s="139">
        <f t="shared" si="3"/>
        <v>0.1245</v>
      </c>
      <c r="R150" s="139">
        <f t="shared" si="74"/>
        <v>0</v>
      </c>
      <c r="S150" s="139">
        <f t="shared" si="35"/>
        <v>0.1</v>
      </c>
      <c r="T150" s="139">
        <f t="shared" si="61"/>
        <v>21.06</v>
      </c>
      <c r="U150" s="139">
        <f t="shared" si="148"/>
        <v>3.16</v>
      </c>
      <c r="V150" s="139">
        <f t="shared" si="150"/>
        <v>0.57999999999999996</v>
      </c>
      <c r="W150" s="139">
        <f t="shared" si="98"/>
        <v>0</v>
      </c>
      <c r="X150" s="140">
        <f t="shared" si="9"/>
        <v>24.9</v>
      </c>
      <c r="Y150" s="141">
        <f t="shared" si="149"/>
        <v>-21084.9</v>
      </c>
      <c r="Z150" s="142">
        <v>-21085</v>
      </c>
      <c r="AA150" s="143">
        <f t="shared" si="47"/>
        <v>-9.9999999998544808E-2</v>
      </c>
      <c r="AB150" s="133">
        <v>44362</v>
      </c>
      <c r="AC150" s="144">
        <f t="shared" si="12"/>
        <v>1.1820000000000001E-3</v>
      </c>
      <c r="AD150" s="145">
        <f t="shared" si="13"/>
        <v>44362</v>
      </c>
      <c r="AE150" s="146" t="s">
        <v>403</v>
      </c>
      <c r="AF150" s="119"/>
    </row>
    <row r="151" spans="1:32" ht="12" customHeight="1">
      <c r="A151" s="148">
        <v>44358</v>
      </c>
      <c r="B151" s="148" t="s">
        <v>526</v>
      </c>
      <c r="C151" s="148"/>
      <c r="D151" s="148"/>
      <c r="E151" s="148"/>
      <c r="F151" s="148"/>
      <c r="G151" s="148"/>
      <c r="H151" s="135" t="s">
        <v>453</v>
      </c>
      <c r="I151" s="134" t="s">
        <v>469</v>
      </c>
      <c r="J151" s="135" t="s">
        <v>471</v>
      </c>
      <c r="K151" s="136">
        <v>50</v>
      </c>
      <c r="L151" s="137">
        <v>88.5</v>
      </c>
      <c r="M151" s="138">
        <f t="shared" si="38"/>
        <v>0</v>
      </c>
      <c r="N151" s="138">
        <f t="shared" si="147"/>
        <v>88.5</v>
      </c>
      <c r="O151" s="138"/>
      <c r="P151" s="138">
        <f t="shared" si="2"/>
        <v>4425</v>
      </c>
      <c r="Q151" s="139">
        <f t="shared" si="3"/>
        <v>0.10459999999999998</v>
      </c>
      <c r="R151" s="139">
        <f t="shared" si="74"/>
        <v>0</v>
      </c>
      <c r="S151" s="139">
        <f t="shared" si="35"/>
        <v>0.02</v>
      </c>
      <c r="T151" s="139">
        <f t="shared" si="61"/>
        <v>4.43</v>
      </c>
      <c r="U151" s="139">
        <f t="shared" si="148"/>
        <v>0.66</v>
      </c>
      <c r="V151" s="139">
        <f t="shared" si="150"/>
        <v>0.12</v>
      </c>
      <c r="W151" s="139">
        <f t="shared" si="98"/>
        <v>0</v>
      </c>
      <c r="X151" s="140">
        <f t="shared" si="9"/>
        <v>5.2299999999999995</v>
      </c>
      <c r="Y151" s="141">
        <f t="shared" si="149"/>
        <v>-4430.2299999999996</v>
      </c>
      <c r="Z151" s="142">
        <v>-4430</v>
      </c>
      <c r="AA151" s="143">
        <f t="shared" si="47"/>
        <v>0.22999999999956344</v>
      </c>
      <c r="AB151" s="133">
        <v>44362</v>
      </c>
      <c r="AC151" s="144">
        <f t="shared" si="12"/>
        <v>1.1820000000000001E-3</v>
      </c>
      <c r="AD151" s="145">
        <f t="shared" si="13"/>
        <v>44362</v>
      </c>
      <c r="AE151" s="146" t="s">
        <v>403</v>
      </c>
      <c r="AF151" s="119"/>
    </row>
    <row r="152" spans="1:32" ht="12" customHeight="1">
      <c r="A152" s="150">
        <v>44358</v>
      </c>
      <c r="B152" s="150" t="s">
        <v>494</v>
      </c>
      <c r="C152" s="150"/>
      <c r="D152" s="150"/>
      <c r="E152" s="150"/>
      <c r="F152" s="150"/>
      <c r="G152" s="150"/>
      <c r="H152" s="122" t="s">
        <v>446</v>
      </c>
      <c r="I152" s="121" t="s">
        <v>469</v>
      </c>
      <c r="J152" s="122" t="s">
        <v>471</v>
      </c>
      <c r="K152" s="123">
        <v>50</v>
      </c>
      <c r="L152" s="124">
        <v>417</v>
      </c>
      <c r="M152" s="125">
        <f t="shared" si="38"/>
        <v>0</v>
      </c>
      <c r="N152" s="125">
        <f t="shared" ref="N152:N156" si="151">L152-M152</f>
        <v>417</v>
      </c>
      <c r="O152" s="125"/>
      <c r="P152" s="125">
        <f t="shared" si="2"/>
        <v>20850</v>
      </c>
      <c r="Q152" s="126">
        <f t="shared" si="3"/>
        <v>0.434</v>
      </c>
      <c r="R152" s="126">
        <f t="shared" si="74"/>
        <v>0</v>
      </c>
      <c r="S152" s="126">
        <f t="shared" si="35"/>
        <v>0.13</v>
      </c>
      <c r="T152" s="126">
        <f t="shared" si="61"/>
        <v>20.85</v>
      </c>
      <c r="U152" s="126">
        <v>0</v>
      </c>
      <c r="V152" s="126">
        <f>ROUND(P152*M$1809,2)</f>
        <v>0.72</v>
      </c>
      <c r="W152" s="126">
        <f t="shared" si="98"/>
        <v>0</v>
      </c>
      <c r="X152" s="126">
        <f t="shared" si="9"/>
        <v>21.7</v>
      </c>
      <c r="Y152" s="127">
        <f t="shared" ref="Y152:Y156" si="152">ROUND(P152-SUM(R152:W152),2)</f>
        <v>20828.3</v>
      </c>
      <c r="Z152" s="128">
        <v>20828</v>
      </c>
      <c r="AA152" s="129">
        <f t="shared" si="47"/>
        <v>-0.2999999999992724</v>
      </c>
      <c r="AB152" s="120">
        <v>44362</v>
      </c>
      <c r="AC152" s="130">
        <f t="shared" si="12"/>
        <v>1.041E-3</v>
      </c>
      <c r="AD152" s="131">
        <f t="shared" si="13"/>
        <v>44362</v>
      </c>
      <c r="AE152" s="132" t="s">
        <v>403</v>
      </c>
      <c r="AF152" s="119"/>
    </row>
    <row r="153" spans="1:32" ht="12" customHeight="1">
      <c r="A153" s="150">
        <v>44358</v>
      </c>
      <c r="B153" s="150" t="s">
        <v>511</v>
      </c>
      <c r="C153" s="150"/>
      <c r="D153" s="150"/>
      <c r="E153" s="150"/>
      <c r="F153" s="150"/>
      <c r="G153" s="150"/>
      <c r="H153" s="122" t="s">
        <v>446</v>
      </c>
      <c r="I153" s="121" t="s">
        <v>469</v>
      </c>
      <c r="J153" s="122" t="s">
        <v>471</v>
      </c>
      <c r="K153" s="123">
        <v>10</v>
      </c>
      <c r="L153" s="124">
        <v>1096</v>
      </c>
      <c r="M153" s="125">
        <f t="shared" si="38"/>
        <v>0</v>
      </c>
      <c r="N153" s="125">
        <f t="shared" si="151"/>
        <v>1096</v>
      </c>
      <c r="O153" s="125"/>
      <c r="P153" s="125">
        <f t="shared" si="2"/>
        <v>10960</v>
      </c>
      <c r="Q153" s="126">
        <f t="shared" si="3"/>
        <v>1.1310000000000002</v>
      </c>
      <c r="R153" s="126">
        <f t="shared" si="74"/>
        <v>0</v>
      </c>
      <c r="S153" s="126">
        <f t="shared" si="35"/>
        <v>0.05</v>
      </c>
      <c r="T153" s="126">
        <f t="shared" si="61"/>
        <v>10.96</v>
      </c>
      <c r="U153" s="126">
        <v>0</v>
      </c>
      <c r="V153" s="126">
        <f t="shared" ref="V153:V157" si="153">ROUND(P153*L$1809,2)</f>
        <v>0.3</v>
      </c>
      <c r="W153" s="126">
        <f t="shared" si="98"/>
        <v>0</v>
      </c>
      <c r="X153" s="126">
        <f t="shared" si="9"/>
        <v>11.310000000000002</v>
      </c>
      <c r="Y153" s="127">
        <f t="shared" si="152"/>
        <v>10948.69</v>
      </c>
      <c r="Z153" s="128">
        <v>10949</v>
      </c>
      <c r="AA153" s="129">
        <f t="shared" si="47"/>
        <v>0.30999999999949068</v>
      </c>
      <c r="AB153" s="120">
        <v>44362</v>
      </c>
      <c r="AC153" s="130">
        <f t="shared" si="12"/>
        <v>1.0319999999999999E-3</v>
      </c>
      <c r="AD153" s="131">
        <f t="shared" si="13"/>
        <v>44362</v>
      </c>
      <c r="AE153" s="132" t="s">
        <v>403</v>
      </c>
      <c r="AF153" s="119"/>
    </row>
    <row r="154" spans="1:32" ht="12" customHeight="1">
      <c r="A154" s="150">
        <v>44358</v>
      </c>
      <c r="B154" s="150" t="s">
        <v>520</v>
      </c>
      <c r="C154" s="150"/>
      <c r="D154" s="150"/>
      <c r="E154" s="150"/>
      <c r="F154" s="150"/>
      <c r="G154" s="150"/>
      <c r="H154" s="122" t="s">
        <v>446</v>
      </c>
      <c r="I154" s="121" t="s">
        <v>469</v>
      </c>
      <c r="J154" s="122" t="s">
        <v>471</v>
      </c>
      <c r="K154" s="123">
        <v>100</v>
      </c>
      <c r="L154" s="124">
        <v>117</v>
      </c>
      <c r="M154" s="125">
        <f t="shared" si="38"/>
        <v>0</v>
      </c>
      <c r="N154" s="125">
        <f t="shared" si="151"/>
        <v>117</v>
      </c>
      <c r="O154" s="125"/>
      <c r="P154" s="125">
        <f t="shared" si="2"/>
        <v>11700</v>
      </c>
      <c r="Q154" s="126">
        <f t="shared" si="3"/>
        <v>0.1208</v>
      </c>
      <c r="R154" s="126">
        <f t="shared" si="74"/>
        <v>0</v>
      </c>
      <c r="S154" s="126">
        <f t="shared" si="35"/>
        <v>0.06</v>
      </c>
      <c r="T154" s="126">
        <f t="shared" si="61"/>
        <v>11.7</v>
      </c>
      <c r="U154" s="126">
        <v>0</v>
      </c>
      <c r="V154" s="126">
        <f t="shared" si="153"/>
        <v>0.32</v>
      </c>
      <c r="W154" s="126">
        <f t="shared" si="98"/>
        <v>0</v>
      </c>
      <c r="X154" s="126">
        <f t="shared" si="9"/>
        <v>12.08</v>
      </c>
      <c r="Y154" s="127">
        <f t="shared" si="152"/>
        <v>11687.92</v>
      </c>
      <c r="Z154" s="128">
        <v>11688</v>
      </c>
      <c r="AA154" s="129">
        <f t="shared" si="47"/>
        <v>7.999999999992724E-2</v>
      </c>
      <c r="AB154" s="120">
        <v>44362</v>
      </c>
      <c r="AC154" s="130">
        <f t="shared" si="12"/>
        <v>1.0319999999999999E-3</v>
      </c>
      <c r="AD154" s="131">
        <f t="shared" si="13"/>
        <v>44362</v>
      </c>
      <c r="AE154" s="132" t="s">
        <v>403</v>
      </c>
      <c r="AF154" s="119"/>
    </row>
    <row r="155" spans="1:32" ht="12" customHeight="1">
      <c r="A155" s="150">
        <v>44361</v>
      </c>
      <c r="B155" s="151" t="s">
        <v>524</v>
      </c>
      <c r="C155" s="151"/>
      <c r="D155" s="151"/>
      <c r="E155" s="151"/>
      <c r="F155" s="151"/>
      <c r="G155" s="151"/>
      <c r="H155" s="122" t="s">
        <v>446</v>
      </c>
      <c r="I155" s="121" t="s">
        <v>469</v>
      </c>
      <c r="J155" s="122" t="s">
        <v>471</v>
      </c>
      <c r="K155" s="123">
        <v>100</v>
      </c>
      <c r="L155" s="124">
        <v>96.2</v>
      </c>
      <c r="M155" s="125">
        <f t="shared" si="38"/>
        <v>0</v>
      </c>
      <c r="N155" s="125">
        <f t="shared" si="151"/>
        <v>96.2</v>
      </c>
      <c r="O155" s="125"/>
      <c r="P155" s="125">
        <f t="shared" si="2"/>
        <v>9620</v>
      </c>
      <c r="Q155" s="126">
        <f t="shared" si="3"/>
        <v>9.9299999999999999E-2</v>
      </c>
      <c r="R155" s="126">
        <f t="shared" si="74"/>
        <v>0</v>
      </c>
      <c r="S155" s="126">
        <f t="shared" si="35"/>
        <v>0.05</v>
      </c>
      <c r="T155" s="126">
        <f t="shared" si="61"/>
        <v>9.6199999999999992</v>
      </c>
      <c r="U155" s="126">
        <v>0</v>
      </c>
      <c r="V155" s="126">
        <f t="shared" si="153"/>
        <v>0.26</v>
      </c>
      <c r="W155" s="126">
        <f t="shared" si="98"/>
        <v>0</v>
      </c>
      <c r="X155" s="126">
        <f t="shared" si="9"/>
        <v>9.93</v>
      </c>
      <c r="Y155" s="127">
        <f t="shared" si="152"/>
        <v>9610.07</v>
      </c>
      <c r="Z155" s="128">
        <v>9610</v>
      </c>
      <c r="AA155" s="129">
        <f t="shared" si="47"/>
        <v>-6.9999999999708962E-2</v>
      </c>
      <c r="AB155" s="120">
        <v>44363</v>
      </c>
      <c r="AC155" s="130">
        <f t="shared" si="12"/>
        <v>1.0319999999999999E-3</v>
      </c>
      <c r="AD155" s="131">
        <f t="shared" si="13"/>
        <v>44363</v>
      </c>
      <c r="AE155" s="132" t="s">
        <v>403</v>
      </c>
      <c r="AF155" s="119"/>
    </row>
    <row r="156" spans="1:32" ht="12" customHeight="1">
      <c r="A156" s="150">
        <v>44361</v>
      </c>
      <c r="B156" s="150" t="s">
        <v>509</v>
      </c>
      <c r="C156" s="150"/>
      <c r="D156" s="150"/>
      <c r="E156" s="150"/>
      <c r="F156" s="150"/>
      <c r="G156" s="150"/>
      <c r="H156" s="122" t="s">
        <v>446</v>
      </c>
      <c r="I156" s="121" t="s">
        <v>469</v>
      </c>
      <c r="J156" s="122" t="s">
        <v>471</v>
      </c>
      <c r="K156" s="123">
        <v>50</v>
      </c>
      <c r="L156" s="124">
        <v>357</v>
      </c>
      <c r="M156" s="125">
        <f t="shared" si="38"/>
        <v>0</v>
      </c>
      <c r="N156" s="125">
        <f t="shared" si="151"/>
        <v>357</v>
      </c>
      <c r="O156" s="125"/>
      <c r="P156" s="125">
        <f t="shared" si="2"/>
        <v>17850</v>
      </c>
      <c r="Q156" s="126">
        <f t="shared" si="3"/>
        <v>0.36859999999999998</v>
      </c>
      <c r="R156" s="126">
        <f t="shared" si="74"/>
        <v>0</v>
      </c>
      <c r="S156" s="126">
        <f t="shared" si="35"/>
        <v>0.09</v>
      </c>
      <c r="T156" s="126">
        <f t="shared" si="61"/>
        <v>17.850000000000001</v>
      </c>
      <c r="U156" s="126">
        <v>0</v>
      </c>
      <c r="V156" s="126">
        <f t="shared" si="153"/>
        <v>0.49</v>
      </c>
      <c r="W156" s="126">
        <f t="shared" si="98"/>
        <v>0</v>
      </c>
      <c r="X156" s="126">
        <f t="shared" si="9"/>
        <v>18.43</v>
      </c>
      <c r="Y156" s="127">
        <f t="shared" si="152"/>
        <v>17831.57</v>
      </c>
      <c r="Z156" s="128">
        <v>17831</v>
      </c>
      <c r="AA156" s="129">
        <f t="shared" si="47"/>
        <v>-0.56999999999970896</v>
      </c>
      <c r="AB156" s="120">
        <v>44363</v>
      </c>
      <c r="AC156" s="130">
        <f t="shared" si="12"/>
        <v>1.0319999999999999E-3</v>
      </c>
      <c r="AD156" s="131">
        <f t="shared" si="13"/>
        <v>44363</v>
      </c>
      <c r="AE156" s="132" t="s">
        <v>403</v>
      </c>
      <c r="AF156" s="119"/>
    </row>
    <row r="157" spans="1:32" ht="12" customHeight="1">
      <c r="A157" s="148">
        <v>44361</v>
      </c>
      <c r="B157" s="148" t="s">
        <v>527</v>
      </c>
      <c r="C157" s="148"/>
      <c r="D157" s="148"/>
      <c r="E157" s="148"/>
      <c r="F157" s="148"/>
      <c r="G157" s="148"/>
      <c r="H157" s="135" t="s">
        <v>453</v>
      </c>
      <c r="I157" s="134" t="s">
        <v>469</v>
      </c>
      <c r="J157" s="135" t="s">
        <v>471</v>
      </c>
      <c r="K157" s="136">
        <v>50</v>
      </c>
      <c r="L157" s="137">
        <v>151.5</v>
      </c>
      <c r="M157" s="138">
        <f t="shared" si="38"/>
        <v>0</v>
      </c>
      <c r="N157" s="138">
        <f t="shared" ref="N157:N160" si="154">L157+M157</f>
        <v>151.5</v>
      </c>
      <c r="O157" s="138"/>
      <c r="P157" s="138">
        <f t="shared" si="2"/>
        <v>7575</v>
      </c>
      <c r="Q157" s="139">
        <f t="shared" si="3"/>
        <v>0.1794</v>
      </c>
      <c r="R157" s="139">
        <f t="shared" si="74"/>
        <v>0</v>
      </c>
      <c r="S157" s="139">
        <f t="shared" si="35"/>
        <v>0.04</v>
      </c>
      <c r="T157" s="139">
        <f t="shared" si="61"/>
        <v>7.58</v>
      </c>
      <c r="U157" s="139">
        <f t="shared" ref="U157:U160" si="155">ROUND(P157*K$1812,2)</f>
        <v>1.1399999999999999</v>
      </c>
      <c r="V157" s="139">
        <f t="shared" si="153"/>
        <v>0.21</v>
      </c>
      <c r="W157" s="139">
        <f t="shared" si="98"/>
        <v>0</v>
      </c>
      <c r="X157" s="140">
        <f t="shared" si="9"/>
        <v>8.9700000000000006</v>
      </c>
      <c r="Y157" s="141">
        <f t="shared" ref="Y157:Y160" si="156">-ROUND(P157+SUM(R157:W157),2)</f>
        <v>-7583.97</v>
      </c>
      <c r="Z157" s="142">
        <v>-7584</v>
      </c>
      <c r="AA157" s="143">
        <f t="shared" si="47"/>
        <v>-2.9999999999745341E-2</v>
      </c>
      <c r="AB157" s="133">
        <v>44363</v>
      </c>
      <c r="AC157" s="144">
        <f t="shared" si="12"/>
        <v>1.1839999999999999E-3</v>
      </c>
      <c r="AD157" s="145">
        <f t="shared" si="13"/>
        <v>44363</v>
      </c>
      <c r="AE157" s="146" t="s">
        <v>403</v>
      </c>
      <c r="AF157" s="119"/>
    </row>
    <row r="158" spans="1:32" ht="12" customHeight="1">
      <c r="A158" s="148">
        <v>44361</v>
      </c>
      <c r="B158" s="148" t="s">
        <v>528</v>
      </c>
      <c r="C158" s="148"/>
      <c r="D158" s="148"/>
      <c r="E158" s="148"/>
      <c r="F158" s="148"/>
      <c r="G158" s="148"/>
      <c r="H158" s="135" t="s">
        <v>453</v>
      </c>
      <c r="I158" s="134" t="s">
        <v>469</v>
      </c>
      <c r="J158" s="135" t="s">
        <v>471</v>
      </c>
      <c r="K158" s="136">
        <v>1000</v>
      </c>
      <c r="L158" s="137">
        <v>13.5</v>
      </c>
      <c r="M158" s="138">
        <f t="shared" si="38"/>
        <v>0</v>
      </c>
      <c r="N158" s="138">
        <f t="shared" si="154"/>
        <v>13.5</v>
      </c>
      <c r="O158" s="138"/>
      <c r="P158" s="138">
        <f t="shared" si="2"/>
        <v>13500</v>
      </c>
      <c r="Q158" s="139">
        <f t="shared" si="3"/>
        <v>1.6079999999999997E-2</v>
      </c>
      <c r="R158" s="139">
        <f t="shared" si="74"/>
        <v>0</v>
      </c>
      <c r="S158" s="139">
        <f t="shared" si="35"/>
        <v>0.08</v>
      </c>
      <c r="T158" s="139">
        <f t="shared" si="61"/>
        <v>13.5</v>
      </c>
      <c r="U158" s="139">
        <f t="shared" si="155"/>
        <v>2.0299999999999998</v>
      </c>
      <c r="V158" s="139">
        <f>ROUND(P158*M$1809,2)</f>
        <v>0.47</v>
      </c>
      <c r="W158" s="139">
        <f t="shared" si="98"/>
        <v>0</v>
      </c>
      <c r="X158" s="140">
        <f t="shared" si="9"/>
        <v>16.079999999999998</v>
      </c>
      <c r="Y158" s="141">
        <f t="shared" si="156"/>
        <v>-13516.08</v>
      </c>
      <c r="Z158" s="142">
        <v>-13516</v>
      </c>
      <c r="AA158" s="143">
        <f t="shared" si="47"/>
        <v>7.999999999992724E-2</v>
      </c>
      <c r="AB158" s="133">
        <v>44363</v>
      </c>
      <c r="AC158" s="144">
        <f t="shared" si="12"/>
        <v>1.191E-3</v>
      </c>
      <c r="AD158" s="145">
        <f t="shared" si="13"/>
        <v>44363</v>
      </c>
      <c r="AE158" s="146" t="s">
        <v>403</v>
      </c>
      <c r="AF158" s="119"/>
    </row>
    <row r="159" spans="1:32" ht="12" customHeight="1">
      <c r="A159" s="148">
        <v>44361</v>
      </c>
      <c r="B159" s="148" t="s">
        <v>529</v>
      </c>
      <c r="C159" s="148"/>
      <c r="D159" s="148"/>
      <c r="E159" s="148"/>
      <c r="F159" s="148"/>
      <c r="G159" s="148"/>
      <c r="H159" s="135" t="s">
        <v>453</v>
      </c>
      <c r="I159" s="134" t="s">
        <v>469</v>
      </c>
      <c r="J159" s="135" t="s">
        <v>471</v>
      </c>
      <c r="K159" s="136">
        <v>500</v>
      </c>
      <c r="L159" s="137">
        <v>54.8</v>
      </c>
      <c r="M159" s="138">
        <f t="shared" si="38"/>
        <v>0</v>
      </c>
      <c r="N159" s="138">
        <f t="shared" si="154"/>
        <v>54.8</v>
      </c>
      <c r="O159" s="138"/>
      <c r="P159" s="138">
        <f t="shared" si="2"/>
        <v>27400</v>
      </c>
      <c r="Q159" s="139">
        <f t="shared" si="3"/>
        <v>6.4799999999999996E-2</v>
      </c>
      <c r="R159" s="139">
        <f t="shared" si="74"/>
        <v>0</v>
      </c>
      <c r="S159" s="139">
        <f t="shared" si="35"/>
        <v>0.14000000000000001</v>
      </c>
      <c r="T159" s="139">
        <f t="shared" si="61"/>
        <v>27.4</v>
      </c>
      <c r="U159" s="139">
        <f t="shared" si="155"/>
        <v>4.1100000000000003</v>
      </c>
      <c r="V159" s="139">
        <f t="shared" ref="V159:V160" si="157">ROUND(P159*L$1809,2)</f>
        <v>0.75</v>
      </c>
      <c r="W159" s="139">
        <f t="shared" si="98"/>
        <v>0</v>
      </c>
      <c r="X159" s="140">
        <f t="shared" si="9"/>
        <v>32.4</v>
      </c>
      <c r="Y159" s="141">
        <f t="shared" si="156"/>
        <v>-27432.400000000001</v>
      </c>
      <c r="Z159" s="142">
        <v>-27433</v>
      </c>
      <c r="AA159" s="143">
        <f t="shared" si="47"/>
        <v>-0.59999999999854481</v>
      </c>
      <c r="AB159" s="133">
        <v>44363</v>
      </c>
      <c r="AC159" s="144">
        <f t="shared" si="12"/>
        <v>1.1820000000000001E-3</v>
      </c>
      <c r="AD159" s="145">
        <f t="shared" si="13"/>
        <v>44363</v>
      </c>
      <c r="AE159" s="146" t="s">
        <v>403</v>
      </c>
      <c r="AF159" s="119"/>
    </row>
    <row r="160" spans="1:32" ht="12" customHeight="1">
      <c r="A160" s="148">
        <v>44362</v>
      </c>
      <c r="B160" s="149" t="s">
        <v>530</v>
      </c>
      <c r="C160" s="149"/>
      <c r="D160" s="149"/>
      <c r="E160" s="149"/>
      <c r="F160" s="149"/>
      <c r="G160" s="149"/>
      <c r="H160" s="135" t="s">
        <v>453</v>
      </c>
      <c r="I160" s="134" t="s">
        <v>469</v>
      </c>
      <c r="J160" s="135" t="s">
        <v>471</v>
      </c>
      <c r="K160" s="136">
        <v>20</v>
      </c>
      <c r="L160" s="137">
        <v>745</v>
      </c>
      <c r="M160" s="138">
        <f t="shared" si="38"/>
        <v>0</v>
      </c>
      <c r="N160" s="138">
        <f t="shared" si="154"/>
        <v>745</v>
      </c>
      <c r="O160" s="138"/>
      <c r="P160" s="138">
        <f t="shared" si="2"/>
        <v>14900</v>
      </c>
      <c r="Q160" s="139">
        <f t="shared" si="3"/>
        <v>0.88100000000000001</v>
      </c>
      <c r="R160" s="139">
        <f t="shared" si="74"/>
        <v>0</v>
      </c>
      <c r="S160" s="139">
        <f t="shared" si="35"/>
        <v>7.0000000000000007E-2</v>
      </c>
      <c r="T160" s="139">
        <f t="shared" si="61"/>
        <v>14.9</v>
      </c>
      <c r="U160" s="139">
        <f t="shared" si="155"/>
        <v>2.2400000000000002</v>
      </c>
      <c r="V160" s="139">
        <f t="shared" si="157"/>
        <v>0.41</v>
      </c>
      <c r="W160" s="139">
        <f t="shared" si="98"/>
        <v>0</v>
      </c>
      <c r="X160" s="140">
        <f t="shared" si="9"/>
        <v>17.62</v>
      </c>
      <c r="Y160" s="141">
        <f t="shared" si="156"/>
        <v>-14917.62</v>
      </c>
      <c r="Z160" s="142">
        <v>-14918</v>
      </c>
      <c r="AA160" s="143">
        <f t="shared" si="47"/>
        <v>-0.37999999999919964</v>
      </c>
      <c r="AB160" s="133">
        <v>44364</v>
      </c>
      <c r="AC160" s="144">
        <f t="shared" si="12"/>
        <v>1.183E-3</v>
      </c>
      <c r="AD160" s="145">
        <f t="shared" si="13"/>
        <v>44364</v>
      </c>
      <c r="AE160" s="146" t="s">
        <v>403</v>
      </c>
      <c r="AF160" s="119"/>
    </row>
    <row r="161" spans="1:32" ht="12" customHeight="1">
      <c r="A161" s="150">
        <v>44363</v>
      </c>
      <c r="B161" s="151" t="s">
        <v>523</v>
      </c>
      <c r="C161" s="151"/>
      <c r="D161" s="151"/>
      <c r="E161" s="151"/>
      <c r="F161" s="151"/>
      <c r="G161" s="151"/>
      <c r="H161" s="122" t="s">
        <v>446</v>
      </c>
      <c r="I161" s="121" t="s">
        <v>469</v>
      </c>
      <c r="J161" s="122" t="s">
        <v>471</v>
      </c>
      <c r="K161" s="123">
        <v>25</v>
      </c>
      <c r="L161" s="124">
        <v>849</v>
      </c>
      <c r="M161" s="125">
        <f t="shared" si="38"/>
        <v>0</v>
      </c>
      <c r="N161" s="125">
        <f t="shared" ref="N161:N163" si="158">L161-M161</f>
        <v>849</v>
      </c>
      <c r="O161" s="125"/>
      <c r="P161" s="125">
        <f t="shared" si="2"/>
        <v>21225</v>
      </c>
      <c r="Q161" s="126">
        <f t="shared" si="3"/>
        <v>0.88359999999999994</v>
      </c>
      <c r="R161" s="126">
        <f t="shared" si="74"/>
        <v>0</v>
      </c>
      <c r="S161" s="126">
        <f t="shared" si="35"/>
        <v>0.13</v>
      </c>
      <c r="T161" s="126">
        <f t="shared" si="61"/>
        <v>21.23</v>
      </c>
      <c r="U161" s="126">
        <v>0</v>
      </c>
      <c r="V161" s="126">
        <f>ROUND(P161*M$1809,2)</f>
        <v>0.73</v>
      </c>
      <c r="W161" s="126">
        <f t="shared" si="98"/>
        <v>0</v>
      </c>
      <c r="X161" s="126">
        <f t="shared" si="9"/>
        <v>22.09</v>
      </c>
      <c r="Y161" s="127">
        <f t="shared" ref="Y161:Y163" si="159">ROUND(P161-SUM(R161:W161),2)</f>
        <v>21202.91</v>
      </c>
      <c r="Z161" s="128">
        <v>21203</v>
      </c>
      <c r="AA161" s="129">
        <f t="shared" si="47"/>
        <v>9.0000000000145519E-2</v>
      </c>
      <c r="AB161" s="120">
        <v>44365</v>
      </c>
      <c r="AC161" s="130">
        <f t="shared" si="12"/>
        <v>1.041E-3</v>
      </c>
      <c r="AD161" s="131">
        <f t="shared" si="13"/>
        <v>44365</v>
      </c>
      <c r="AE161" s="132" t="s">
        <v>403</v>
      </c>
      <c r="AF161" s="119"/>
    </row>
    <row r="162" spans="1:32" ht="12" customHeight="1">
      <c r="A162" s="150">
        <v>44364</v>
      </c>
      <c r="B162" s="151" t="s">
        <v>527</v>
      </c>
      <c r="C162" s="151"/>
      <c r="D162" s="151"/>
      <c r="E162" s="151"/>
      <c r="F162" s="151"/>
      <c r="G162" s="151"/>
      <c r="H162" s="122" t="s">
        <v>446</v>
      </c>
      <c r="I162" s="121" t="s">
        <v>469</v>
      </c>
      <c r="J162" s="122" t="s">
        <v>471</v>
      </c>
      <c r="K162" s="123">
        <v>50</v>
      </c>
      <c r="L162" s="124">
        <v>161</v>
      </c>
      <c r="M162" s="125">
        <f t="shared" si="38"/>
        <v>0</v>
      </c>
      <c r="N162" s="125">
        <f t="shared" si="158"/>
        <v>161</v>
      </c>
      <c r="O162" s="125"/>
      <c r="P162" s="125">
        <f t="shared" si="2"/>
        <v>8050</v>
      </c>
      <c r="Q162" s="126">
        <f t="shared" si="3"/>
        <v>0.16620000000000001</v>
      </c>
      <c r="R162" s="126">
        <f t="shared" si="74"/>
        <v>0</v>
      </c>
      <c r="S162" s="126">
        <f t="shared" si="35"/>
        <v>0.04</v>
      </c>
      <c r="T162" s="126">
        <f t="shared" si="61"/>
        <v>8.0500000000000007</v>
      </c>
      <c r="U162" s="126">
        <v>0</v>
      </c>
      <c r="V162" s="126">
        <f>ROUND(P162*L$1809,2)</f>
        <v>0.22</v>
      </c>
      <c r="W162" s="126">
        <f t="shared" si="98"/>
        <v>0</v>
      </c>
      <c r="X162" s="126">
        <f t="shared" si="9"/>
        <v>8.31</v>
      </c>
      <c r="Y162" s="127">
        <f t="shared" si="159"/>
        <v>8041.69</v>
      </c>
      <c r="Z162" s="128">
        <v>8042</v>
      </c>
      <c r="AA162" s="129">
        <f t="shared" si="47"/>
        <v>0.31000000000040018</v>
      </c>
      <c r="AB162" s="120">
        <v>44368</v>
      </c>
      <c r="AC162" s="130">
        <f t="shared" si="12"/>
        <v>1.0319999999999999E-3</v>
      </c>
      <c r="AD162" s="131">
        <f t="shared" si="13"/>
        <v>44368</v>
      </c>
      <c r="AE162" s="132" t="s">
        <v>403</v>
      </c>
      <c r="AF162" s="119"/>
    </row>
    <row r="163" spans="1:32" ht="12" customHeight="1">
      <c r="A163" s="150">
        <v>44364</v>
      </c>
      <c r="B163" s="151" t="s">
        <v>529</v>
      </c>
      <c r="C163" s="151"/>
      <c r="D163" s="151"/>
      <c r="E163" s="151"/>
      <c r="F163" s="151"/>
      <c r="G163" s="151"/>
      <c r="H163" s="122" t="s">
        <v>446</v>
      </c>
      <c r="I163" s="121" t="s">
        <v>469</v>
      </c>
      <c r="J163" s="122" t="s">
        <v>471</v>
      </c>
      <c r="K163" s="123">
        <v>500</v>
      </c>
      <c r="L163" s="124">
        <v>55.5</v>
      </c>
      <c r="M163" s="125">
        <f t="shared" si="38"/>
        <v>0</v>
      </c>
      <c r="N163" s="125">
        <f t="shared" si="158"/>
        <v>55.5</v>
      </c>
      <c r="O163" s="125"/>
      <c r="P163" s="125">
        <f t="shared" si="2"/>
        <v>27750</v>
      </c>
      <c r="Q163" s="126">
        <f t="shared" si="3"/>
        <v>5.7760000000000006E-2</v>
      </c>
      <c r="R163" s="126">
        <f t="shared" si="74"/>
        <v>0</v>
      </c>
      <c r="S163" s="126">
        <f t="shared" si="35"/>
        <v>0.17</v>
      </c>
      <c r="T163" s="126">
        <f t="shared" si="61"/>
        <v>27.75</v>
      </c>
      <c r="U163" s="126">
        <v>0</v>
      </c>
      <c r="V163" s="126">
        <f t="shared" ref="V163:V164" si="160">ROUND(P163*M$1809,2)</f>
        <v>0.96</v>
      </c>
      <c r="W163" s="126">
        <f t="shared" si="98"/>
        <v>0</v>
      </c>
      <c r="X163" s="126">
        <f t="shared" si="9"/>
        <v>28.880000000000003</v>
      </c>
      <c r="Y163" s="127">
        <f t="shared" si="159"/>
        <v>27721.119999999999</v>
      </c>
      <c r="Z163" s="128">
        <v>27721</v>
      </c>
      <c r="AA163" s="129">
        <f t="shared" si="47"/>
        <v>-0.11999999999898137</v>
      </c>
      <c r="AB163" s="120">
        <v>44368</v>
      </c>
      <c r="AC163" s="130">
        <f t="shared" si="12"/>
        <v>1.041E-3</v>
      </c>
      <c r="AD163" s="131">
        <f t="shared" si="13"/>
        <v>44368</v>
      </c>
      <c r="AE163" s="132" t="s">
        <v>403</v>
      </c>
      <c r="AF163" s="119"/>
    </row>
    <row r="164" spans="1:32" ht="12" customHeight="1">
      <c r="A164" s="148">
        <v>44364</v>
      </c>
      <c r="B164" s="149" t="s">
        <v>531</v>
      </c>
      <c r="C164" s="149"/>
      <c r="D164" s="149"/>
      <c r="E164" s="149"/>
      <c r="F164" s="149"/>
      <c r="G164" s="149"/>
      <c r="H164" s="135" t="s">
        <v>453</v>
      </c>
      <c r="I164" s="134" t="s">
        <v>469</v>
      </c>
      <c r="J164" s="135" t="s">
        <v>471</v>
      </c>
      <c r="K164" s="136">
        <v>200</v>
      </c>
      <c r="L164" s="137">
        <v>113.75</v>
      </c>
      <c r="M164" s="138">
        <f t="shared" si="38"/>
        <v>0</v>
      </c>
      <c r="N164" s="138">
        <f t="shared" ref="N164:N165" si="161">L164+M164</f>
        <v>113.75</v>
      </c>
      <c r="O164" s="138"/>
      <c r="P164" s="138">
        <f t="shared" si="2"/>
        <v>22750</v>
      </c>
      <c r="Q164" s="139">
        <f t="shared" si="3"/>
        <v>0.13540000000000002</v>
      </c>
      <c r="R164" s="139">
        <f t="shared" si="74"/>
        <v>0</v>
      </c>
      <c r="S164" s="139">
        <f t="shared" si="35"/>
        <v>0.14000000000000001</v>
      </c>
      <c r="T164" s="139">
        <f t="shared" si="61"/>
        <v>22.75</v>
      </c>
      <c r="U164" s="139">
        <f t="shared" ref="U164:U165" si="162">ROUND(P164*K$1812,2)</f>
        <v>3.41</v>
      </c>
      <c r="V164" s="139">
        <f t="shared" si="160"/>
        <v>0.78</v>
      </c>
      <c r="W164" s="139">
        <f t="shared" si="98"/>
        <v>0</v>
      </c>
      <c r="X164" s="140">
        <f t="shared" si="9"/>
        <v>27.080000000000002</v>
      </c>
      <c r="Y164" s="141">
        <f t="shared" ref="Y164:Y165" si="163">-ROUND(P164+SUM(R164:W164),2)</f>
        <v>-22777.08</v>
      </c>
      <c r="Z164" s="142">
        <v>-22777</v>
      </c>
      <c r="AA164" s="143">
        <f t="shared" si="47"/>
        <v>8.000000000174623E-2</v>
      </c>
      <c r="AB164" s="133">
        <v>44368</v>
      </c>
      <c r="AC164" s="144">
        <f t="shared" si="12"/>
        <v>1.1900000000000001E-3</v>
      </c>
      <c r="AD164" s="145">
        <f t="shared" si="13"/>
        <v>44368</v>
      </c>
      <c r="AE164" s="146" t="s">
        <v>403</v>
      </c>
      <c r="AF164" s="119"/>
    </row>
    <row r="165" spans="1:32" ht="12" customHeight="1">
      <c r="A165" s="148">
        <v>44364</v>
      </c>
      <c r="B165" s="149" t="s">
        <v>532</v>
      </c>
      <c r="C165" s="149"/>
      <c r="D165" s="149"/>
      <c r="E165" s="149"/>
      <c r="F165" s="149"/>
      <c r="G165" s="149"/>
      <c r="H165" s="135" t="s">
        <v>453</v>
      </c>
      <c r="I165" s="134" t="s">
        <v>469</v>
      </c>
      <c r="J165" s="135" t="s">
        <v>471</v>
      </c>
      <c r="K165" s="136">
        <v>8</v>
      </c>
      <c r="L165" s="137">
        <v>655</v>
      </c>
      <c r="M165" s="138">
        <f t="shared" si="38"/>
        <v>0</v>
      </c>
      <c r="N165" s="138">
        <f t="shared" si="161"/>
        <v>655</v>
      </c>
      <c r="O165" s="138"/>
      <c r="P165" s="138">
        <f t="shared" si="2"/>
        <v>5240</v>
      </c>
      <c r="Q165" s="139">
        <f t="shared" si="3"/>
        <v>0.77500000000000002</v>
      </c>
      <c r="R165" s="139">
        <f t="shared" si="74"/>
        <v>0</v>
      </c>
      <c r="S165" s="139">
        <f t="shared" si="35"/>
        <v>0.03</v>
      </c>
      <c r="T165" s="139">
        <f t="shared" si="61"/>
        <v>5.24</v>
      </c>
      <c r="U165" s="139">
        <f t="shared" si="162"/>
        <v>0.79</v>
      </c>
      <c r="V165" s="139">
        <f>ROUND(P165*L$1809,2)</f>
        <v>0.14000000000000001</v>
      </c>
      <c r="W165" s="139">
        <f t="shared" si="98"/>
        <v>0</v>
      </c>
      <c r="X165" s="140">
        <f t="shared" si="9"/>
        <v>6.2</v>
      </c>
      <c r="Y165" s="141">
        <f t="shared" si="163"/>
        <v>-5246.2</v>
      </c>
      <c r="Z165" s="142">
        <v>-5246</v>
      </c>
      <c r="AA165" s="143">
        <f t="shared" si="47"/>
        <v>0.1999999999998181</v>
      </c>
      <c r="AB165" s="133">
        <v>44368</v>
      </c>
      <c r="AC165" s="144">
        <f t="shared" si="12"/>
        <v>1.183E-3</v>
      </c>
      <c r="AD165" s="145">
        <f t="shared" si="13"/>
        <v>44368</v>
      </c>
      <c r="AE165" s="146" t="s">
        <v>403</v>
      </c>
      <c r="AF165" s="119"/>
    </row>
    <row r="166" spans="1:32" ht="12" customHeight="1">
      <c r="A166" s="150">
        <v>44365</v>
      </c>
      <c r="B166" s="151" t="s">
        <v>490</v>
      </c>
      <c r="C166" s="151"/>
      <c r="D166" s="151"/>
      <c r="E166" s="151"/>
      <c r="F166" s="151"/>
      <c r="G166" s="151"/>
      <c r="H166" s="122" t="s">
        <v>446</v>
      </c>
      <c r="I166" s="121" t="s">
        <v>469</v>
      </c>
      <c r="J166" s="122" t="s">
        <v>471</v>
      </c>
      <c r="K166" s="123">
        <v>5</v>
      </c>
      <c r="L166" s="124">
        <v>2420</v>
      </c>
      <c r="M166" s="125">
        <f t="shared" si="38"/>
        <v>0</v>
      </c>
      <c r="N166" s="125">
        <f t="shared" ref="N166:N167" si="164">L166-M166</f>
        <v>2420</v>
      </c>
      <c r="O166" s="125"/>
      <c r="P166" s="125">
        <f t="shared" si="2"/>
        <v>12100</v>
      </c>
      <c r="Q166" s="126">
        <f t="shared" si="3"/>
        <v>2.52</v>
      </c>
      <c r="R166" s="126">
        <f t="shared" si="74"/>
        <v>0</v>
      </c>
      <c r="S166" s="126">
        <f t="shared" si="35"/>
        <v>0.08</v>
      </c>
      <c r="T166" s="126">
        <f t="shared" si="61"/>
        <v>12.1</v>
      </c>
      <c r="U166" s="126">
        <v>0</v>
      </c>
      <c r="V166" s="126">
        <f>ROUND(P166*M$1809,2)</f>
        <v>0.42</v>
      </c>
      <c r="W166" s="126">
        <f t="shared" si="98"/>
        <v>0</v>
      </c>
      <c r="X166" s="126">
        <f t="shared" si="9"/>
        <v>12.6</v>
      </c>
      <c r="Y166" s="127">
        <f t="shared" ref="Y166:Y167" si="165">ROUND(P166-SUM(R166:W166),2)</f>
        <v>12087.4</v>
      </c>
      <c r="Z166" s="128">
        <v>12087</v>
      </c>
      <c r="AA166" s="129">
        <f t="shared" si="47"/>
        <v>-0.3999999999996362</v>
      </c>
      <c r="AB166" s="120">
        <v>44369</v>
      </c>
      <c r="AC166" s="130">
        <f t="shared" si="12"/>
        <v>1.041E-3</v>
      </c>
      <c r="AD166" s="131">
        <f t="shared" si="13"/>
        <v>44369</v>
      </c>
      <c r="AE166" s="132" t="s">
        <v>403</v>
      </c>
      <c r="AF166" s="119"/>
    </row>
    <row r="167" spans="1:32" ht="12" customHeight="1">
      <c r="A167" s="150">
        <v>44365</v>
      </c>
      <c r="B167" s="151" t="s">
        <v>516</v>
      </c>
      <c r="C167" s="151"/>
      <c r="D167" s="151"/>
      <c r="E167" s="151"/>
      <c r="F167" s="151"/>
      <c r="G167" s="151"/>
      <c r="H167" s="122" t="s">
        <v>446</v>
      </c>
      <c r="I167" s="121" t="s">
        <v>469</v>
      </c>
      <c r="J167" s="122" t="s">
        <v>471</v>
      </c>
      <c r="K167" s="123">
        <v>10</v>
      </c>
      <c r="L167" s="124">
        <v>553</v>
      </c>
      <c r="M167" s="125">
        <f t="shared" si="38"/>
        <v>0</v>
      </c>
      <c r="N167" s="125">
        <f t="shared" si="164"/>
        <v>553</v>
      </c>
      <c r="O167" s="125"/>
      <c r="P167" s="125">
        <f t="shared" si="2"/>
        <v>5530</v>
      </c>
      <c r="Q167" s="126">
        <f t="shared" si="3"/>
        <v>0.57100000000000006</v>
      </c>
      <c r="R167" s="126">
        <f t="shared" si="74"/>
        <v>0</v>
      </c>
      <c r="S167" s="126">
        <f t="shared" si="35"/>
        <v>0.03</v>
      </c>
      <c r="T167" s="126">
        <f t="shared" si="61"/>
        <v>5.53</v>
      </c>
      <c r="U167" s="126">
        <v>0</v>
      </c>
      <c r="V167" s="126">
        <f t="shared" ref="V167:V168" si="166">ROUND(P167*L$1809,2)</f>
        <v>0.15</v>
      </c>
      <c r="W167" s="126">
        <f t="shared" si="98"/>
        <v>0</v>
      </c>
      <c r="X167" s="126">
        <f t="shared" si="9"/>
        <v>5.7100000000000009</v>
      </c>
      <c r="Y167" s="127">
        <f t="shared" si="165"/>
        <v>5524.29</v>
      </c>
      <c r="Z167" s="128">
        <v>5524</v>
      </c>
      <c r="AA167" s="129">
        <f t="shared" si="47"/>
        <v>-0.28999999999996362</v>
      </c>
      <c r="AB167" s="120">
        <v>44369</v>
      </c>
      <c r="AC167" s="130">
        <f t="shared" si="12"/>
        <v>1.0330000000000001E-3</v>
      </c>
      <c r="AD167" s="131">
        <f t="shared" si="13"/>
        <v>44369</v>
      </c>
      <c r="AE167" s="132" t="s">
        <v>403</v>
      </c>
      <c r="AF167" s="119"/>
    </row>
    <row r="168" spans="1:32" ht="12" customHeight="1">
      <c r="A168" s="148">
        <v>44365</v>
      </c>
      <c r="B168" s="149" t="s">
        <v>533</v>
      </c>
      <c r="C168" s="149"/>
      <c r="D168" s="149"/>
      <c r="E168" s="149"/>
      <c r="F168" s="149"/>
      <c r="G168" s="149"/>
      <c r="H168" s="135" t="s">
        <v>453</v>
      </c>
      <c r="I168" s="134" t="s">
        <v>469</v>
      </c>
      <c r="J168" s="135" t="s">
        <v>471</v>
      </c>
      <c r="K168" s="136">
        <v>200</v>
      </c>
      <c r="L168" s="137">
        <v>81.75</v>
      </c>
      <c r="M168" s="138">
        <f t="shared" si="38"/>
        <v>0</v>
      </c>
      <c r="N168" s="138">
        <f>L168+M168</f>
        <v>81.75</v>
      </c>
      <c r="O168" s="138"/>
      <c r="P168" s="138">
        <f t="shared" si="2"/>
        <v>16350</v>
      </c>
      <c r="Q168" s="139">
        <f t="shared" si="3"/>
        <v>9.6649999999999986E-2</v>
      </c>
      <c r="R168" s="139">
        <f t="shared" si="74"/>
        <v>0</v>
      </c>
      <c r="S168" s="139">
        <f t="shared" si="35"/>
        <v>0.08</v>
      </c>
      <c r="T168" s="139">
        <f t="shared" si="61"/>
        <v>16.350000000000001</v>
      </c>
      <c r="U168" s="139">
        <f>ROUND(P168*K$1812,2)</f>
        <v>2.4500000000000002</v>
      </c>
      <c r="V168" s="139">
        <f t="shared" si="166"/>
        <v>0.45</v>
      </c>
      <c r="W168" s="139">
        <f t="shared" si="98"/>
        <v>0</v>
      </c>
      <c r="X168" s="140">
        <f t="shared" si="9"/>
        <v>19.329999999999998</v>
      </c>
      <c r="Y168" s="141">
        <f>-ROUND(P168+SUM(R168:W168),2)</f>
        <v>-16369.33</v>
      </c>
      <c r="Z168" s="142">
        <v>-16369</v>
      </c>
      <c r="AA168" s="143">
        <f t="shared" si="47"/>
        <v>0.32999999999992724</v>
      </c>
      <c r="AB168" s="133">
        <v>44369</v>
      </c>
      <c r="AC168" s="144">
        <f t="shared" si="12"/>
        <v>1.1820000000000001E-3</v>
      </c>
      <c r="AD168" s="145">
        <f t="shared" si="13"/>
        <v>44369</v>
      </c>
      <c r="AE168" s="146" t="s">
        <v>403</v>
      </c>
      <c r="AF168" s="119"/>
    </row>
    <row r="169" spans="1:32" ht="12" customHeight="1">
      <c r="A169" s="150">
        <v>44368</v>
      </c>
      <c r="B169" s="151" t="s">
        <v>532</v>
      </c>
      <c r="C169" s="151"/>
      <c r="D169" s="151"/>
      <c r="E169" s="151"/>
      <c r="F169" s="151"/>
      <c r="G169" s="151"/>
      <c r="H169" s="122" t="s">
        <v>446</v>
      </c>
      <c r="I169" s="121" t="s">
        <v>469</v>
      </c>
      <c r="J169" s="122" t="s">
        <v>471</v>
      </c>
      <c r="K169" s="123">
        <v>8</v>
      </c>
      <c r="L169" s="124">
        <v>714</v>
      </c>
      <c r="M169" s="125">
        <f t="shared" si="38"/>
        <v>0</v>
      </c>
      <c r="N169" s="125">
        <f>L169-M169</f>
        <v>714</v>
      </c>
      <c r="O169" s="125"/>
      <c r="P169" s="125">
        <f t="shared" si="2"/>
        <v>5712</v>
      </c>
      <c r="Q169" s="126">
        <f t="shared" si="3"/>
        <v>0.74375000000000002</v>
      </c>
      <c r="R169" s="126">
        <f t="shared" si="74"/>
        <v>0</v>
      </c>
      <c r="S169" s="126">
        <f t="shared" si="35"/>
        <v>0.04</v>
      </c>
      <c r="T169" s="126">
        <f t="shared" si="61"/>
        <v>5.71</v>
      </c>
      <c r="U169" s="126">
        <v>0</v>
      </c>
      <c r="V169" s="126">
        <f>ROUND(P169*M$1809,2)</f>
        <v>0.2</v>
      </c>
      <c r="W169" s="126">
        <f t="shared" si="98"/>
        <v>0</v>
      </c>
      <c r="X169" s="126">
        <f t="shared" si="9"/>
        <v>5.95</v>
      </c>
      <c r="Y169" s="127">
        <f>ROUND(P169-SUM(R169:W169),2)</f>
        <v>5706.05</v>
      </c>
      <c r="Z169" s="128">
        <v>5706</v>
      </c>
      <c r="AA169" s="129">
        <f t="shared" si="47"/>
        <v>-5.0000000000181899E-2</v>
      </c>
      <c r="AB169" s="120">
        <v>44370</v>
      </c>
      <c r="AC169" s="130">
        <f t="shared" si="12"/>
        <v>1.042E-3</v>
      </c>
      <c r="AD169" s="131">
        <f t="shared" si="13"/>
        <v>44370</v>
      </c>
      <c r="AE169" s="132" t="s">
        <v>403</v>
      </c>
      <c r="AF169" s="119"/>
    </row>
    <row r="170" spans="1:32" ht="12" customHeight="1">
      <c r="A170" s="148">
        <v>44368</v>
      </c>
      <c r="B170" s="149" t="s">
        <v>534</v>
      </c>
      <c r="C170" s="149"/>
      <c r="D170" s="149"/>
      <c r="E170" s="149"/>
      <c r="F170" s="149"/>
      <c r="G170" s="149"/>
      <c r="H170" s="135" t="s">
        <v>453</v>
      </c>
      <c r="I170" s="134" t="s">
        <v>469</v>
      </c>
      <c r="J170" s="135" t="s">
        <v>471</v>
      </c>
      <c r="K170" s="136">
        <v>25</v>
      </c>
      <c r="L170" s="137">
        <v>752</v>
      </c>
      <c r="M170" s="138">
        <f t="shared" si="38"/>
        <v>0</v>
      </c>
      <c r="N170" s="138">
        <f t="shared" ref="N170:N172" si="167">L170+M170</f>
        <v>752</v>
      </c>
      <c r="O170" s="138"/>
      <c r="P170" s="138">
        <f t="shared" si="2"/>
        <v>18800</v>
      </c>
      <c r="Q170" s="139">
        <f t="shared" si="3"/>
        <v>0.88919999999999999</v>
      </c>
      <c r="R170" s="139">
        <f t="shared" si="74"/>
        <v>0</v>
      </c>
      <c r="S170" s="139">
        <f t="shared" si="35"/>
        <v>0.09</v>
      </c>
      <c r="T170" s="139">
        <f t="shared" si="61"/>
        <v>18.8</v>
      </c>
      <c r="U170" s="139">
        <f t="shared" ref="U170:U172" si="168">ROUND(P170*K$1812,2)</f>
        <v>2.82</v>
      </c>
      <c r="V170" s="139">
        <f t="shared" ref="V170:V171" si="169">ROUND(P170*L$1809,2)</f>
        <v>0.52</v>
      </c>
      <c r="W170" s="139">
        <f t="shared" si="98"/>
        <v>0</v>
      </c>
      <c r="X170" s="140">
        <f t="shared" si="9"/>
        <v>22.23</v>
      </c>
      <c r="Y170" s="141">
        <f t="shared" ref="Y170:Y172" si="170">-ROUND(P170+SUM(R170:W170),2)</f>
        <v>-18822.23</v>
      </c>
      <c r="Z170" s="142">
        <v>-18822</v>
      </c>
      <c r="AA170" s="143">
        <f t="shared" si="47"/>
        <v>0.22999999999956344</v>
      </c>
      <c r="AB170" s="133">
        <v>44370</v>
      </c>
      <c r="AC170" s="144">
        <f t="shared" si="12"/>
        <v>1.1820000000000001E-3</v>
      </c>
      <c r="AD170" s="145">
        <f t="shared" si="13"/>
        <v>44370</v>
      </c>
      <c r="AE170" s="146" t="s">
        <v>403</v>
      </c>
      <c r="AF170" s="119"/>
    </row>
    <row r="171" spans="1:32" ht="12" customHeight="1">
      <c r="A171" s="148">
        <v>44369</v>
      </c>
      <c r="B171" s="149" t="s">
        <v>535</v>
      </c>
      <c r="C171" s="149"/>
      <c r="D171" s="149"/>
      <c r="E171" s="149"/>
      <c r="F171" s="149"/>
      <c r="G171" s="149"/>
      <c r="H171" s="135" t="s">
        <v>453</v>
      </c>
      <c r="I171" s="134" t="s">
        <v>469</v>
      </c>
      <c r="J171" s="135" t="s">
        <v>471</v>
      </c>
      <c r="K171" s="136">
        <v>100</v>
      </c>
      <c r="L171" s="137">
        <v>147</v>
      </c>
      <c r="M171" s="138">
        <f t="shared" si="38"/>
        <v>0</v>
      </c>
      <c r="N171" s="138">
        <f t="shared" si="167"/>
        <v>147</v>
      </c>
      <c r="O171" s="138"/>
      <c r="P171" s="138">
        <f t="shared" si="2"/>
        <v>14700</v>
      </c>
      <c r="Q171" s="139">
        <f t="shared" si="3"/>
        <v>0.17379999999999998</v>
      </c>
      <c r="R171" s="139">
        <f t="shared" si="74"/>
        <v>0</v>
      </c>
      <c r="S171" s="139">
        <f t="shared" si="35"/>
        <v>7.0000000000000007E-2</v>
      </c>
      <c r="T171" s="139">
        <f t="shared" si="61"/>
        <v>14.7</v>
      </c>
      <c r="U171" s="139">
        <f t="shared" si="168"/>
        <v>2.21</v>
      </c>
      <c r="V171" s="139">
        <f t="shared" si="169"/>
        <v>0.4</v>
      </c>
      <c r="W171" s="139">
        <f t="shared" si="98"/>
        <v>0</v>
      </c>
      <c r="X171" s="140">
        <f t="shared" si="9"/>
        <v>17.38</v>
      </c>
      <c r="Y171" s="141">
        <f t="shared" si="170"/>
        <v>-14717.38</v>
      </c>
      <c r="Z171" s="142">
        <v>-14718</v>
      </c>
      <c r="AA171" s="143">
        <f t="shared" si="47"/>
        <v>-0.62000000000080036</v>
      </c>
      <c r="AB171" s="133">
        <v>44371</v>
      </c>
      <c r="AC171" s="144">
        <f t="shared" si="12"/>
        <v>1.1820000000000001E-3</v>
      </c>
      <c r="AD171" s="145">
        <f t="shared" si="13"/>
        <v>44371</v>
      </c>
      <c r="AE171" s="146" t="s">
        <v>403</v>
      </c>
      <c r="AF171" s="119"/>
    </row>
    <row r="172" spans="1:32" ht="12" customHeight="1">
      <c r="A172" s="148">
        <v>44371</v>
      </c>
      <c r="B172" s="149" t="s">
        <v>507</v>
      </c>
      <c r="C172" s="149"/>
      <c r="D172" s="149"/>
      <c r="E172" s="149"/>
      <c r="F172" s="149"/>
      <c r="G172" s="149"/>
      <c r="H172" s="135" t="s">
        <v>453</v>
      </c>
      <c r="I172" s="134" t="s">
        <v>469</v>
      </c>
      <c r="J172" s="135" t="s">
        <v>471</v>
      </c>
      <c r="K172" s="136">
        <v>2500</v>
      </c>
      <c r="L172" s="137">
        <v>9.75</v>
      </c>
      <c r="M172" s="138">
        <f t="shared" si="38"/>
        <v>0</v>
      </c>
      <c r="N172" s="138">
        <f t="shared" si="167"/>
        <v>9.75</v>
      </c>
      <c r="O172" s="138"/>
      <c r="P172" s="138">
        <f t="shared" si="2"/>
        <v>24375</v>
      </c>
      <c r="Q172" s="139">
        <f t="shared" si="3"/>
        <v>1.1611999999999999E-2</v>
      </c>
      <c r="R172" s="139">
        <f t="shared" si="74"/>
        <v>0</v>
      </c>
      <c r="S172" s="139">
        <f t="shared" si="35"/>
        <v>0.15</v>
      </c>
      <c r="T172" s="139">
        <f t="shared" si="61"/>
        <v>24.38</v>
      </c>
      <c r="U172" s="139">
        <f t="shared" si="168"/>
        <v>3.66</v>
      </c>
      <c r="V172" s="139">
        <f>ROUND(P172*M$1809,2)</f>
        <v>0.84</v>
      </c>
      <c r="W172" s="139">
        <f t="shared" si="98"/>
        <v>0</v>
      </c>
      <c r="X172" s="140">
        <f t="shared" si="9"/>
        <v>29.029999999999998</v>
      </c>
      <c r="Y172" s="141">
        <f t="shared" si="170"/>
        <v>-24404.03</v>
      </c>
      <c r="Z172" s="142">
        <v>-24404</v>
      </c>
      <c r="AA172" s="143">
        <f t="shared" si="47"/>
        <v>2.9999999998835847E-2</v>
      </c>
      <c r="AB172" s="133">
        <v>44375</v>
      </c>
      <c r="AC172" s="144">
        <f t="shared" si="12"/>
        <v>1.191E-3</v>
      </c>
      <c r="AD172" s="145">
        <f t="shared" si="13"/>
        <v>44375</v>
      </c>
      <c r="AE172" s="146" t="s">
        <v>403</v>
      </c>
      <c r="AF172" s="119"/>
    </row>
    <row r="173" spans="1:32" ht="12" customHeight="1">
      <c r="A173" s="150">
        <v>44371</v>
      </c>
      <c r="B173" s="151" t="s">
        <v>536</v>
      </c>
      <c r="C173" s="151"/>
      <c r="D173" s="151"/>
      <c r="E173" s="151"/>
      <c r="F173" s="151"/>
      <c r="G173" s="151"/>
      <c r="H173" s="122" t="s">
        <v>446</v>
      </c>
      <c r="I173" s="121" t="s">
        <v>469</v>
      </c>
      <c r="J173" s="122" t="s">
        <v>471</v>
      </c>
      <c r="K173" s="123">
        <v>51</v>
      </c>
      <c r="L173" s="124">
        <v>319</v>
      </c>
      <c r="M173" s="125">
        <f t="shared" si="38"/>
        <v>0</v>
      </c>
      <c r="N173" s="125">
        <f t="shared" ref="N173:N175" si="171">L173-M173</f>
        <v>319</v>
      </c>
      <c r="O173" s="125"/>
      <c r="P173" s="125">
        <f t="shared" si="2"/>
        <v>16269</v>
      </c>
      <c r="Q173" s="126">
        <f t="shared" si="3"/>
        <v>0.32941176470588229</v>
      </c>
      <c r="R173" s="126">
        <f t="shared" si="74"/>
        <v>0</v>
      </c>
      <c r="S173" s="126">
        <f t="shared" si="35"/>
        <v>0.08</v>
      </c>
      <c r="T173" s="126">
        <f t="shared" si="61"/>
        <v>16.27</v>
      </c>
      <c r="U173" s="126">
        <v>0</v>
      </c>
      <c r="V173" s="126">
        <f>ROUND(P173*L$1809,2)</f>
        <v>0.45</v>
      </c>
      <c r="W173" s="126">
        <f t="shared" si="98"/>
        <v>0</v>
      </c>
      <c r="X173" s="126">
        <f t="shared" si="9"/>
        <v>16.799999999999997</v>
      </c>
      <c r="Y173" s="127">
        <f t="shared" ref="Y173:Y175" si="172">ROUND(P173-SUM(R173:W173),2)</f>
        <v>16252.2</v>
      </c>
      <c r="Z173" s="128">
        <v>16252</v>
      </c>
      <c r="AA173" s="129">
        <f t="shared" si="47"/>
        <v>-0.2000000000007276</v>
      </c>
      <c r="AB173" s="120">
        <v>44375</v>
      </c>
      <c r="AC173" s="130">
        <f t="shared" si="12"/>
        <v>1.0330000000000001E-3</v>
      </c>
      <c r="AD173" s="131">
        <f t="shared" si="13"/>
        <v>44375</v>
      </c>
      <c r="AE173" s="132" t="s">
        <v>403</v>
      </c>
      <c r="AF173" s="119"/>
    </row>
    <row r="174" spans="1:32" ht="12" customHeight="1">
      <c r="A174" s="150">
        <v>44372</v>
      </c>
      <c r="B174" s="150" t="s">
        <v>507</v>
      </c>
      <c r="C174" s="150"/>
      <c r="D174" s="150"/>
      <c r="E174" s="150"/>
      <c r="F174" s="150"/>
      <c r="G174" s="150"/>
      <c r="H174" s="122" t="s">
        <v>446</v>
      </c>
      <c r="I174" s="121" t="s">
        <v>469</v>
      </c>
      <c r="J174" s="122" t="s">
        <v>471</v>
      </c>
      <c r="K174" s="123">
        <v>2500</v>
      </c>
      <c r="L174" s="124">
        <v>9.7755299999999998</v>
      </c>
      <c r="M174" s="125">
        <f t="shared" si="38"/>
        <v>0</v>
      </c>
      <c r="N174" s="125">
        <f t="shared" si="171"/>
        <v>9.7755299999999998</v>
      </c>
      <c r="O174" s="125"/>
      <c r="P174" s="125">
        <f t="shared" si="2"/>
        <v>24438.83</v>
      </c>
      <c r="Q174" s="126">
        <f t="shared" si="3"/>
        <v>1.0172E-2</v>
      </c>
      <c r="R174" s="126">
        <f t="shared" si="74"/>
        <v>0</v>
      </c>
      <c r="S174" s="126">
        <f t="shared" si="35"/>
        <v>0.15</v>
      </c>
      <c r="T174" s="126">
        <f t="shared" si="61"/>
        <v>24.44</v>
      </c>
      <c r="U174" s="126">
        <v>0</v>
      </c>
      <c r="V174" s="126">
        <f t="shared" ref="V174:V175" si="173">ROUND(P174*M$1809,2)</f>
        <v>0.84</v>
      </c>
      <c r="W174" s="126">
        <f t="shared" si="98"/>
        <v>0</v>
      </c>
      <c r="X174" s="126">
        <f t="shared" si="9"/>
        <v>25.43</v>
      </c>
      <c r="Y174" s="127">
        <f t="shared" si="172"/>
        <v>24413.4</v>
      </c>
      <c r="Z174" s="128">
        <v>24413</v>
      </c>
      <c r="AA174" s="129">
        <f t="shared" si="47"/>
        <v>-0.40000000000145519</v>
      </c>
      <c r="AB174" s="120">
        <v>44376</v>
      </c>
      <c r="AC174" s="130">
        <f t="shared" si="12"/>
        <v>1.041E-3</v>
      </c>
      <c r="AD174" s="131">
        <f t="shared" si="13"/>
        <v>44376</v>
      </c>
      <c r="AE174" s="132" t="s">
        <v>403</v>
      </c>
      <c r="AF174" s="119"/>
    </row>
    <row r="175" spans="1:32" ht="12" customHeight="1">
      <c r="A175" s="150">
        <v>44372</v>
      </c>
      <c r="B175" s="151" t="s">
        <v>528</v>
      </c>
      <c r="C175" s="151"/>
      <c r="D175" s="151"/>
      <c r="E175" s="151"/>
      <c r="F175" s="151"/>
      <c r="G175" s="151"/>
      <c r="H175" s="122" t="s">
        <v>446</v>
      </c>
      <c r="I175" s="121" t="s">
        <v>469</v>
      </c>
      <c r="J175" s="122" t="s">
        <v>471</v>
      </c>
      <c r="K175" s="123">
        <v>1000</v>
      </c>
      <c r="L175" s="124">
        <v>13.75</v>
      </c>
      <c r="M175" s="125">
        <f t="shared" si="38"/>
        <v>0</v>
      </c>
      <c r="N175" s="125">
        <f t="shared" si="171"/>
        <v>13.75</v>
      </c>
      <c r="O175" s="125"/>
      <c r="P175" s="125">
        <f t="shared" si="2"/>
        <v>13750</v>
      </c>
      <c r="Q175" s="126">
        <f t="shared" si="3"/>
        <v>1.43E-2</v>
      </c>
      <c r="R175" s="126">
        <f t="shared" si="74"/>
        <v>0</v>
      </c>
      <c r="S175" s="126">
        <f t="shared" si="35"/>
        <v>0.08</v>
      </c>
      <c r="T175" s="126">
        <f t="shared" si="61"/>
        <v>13.75</v>
      </c>
      <c r="U175" s="126">
        <v>0</v>
      </c>
      <c r="V175" s="126">
        <f t="shared" si="173"/>
        <v>0.47</v>
      </c>
      <c r="W175" s="126">
        <f t="shared" si="98"/>
        <v>0</v>
      </c>
      <c r="X175" s="126">
        <f t="shared" si="9"/>
        <v>14.3</v>
      </c>
      <c r="Y175" s="127">
        <f t="shared" si="172"/>
        <v>13735.7</v>
      </c>
      <c r="Z175" s="128">
        <v>13736</v>
      </c>
      <c r="AA175" s="129">
        <f t="shared" si="47"/>
        <v>0.2999999999992724</v>
      </c>
      <c r="AB175" s="120">
        <v>44376</v>
      </c>
      <c r="AC175" s="130">
        <f t="shared" si="12"/>
        <v>1.0399999999999999E-3</v>
      </c>
      <c r="AD175" s="131">
        <f t="shared" si="13"/>
        <v>44376</v>
      </c>
      <c r="AE175" s="132" t="s">
        <v>403</v>
      </c>
      <c r="AF175" s="119"/>
    </row>
    <row r="176" spans="1:32" ht="12" customHeight="1">
      <c r="A176" s="148">
        <v>44372</v>
      </c>
      <c r="B176" s="148" t="s">
        <v>536</v>
      </c>
      <c r="C176" s="148"/>
      <c r="D176" s="148"/>
      <c r="E176" s="148"/>
      <c r="F176" s="148"/>
      <c r="G176" s="148"/>
      <c r="H176" s="135" t="s">
        <v>453</v>
      </c>
      <c r="I176" s="134" t="s">
        <v>469</v>
      </c>
      <c r="J176" s="135" t="s">
        <v>471</v>
      </c>
      <c r="K176" s="136">
        <v>50</v>
      </c>
      <c r="L176" s="137">
        <v>405</v>
      </c>
      <c r="M176" s="138">
        <f t="shared" si="38"/>
        <v>0</v>
      </c>
      <c r="N176" s="138">
        <f t="shared" ref="N176:N177" si="174">L176+M176</f>
        <v>405</v>
      </c>
      <c r="O176" s="138"/>
      <c r="P176" s="138">
        <f t="shared" si="2"/>
        <v>20250</v>
      </c>
      <c r="Q176" s="139">
        <f t="shared" si="3"/>
        <v>0.47899999999999998</v>
      </c>
      <c r="R176" s="139">
        <f t="shared" si="74"/>
        <v>0</v>
      </c>
      <c r="S176" s="139">
        <f t="shared" si="35"/>
        <v>0.1</v>
      </c>
      <c r="T176" s="139">
        <f t="shared" si="61"/>
        <v>20.25</v>
      </c>
      <c r="U176" s="139">
        <f t="shared" ref="U176:U177" si="175">ROUND(P176*K$1812,2)</f>
        <v>3.04</v>
      </c>
      <c r="V176" s="139">
        <f>ROUND(P176*L$1809,2)</f>
        <v>0.56000000000000005</v>
      </c>
      <c r="W176" s="139">
        <f t="shared" si="98"/>
        <v>0</v>
      </c>
      <c r="X176" s="140">
        <f t="shared" si="9"/>
        <v>23.95</v>
      </c>
      <c r="Y176" s="141">
        <f t="shared" ref="Y176:Y177" si="176">-ROUND(P176+SUM(R176:W176),2)</f>
        <v>-20273.95</v>
      </c>
      <c r="Z176" s="142">
        <v>-20274</v>
      </c>
      <c r="AA176" s="143">
        <f t="shared" si="47"/>
        <v>-4.9999999999272404E-2</v>
      </c>
      <c r="AB176" s="133">
        <v>44376</v>
      </c>
      <c r="AC176" s="144">
        <f t="shared" si="12"/>
        <v>1.183E-3</v>
      </c>
      <c r="AD176" s="145">
        <f t="shared" si="13"/>
        <v>44376</v>
      </c>
      <c r="AE176" s="146" t="s">
        <v>403</v>
      </c>
      <c r="AF176" s="119"/>
    </row>
    <row r="177" spans="1:32" ht="12" customHeight="1">
      <c r="A177" s="148">
        <v>44372</v>
      </c>
      <c r="B177" s="149" t="s">
        <v>528</v>
      </c>
      <c r="C177" s="149"/>
      <c r="D177" s="149"/>
      <c r="E177" s="149"/>
      <c r="F177" s="149"/>
      <c r="G177" s="149"/>
      <c r="H177" s="135" t="s">
        <v>453</v>
      </c>
      <c r="I177" s="134" t="s">
        <v>469</v>
      </c>
      <c r="J177" s="135" t="s">
        <v>471</v>
      </c>
      <c r="K177" s="136">
        <v>1000</v>
      </c>
      <c r="L177" s="137">
        <v>13.65</v>
      </c>
      <c r="M177" s="138">
        <f t="shared" si="38"/>
        <v>0</v>
      </c>
      <c r="N177" s="138">
        <f t="shared" si="174"/>
        <v>13.65</v>
      </c>
      <c r="O177" s="138"/>
      <c r="P177" s="138">
        <f t="shared" si="2"/>
        <v>13650</v>
      </c>
      <c r="Q177" s="139">
        <f t="shared" si="3"/>
        <v>1.6250000000000001E-2</v>
      </c>
      <c r="R177" s="139">
        <f t="shared" si="74"/>
        <v>0</v>
      </c>
      <c r="S177" s="139">
        <f t="shared" si="35"/>
        <v>0.08</v>
      </c>
      <c r="T177" s="139">
        <f t="shared" si="61"/>
        <v>13.65</v>
      </c>
      <c r="U177" s="139">
        <f t="shared" si="175"/>
        <v>2.0499999999999998</v>
      </c>
      <c r="V177" s="139">
        <f>ROUND(P177*M$1809,2)</f>
        <v>0.47</v>
      </c>
      <c r="W177" s="139">
        <f t="shared" si="98"/>
        <v>0</v>
      </c>
      <c r="X177" s="140">
        <f t="shared" si="9"/>
        <v>16.25</v>
      </c>
      <c r="Y177" s="141">
        <f t="shared" si="176"/>
        <v>-13666.25</v>
      </c>
      <c r="Z177" s="142">
        <v>-13666</v>
      </c>
      <c r="AA177" s="143">
        <f t="shared" si="47"/>
        <v>0.25</v>
      </c>
      <c r="AB177" s="133">
        <v>44376</v>
      </c>
      <c r="AC177" s="144">
        <f t="shared" si="12"/>
        <v>1.1900000000000001E-3</v>
      </c>
      <c r="AD177" s="145">
        <f t="shared" si="13"/>
        <v>44376</v>
      </c>
      <c r="AE177" s="146" t="s">
        <v>403</v>
      </c>
      <c r="AF177" s="119"/>
    </row>
    <row r="178" spans="1:32" ht="12" customHeight="1">
      <c r="A178" s="150">
        <v>44375</v>
      </c>
      <c r="B178" s="150" t="s">
        <v>537</v>
      </c>
      <c r="C178" s="150"/>
      <c r="D178" s="150"/>
      <c r="E178" s="150"/>
      <c r="F178" s="150"/>
      <c r="G178" s="150"/>
      <c r="H178" s="122" t="s">
        <v>446</v>
      </c>
      <c r="I178" s="121" t="s">
        <v>469</v>
      </c>
      <c r="J178" s="122" t="s">
        <v>471</v>
      </c>
      <c r="K178" s="123">
        <v>35</v>
      </c>
      <c r="L178" s="124">
        <v>587</v>
      </c>
      <c r="M178" s="125">
        <f t="shared" si="38"/>
        <v>0</v>
      </c>
      <c r="N178" s="125">
        <f t="shared" ref="N178:N180" si="177">L178-M178</f>
        <v>587</v>
      </c>
      <c r="O178" s="125"/>
      <c r="P178" s="125">
        <f t="shared" si="2"/>
        <v>20545</v>
      </c>
      <c r="Q178" s="126">
        <f t="shared" si="3"/>
        <v>0.60599999999999998</v>
      </c>
      <c r="R178" s="126">
        <f t="shared" si="74"/>
        <v>0</v>
      </c>
      <c r="S178" s="126">
        <f t="shared" si="35"/>
        <v>0.1</v>
      </c>
      <c r="T178" s="126">
        <f t="shared" si="61"/>
        <v>20.55</v>
      </c>
      <c r="U178" s="126">
        <v>0</v>
      </c>
      <c r="V178" s="126">
        <f t="shared" ref="V178:V179" si="178">ROUND(P178*L$1809,2)</f>
        <v>0.56000000000000005</v>
      </c>
      <c r="W178" s="126">
        <f t="shared" si="98"/>
        <v>0</v>
      </c>
      <c r="X178" s="126">
        <f t="shared" si="9"/>
        <v>21.21</v>
      </c>
      <c r="Y178" s="127">
        <f t="shared" ref="Y178:Y180" si="179">ROUND(P178-SUM(R178:W178),2)</f>
        <v>20523.79</v>
      </c>
      <c r="Z178" s="128">
        <v>20524</v>
      </c>
      <c r="AA178" s="129">
        <f t="shared" si="47"/>
        <v>0.20999999999912689</v>
      </c>
      <c r="AB178" s="120">
        <v>44377</v>
      </c>
      <c r="AC178" s="130">
        <f t="shared" si="12"/>
        <v>1.0319999999999999E-3</v>
      </c>
      <c r="AD178" s="131">
        <f t="shared" si="13"/>
        <v>44377</v>
      </c>
      <c r="AE178" s="132" t="s">
        <v>403</v>
      </c>
      <c r="AF178" s="119"/>
    </row>
    <row r="179" spans="1:32" ht="12" customHeight="1">
      <c r="A179" s="150">
        <v>44375</v>
      </c>
      <c r="B179" s="150" t="s">
        <v>535</v>
      </c>
      <c r="C179" s="150"/>
      <c r="D179" s="150"/>
      <c r="E179" s="150"/>
      <c r="F179" s="150"/>
      <c r="G179" s="150"/>
      <c r="H179" s="122" t="s">
        <v>446</v>
      </c>
      <c r="I179" s="121" t="s">
        <v>469</v>
      </c>
      <c r="J179" s="122" t="s">
        <v>471</v>
      </c>
      <c r="K179" s="123">
        <v>100</v>
      </c>
      <c r="L179" s="124">
        <v>151.5</v>
      </c>
      <c r="M179" s="125">
        <f t="shared" si="38"/>
        <v>0</v>
      </c>
      <c r="N179" s="125">
        <f t="shared" si="177"/>
        <v>151.5</v>
      </c>
      <c r="O179" s="125"/>
      <c r="P179" s="125">
        <f t="shared" si="2"/>
        <v>15150</v>
      </c>
      <c r="Q179" s="126">
        <f t="shared" si="3"/>
        <v>0.1565</v>
      </c>
      <c r="R179" s="126">
        <f t="shared" si="74"/>
        <v>0</v>
      </c>
      <c r="S179" s="126">
        <f t="shared" si="35"/>
        <v>0.08</v>
      </c>
      <c r="T179" s="126">
        <f t="shared" si="61"/>
        <v>15.15</v>
      </c>
      <c r="U179" s="126">
        <v>0</v>
      </c>
      <c r="V179" s="126">
        <f t="shared" si="178"/>
        <v>0.42</v>
      </c>
      <c r="W179" s="126">
        <f t="shared" si="98"/>
        <v>0</v>
      </c>
      <c r="X179" s="126">
        <f t="shared" si="9"/>
        <v>15.65</v>
      </c>
      <c r="Y179" s="127">
        <f t="shared" si="179"/>
        <v>15134.35</v>
      </c>
      <c r="Z179" s="128">
        <v>15134</v>
      </c>
      <c r="AA179" s="129">
        <f t="shared" si="47"/>
        <v>-0.3500000000003638</v>
      </c>
      <c r="AB179" s="120">
        <v>44377</v>
      </c>
      <c r="AC179" s="130">
        <f t="shared" si="12"/>
        <v>1.0330000000000001E-3</v>
      </c>
      <c r="AD179" s="131">
        <f t="shared" si="13"/>
        <v>44377</v>
      </c>
      <c r="AE179" s="132" t="s">
        <v>403</v>
      </c>
      <c r="AF179" s="119"/>
    </row>
    <row r="180" spans="1:32" ht="12" customHeight="1">
      <c r="A180" s="150">
        <v>44375</v>
      </c>
      <c r="B180" s="150" t="s">
        <v>538</v>
      </c>
      <c r="C180" s="150"/>
      <c r="D180" s="150"/>
      <c r="E180" s="150"/>
      <c r="F180" s="150"/>
      <c r="G180" s="150"/>
      <c r="H180" s="122" t="s">
        <v>446</v>
      </c>
      <c r="I180" s="121" t="s">
        <v>469</v>
      </c>
      <c r="J180" s="122" t="s">
        <v>471</v>
      </c>
      <c r="K180" s="123">
        <v>45</v>
      </c>
      <c r="L180" s="124">
        <v>383</v>
      </c>
      <c r="M180" s="125">
        <f t="shared" si="38"/>
        <v>0</v>
      </c>
      <c r="N180" s="125">
        <f t="shared" si="177"/>
        <v>383</v>
      </c>
      <c r="O180" s="125"/>
      <c r="P180" s="125">
        <f t="shared" si="2"/>
        <v>17235</v>
      </c>
      <c r="Q180" s="126">
        <f t="shared" si="3"/>
        <v>0.39866666666666661</v>
      </c>
      <c r="R180" s="126">
        <f t="shared" si="74"/>
        <v>0</v>
      </c>
      <c r="S180" s="126">
        <f t="shared" si="35"/>
        <v>0.11</v>
      </c>
      <c r="T180" s="126">
        <f t="shared" si="61"/>
        <v>17.239999999999998</v>
      </c>
      <c r="U180" s="126">
        <v>0</v>
      </c>
      <c r="V180" s="126">
        <f t="shared" ref="V180:V182" si="180">ROUND(P180*M$1809,2)</f>
        <v>0.59</v>
      </c>
      <c r="W180" s="126">
        <f t="shared" si="98"/>
        <v>0</v>
      </c>
      <c r="X180" s="126">
        <f t="shared" si="9"/>
        <v>17.939999999999998</v>
      </c>
      <c r="Y180" s="127">
        <f t="shared" si="179"/>
        <v>17217.060000000001</v>
      </c>
      <c r="Z180" s="128">
        <v>17217</v>
      </c>
      <c r="AA180" s="129">
        <f t="shared" si="47"/>
        <v>-6.0000000001309672E-2</v>
      </c>
      <c r="AB180" s="120">
        <v>44377</v>
      </c>
      <c r="AC180" s="130">
        <f t="shared" si="12"/>
        <v>1.041E-3</v>
      </c>
      <c r="AD180" s="131">
        <f t="shared" si="13"/>
        <v>44377</v>
      </c>
      <c r="AE180" s="132" t="s">
        <v>403</v>
      </c>
      <c r="AF180" s="119"/>
    </row>
    <row r="181" spans="1:32" ht="12" customHeight="1">
      <c r="A181" s="148">
        <v>44375</v>
      </c>
      <c r="B181" s="148" t="s">
        <v>467</v>
      </c>
      <c r="C181" s="148"/>
      <c r="D181" s="148"/>
      <c r="E181" s="148"/>
      <c r="F181" s="148"/>
      <c r="G181" s="148"/>
      <c r="H181" s="135" t="s">
        <v>453</v>
      </c>
      <c r="I181" s="134" t="s">
        <v>469</v>
      </c>
      <c r="J181" s="135" t="s">
        <v>471</v>
      </c>
      <c r="K181" s="136">
        <v>50</v>
      </c>
      <c r="L181" s="137">
        <v>380</v>
      </c>
      <c r="M181" s="138">
        <f t="shared" si="38"/>
        <v>0</v>
      </c>
      <c r="N181" s="138">
        <f t="shared" ref="N181:N183" si="181">L181+M181</f>
        <v>380</v>
      </c>
      <c r="O181" s="138"/>
      <c r="P181" s="138">
        <f t="shared" si="2"/>
        <v>19000</v>
      </c>
      <c r="Q181" s="139">
        <f t="shared" si="3"/>
        <v>0.45260000000000006</v>
      </c>
      <c r="R181" s="139">
        <f t="shared" si="74"/>
        <v>0</v>
      </c>
      <c r="S181" s="139">
        <f t="shared" si="35"/>
        <v>0.12</v>
      </c>
      <c r="T181" s="139">
        <f t="shared" si="61"/>
        <v>19</v>
      </c>
      <c r="U181" s="139">
        <f t="shared" ref="U181:U183" si="182">ROUND(P181*K$1812,2)</f>
        <v>2.85</v>
      </c>
      <c r="V181" s="139">
        <f t="shared" si="180"/>
        <v>0.66</v>
      </c>
      <c r="W181" s="139">
        <f t="shared" si="98"/>
        <v>0</v>
      </c>
      <c r="X181" s="140">
        <f t="shared" si="9"/>
        <v>22.630000000000003</v>
      </c>
      <c r="Y181" s="141">
        <f t="shared" ref="Y181:Y183" si="183">-ROUND(P181+SUM(R181:W181),2)</f>
        <v>-19022.63</v>
      </c>
      <c r="Z181" s="142">
        <v>-19023</v>
      </c>
      <c r="AA181" s="143">
        <f t="shared" si="47"/>
        <v>-0.36999999999898137</v>
      </c>
      <c r="AB181" s="133">
        <v>44377</v>
      </c>
      <c r="AC181" s="144">
        <f t="shared" si="12"/>
        <v>1.191E-3</v>
      </c>
      <c r="AD181" s="145">
        <f t="shared" si="13"/>
        <v>44377</v>
      </c>
      <c r="AE181" s="146" t="s">
        <v>403</v>
      </c>
      <c r="AF181" s="119"/>
    </row>
    <row r="182" spans="1:32" ht="12" customHeight="1">
      <c r="A182" s="148">
        <v>44375</v>
      </c>
      <c r="B182" s="148" t="s">
        <v>507</v>
      </c>
      <c r="C182" s="148"/>
      <c r="D182" s="148"/>
      <c r="E182" s="148"/>
      <c r="F182" s="148"/>
      <c r="G182" s="148"/>
      <c r="H182" s="135" t="s">
        <v>453</v>
      </c>
      <c r="I182" s="134" t="s">
        <v>469</v>
      </c>
      <c r="J182" s="135" t="s">
        <v>471</v>
      </c>
      <c r="K182" s="136">
        <v>2000</v>
      </c>
      <c r="L182" s="137">
        <v>10.45</v>
      </c>
      <c r="M182" s="138">
        <f t="shared" si="38"/>
        <v>0</v>
      </c>
      <c r="N182" s="138">
        <f t="shared" si="181"/>
        <v>10.45</v>
      </c>
      <c r="O182" s="138"/>
      <c r="P182" s="138">
        <f t="shared" si="2"/>
        <v>20900</v>
      </c>
      <c r="Q182" s="139">
        <f t="shared" si="3"/>
        <v>1.2444999999999998E-2</v>
      </c>
      <c r="R182" s="139">
        <f t="shared" si="74"/>
        <v>0</v>
      </c>
      <c r="S182" s="139">
        <f t="shared" si="35"/>
        <v>0.13</v>
      </c>
      <c r="T182" s="139">
        <f t="shared" si="61"/>
        <v>20.9</v>
      </c>
      <c r="U182" s="139">
        <f t="shared" si="182"/>
        <v>3.14</v>
      </c>
      <c r="V182" s="139">
        <f t="shared" si="180"/>
        <v>0.72</v>
      </c>
      <c r="W182" s="139">
        <f t="shared" si="98"/>
        <v>0</v>
      </c>
      <c r="X182" s="140">
        <f t="shared" si="9"/>
        <v>24.889999999999997</v>
      </c>
      <c r="Y182" s="141">
        <f t="shared" si="183"/>
        <v>-20924.89</v>
      </c>
      <c r="Z182" s="142">
        <v>-20925</v>
      </c>
      <c r="AA182" s="143">
        <f t="shared" si="47"/>
        <v>-0.11000000000058208</v>
      </c>
      <c r="AB182" s="133">
        <v>44377</v>
      </c>
      <c r="AC182" s="144">
        <f t="shared" si="12"/>
        <v>1.191E-3</v>
      </c>
      <c r="AD182" s="145">
        <f t="shared" si="13"/>
        <v>44377</v>
      </c>
      <c r="AE182" s="146" t="s">
        <v>403</v>
      </c>
      <c r="AF182" s="119"/>
    </row>
    <row r="183" spans="1:32" ht="12" customHeight="1">
      <c r="A183" s="148">
        <v>44375</v>
      </c>
      <c r="B183" s="149" t="s">
        <v>539</v>
      </c>
      <c r="C183" s="149"/>
      <c r="D183" s="149"/>
      <c r="E183" s="149"/>
      <c r="F183" s="149"/>
      <c r="G183" s="149"/>
      <c r="H183" s="135" t="s">
        <v>453</v>
      </c>
      <c r="I183" s="134" t="s">
        <v>469</v>
      </c>
      <c r="J183" s="135" t="s">
        <v>471</v>
      </c>
      <c r="K183" s="136">
        <v>50</v>
      </c>
      <c r="L183" s="137">
        <v>184.5</v>
      </c>
      <c r="M183" s="138">
        <f t="shared" si="38"/>
        <v>0</v>
      </c>
      <c r="N183" s="138">
        <f t="shared" si="181"/>
        <v>184.5</v>
      </c>
      <c r="O183" s="138"/>
      <c r="P183" s="138">
        <f t="shared" si="2"/>
        <v>9225</v>
      </c>
      <c r="Q183" s="139">
        <f t="shared" si="3"/>
        <v>0.21820000000000001</v>
      </c>
      <c r="R183" s="139">
        <f t="shared" si="74"/>
        <v>0</v>
      </c>
      <c r="S183" s="139">
        <f t="shared" si="35"/>
        <v>0.05</v>
      </c>
      <c r="T183" s="139">
        <f t="shared" si="61"/>
        <v>9.23</v>
      </c>
      <c r="U183" s="139">
        <f t="shared" si="182"/>
        <v>1.38</v>
      </c>
      <c r="V183" s="139">
        <f t="shared" ref="V183:V188" si="184">ROUND(P183*L$1809,2)</f>
        <v>0.25</v>
      </c>
      <c r="W183" s="139">
        <f t="shared" si="98"/>
        <v>0</v>
      </c>
      <c r="X183" s="140">
        <f t="shared" si="9"/>
        <v>10.91</v>
      </c>
      <c r="Y183" s="141">
        <f t="shared" si="183"/>
        <v>-9235.91</v>
      </c>
      <c r="Z183" s="142">
        <v>-9236</v>
      </c>
      <c r="AA183" s="143">
        <f t="shared" si="47"/>
        <v>-9.0000000000145519E-2</v>
      </c>
      <c r="AB183" s="133">
        <v>44377</v>
      </c>
      <c r="AC183" s="144">
        <f t="shared" si="12"/>
        <v>1.183E-3</v>
      </c>
      <c r="AD183" s="145">
        <f t="shared" si="13"/>
        <v>44377</v>
      </c>
      <c r="AE183" s="146" t="s">
        <v>403</v>
      </c>
      <c r="AF183" s="119"/>
    </row>
    <row r="184" spans="1:32" ht="12" customHeight="1">
      <c r="A184" s="150">
        <v>44376</v>
      </c>
      <c r="B184" s="151" t="s">
        <v>530</v>
      </c>
      <c r="C184" s="151"/>
      <c r="D184" s="151"/>
      <c r="E184" s="151"/>
      <c r="F184" s="151"/>
      <c r="G184" s="151"/>
      <c r="H184" s="122" t="s">
        <v>446</v>
      </c>
      <c r="I184" s="121" t="s">
        <v>469</v>
      </c>
      <c r="J184" s="122" t="s">
        <v>471</v>
      </c>
      <c r="K184" s="123">
        <v>20</v>
      </c>
      <c r="L184" s="124">
        <v>757</v>
      </c>
      <c r="M184" s="125">
        <f t="shared" si="38"/>
        <v>0</v>
      </c>
      <c r="N184" s="125">
        <f t="shared" ref="N184:N185" si="185">L184-M184</f>
        <v>757</v>
      </c>
      <c r="O184" s="125"/>
      <c r="P184" s="125">
        <f t="shared" si="2"/>
        <v>15140</v>
      </c>
      <c r="Q184" s="126">
        <f t="shared" si="3"/>
        <v>0.78200000000000003</v>
      </c>
      <c r="R184" s="126">
        <f t="shared" si="74"/>
        <v>0</v>
      </c>
      <c r="S184" s="126">
        <f t="shared" si="35"/>
        <v>0.08</v>
      </c>
      <c r="T184" s="126">
        <f t="shared" si="61"/>
        <v>15.14</v>
      </c>
      <c r="U184" s="126">
        <v>0</v>
      </c>
      <c r="V184" s="126">
        <f t="shared" si="184"/>
        <v>0.42</v>
      </c>
      <c r="W184" s="126">
        <f t="shared" si="98"/>
        <v>0</v>
      </c>
      <c r="X184" s="126">
        <f t="shared" si="9"/>
        <v>15.64</v>
      </c>
      <c r="Y184" s="127">
        <f t="shared" ref="Y184:Y185" si="186">ROUND(P184-SUM(R184:W184),2)</f>
        <v>15124.36</v>
      </c>
      <c r="Z184" s="128">
        <v>15124</v>
      </c>
      <c r="AA184" s="129">
        <f t="shared" si="47"/>
        <v>-0.36000000000058208</v>
      </c>
      <c r="AB184" s="120">
        <v>44378</v>
      </c>
      <c r="AC184" s="130">
        <f t="shared" si="12"/>
        <v>1.0330000000000001E-3</v>
      </c>
      <c r="AD184" s="131">
        <f t="shared" si="13"/>
        <v>44378</v>
      </c>
      <c r="AE184" s="132" t="s">
        <v>403</v>
      </c>
      <c r="AF184" s="119"/>
    </row>
    <row r="185" spans="1:32" ht="12" customHeight="1">
      <c r="A185" s="150">
        <v>44376</v>
      </c>
      <c r="B185" s="151" t="s">
        <v>533</v>
      </c>
      <c r="C185" s="151"/>
      <c r="D185" s="151"/>
      <c r="E185" s="151"/>
      <c r="F185" s="151"/>
      <c r="G185" s="151"/>
      <c r="H185" s="122" t="s">
        <v>446</v>
      </c>
      <c r="I185" s="121" t="s">
        <v>469</v>
      </c>
      <c r="J185" s="122" t="s">
        <v>471</v>
      </c>
      <c r="K185" s="123">
        <v>200</v>
      </c>
      <c r="L185" s="124">
        <v>85.6</v>
      </c>
      <c r="M185" s="125">
        <f t="shared" si="38"/>
        <v>0</v>
      </c>
      <c r="N185" s="125">
        <f t="shared" si="185"/>
        <v>85.6</v>
      </c>
      <c r="O185" s="125"/>
      <c r="P185" s="125">
        <f t="shared" si="2"/>
        <v>17120</v>
      </c>
      <c r="Q185" s="126">
        <f t="shared" si="3"/>
        <v>8.8349999999999984E-2</v>
      </c>
      <c r="R185" s="126">
        <f t="shared" si="74"/>
        <v>0</v>
      </c>
      <c r="S185" s="126">
        <f t="shared" si="35"/>
        <v>0.08</v>
      </c>
      <c r="T185" s="126">
        <f t="shared" si="61"/>
        <v>17.12</v>
      </c>
      <c r="U185" s="126">
        <v>0</v>
      </c>
      <c r="V185" s="126">
        <f t="shared" si="184"/>
        <v>0.47</v>
      </c>
      <c r="W185" s="126">
        <f t="shared" si="98"/>
        <v>0</v>
      </c>
      <c r="X185" s="126">
        <f t="shared" si="9"/>
        <v>17.669999999999998</v>
      </c>
      <c r="Y185" s="127">
        <f t="shared" si="186"/>
        <v>17102.330000000002</v>
      </c>
      <c r="Z185" s="128">
        <v>17102</v>
      </c>
      <c r="AA185" s="129">
        <f t="shared" si="47"/>
        <v>-0.33000000000174623</v>
      </c>
      <c r="AB185" s="120">
        <v>44378</v>
      </c>
      <c r="AC185" s="130">
        <f t="shared" si="12"/>
        <v>1.0319999999999999E-3</v>
      </c>
      <c r="AD185" s="131">
        <f t="shared" si="13"/>
        <v>44378</v>
      </c>
      <c r="AE185" s="132" t="s">
        <v>403</v>
      </c>
      <c r="AF185" s="119"/>
    </row>
    <row r="186" spans="1:32" ht="12" customHeight="1">
      <c r="A186" s="148">
        <v>44376</v>
      </c>
      <c r="B186" s="149" t="s">
        <v>540</v>
      </c>
      <c r="C186" s="149"/>
      <c r="D186" s="149"/>
      <c r="E186" s="149"/>
      <c r="F186" s="149"/>
      <c r="G186" s="149"/>
      <c r="H186" s="135" t="s">
        <v>453</v>
      </c>
      <c r="I186" s="134" t="s">
        <v>469</v>
      </c>
      <c r="J186" s="135" t="s">
        <v>471</v>
      </c>
      <c r="K186" s="136">
        <v>50</v>
      </c>
      <c r="L186" s="137">
        <v>250</v>
      </c>
      <c r="M186" s="138">
        <f t="shared" si="38"/>
        <v>0</v>
      </c>
      <c r="N186" s="138">
        <f t="shared" ref="N186:N188" si="187">L186+M186</f>
        <v>250</v>
      </c>
      <c r="O186" s="138"/>
      <c r="P186" s="138">
        <f t="shared" si="2"/>
        <v>12500</v>
      </c>
      <c r="Q186" s="139">
        <f t="shared" si="3"/>
        <v>0.29560000000000003</v>
      </c>
      <c r="R186" s="139">
        <f t="shared" si="74"/>
        <v>0</v>
      </c>
      <c r="S186" s="139">
        <f t="shared" si="35"/>
        <v>0.06</v>
      </c>
      <c r="T186" s="139">
        <f t="shared" si="61"/>
        <v>12.5</v>
      </c>
      <c r="U186" s="139">
        <f t="shared" ref="U186:U188" si="188">ROUND(P186*K$1812,2)</f>
        <v>1.88</v>
      </c>
      <c r="V186" s="139">
        <f t="shared" si="184"/>
        <v>0.34</v>
      </c>
      <c r="W186" s="139">
        <f t="shared" si="98"/>
        <v>0</v>
      </c>
      <c r="X186" s="140">
        <f t="shared" si="9"/>
        <v>14.780000000000001</v>
      </c>
      <c r="Y186" s="141">
        <f t="shared" ref="Y186:Y188" si="189">-ROUND(P186+SUM(R186:W186),2)</f>
        <v>-12514.78</v>
      </c>
      <c r="Z186" s="142">
        <v>-12515</v>
      </c>
      <c r="AA186" s="143">
        <f t="shared" si="47"/>
        <v>-0.21999999999934516</v>
      </c>
      <c r="AB186" s="133">
        <v>44378</v>
      </c>
      <c r="AC186" s="144">
        <f t="shared" si="12"/>
        <v>1.1820000000000001E-3</v>
      </c>
      <c r="AD186" s="145">
        <f t="shared" si="13"/>
        <v>44378</v>
      </c>
      <c r="AE186" s="146" t="s">
        <v>403</v>
      </c>
      <c r="AF186" s="119"/>
    </row>
    <row r="187" spans="1:32" ht="12" customHeight="1">
      <c r="A187" s="148">
        <v>44376</v>
      </c>
      <c r="B187" s="149" t="s">
        <v>540</v>
      </c>
      <c r="C187" s="149"/>
      <c r="D187" s="149"/>
      <c r="E187" s="149"/>
      <c r="F187" s="149"/>
      <c r="G187" s="149"/>
      <c r="H187" s="135" t="s">
        <v>453</v>
      </c>
      <c r="I187" s="134" t="s">
        <v>469</v>
      </c>
      <c r="J187" s="135" t="s">
        <v>471</v>
      </c>
      <c r="K187" s="136">
        <v>20</v>
      </c>
      <c r="L187" s="137">
        <v>228</v>
      </c>
      <c r="M187" s="138">
        <f t="shared" si="38"/>
        <v>0</v>
      </c>
      <c r="N187" s="138">
        <f t="shared" si="187"/>
        <v>228</v>
      </c>
      <c r="O187" s="138"/>
      <c r="P187" s="138">
        <f t="shared" si="2"/>
        <v>4560</v>
      </c>
      <c r="Q187" s="139">
        <f t="shared" si="3"/>
        <v>0.26949999999999996</v>
      </c>
      <c r="R187" s="139">
        <f t="shared" si="74"/>
        <v>0</v>
      </c>
      <c r="S187" s="139">
        <f t="shared" si="35"/>
        <v>0.02</v>
      </c>
      <c r="T187" s="139">
        <f t="shared" si="61"/>
        <v>4.5599999999999996</v>
      </c>
      <c r="U187" s="139">
        <f t="shared" si="188"/>
        <v>0.68</v>
      </c>
      <c r="V187" s="139">
        <f t="shared" si="184"/>
        <v>0.13</v>
      </c>
      <c r="W187" s="139">
        <f t="shared" si="98"/>
        <v>0</v>
      </c>
      <c r="X187" s="140">
        <f t="shared" si="9"/>
        <v>5.3899999999999988</v>
      </c>
      <c r="Y187" s="141">
        <f t="shared" si="189"/>
        <v>-4565.3900000000003</v>
      </c>
      <c r="Z187" s="142">
        <v>-4565</v>
      </c>
      <c r="AA187" s="143">
        <f t="shared" si="47"/>
        <v>0.39000000000032742</v>
      </c>
      <c r="AB187" s="133">
        <v>44378</v>
      </c>
      <c r="AC187" s="144">
        <f t="shared" si="12"/>
        <v>1.1820000000000001E-3</v>
      </c>
      <c r="AD187" s="145">
        <f t="shared" si="13"/>
        <v>44378</v>
      </c>
      <c r="AE187" s="146" t="s">
        <v>403</v>
      </c>
      <c r="AF187" s="119"/>
    </row>
    <row r="188" spans="1:32" ht="12" customHeight="1">
      <c r="A188" s="148">
        <v>44376</v>
      </c>
      <c r="B188" s="149" t="s">
        <v>507</v>
      </c>
      <c r="C188" s="149"/>
      <c r="D188" s="149"/>
      <c r="E188" s="149"/>
      <c r="F188" s="149"/>
      <c r="G188" s="149"/>
      <c r="H188" s="135" t="s">
        <v>453</v>
      </c>
      <c r="I188" s="134" t="s">
        <v>469</v>
      </c>
      <c r="J188" s="135" t="s">
        <v>471</v>
      </c>
      <c r="K188" s="136">
        <v>1000</v>
      </c>
      <c r="L188" s="137">
        <v>10.3</v>
      </c>
      <c r="M188" s="138">
        <f t="shared" si="38"/>
        <v>0</v>
      </c>
      <c r="N188" s="138">
        <f t="shared" si="187"/>
        <v>10.3</v>
      </c>
      <c r="O188" s="138"/>
      <c r="P188" s="138">
        <f t="shared" si="2"/>
        <v>10300</v>
      </c>
      <c r="Q188" s="139">
        <f t="shared" si="3"/>
        <v>1.2180000000000002E-2</v>
      </c>
      <c r="R188" s="139">
        <f t="shared" si="74"/>
        <v>0</v>
      </c>
      <c r="S188" s="139">
        <f t="shared" si="35"/>
        <v>0.05</v>
      </c>
      <c r="T188" s="139">
        <f t="shared" si="61"/>
        <v>10.3</v>
      </c>
      <c r="U188" s="139">
        <f t="shared" si="188"/>
        <v>1.55</v>
      </c>
      <c r="V188" s="139">
        <f t="shared" si="184"/>
        <v>0.28000000000000003</v>
      </c>
      <c r="W188" s="139">
        <f t="shared" si="98"/>
        <v>0</v>
      </c>
      <c r="X188" s="140">
        <f t="shared" si="9"/>
        <v>12.180000000000001</v>
      </c>
      <c r="Y188" s="141">
        <f t="shared" si="189"/>
        <v>-10312.18</v>
      </c>
      <c r="Z188" s="142">
        <v>-10312</v>
      </c>
      <c r="AA188" s="143">
        <f t="shared" si="47"/>
        <v>0.18000000000029104</v>
      </c>
      <c r="AB188" s="133">
        <v>44378</v>
      </c>
      <c r="AC188" s="144">
        <f t="shared" si="12"/>
        <v>1.183E-3</v>
      </c>
      <c r="AD188" s="145">
        <f t="shared" si="13"/>
        <v>44378</v>
      </c>
      <c r="AE188" s="146" t="s">
        <v>403</v>
      </c>
      <c r="AF188" s="119"/>
    </row>
    <row r="189" spans="1:32" ht="12" customHeight="1">
      <c r="A189" s="150">
        <v>44377</v>
      </c>
      <c r="B189" s="151" t="s">
        <v>521</v>
      </c>
      <c r="C189" s="151"/>
      <c r="D189" s="151"/>
      <c r="E189" s="151"/>
      <c r="F189" s="151"/>
      <c r="G189" s="151"/>
      <c r="H189" s="122" t="s">
        <v>446</v>
      </c>
      <c r="I189" s="121" t="s">
        <v>469</v>
      </c>
      <c r="J189" s="122" t="s">
        <v>471</v>
      </c>
      <c r="K189" s="123">
        <v>50</v>
      </c>
      <c r="L189" s="124">
        <v>234.35</v>
      </c>
      <c r="M189" s="125">
        <f t="shared" si="38"/>
        <v>0</v>
      </c>
      <c r="N189" s="125">
        <f t="shared" ref="N189:N191" si="190">L189-M189</f>
        <v>234.35</v>
      </c>
      <c r="O189" s="125"/>
      <c r="P189" s="125">
        <f t="shared" si="2"/>
        <v>11717.5</v>
      </c>
      <c r="Q189" s="126">
        <f t="shared" si="3"/>
        <v>0.24380000000000002</v>
      </c>
      <c r="R189" s="126">
        <f t="shared" si="74"/>
        <v>0</v>
      </c>
      <c r="S189" s="126">
        <f t="shared" si="35"/>
        <v>7.0000000000000007E-2</v>
      </c>
      <c r="T189" s="126">
        <f t="shared" si="61"/>
        <v>11.72</v>
      </c>
      <c r="U189" s="126">
        <v>0</v>
      </c>
      <c r="V189" s="126">
        <f>ROUND(P189*M$1809,2)</f>
        <v>0.4</v>
      </c>
      <c r="W189" s="126">
        <f t="shared" si="98"/>
        <v>0</v>
      </c>
      <c r="X189" s="126">
        <f t="shared" si="9"/>
        <v>12.190000000000001</v>
      </c>
      <c r="Y189" s="127">
        <f t="shared" ref="Y189:Y191" si="191">ROUND(P189-SUM(R189:W189),2)</f>
        <v>11705.31</v>
      </c>
      <c r="Z189" s="128">
        <v>11705</v>
      </c>
      <c r="AA189" s="129">
        <f t="shared" si="47"/>
        <v>-0.30999999999949068</v>
      </c>
      <c r="AB189" s="120">
        <v>44379</v>
      </c>
      <c r="AC189" s="130">
        <f t="shared" si="12"/>
        <v>1.0399999999999999E-3</v>
      </c>
      <c r="AD189" s="131">
        <f t="shared" si="13"/>
        <v>44379</v>
      </c>
      <c r="AE189" s="132" t="s">
        <v>403</v>
      </c>
      <c r="AF189" s="119"/>
    </row>
    <row r="190" spans="1:32" ht="12" customHeight="1">
      <c r="A190" s="150">
        <v>44377</v>
      </c>
      <c r="B190" s="151" t="s">
        <v>496</v>
      </c>
      <c r="C190" s="151"/>
      <c r="D190" s="151"/>
      <c r="E190" s="151"/>
      <c r="F190" s="151"/>
      <c r="G190" s="151"/>
      <c r="H190" s="122" t="s">
        <v>446</v>
      </c>
      <c r="I190" s="121" t="s">
        <v>469</v>
      </c>
      <c r="J190" s="122" t="s">
        <v>471</v>
      </c>
      <c r="K190" s="123">
        <v>50</v>
      </c>
      <c r="L190" s="124">
        <v>155</v>
      </c>
      <c r="M190" s="125">
        <f t="shared" si="38"/>
        <v>0</v>
      </c>
      <c r="N190" s="125">
        <f t="shared" si="190"/>
        <v>155</v>
      </c>
      <c r="O190" s="125"/>
      <c r="P190" s="125">
        <f t="shared" si="2"/>
        <v>7750</v>
      </c>
      <c r="Q190" s="126">
        <f t="shared" si="3"/>
        <v>0.16</v>
      </c>
      <c r="R190" s="126">
        <f t="shared" si="74"/>
        <v>0</v>
      </c>
      <c r="S190" s="126">
        <f t="shared" si="35"/>
        <v>0.04</v>
      </c>
      <c r="T190" s="126">
        <f t="shared" si="61"/>
        <v>7.75</v>
      </c>
      <c r="U190" s="126">
        <v>0</v>
      </c>
      <c r="V190" s="126">
        <f t="shared" ref="V190:V191" si="192">ROUND(P190*L$1809,2)</f>
        <v>0.21</v>
      </c>
      <c r="W190" s="126">
        <f t="shared" si="98"/>
        <v>0</v>
      </c>
      <c r="X190" s="126">
        <f t="shared" si="9"/>
        <v>8</v>
      </c>
      <c r="Y190" s="127">
        <f t="shared" si="191"/>
        <v>7742</v>
      </c>
      <c r="Z190" s="128">
        <v>7742</v>
      </c>
      <c r="AA190" s="129">
        <f t="shared" si="47"/>
        <v>0</v>
      </c>
      <c r="AB190" s="120">
        <v>44379</v>
      </c>
      <c r="AC190" s="130">
        <f t="shared" si="12"/>
        <v>1.0319999999999999E-3</v>
      </c>
      <c r="AD190" s="131">
        <f t="shared" si="13"/>
        <v>44379</v>
      </c>
      <c r="AE190" s="132" t="s">
        <v>403</v>
      </c>
      <c r="AF190" s="119"/>
    </row>
    <row r="191" spans="1:32" ht="12" customHeight="1">
      <c r="A191" s="150">
        <v>44377</v>
      </c>
      <c r="B191" s="151" t="s">
        <v>525</v>
      </c>
      <c r="C191" s="151"/>
      <c r="D191" s="151"/>
      <c r="E191" s="151"/>
      <c r="F191" s="151"/>
      <c r="G191" s="151"/>
      <c r="H191" s="122" t="s">
        <v>446</v>
      </c>
      <c r="I191" s="121" t="s">
        <v>469</v>
      </c>
      <c r="J191" s="122" t="s">
        <v>471</v>
      </c>
      <c r="K191" s="123">
        <v>200</v>
      </c>
      <c r="L191" s="124">
        <v>108.7</v>
      </c>
      <c r="M191" s="125">
        <f t="shared" si="38"/>
        <v>0</v>
      </c>
      <c r="N191" s="125">
        <f t="shared" si="190"/>
        <v>108.7</v>
      </c>
      <c r="O191" s="125"/>
      <c r="P191" s="125">
        <f t="shared" si="2"/>
        <v>21740</v>
      </c>
      <c r="Q191" s="126">
        <f t="shared" si="3"/>
        <v>0.11225</v>
      </c>
      <c r="R191" s="126">
        <f t="shared" si="74"/>
        <v>0</v>
      </c>
      <c r="S191" s="126">
        <f t="shared" si="35"/>
        <v>0.11</v>
      </c>
      <c r="T191" s="126">
        <f t="shared" si="61"/>
        <v>21.74</v>
      </c>
      <c r="U191" s="126">
        <v>0</v>
      </c>
      <c r="V191" s="126">
        <f t="shared" si="192"/>
        <v>0.6</v>
      </c>
      <c r="W191" s="126">
        <f t="shared" si="98"/>
        <v>0</v>
      </c>
      <c r="X191" s="126">
        <f t="shared" si="9"/>
        <v>22.45</v>
      </c>
      <c r="Y191" s="127">
        <f t="shared" si="191"/>
        <v>21717.55</v>
      </c>
      <c r="Z191" s="128">
        <v>21717</v>
      </c>
      <c r="AA191" s="129">
        <f t="shared" si="47"/>
        <v>-0.5499999999992724</v>
      </c>
      <c r="AB191" s="120">
        <v>44379</v>
      </c>
      <c r="AC191" s="130">
        <f t="shared" si="12"/>
        <v>1.0330000000000001E-3</v>
      </c>
      <c r="AD191" s="131">
        <f t="shared" si="13"/>
        <v>44379</v>
      </c>
      <c r="AE191" s="132" t="s">
        <v>403</v>
      </c>
      <c r="AF191" s="119"/>
    </row>
    <row r="192" spans="1:32" ht="12" customHeight="1">
      <c r="A192" s="148">
        <v>44377</v>
      </c>
      <c r="B192" s="149" t="s">
        <v>498</v>
      </c>
      <c r="C192" s="149"/>
      <c r="D192" s="149"/>
      <c r="E192" s="149"/>
      <c r="F192" s="149"/>
      <c r="G192" s="149"/>
      <c r="H192" s="135" t="s">
        <v>453</v>
      </c>
      <c r="I192" s="134" t="s">
        <v>469</v>
      </c>
      <c r="J192" s="135" t="s">
        <v>471</v>
      </c>
      <c r="K192" s="136">
        <v>500</v>
      </c>
      <c r="L192" s="137">
        <v>25</v>
      </c>
      <c r="M192" s="138">
        <f t="shared" si="38"/>
        <v>0</v>
      </c>
      <c r="N192" s="138">
        <f t="shared" ref="N192:N193" si="193">L192+M192</f>
        <v>25</v>
      </c>
      <c r="O192" s="138"/>
      <c r="P192" s="138">
        <f t="shared" si="2"/>
        <v>12500</v>
      </c>
      <c r="Q192" s="139">
        <f t="shared" si="3"/>
        <v>2.9780000000000001E-2</v>
      </c>
      <c r="R192" s="139">
        <f t="shared" si="74"/>
        <v>0</v>
      </c>
      <c r="S192" s="139">
        <f t="shared" si="35"/>
        <v>0.08</v>
      </c>
      <c r="T192" s="139">
        <f t="shared" si="61"/>
        <v>12.5</v>
      </c>
      <c r="U192" s="139">
        <f t="shared" ref="U192:U193" si="194">ROUND(P192*K$1812,2)</f>
        <v>1.88</v>
      </c>
      <c r="V192" s="139">
        <f t="shared" ref="V192:V193" si="195">ROUND(P192*M$1809,2)</f>
        <v>0.43</v>
      </c>
      <c r="W192" s="139">
        <f t="shared" si="98"/>
        <v>0</v>
      </c>
      <c r="X192" s="140">
        <f t="shared" si="9"/>
        <v>14.89</v>
      </c>
      <c r="Y192" s="141">
        <f t="shared" ref="Y192:Y193" si="196">-ROUND(P192+SUM(R192:W192),2)</f>
        <v>-12514.89</v>
      </c>
      <c r="Z192" s="142">
        <v>-12515</v>
      </c>
      <c r="AA192" s="143">
        <f t="shared" si="47"/>
        <v>-0.11000000000058208</v>
      </c>
      <c r="AB192" s="133">
        <v>44379</v>
      </c>
      <c r="AC192" s="144">
        <f t="shared" si="12"/>
        <v>1.191E-3</v>
      </c>
      <c r="AD192" s="145">
        <f t="shared" si="13"/>
        <v>44379</v>
      </c>
      <c r="AE192" s="146" t="s">
        <v>403</v>
      </c>
      <c r="AF192" s="119"/>
    </row>
    <row r="193" spans="1:32" ht="12" customHeight="1">
      <c r="A193" s="148">
        <v>44377</v>
      </c>
      <c r="B193" s="149" t="s">
        <v>541</v>
      </c>
      <c r="C193" s="149"/>
      <c r="D193" s="149"/>
      <c r="E193" s="149"/>
      <c r="F193" s="149"/>
      <c r="G193" s="149"/>
      <c r="H193" s="135" t="s">
        <v>453</v>
      </c>
      <c r="I193" s="134" t="s">
        <v>469</v>
      </c>
      <c r="J193" s="135" t="s">
        <v>471</v>
      </c>
      <c r="K193" s="136">
        <v>200</v>
      </c>
      <c r="L193" s="137">
        <v>74.849999999999994</v>
      </c>
      <c r="M193" s="138">
        <f t="shared" si="38"/>
        <v>0</v>
      </c>
      <c r="N193" s="138">
        <f t="shared" si="193"/>
        <v>74.849999999999994</v>
      </c>
      <c r="O193" s="138"/>
      <c r="P193" s="138">
        <f t="shared" si="2"/>
        <v>14970</v>
      </c>
      <c r="Q193" s="139">
        <f t="shared" si="3"/>
        <v>8.9150000000000007E-2</v>
      </c>
      <c r="R193" s="139">
        <f t="shared" si="74"/>
        <v>0</v>
      </c>
      <c r="S193" s="139">
        <f t="shared" si="35"/>
        <v>0.09</v>
      </c>
      <c r="T193" s="139">
        <f t="shared" si="61"/>
        <v>14.97</v>
      </c>
      <c r="U193" s="139">
        <f t="shared" si="194"/>
        <v>2.25</v>
      </c>
      <c r="V193" s="139">
        <f t="shared" si="195"/>
        <v>0.52</v>
      </c>
      <c r="W193" s="139">
        <f t="shared" si="98"/>
        <v>0</v>
      </c>
      <c r="X193" s="140">
        <f t="shared" si="9"/>
        <v>17.830000000000002</v>
      </c>
      <c r="Y193" s="141">
        <f t="shared" si="196"/>
        <v>-14987.83</v>
      </c>
      <c r="Z193" s="142">
        <v>-14988</v>
      </c>
      <c r="AA193" s="143">
        <f t="shared" si="47"/>
        <v>-0.17000000000007276</v>
      </c>
      <c r="AB193" s="133">
        <v>44379</v>
      </c>
      <c r="AC193" s="144">
        <f t="shared" si="12"/>
        <v>1.191E-3</v>
      </c>
      <c r="AD193" s="145">
        <f t="shared" si="13"/>
        <v>44379</v>
      </c>
      <c r="AE193" s="146" t="s">
        <v>403</v>
      </c>
      <c r="AF193" s="119"/>
    </row>
    <row r="194" spans="1:32" ht="12" customHeight="1">
      <c r="A194" s="150">
        <v>44378</v>
      </c>
      <c r="B194" s="151" t="s">
        <v>528</v>
      </c>
      <c r="C194" s="151"/>
      <c r="D194" s="151"/>
      <c r="E194" s="151"/>
      <c r="F194" s="151"/>
      <c r="G194" s="151"/>
      <c r="H194" s="122" t="s">
        <v>446</v>
      </c>
      <c r="I194" s="121" t="s">
        <v>469</v>
      </c>
      <c r="J194" s="122" t="s">
        <v>471</v>
      </c>
      <c r="K194" s="123">
        <v>1000</v>
      </c>
      <c r="L194" s="124">
        <v>11.94</v>
      </c>
      <c r="M194" s="125">
        <f t="shared" si="38"/>
        <v>0</v>
      </c>
      <c r="N194" s="125">
        <f>L194-M194</f>
        <v>11.94</v>
      </c>
      <c r="O194" s="125"/>
      <c r="P194" s="125">
        <f t="shared" si="2"/>
        <v>11940</v>
      </c>
      <c r="Q194" s="126">
        <f t="shared" si="3"/>
        <v>1.2330000000000001E-2</v>
      </c>
      <c r="R194" s="126">
        <f t="shared" si="74"/>
        <v>0</v>
      </c>
      <c r="S194" s="126">
        <f t="shared" si="35"/>
        <v>0.06</v>
      </c>
      <c r="T194" s="126">
        <f t="shared" si="61"/>
        <v>11.94</v>
      </c>
      <c r="U194" s="126">
        <v>0</v>
      </c>
      <c r="V194" s="126">
        <f t="shared" ref="V194:V195" si="197">ROUND(P194*L$1809,2)</f>
        <v>0.33</v>
      </c>
      <c r="W194" s="126">
        <f t="shared" si="98"/>
        <v>0</v>
      </c>
      <c r="X194" s="126">
        <f t="shared" si="9"/>
        <v>12.33</v>
      </c>
      <c r="Y194" s="127">
        <f>ROUND(P194-SUM(R194:W194),2)</f>
        <v>11927.67</v>
      </c>
      <c r="Z194" s="128">
        <v>11928</v>
      </c>
      <c r="AA194" s="129">
        <f t="shared" si="47"/>
        <v>0.32999999999992724</v>
      </c>
      <c r="AB194" s="120">
        <v>44382</v>
      </c>
      <c r="AC194" s="130">
        <f t="shared" si="12"/>
        <v>1.0330000000000001E-3</v>
      </c>
      <c r="AD194" s="131">
        <f t="shared" si="13"/>
        <v>44382</v>
      </c>
      <c r="AE194" s="132" t="s">
        <v>403</v>
      </c>
      <c r="AF194" s="119"/>
    </row>
    <row r="195" spans="1:32" ht="12" customHeight="1">
      <c r="A195" s="148">
        <v>44378</v>
      </c>
      <c r="B195" s="149" t="s">
        <v>528</v>
      </c>
      <c r="C195" s="149"/>
      <c r="D195" s="149"/>
      <c r="E195" s="149"/>
      <c r="F195" s="149"/>
      <c r="G195" s="149"/>
      <c r="H195" s="135" t="s">
        <v>453</v>
      </c>
      <c r="I195" s="134" t="s">
        <v>469</v>
      </c>
      <c r="J195" s="135" t="s">
        <v>471</v>
      </c>
      <c r="K195" s="136">
        <v>1000</v>
      </c>
      <c r="L195" s="137">
        <v>12.45</v>
      </c>
      <c r="M195" s="138">
        <f t="shared" si="38"/>
        <v>0</v>
      </c>
      <c r="N195" s="138">
        <f t="shared" ref="N195:N197" si="198">L195+M195</f>
        <v>12.45</v>
      </c>
      <c r="O195" s="138"/>
      <c r="P195" s="138">
        <f t="shared" si="2"/>
        <v>12450</v>
      </c>
      <c r="Q195" s="139">
        <f t="shared" si="3"/>
        <v>1.4719999999999999E-2</v>
      </c>
      <c r="R195" s="139">
        <f t="shared" si="74"/>
        <v>0</v>
      </c>
      <c r="S195" s="139">
        <f t="shared" si="35"/>
        <v>0.06</v>
      </c>
      <c r="T195" s="139">
        <f t="shared" si="61"/>
        <v>12.45</v>
      </c>
      <c r="U195" s="139">
        <f t="shared" ref="U195:U197" si="199">ROUND(P195*K$1812,2)</f>
        <v>1.87</v>
      </c>
      <c r="V195" s="139">
        <f t="shared" si="197"/>
        <v>0.34</v>
      </c>
      <c r="W195" s="139">
        <f t="shared" si="98"/>
        <v>0</v>
      </c>
      <c r="X195" s="140">
        <f t="shared" si="9"/>
        <v>14.719999999999999</v>
      </c>
      <c r="Y195" s="141">
        <f t="shared" ref="Y195:Y197" si="200">-ROUND(P195+SUM(R195:W195),2)</f>
        <v>-12464.72</v>
      </c>
      <c r="Z195" s="142">
        <v>-12465</v>
      </c>
      <c r="AA195" s="143">
        <f t="shared" si="47"/>
        <v>-0.28000000000065484</v>
      </c>
      <c r="AB195" s="133">
        <v>44382</v>
      </c>
      <c r="AC195" s="144">
        <f t="shared" si="12"/>
        <v>1.1820000000000001E-3</v>
      </c>
      <c r="AD195" s="145">
        <f t="shared" si="13"/>
        <v>44382</v>
      </c>
      <c r="AE195" s="146" t="s">
        <v>403</v>
      </c>
      <c r="AF195" s="119"/>
    </row>
    <row r="196" spans="1:32" ht="12" customHeight="1">
      <c r="A196" s="148">
        <v>44378</v>
      </c>
      <c r="B196" s="149" t="s">
        <v>491</v>
      </c>
      <c r="C196" s="149"/>
      <c r="D196" s="149"/>
      <c r="E196" s="149"/>
      <c r="F196" s="149"/>
      <c r="G196" s="149"/>
      <c r="H196" s="135" t="s">
        <v>453</v>
      </c>
      <c r="I196" s="134" t="s">
        <v>469</v>
      </c>
      <c r="J196" s="135" t="s">
        <v>471</v>
      </c>
      <c r="K196" s="136">
        <v>25</v>
      </c>
      <c r="L196" s="137">
        <v>635</v>
      </c>
      <c r="M196" s="138">
        <f t="shared" si="38"/>
        <v>0</v>
      </c>
      <c r="N196" s="138">
        <f t="shared" si="198"/>
        <v>635</v>
      </c>
      <c r="O196" s="138"/>
      <c r="P196" s="138">
        <f t="shared" si="2"/>
        <v>15875</v>
      </c>
      <c r="Q196" s="139">
        <f t="shared" si="3"/>
        <v>0.75639999999999996</v>
      </c>
      <c r="R196" s="139">
        <f t="shared" si="74"/>
        <v>0</v>
      </c>
      <c r="S196" s="139">
        <f t="shared" si="35"/>
        <v>0.1</v>
      </c>
      <c r="T196" s="139">
        <f t="shared" si="61"/>
        <v>15.88</v>
      </c>
      <c r="U196" s="139">
        <f t="shared" si="199"/>
        <v>2.38</v>
      </c>
      <c r="V196" s="139">
        <f t="shared" ref="V196:V198" si="201">ROUND(P196*M$1809,2)</f>
        <v>0.55000000000000004</v>
      </c>
      <c r="W196" s="139">
        <f t="shared" si="98"/>
        <v>0</v>
      </c>
      <c r="X196" s="140">
        <f t="shared" si="9"/>
        <v>18.91</v>
      </c>
      <c r="Y196" s="141">
        <f t="shared" si="200"/>
        <v>-15893.91</v>
      </c>
      <c r="Z196" s="142">
        <v>-15894</v>
      </c>
      <c r="AA196" s="143">
        <f t="shared" si="47"/>
        <v>-9.0000000000145519E-2</v>
      </c>
      <c r="AB196" s="133">
        <v>44382</v>
      </c>
      <c r="AC196" s="144">
        <f t="shared" si="12"/>
        <v>1.191E-3</v>
      </c>
      <c r="AD196" s="145">
        <f t="shared" si="13"/>
        <v>44382</v>
      </c>
      <c r="AE196" s="146" t="s">
        <v>403</v>
      </c>
      <c r="AF196" s="119"/>
    </row>
    <row r="197" spans="1:32" ht="12" customHeight="1">
      <c r="A197" s="148">
        <v>44378</v>
      </c>
      <c r="B197" s="149" t="s">
        <v>542</v>
      </c>
      <c r="C197" s="149"/>
      <c r="D197" s="149"/>
      <c r="E197" s="149"/>
      <c r="F197" s="149"/>
      <c r="G197" s="149"/>
      <c r="H197" s="135" t="s">
        <v>453</v>
      </c>
      <c r="I197" s="134" t="s">
        <v>469</v>
      </c>
      <c r="J197" s="135" t="s">
        <v>471</v>
      </c>
      <c r="K197" s="136">
        <v>2</v>
      </c>
      <c r="L197" s="137">
        <v>7310</v>
      </c>
      <c r="M197" s="138">
        <f t="shared" si="38"/>
        <v>0</v>
      </c>
      <c r="N197" s="138">
        <f t="shared" si="198"/>
        <v>7310</v>
      </c>
      <c r="O197" s="138"/>
      <c r="P197" s="138">
        <f t="shared" si="2"/>
        <v>14620</v>
      </c>
      <c r="Q197" s="139">
        <f t="shared" si="3"/>
        <v>8.6999999999999993</v>
      </c>
      <c r="R197" s="139">
        <f t="shared" si="74"/>
        <v>0</v>
      </c>
      <c r="S197" s="139">
        <f t="shared" si="35"/>
        <v>0.09</v>
      </c>
      <c r="T197" s="139">
        <f t="shared" si="61"/>
        <v>14.62</v>
      </c>
      <c r="U197" s="139">
        <f t="shared" si="199"/>
        <v>2.19</v>
      </c>
      <c r="V197" s="139">
        <f t="shared" si="201"/>
        <v>0.5</v>
      </c>
      <c r="W197" s="139">
        <f t="shared" si="98"/>
        <v>0</v>
      </c>
      <c r="X197" s="140">
        <f t="shared" si="9"/>
        <v>17.399999999999999</v>
      </c>
      <c r="Y197" s="141">
        <f t="shared" si="200"/>
        <v>-14637.4</v>
      </c>
      <c r="Z197" s="142">
        <v>-14637</v>
      </c>
      <c r="AA197" s="143">
        <f t="shared" si="47"/>
        <v>0.3999999999996362</v>
      </c>
      <c r="AB197" s="133">
        <v>44382</v>
      </c>
      <c r="AC197" s="144">
        <f t="shared" si="12"/>
        <v>1.1900000000000001E-3</v>
      </c>
      <c r="AD197" s="145">
        <f t="shared" si="13"/>
        <v>44382</v>
      </c>
      <c r="AE197" s="146" t="s">
        <v>403</v>
      </c>
      <c r="AF197" s="119"/>
    </row>
    <row r="198" spans="1:32" ht="12" customHeight="1">
      <c r="A198" s="150">
        <v>44379</v>
      </c>
      <c r="B198" s="151" t="s">
        <v>491</v>
      </c>
      <c r="C198" s="151"/>
      <c r="D198" s="151"/>
      <c r="E198" s="151"/>
      <c r="F198" s="151"/>
      <c r="G198" s="151"/>
      <c r="H198" s="122" t="s">
        <v>446</v>
      </c>
      <c r="I198" s="121" t="s">
        <v>469</v>
      </c>
      <c r="J198" s="122" t="s">
        <v>471</v>
      </c>
      <c r="K198" s="123">
        <v>25</v>
      </c>
      <c r="L198" s="124">
        <v>661</v>
      </c>
      <c r="M198" s="125">
        <f t="shared" si="38"/>
        <v>0</v>
      </c>
      <c r="N198" s="125">
        <f>L198-M198</f>
        <v>661</v>
      </c>
      <c r="O198" s="125"/>
      <c r="P198" s="125">
        <f t="shared" si="2"/>
        <v>16525</v>
      </c>
      <c r="Q198" s="126">
        <f t="shared" si="3"/>
        <v>0.68800000000000017</v>
      </c>
      <c r="R198" s="126">
        <f t="shared" si="74"/>
        <v>0</v>
      </c>
      <c r="S198" s="126">
        <f t="shared" si="35"/>
        <v>0.1</v>
      </c>
      <c r="T198" s="126">
        <f t="shared" si="61"/>
        <v>16.53</v>
      </c>
      <c r="U198" s="126">
        <v>0</v>
      </c>
      <c r="V198" s="126">
        <f t="shared" si="201"/>
        <v>0.56999999999999995</v>
      </c>
      <c r="W198" s="126">
        <f t="shared" si="98"/>
        <v>0</v>
      </c>
      <c r="X198" s="126">
        <f t="shared" si="9"/>
        <v>17.200000000000003</v>
      </c>
      <c r="Y198" s="127">
        <f>ROUND(P198-SUM(R198:W198),2)</f>
        <v>16507.8</v>
      </c>
      <c r="Z198" s="128">
        <v>16508</v>
      </c>
      <c r="AA198" s="129">
        <f t="shared" si="47"/>
        <v>0.2000000000007276</v>
      </c>
      <c r="AB198" s="120">
        <v>44383</v>
      </c>
      <c r="AC198" s="130">
        <f t="shared" si="12"/>
        <v>1.041E-3</v>
      </c>
      <c r="AD198" s="131">
        <f t="shared" si="13"/>
        <v>44383</v>
      </c>
      <c r="AE198" s="132" t="s">
        <v>403</v>
      </c>
      <c r="AF198" s="119"/>
    </row>
    <row r="199" spans="1:32" ht="12" customHeight="1">
      <c r="A199" s="148">
        <v>44379</v>
      </c>
      <c r="B199" s="149" t="s">
        <v>507</v>
      </c>
      <c r="C199" s="149"/>
      <c r="D199" s="149"/>
      <c r="E199" s="149"/>
      <c r="F199" s="149"/>
      <c r="G199" s="149"/>
      <c r="H199" s="135" t="s">
        <v>453</v>
      </c>
      <c r="I199" s="134" t="s">
        <v>469</v>
      </c>
      <c r="J199" s="135" t="s">
        <v>471</v>
      </c>
      <c r="K199" s="136">
        <v>1000</v>
      </c>
      <c r="L199" s="137">
        <v>8.8000000000000007</v>
      </c>
      <c r="M199" s="138">
        <f t="shared" si="38"/>
        <v>0</v>
      </c>
      <c r="N199" s="138">
        <f t="shared" ref="N199:N201" si="202">L199+M199</f>
        <v>8.8000000000000007</v>
      </c>
      <c r="O199" s="138"/>
      <c r="P199" s="138">
        <f t="shared" si="2"/>
        <v>8800</v>
      </c>
      <c r="Q199" s="139">
        <f t="shared" si="3"/>
        <v>1.04E-2</v>
      </c>
      <c r="R199" s="139">
        <f t="shared" si="74"/>
        <v>0</v>
      </c>
      <c r="S199" s="139">
        <f t="shared" si="35"/>
        <v>0.04</v>
      </c>
      <c r="T199" s="139">
        <f t="shared" si="61"/>
        <v>8.8000000000000007</v>
      </c>
      <c r="U199" s="139">
        <f t="shared" ref="U199:U201" si="203">ROUND(P199*K$1812,2)</f>
        <v>1.32</v>
      </c>
      <c r="V199" s="139">
        <f>ROUND(P199*L$1809,2)</f>
        <v>0.24</v>
      </c>
      <c r="W199" s="139">
        <f t="shared" si="98"/>
        <v>0</v>
      </c>
      <c r="X199" s="140">
        <f t="shared" si="9"/>
        <v>10.4</v>
      </c>
      <c r="Y199" s="141">
        <f t="shared" ref="Y199:Y201" si="204">-ROUND(P199+SUM(R199:W199),2)</f>
        <v>-8810.4</v>
      </c>
      <c r="Z199" s="142">
        <v>-8810</v>
      </c>
      <c r="AA199" s="143">
        <f t="shared" si="47"/>
        <v>0.3999999999996362</v>
      </c>
      <c r="AB199" s="133">
        <v>44383</v>
      </c>
      <c r="AC199" s="144">
        <f t="shared" si="12"/>
        <v>1.1820000000000001E-3</v>
      </c>
      <c r="AD199" s="145">
        <f t="shared" si="13"/>
        <v>44383</v>
      </c>
      <c r="AE199" s="146" t="s">
        <v>403</v>
      </c>
      <c r="AF199" s="119"/>
    </row>
    <row r="200" spans="1:32" ht="12" customHeight="1">
      <c r="A200" s="148">
        <v>44379</v>
      </c>
      <c r="B200" s="149" t="s">
        <v>484</v>
      </c>
      <c r="C200" s="149"/>
      <c r="D200" s="149"/>
      <c r="E200" s="149"/>
      <c r="F200" s="149"/>
      <c r="G200" s="149"/>
      <c r="H200" s="135" t="s">
        <v>453</v>
      </c>
      <c r="I200" s="134" t="s">
        <v>469</v>
      </c>
      <c r="J200" s="135" t="s">
        <v>471</v>
      </c>
      <c r="K200" s="136">
        <v>2</v>
      </c>
      <c r="L200" s="137">
        <v>5980</v>
      </c>
      <c r="M200" s="138">
        <f t="shared" si="38"/>
        <v>0</v>
      </c>
      <c r="N200" s="138">
        <f t="shared" si="202"/>
        <v>5980</v>
      </c>
      <c r="O200" s="138"/>
      <c r="P200" s="138">
        <f t="shared" si="2"/>
        <v>11960</v>
      </c>
      <c r="Q200" s="139">
        <f t="shared" si="3"/>
        <v>7.1150000000000002</v>
      </c>
      <c r="R200" s="139">
        <f t="shared" si="74"/>
        <v>0</v>
      </c>
      <c r="S200" s="139">
        <f t="shared" si="35"/>
        <v>7.0000000000000007E-2</v>
      </c>
      <c r="T200" s="139">
        <f t="shared" si="61"/>
        <v>11.96</v>
      </c>
      <c r="U200" s="139">
        <f t="shared" si="203"/>
        <v>1.79</v>
      </c>
      <c r="V200" s="139">
        <f t="shared" ref="V200:V202" si="205">ROUND(P200*M$1809,2)</f>
        <v>0.41</v>
      </c>
      <c r="W200" s="139">
        <f t="shared" si="98"/>
        <v>0</v>
      </c>
      <c r="X200" s="140">
        <f t="shared" si="9"/>
        <v>14.23</v>
      </c>
      <c r="Y200" s="141">
        <f t="shared" si="204"/>
        <v>-11974.23</v>
      </c>
      <c r="Z200" s="142">
        <v>-11974</v>
      </c>
      <c r="AA200" s="143">
        <f t="shared" si="47"/>
        <v>0.22999999999956344</v>
      </c>
      <c r="AB200" s="133">
        <v>44383</v>
      </c>
      <c r="AC200" s="144">
        <f t="shared" si="12"/>
        <v>1.1900000000000001E-3</v>
      </c>
      <c r="AD200" s="145">
        <f t="shared" si="13"/>
        <v>44383</v>
      </c>
      <c r="AE200" s="146" t="s">
        <v>403</v>
      </c>
      <c r="AF200" s="119"/>
    </row>
    <row r="201" spans="1:32" ht="12" customHeight="1">
      <c r="A201" s="148">
        <v>44379</v>
      </c>
      <c r="B201" s="149" t="s">
        <v>543</v>
      </c>
      <c r="C201" s="149"/>
      <c r="D201" s="149"/>
      <c r="E201" s="149"/>
      <c r="F201" s="149"/>
      <c r="G201" s="149"/>
      <c r="H201" s="135" t="s">
        <v>453</v>
      </c>
      <c r="I201" s="134" t="s">
        <v>469</v>
      </c>
      <c r="J201" s="135" t="s">
        <v>471</v>
      </c>
      <c r="K201" s="136">
        <v>100</v>
      </c>
      <c r="L201" s="137">
        <v>91.5</v>
      </c>
      <c r="M201" s="138">
        <f t="shared" si="38"/>
        <v>0</v>
      </c>
      <c r="N201" s="138">
        <f t="shared" si="202"/>
        <v>91.5</v>
      </c>
      <c r="O201" s="138"/>
      <c r="P201" s="138">
        <f t="shared" si="2"/>
        <v>9150</v>
      </c>
      <c r="Q201" s="139">
        <f t="shared" si="3"/>
        <v>0.10900000000000003</v>
      </c>
      <c r="R201" s="139">
        <f t="shared" si="74"/>
        <v>0</v>
      </c>
      <c r="S201" s="139">
        <f t="shared" si="35"/>
        <v>0.06</v>
      </c>
      <c r="T201" s="139">
        <f t="shared" si="61"/>
        <v>9.15</v>
      </c>
      <c r="U201" s="139">
        <f t="shared" si="203"/>
        <v>1.37</v>
      </c>
      <c r="V201" s="139">
        <f t="shared" si="205"/>
        <v>0.32</v>
      </c>
      <c r="W201" s="139">
        <f t="shared" si="98"/>
        <v>0</v>
      </c>
      <c r="X201" s="140">
        <f t="shared" si="9"/>
        <v>10.900000000000002</v>
      </c>
      <c r="Y201" s="141">
        <f t="shared" si="204"/>
        <v>-9160.9</v>
      </c>
      <c r="Z201" s="142">
        <v>-9161</v>
      </c>
      <c r="AA201" s="143">
        <f t="shared" si="47"/>
        <v>-0.1000000000003638</v>
      </c>
      <c r="AB201" s="133">
        <v>44383</v>
      </c>
      <c r="AC201" s="144">
        <f t="shared" si="12"/>
        <v>1.191E-3</v>
      </c>
      <c r="AD201" s="145">
        <f t="shared" si="13"/>
        <v>44383</v>
      </c>
      <c r="AE201" s="146" t="s">
        <v>403</v>
      </c>
      <c r="AF201" s="119"/>
    </row>
    <row r="202" spans="1:32" ht="12" customHeight="1">
      <c r="A202" s="150">
        <v>44382</v>
      </c>
      <c r="B202" s="151" t="s">
        <v>467</v>
      </c>
      <c r="C202" s="151"/>
      <c r="D202" s="151"/>
      <c r="E202" s="151"/>
      <c r="F202" s="151"/>
      <c r="G202" s="151"/>
      <c r="H202" s="122" t="s">
        <v>446</v>
      </c>
      <c r="I202" s="121" t="s">
        <v>469</v>
      </c>
      <c r="J202" s="122" t="s">
        <v>471</v>
      </c>
      <c r="K202" s="123">
        <v>50</v>
      </c>
      <c r="L202" s="124">
        <v>389</v>
      </c>
      <c r="M202" s="125">
        <f t="shared" si="38"/>
        <v>0</v>
      </c>
      <c r="N202" s="125">
        <f t="shared" ref="N202:N203" si="206">L202-M202</f>
        <v>389</v>
      </c>
      <c r="O202" s="125"/>
      <c r="P202" s="125">
        <f t="shared" si="2"/>
        <v>19450</v>
      </c>
      <c r="Q202" s="126">
        <f t="shared" si="3"/>
        <v>0.40480000000000005</v>
      </c>
      <c r="R202" s="126">
        <f t="shared" si="74"/>
        <v>0</v>
      </c>
      <c r="S202" s="126">
        <f t="shared" si="35"/>
        <v>0.12</v>
      </c>
      <c r="T202" s="126">
        <f t="shared" si="61"/>
        <v>19.45</v>
      </c>
      <c r="U202" s="126">
        <v>0</v>
      </c>
      <c r="V202" s="126">
        <f t="shared" si="205"/>
        <v>0.67</v>
      </c>
      <c r="W202" s="126">
        <f t="shared" si="98"/>
        <v>0</v>
      </c>
      <c r="X202" s="126">
        <f t="shared" si="9"/>
        <v>20.240000000000002</v>
      </c>
      <c r="Y202" s="127">
        <f t="shared" ref="Y202:Y203" si="207">ROUND(P202-SUM(R202:W202),2)</f>
        <v>19429.759999999998</v>
      </c>
      <c r="Z202" s="128">
        <v>19430</v>
      </c>
      <c r="AA202" s="129">
        <f t="shared" si="47"/>
        <v>0.24000000000160071</v>
      </c>
      <c r="AB202" s="120">
        <v>44384</v>
      </c>
      <c r="AC202" s="130">
        <f t="shared" si="12"/>
        <v>1.041E-3</v>
      </c>
      <c r="AD202" s="131">
        <f t="shared" si="13"/>
        <v>44384</v>
      </c>
      <c r="AE202" s="132" t="s">
        <v>403</v>
      </c>
      <c r="AF202" s="119"/>
    </row>
    <row r="203" spans="1:32" ht="12" customHeight="1">
      <c r="A203" s="150">
        <v>44382</v>
      </c>
      <c r="B203" s="151" t="s">
        <v>496</v>
      </c>
      <c r="C203" s="151"/>
      <c r="D203" s="151"/>
      <c r="E203" s="151"/>
      <c r="F203" s="151"/>
      <c r="G203" s="151"/>
      <c r="H203" s="122" t="s">
        <v>446</v>
      </c>
      <c r="I203" s="121" t="s">
        <v>469</v>
      </c>
      <c r="J203" s="122" t="s">
        <v>471</v>
      </c>
      <c r="K203" s="123">
        <v>50</v>
      </c>
      <c r="L203" s="124">
        <v>162.25</v>
      </c>
      <c r="M203" s="125">
        <f t="shared" si="38"/>
        <v>0</v>
      </c>
      <c r="N203" s="125">
        <f t="shared" si="206"/>
        <v>162.25</v>
      </c>
      <c r="O203" s="125"/>
      <c r="P203" s="125">
        <f t="shared" si="2"/>
        <v>8112.5</v>
      </c>
      <c r="Q203" s="126">
        <f t="shared" si="3"/>
        <v>0.16739999999999999</v>
      </c>
      <c r="R203" s="126">
        <f t="shared" si="74"/>
        <v>0</v>
      </c>
      <c r="S203" s="126">
        <f t="shared" si="35"/>
        <v>0.04</v>
      </c>
      <c r="T203" s="126">
        <f t="shared" si="61"/>
        <v>8.11</v>
      </c>
      <c r="U203" s="126">
        <v>0</v>
      </c>
      <c r="V203" s="126">
        <f t="shared" ref="V203:V208" si="208">ROUND(P203*L$1809,2)</f>
        <v>0.22</v>
      </c>
      <c r="W203" s="126">
        <f t="shared" si="98"/>
        <v>0</v>
      </c>
      <c r="X203" s="126">
        <f t="shared" si="9"/>
        <v>8.3699999999999992</v>
      </c>
      <c r="Y203" s="127">
        <f t="shared" si="207"/>
        <v>8104.13</v>
      </c>
      <c r="Z203" s="128">
        <v>8104</v>
      </c>
      <c r="AA203" s="129">
        <f t="shared" si="47"/>
        <v>-0.13000000000010914</v>
      </c>
      <c r="AB203" s="120">
        <v>44384</v>
      </c>
      <c r="AC203" s="130">
        <f t="shared" si="12"/>
        <v>1.0319999999999999E-3</v>
      </c>
      <c r="AD203" s="131">
        <f t="shared" si="13"/>
        <v>44384</v>
      </c>
      <c r="AE203" s="132" t="s">
        <v>403</v>
      </c>
      <c r="AF203" s="119"/>
    </row>
    <row r="204" spans="1:32" ht="12" customHeight="1">
      <c r="A204" s="148">
        <v>44382</v>
      </c>
      <c r="B204" s="149" t="s">
        <v>527</v>
      </c>
      <c r="C204" s="149"/>
      <c r="D204" s="149"/>
      <c r="E204" s="149"/>
      <c r="F204" s="149"/>
      <c r="G204" s="149"/>
      <c r="H204" s="135" t="s">
        <v>453</v>
      </c>
      <c r="I204" s="134" t="s">
        <v>469</v>
      </c>
      <c r="J204" s="135" t="s">
        <v>471</v>
      </c>
      <c r="K204" s="136">
        <v>50</v>
      </c>
      <c r="L204" s="137">
        <v>175.5</v>
      </c>
      <c r="M204" s="138">
        <f t="shared" si="38"/>
        <v>0</v>
      </c>
      <c r="N204" s="138">
        <f>L204+M204</f>
        <v>175.5</v>
      </c>
      <c r="O204" s="138"/>
      <c r="P204" s="138">
        <f t="shared" si="2"/>
        <v>8775</v>
      </c>
      <c r="Q204" s="139">
        <f t="shared" si="3"/>
        <v>0.20759999999999998</v>
      </c>
      <c r="R204" s="139">
        <f t="shared" si="74"/>
        <v>0</v>
      </c>
      <c r="S204" s="139">
        <f t="shared" si="35"/>
        <v>0.04</v>
      </c>
      <c r="T204" s="139">
        <f t="shared" si="61"/>
        <v>8.7799999999999994</v>
      </c>
      <c r="U204" s="139">
        <f>ROUND(P204*K$1812,2)</f>
        <v>1.32</v>
      </c>
      <c r="V204" s="139">
        <f t="shared" si="208"/>
        <v>0.24</v>
      </c>
      <c r="W204" s="139">
        <f t="shared" si="98"/>
        <v>0</v>
      </c>
      <c r="X204" s="140">
        <f t="shared" si="9"/>
        <v>10.379999999999999</v>
      </c>
      <c r="Y204" s="141">
        <f>-ROUND(P204+SUM(R204:W204),2)</f>
        <v>-8785.3799999999992</v>
      </c>
      <c r="Z204" s="142">
        <v>-8785</v>
      </c>
      <c r="AA204" s="143">
        <f t="shared" si="47"/>
        <v>0.37999999999919964</v>
      </c>
      <c r="AB204" s="133">
        <v>44384</v>
      </c>
      <c r="AC204" s="144">
        <f t="shared" si="12"/>
        <v>1.183E-3</v>
      </c>
      <c r="AD204" s="145">
        <f t="shared" si="13"/>
        <v>44384</v>
      </c>
      <c r="AE204" s="146" t="s">
        <v>403</v>
      </c>
      <c r="AF204" s="119"/>
    </row>
    <row r="205" spans="1:32" ht="12" customHeight="1">
      <c r="A205" s="150">
        <v>44383</v>
      </c>
      <c r="B205" s="151" t="s">
        <v>484</v>
      </c>
      <c r="C205" s="151"/>
      <c r="D205" s="151"/>
      <c r="E205" s="151"/>
      <c r="F205" s="151"/>
      <c r="G205" s="151"/>
      <c r="H205" s="122" t="s">
        <v>446</v>
      </c>
      <c r="I205" s="121" t="s">
        <v>469</v>
      </c>
      <c r="J205" s="122" t="s">
        <v>471</v>
      </c>
      <c r="K205" s="123">
        <v>2</v>
      </c>
      <c r="L205" s="124">
        <v>6115</v>
      </c>
      <c r="M205" s="125">
        <f t="shared" si="38"/>
        <v>0</v>
      </c>
      <c r="N205" s="125">
        <f>L205-M205</f>
        <v>6115</v>
      </c>
      <c r="O205" s="125"/>
      <c r="P205" s="125">
        <f t="shared" si="2"/>
        <v>12230</v>
      </c>
      <c r="Q205" s="126">
        <f t="shared" si="3"/>
        <v>6.3150000000000004</v>
      </c>
      <c r="R205" s="126">
        <f t="shared" si="74"/>
        <v>0</v>
      </c>
      <c r="S205" s="126">
        <f t="shared" si="35"/>
        <v>0.06</v>
      </c>
      <c r="T205" s="126">
        <f t="shared" si="61"/>
        <v>12.23</v>
      </c>
      <c r="U205" s="126">
        <v>0</v>
      </c>
      <c r="V205" s="126">
        <f t="shared" si="208"/>
        <v>0.34</v>
      </c>
      <c r="W205" s="126">
        <f t="shared" si="98"/>
        <v>0</v>
      </c>
      <c r="X205" s="126">
        <f t="shared" si="9"/>
        <v>12.63</v>
      </c>
      <c r="Y205" s="127">
        <f>ROUND(P205-SUM(R205:W205),2)</f>
        <v>12217.37</v>
      </c>
      <c r="Z205" s="128">
        <v>12217</v>
      </c>
      <c r="AA205" s="129">
        <f t="shared" si="47"/>
        <v>-0.37000000000080036</v>
      </c>
      <c r="AB205" s="120">
        <v>44385</v>
      </c>
      <c r="AC205" s="130">
        <f t="shared" si="12"/>
        <v>1.0330000000000001E-3</v>
      </c>
      <c r="AD205" s="131">
        <f t="shared" si="13"/>
        <v>44385</v>
      </c>
      <c r="AE205" s="132" t="s">
        <v>403</v>
      </c>
      <c r="AF205" s="119"/>
    </row>
    <row r="206" spans="1:32" ht="12" customHeight="1">
      <c r="A206" s="148">
        <v>44383</v>
      </c>
      <c r="B206" s="149" t="s">
        <v>544</v>
      </c>
      <c r="C206" s="149"/>
      <c r="D206" s="149"/>
      <c r="E206" s="149"/>
      <c r="F206" s="149"/>
      <c r="G206" s="149"/>
      <c r="H206" s="135" t="s">
        <v>453</v>
      </c>
      <c r="I206" s="134" t="s">
        <v>469</v>
      </c>
      <c r="J206" s="135" t="s">
        <v>471</v>
      </c>
      <c r="K206" s="136">
        <v>100</v>
      </c>
      <c r="L206" s="137">
        <v>73.7</v>
      </c>
      <c r="M206" s="138">
        <f t="shared" si="38"/>
        <v>0</v>
      </c>
      <c r="N206" s="138">
        <f t="shared" ref="N206:N210" si="209">L206+M206</f>
        <v>73.7</v>
      </c>
      <c r="O206" s="138"/>
      <c r="P206" s="138">
        <f t="shared" si="2"/>
        <v>7370</v>
      </c>
      <c r="Q206" s="139">
        <f t="shared" si="3"/>
        <v>8.7199999999999986E-2</v>
      </c>
      <c r="R206" s="139">
        <f t="shared" si="74"/>
        <v>0</v>
      </c>
      <c r="S206" s="139">
        <f t="shared" si="35"/>
        <v>0.04</v>
      </c>
      <c r="T206" s="139">
        <f t="shared" si="61"/>
        <v>7.37</v>
      </c>
      <c r="U206" s="139">
        <f t="shared" ref="U206:U210" si="210">ROUND(P206*K$1812,2)</f>
        <v>1.1100000000000001</v>
      </c>
      <c r="V206" s="139">
        <f t="shared" si="208"/>
        <v>0.2</v>
      </c>
      <c r="W206" s="139">
        <f t="shared" si="98"/>
        <v>0</v>
      </c>
      <c r="X206" s="140">
        <f t="shared" si="9"/>
        <v>8.7199999999999989</v>
      </c>
      <c r="Y206" s="141">
        <f t="shared" ref="Y206:Y210" si="211">-ROUND(P206+SUM(R206:W206),2)</f>
        <v>-7378.72</v>
      </c>
      <c r="Z206" s="141">
        <v>-7379</v>
      </c>
      <c r="AA206" s="143">
        <f t="shared" si="47"/>
        <v>-0.27999999999974534</v>
      </c>
      <c r="AB206" s="133">
        <v>44385</v>
      </c>
      <c r="AC206" s="144">
        <f t="shared" si="12"/>
        <v>1.183E-3</v>
      </c>
      <c r="AD206" s="145">
        <f t="shared" si="13"/>
        <v>44385</v>
      </c>
      <c r="AE206" s="146" t="s">
        <v>403</v>
      </c>
      <c r="AF206" s="119"/>
    </row>
    <row r="207" spans="1:32" ht="12" customHeight="1">
      <c r="A207" s="148">
        <v>44383</v>
      </c>
      <c r="B207" s="149" t="s">
        <v>545</v>
      </c>
      <c r="C207" s="149"/>
      <c r="D207" s="149"/>
      <c r="E207" s="149"/>
      <c r="F207" s="149"/>
      <c r="G207" s="149"/>
      <c r="H207" s="135" t="s">
        <v>453</v>
      </c>
      <c r="I207" s="134" t="s">
        <v>469</v>
      </c>
      <c r="J207" s="135" t="s">
        <v>471</v>
      </c>
      <c r="K207" s="136">
        <v>100</v>
      </c>
      <c r="L207" s="137">
        <v>55.1</v>
      </c>
      <c r="M207" s="138">
        <f t="shared" si="38"/>
        <v>0</v>
      </c>
      <c r="N207" s="138">
        <f t="shared" si="209"/>
        <v>55.1</v>
      </c>
      <c r="O207" s="138"/>
      <c r="P207" s="138">
        <f t="shared" si="2"/>
        <v>5510</v>
      </c>
      <c r="Q207" s="139">
        <f t="shared" si="3"/>
        <v>6.5200000000000008E-2</v>
      </c>
      <c r="R207" s="139">
        <f t="shared" si="74"/>
        <v>0</v>
      </c>
      <c r="S207" s="139">
        <f t="shared" si="35"/>
        <v>0.03</v>
      </c>
      <c r="T207" s="139">
        <f t="shared" si="61"/>
        <v>5.51</v>
      </c>
      <c r="U207" s="139">
        <f t="shared" si="210"/>
        <v>0.83</v>
      </c>
      <c r="V207" s="139">
        <f t="shared" si="208"/>
        <v>0.15</v>
      </c>
      <c r="W207" s="139">
        <f t="shared" si="98"/>
        <v>0</v>
      </c>
      <c r="X207" s="140">
        <f t="shared" si="9"/>
        <v>6.5200000000000005</v>
      </c>
      <c r="Y207" s="141">
        <f t="shared" si="211"/>
        <v>-5516.52</v>
      </c>
      <c r="Z207" s="141">
        <v>-5517</v>
      </c>
      <c r="AA207" s="143">
        <f t="shared" si="47"/>
        <v>-0.47999999999956344</v>
      </c>
      <c r="AB207" s="133">
        <v>44385</v>
      </c>
      <c r="AC207" s="144">
        <f t="shared" si="12"/>
        <v>1.183E-3</v>
      </c>
      <c r="AD207" s="145">
        <f t="shared" si="13"/>
        <v>44385</v>
      </c>
      <c r="AE207" s="146" t="s">
        <v>403</v>
      </c>
      <c r="AF207" s="119"/>
    </row>
    <row r="208" spans="1:32" ht="12" customHeight="1">
      <c r="A208" s="148">
        <v>44383</v>
      </c>
      <c r="B208" s="149" t="s">
        <v>546</v>
      </c>
      <c r="C208" s="149"/>
      <c r="D208" s="149"/>
      <c r="E208" s="149"/>
      <c r="F208" s="149"/>
      <c r="G208" s="149"/>
      <c r="H208" s="135" t="s">
        <v>453</v>
      </c>
      <c r="I208" s="134" t="s">
        <v>469</v>
      </c>
      <c r="J208" s="135" t="s">
        <v>471</v>
      </c>
      <c r="K208" s="136">
        <v>10</v>
      </c>
      <c r="L208" s="137">
        <v>458.18</v>
      </c>
      <c r="M208" s="138">
        <f t="shared" si="38"/>
        <v>0</v>
      </c>
      <c r="N208" s="138">
        <f t="shared" si="209"/>
        <v>458.18</v>
      </c>
      <c r="O208" s="138"/>
      <c r="P208" s="138">
        <f t="shared" si="2"/>
        <v>4581.8</v>
      </c>
      <c r="Q208" s="139">
        <f t="shared" si="3"/>
        <v>0.54199999999999993</v>
      </c>
      <c r="R208" s="139">
        <f t="shared" si="74"/>
        <v>0</v>
      </c>
      <c r="S208" s="139">
        <f t="shared" si="35"/>
        <v>0.02</v>
      </c>
      <c r="T208" s="139">
        <f t="shared" si="61"/>
        <v>4.58</v>
      </c>
      <c r="U208" s="139">
        <f t="shared" si="210"/>
        <v>0.69</v>
      </c>
      <c r="V208" s="139">
        <f t="shared" si="208"/>
        <v>0.13</v>
      </c>
      <c r="W208" s="139">
        <f t="shared" si="98"/>
        <v>0</v>
      </c>
      <c r="X208" s="140">
        <f t="shared" si="9"/>
        <v>5.419999999999999</v>
      </c>
      <c r="Y208" s="141">
        <f t="shared" si="211"/>
        <v>-4587.22</v>
      </c>
      <c r="Z208" s="141">
        <v>-4587</v>
      </c>
      <c r="AA208" s="143">
        <f t="shared" si="47"/>
        <v>0.22000000000025466</v>
      </c>
      <c r="AB208" s="133">
        <v>44385</v>
      </c>
      <c r="AC208" s="144">
        <f t="shared" si="12"/>
        <v>1.183E-3</v>
      </c>
      <c r="AD208" s="145">
        <f t="shared" si="13"/>
        <v>44385</v>
      </c>
      <c r="AE208" s="146" t="s">
        <v>403</v>
      </c>
      <c r="AF208" s="119"/>
    </row>
    <row r="209" spans="1:32" ht="12" customHeight="1">
      <c r="A209" s="148">
        <v>44383</v>
      </c>
      <c r="B209" s="149" t="s">
        <v>547</v>
      </c>
      <c r="C209" s="149"/>
      <c r="D209" s="149"/>
      <c r="E209" s="149"/>
      <c r="F209" s="149"/>
      <c r="G209" s="149"/>
      <c r="H209" s="135" t="s">
        <v>453</v>
      </c>
      <c r="I209" s="134" t="s">
        <v>469</v>
      </c>
      <c r="J209" s="135" t="s">
        <v>471</v>
      </c>
      <c r="K209" s="136">
        <v>300</v>
      </c>
      <c r="L209" s="137">
        <v>46.916649999999997</v>
      </c>
      <c r="M209" s="138">
        <f t="shared" si="38"/>
        <v>0</v>
      </c>
      <c r="N209" s="138">
        <f t="shared" si="209"/>
        <v>46.916649999999997</v>
      </c>
      <c r="O209" s="138"/>
      <c r="P209" s="138">
        <f t="shared" si="2"/>
        <v>14075</v>
      </c>
      <c r="Q209" s="139">
        <f t="shared" si="3"/>
        <v>5.5899999999999998E-2</v>
      </c>
      <c r="R209" s="139">
        <f t="shared" si="74"/>
        <v>0</v>
      </c>
      <c r="S209" s="139">
        <f t="shared" si="35"/>
        <v>0.09</v>
      </c>
      <c r="T209" s="139">
        <f t="shared" si="61"/>
        <v>14.08</v>
      </c>
      <c r="U209" s="139">
        <f t="shared" si="210"/>
        <v>2.11</v>
      </c>
      <c r="V209" s="139">
        <f t="shared" ref="V209:V211" si="212">ROUND(P209*M$1809,2)</f>
        <v>0.49</v>
      </c>
      <c r="W209" s="139">
        <f t="shared" si="98"/>
        <v>0</v>
      </c>
      <c r="X209" s="140">
        <f t="shared" si="9"/>
        <v>16.77</v>
      </c>
      <c r="Y209" s="141">
        <f t="shared" si="211"/>
        <v>-14091.77</v>
      </c>
      <c r="Z209" s="141">
        <v>-14092</v>
      </c>
      <c r="AA209" s="143">
        <f t="shared" si="47"/>
        <v>-0.22999999999956344</v>
      </c>
      <c r="AB209" s="133">
        <v>44385</v>
      </c>
      <c r="AC209" s="144">
        <f t="shared" si="12"/>
        <v>1.191E-3</v>
      </c>
      <c r="AD209" s="145">
        <f t="shared" si="13"/>
        <v>44385</v>
      </c>
      <c r="AE209" s="146" t="s">
        <v>403</v>
      </c>
      <c r="AF209" s="119"/>
    </row>
    <row r="210" spans="1:32" ht="12" customHeight="1">
      <c r="A210" s="148">
        <v>44385</v>
      </c>
      <c r="B210" s="149" t="s">
        <v>489</v>
      </c>
      <c r="C210" s="149"/>
      <c r="D210" s="149"/>
      <c r="E210" s="149"/>
      <c r="F210" s="149"/>
      <c r="G210" s="149"/>
      <c r="H210" s="135" t="s">
        <v>453</v>
      </c>
      <c r="I210" s="134" t="s">
        <v>469</v>
      </c>
      <c r="J210" s="135" t="s">
        <v>471</v>
      </c>
      <c r="K210" s="136">
        <v>20</v>
      </c>
      <c r="L210" s="137">
        <v>101.5</v>
      </c>
      <c r="M210" s="138">
        <f t="shared" si="38"/>
        <v>0</v>
      </c>
      <c r="N210" s="138">
        <f t="shared" si="209"/>
        <v>101.5</v>
      </c>
      <c r="O210" s="138"/>
      <c r="P210" s="138">
        <f t="shared" si="2"/>
        <v>2030</v>
      </c>
      <c r="Q210" s="139">
        <f t="shared" si="3"/>
        <v>0.12049999999999997</v>
      </c>
      <c r="R210" s="139">
        <f t="shared" si="74"/>
        <v>0</v>
      </c>
      <c r="S210" s="139">
        <f t="shared" si="35"/>
        <v>0.01</v>
      </c>
      <c r="T210" s="139">
        <f t="shared" si="61"/>
        <v>2.0299999999999998</v>
      </c>
      <c r="U210" s="139">
        <f t="shared" si="210"/>
        <v>0.3</v>
      </c>
      <c r="V210" s="139">
        <f t="shared" si="212"/>
        <v>7.0000000000000007E-2</v>
      </c>
      <c r="W210" s="139">
        <f t="shared" si="98"/>
        <v>0</v>
      </c>
      <c r="X210" s="140">
        <f t="shared" si="9"/>
        <v>2.4099999999999993</v>
      </c>
      <c r="Y210" s="141">
        <f t="shared" si="211"/>
        <v>-2032.41</v>
      </c>
      <c r="Z210" s="142">
        <v>-2032</v>
      </c>
      <c r="AA210" s="143">
        <f t="shared" si="47"/>
        <v>0.41000000000008185</v>
      </c>
      <c r="AB210" s="133">
        <v>44389</v>
      </c>
      <c r="AC210" s="144">
        <f t="shared" si="12"/>
        <v>1.1869999999999999E-3</v>
      </c>
      <c r="AD210" s="145">
        <f t="shared" si="13"/>
        <v>44389</v>
      </c>
      <c r="AE210" s="146" t="s">
        <v>403</v>
      </c>
      <c r="AF210" s="119"/>
    </row>
    <row r="211" spans="1:32" ht="12" customHeight="1">
      <c r="A211" s="150">
        <v>44386</v>
      </c>
      <c r="B211" s="151" t="s">
        <v>528</v>
      </c>
      <c r="C211" s="151"/>
      <c r="D211" s="151"/>
      <c r="E211" s="151"/>
      <c r="F211" s="151"/>
      <c r="G211" s="151"/>
      <c r="H211" s="122" t="s">
        <v>446</v>
      </c>
      <c r="I211" s="121" t="s">
        <v>469</v>
      </c>
      <c r="J211" s="122" t="s">
        <v>471</v>
      </c>
      <c r="K211" s="123">
        <v>1000</v>
      </c>
      <c r="L211" s="124">
        <v>13.1</v>
      </c>
      <c r="M211" s="125">
        <f t="shared" si="38"/>
        <v>0</v>
      </c>
      <c r="N211" s="125">
        <f t="shared" ref="N211:N212" si="213">L211-M211</f>
        <v>13.1</v>
      </c>
      <c r="O211" s="125"/>
      <c r="P211" s="125">
        <f t="shared" si="2"/>
        <v>13100</v>
      </c>
      <c r="Q211" s="126">
        <f t="shared" si="3"/>
        <v>1.363E-2</v>
      </c>
      <c r="R211" s="126">
        <f t="shared" si="74"/>
        <v>0</v>
      </c>
      <c r="S211" s="126">
        <f t="shared" si="35"/>
        <v>0.08</v>
      </c>
      <c r="T211" s="126">
        <f t="shared" si="61"/>
        <v>13.1</v>
      </c>
      <c r="U211" s="126">
        <v>0</v>
      </c>
      <c r="V211" s="126">
        <f t="shared" si="212"/>
        <v>0.45</v>
      </c>
      <c r="W211" s="126">
        <f t="shared" si="98"/>
        <v>0</v>
      </c>
      <c r="X211" s="126">
        <f t="shared" si="9"/>
        <v>13.629999999999999</v>
      </c>
      <c r="Y211" s="127">
        <f t="shared" ref="Y211:Y212" si="214">ROUND(P211-SUM(R211:W211),2)</f>
        <v>13086.37</v>
      </c>
      <c r="Z211" s="128">
        <v>13086</v>
      </c>
      <c r="AA211" s="129">
        <f t="shared" si="47"/>
        <v>-0.37000000000080036</v>
      </c>
      <c r="AB211" s="120">
        <v>44390</v>
      </c>
      <c r="AC211" s="130">
        <f t="shared" si="12"/>
        <v>1.0399999999999999E-3</v>
      </c>
      <c r="AD211" s="131">
        <f t="shared" si="13"/>
        <v>44390</v>
      </c>
      <c r="AE211" s="132" t="s">
        <v>403</v>
      </c>
      <c r="AF211" s="119"/>
    </row>
    <row r="212" spans="1:32" ht="12" customHeight="1">
      <c r="A212" s="150">
        <v>44386</v>
      </c>
      <c r="B212" s="151" t="s">
        <v>536</v>
      </c>
      <c r="C212" s="151"/>
      <c r="D212" s="151"/>
      <c r="E212" s="151"/>
      <c r="F212" s="151"/>
      <c r="G212" s="151"/>
      <c r="H212" s="122" t="s">
        <v>446</v>
      </c>
      <c r="I212" s="121" t="s">
        <v>469</v>
      </c>
      <c r="J212" s="122" t="s">
        <v>471</v>
      </c>
      <c r="K212" s="123">
        <v>50</v>
      </c>
      <c r="L212" s="124">
        <v>417</v>
      </c>
      <c r="M212" s="125">
        <f t="shared" si="38"/>
        <v>0</v>
      </c>
      <c r="N212" s="125">
        <f t="shared" si="213"/>
        <v>417</v>
      </c>
      <c r="O212" s="125"/>
      <c r="P212" s="125">
        <f t="shared" si="2"/>
        <v>20850</v>
      </c>
      <c r="Q212" s="126">
        <f t="shared" si="3"/>
        <v>0.43040000000000006</v>
      </c>
      <c r="R212" s="126">
        <f t="shared" si="74"/>
        <v>0</v>
      </c>
      <c r="S212" s="126">
        <f t="shared" si="35"/>
        <v>0.1</v>
      </c>
      <c r="T212" s="126">
        <f t="shared" si="61"/>
        <v>20.85</v>
      </c>
      <c r="U212" s="126">
        <v>0</v>
      </c>
      <c r="V212" s="126">
        <f>ROUND(P212*L$1809,2)</f>
        <v>0.56999999999999995</v>
      </c>
      <c r="W212" s="126">
        <f t="shared" si="98"/>
        <v>0</v>
      </c>
      <c r="X212" s="126">
        <f t="shared" si="9"/>
        <v>21.520000000000003</v>
      </c>
      <c r="Y212" s="127">
        <f t="shared" si="214"/>
        <v>20828.48</v>
      </c>
      <c r="Z212" s="128">
        <v>20828</v>
      </c>
      <c r="AA212" s="129">
        <f t="shared" si="47"/>
        <v>-0.47999999999956344</v>
      </c>
      <c r="AB212" s="120">
        <v>44390</v>
      </c>
      <c r="AC212" s="130">
        <f t="shared" si="12"/>
        <v>1.0319999999999999E-3</v>
      </c>
      <c r="AD212" s="131">
        <f t="shared" si="13"/>
        <v>44390</v>
      </c>
      <c r="AE212" s="132" t="s">
        <v>403</v>
      </c>
      <c r="AF212" s="119"/>
    </row>
    <row r="213" spans="1:32" ht="12" customHeight="1">
      <c r="A213" s="148">
        <v>44389</v>
      </c>
      <c r="B213" s="149" t="s">
        <v>548</v>
      </c>
      <c r="C213" s="149"/>
      <c r="D213" s="149"/>
      <c r="E213" s="149"/>
      <c r="F213" s="149"/>
      <c r="G213" s="149"/>
      <c r="H213" s="135" t="s">
        <v>453</v>
      </c>
      <c r="I213" s="134" t="s">
        <v>469</v>
      </c>
      <c r="J213" s="135" t="s">
        <v>471</v>
      </c>
      <c r="K213" s="136">
        <v>200</v>
      </c>
      <c r="L213" s="137">
        <v>24.3</v>
      </c>
      <c r="M213" s="138">
        <f t="shared" si="38"/>
        <v>0</v>
      </c>
      <c r="N213" s="138">
        <f t="shared" ref="N213:N218" si="215">L213+M213</f>
        <v>24.3</v>
      </c>
      <c r="O213" s="138"/>
      <c r="P213" s="138">
        <f t="shared" si="2"/>
        <v>4860</v>
      </c>
      <c r="Q213" s="139">
        <f t="shared" si="3"/>
        <v>2.8950000000000004E-2</v>
      </c>
      <c r="R213" s="139">
        <f t="shared" si="74"/>
        <v>0</v>
      </c>
      <c r="S213" s="139">
        <f t="shared" si="35"/>
        <v>0.03</v>
      </c>
      <c r="T213" s="139">
        <f t="shared" si="61"/>
        <v>4.8600000000000003</v>
      </c>
      <c r="U213" s="139">
        <f t="shared" ref="U213:U218" si="216">ROUND(P213*K$1812,2)</f>
        <v>0.73</v>
      </c>
      <c r="V213" s="139">
        <f>ROUND(P213*M$1809,2)</f>
        <v>0.17</v>
      </c>
      <c r="W213" s="139">
        <f t="shared" ref="W213:W827" si="217">ROUND(P213*J$1815,2)</f>
        <v>0</v>
      </c>
      <c r="X213" s="140">
        <f t="shared" si="9"/>
        <v>5.7900000000000009</v>
      </c>
      <c r="Y213" s="141">
        <f t="shared" ref="Y213:Y218" si="218">-ROUND(P213+SUM(R213:W213),2)</f>
        <v>-4865.79</v>
      </c>
      <c r="Z213" s="142">
        <v>-4866</v>
      </c>
      <c r="AA213" s="143">
        <f t="shared" si="47"/>
        <v>-0.21000000000003638</v>
      </c>
      <c r="AB213" s="133">
        <v>44391</v>
      </c>
      <c r="AC213" s="144">
        <f t="shared" si="12"/>
        <v>1.191E-3</v>
      </c>
      <c r="AD213" s="145">
        <f t="shared" si="13"/>
        <v>44391</v>
      </c>
      <c r="AE213" s="146" t="s">
        <v>403</v>
      </c>
      <c r="AF213" s="119"/>
    </row>
    <row r="214" spans="1:32" ht="12" customHeight="1">
      <c r="A214" s="148">
        <v>44389</v>
      </c>
      <c r="B214" s="149" t="s">
        <v>549</v>
      </c>
      <c r="C214" s="149"/>
      <c r="D214" s="149"/>
      <c r="E214" s="149"/>
      <c r="F214" s="149"/>
      <c r="G214" s="149"/>
      <c r="H214" s="135" t="s">
        <v>453</v>
      </c>
      <c r="I214" s="134" t="s">
        <v>469</v>
      </c>
      <c r="J214" s="135" t="s">
        <v>471</v>
      </c>
      <c r="K214" s="136">
        <v>50</v>
      </c>
      <c r="L214" s="137">
        <v>93.7</v>
      </c>
      <c r="M214" s="138">
        <f t="shared" si="38"/>
        <v>0</v>
      </c>
      <c r="N214" s="138">
        <f t="shared" si="215"/>
        <v>93.7</v>
      </c>
      <c r="O214" s="138"/>
      <c r="P214" s="138">
        <f t="shared" si="2"/>
        <v>4685</v>
      </c>
      <c r="Q214" s="139">
        <f t="shared" si="3"/>
        <v>0.1108</v>
      </c>
      <c r="R214" s="139">
        <f t="shared" si="74"/>
        <v>0</v>
      </c>
      <c r="S214" s="139">
        <f t="shared" si="35"/>
        <v>0.02</v>
      </c>
      <c r="T214" s="139">
        <f t="shared" si="61"/>
        <v>4.6900000000000004</v>
      </c>
      <c r="U214" s="139">
        <f t="shared" si="216"/>
        <v>0.7</v>
      </c>
      <c r="V214" s="139">
        <f t="shared" ref="V214:V216" si="219">ROUND(P214*L$1809,2)</f>
        <v>0.13</v>
      </c>
      <c r="W214" s="139">
        <f t="shared" si="217"/>
        <v>0</v>
      </c>
      <c r="X214" s="140">
        <f t="shared" si="9"/>
        <v>5.54</v>
      </c>
      <c r="Y214" s="141">
        <f t="shared" si="218"/>
        <v>-4690.54</v>
      </c>
      <c r="Z214" s="142">
        <v>-4691</v>
      </c>
      <c r="AA214" s="143">
        <f t="shared" si="47"/>
        <v>-0.46000000000003638</v>
      </c>
      <c r="AB214" s="133">
        <v>44391</v>
      </c>
      <c r="AC214" s="144">
        <f t="shared" si="12"/>
        <v>1.1820000000000001E-3</v>
      </c>
      <c r="AD214" s="145">
        <f t="shared" si="13"/>
        <v>44391</v>
      </c>
      <c r="AE214" s="146" t="s">
        <v>403</v>
      </c>
      <c r="AF214" s="119"/>
    </row>
    <row r="215" spans="1:32" ht="12" customHeight="1">
      <c r="A215" s="148">
        <v>44389</v>
      </c>
      <c r="B215" s="149" t="s">
        <v>550</v>
      </c>
      <c r="C215" s="149"/>
      <c r="D215" s="149"/>
      <c r="E215" s="149"/>
      <c r="F215" s="149"/>
      <c r="G215" s="149"/>
      <c r="H215" s="135" t="s">
        <v>453</v>
      </c>
      <c r="I215" s="134" t="s">
        <v>469</v>
      </c>
      <c r="J215" s="135" t="s">
        <v>471</v>
      </c>
      <c r="K215" s="136">
        <v>25</v>
      </c>
      <c r="L215" s="137">
        <v>310</v>
      </c>
      <c r="M215" s="138">
        <f t="shared" si="38"/>
        <v>0</v>
      </c>
      <c r="N215" s="138">
        <f t="shared" si="215"/>
        <v>310</v>
      </c>
      <c r="O215" s="138"/>
      <c r="P215" s="138">
        <f t="shared" si="2"/>
        <v>7750</v>
      </c>
      <c r="Q215" s="139">
        <f t="shared" si="3"/>
        <v>0.36680000000000001</v>
      </c>
      <c r="R215" s="139">
        <f t="shared" si="74"/>
        <v>0</v>
      </c>
      <c r="S215" s="139">
        <f t="shared" si="35"/>
        <v>0.04</v>
      </c>
      <c r="T215" s="139">
        <f t="shared" si="61"/>
        <v>7.75</v>
      </c>
      <c r="U215" s="139">
        <f t="shared" si="216"/>
        <v>1.1599999999999999</v>
      </c>
      <c r="V215" s="139">
        <f t="shared" si="219"/>
        <v>0.21</v>
      </c>
      <c r="W215" s="139">
        <f t="shared" si="217"/>
        <v>0.01</v>
      </c>
      <c r="X215" s="140">
        <f t="shared" si="9"/>
        <v>9.17</v>
      </c>
      <c r="Y215" s="141">
        <f t="shared" si="218"/>
        <v>-7759.17</v>
      </c>
      <c r="Z215" s="142">
        <v>-7759</v>
      </c>
      <c r="AA215" s="143">
        <f t="shared" si="47"/>
        <v>0.17000000000007276</v>
      </c>
      <c r="AB215" s="133">
        <v>44391</v>
      </c>
      <c r="AC215" s="144">
        <f t="shared" si="12"/>
        <v>1.183E-3</v>
      </c>
      <c r="AD215" s="145">
        <f t="shared" si="13"/>
        <v>44391</v>
      </c>
      <c r="AE215" s="146" t="s">
        <v>403</v>
      </c>
      <c r="AF215" s="119"/>
    </row>
    <row r="216" spans="1:32" ht="12" customHeight="1">
      <c r="A216" s="148">
        <v>44390</v>
      </c>
      <c r="B216" s="149" t="s">
        <v>533</v>
      </c>
      <c r="C216" s="149"/>
      <c r="D216" s="149"/>
      <c r="E216" s="149"/>
      <c r="F216" s="149"/>
      <c r="G216" s="149"/>
      <c r="H216" s="135" t="s">
        <v>453</v>
      </c>
      <c r="I216" s="134" t="s">
        <v>469</v>
      </c>
      <c r="J216" s="135" t="s">
        <v>471</v>
      </c>
      <c r="K216" s="136">
        <v>50</v>
      </c>
      <c r="L216" s="137">
        <v>95.5</v>
      </c>
      <c r="M216" s="138">
        <f t="shared" si="38"/>
        <v>0</v>
      </c>
      <c r="N216" s="138">
        <f t="shared" si="215"/>
        <v>95.5</v>
      </c>
      <c r="O216" s="138"/>
      <c r="P216" s="138">
        <f t="shared" si="2"/>
        <v>4775</v>
      </c>
      <c r="Q216" s="139">
        <f t="shared" si="3"/>
        <v>0.11299999999999999</v>
      </c>
      <c r="R216" s="139">
        <f t="shared" si="74"/>
        <v>0</v>
      </c>
      <c r="S216" s="139">
        <f t="shared" si="35"/>
        <v>0.02</v>
      </c>
      <c r="T216" s="139">
        <f t="shared" si="61"/>
        <v>4.78</v>
      </c>
      <c r="U216" s="139">
        <f t="shared" si="216"/>
        <v>0.72</v>
      </c>
      <c r="V216" s="139">
        <f t="shared" si="219"/>
        <v>0.13</v>
      </c>
      <c r="W216" s="139">
        <f t="shared" si="217"/>
        <v>0</v>
      </c>
      <c r="X216" s="140">
        <f t="shared" si="9"/>
        <v>5.6499999999999995</v>
      </c>
      <c r="Y216" s="141">
        <f t="shared" si="218"/>
        <v>-4780.6499999999996</v>
      </c>
      <c r="Z216" s="142">
        <v>-4781</v>
      </c>
      <c r="AA216" s="143">
        <f t="shared" si="47"/>
        <v>-0.3500000000003638</v>
      </c>
      <c r="AB216" s="133">
        <v>44392</v>
      </c>
      <c r="AC216" s="144">
        <f t="shared" si="12"/>
        <v>1.183E-3</v>
      </c>
      <c r="AD216" s="145">
        <f t="shared" si="13"/>
        <v>44392</v>
      </c>
      <c r="AE216" s="146" t="s">
        <v>403</v>
      </c>
      <c r="AF216" s="119"/>
    </row>
    <row r="217" spans="1:32" ht="12" customHeight="1">
      <c r="A217" s="148">
        <v>44391</v>
      </c>
      <c r="B217" s="149" t="s">
        <v>528</v>
      </c>
      <c r="C217" s="149"/>
      <c r="D217" s="149"/>
      <c r="E217" s="149"/>
      <c r="F217" s="149"/>
      <c r="G217" s="149"/>
      <c r="H217" s="135" t="s">
        <v>453</v>
      </c>
      <c r="I217" s="134" t="s">
        <v>469</v>
      </c>
      <c r="J217" s="135" t="s">
        <v>471</v>
      </c>
      <c r="K217" s="136">
        <v>500</v>
      </c>
      <c r="L217" s="137">
        <v>12.9</v>
      </c>
      <c r="M217" s="138">
        <f t="shared" si="38"/>
        <v>0</v>
      </c>
      <c r="N217" s="138">
        <f t="shared" si="215"/>
        <v>12.9</v>
      </c>
      <c r="O217" s="138"/>
      <c r="P217" s="138">
        <f t="shared" si="2"/>
        <v>6450</v>
      </c>
      <c r="Q217" s="139">
        <f t="shared" si="3"/>
        <v>1.538E-2</v>
      </c>
      <c r="R217" s="139">
        <f t="shared" si="74"/>
        <v>0</v>
      </c>
      <c r="S217" s="139">
        <f t="shared" si="35"/>
        <v>0.04</v>
      </c>
      <c r="T217" s="139">
        <f t="shared" si="61"/>
        <v>6.45</v>
      </c>
      <c r="U217" s="139">
        <f t="shared" si="216"/>
        <v>0.97</v>
      </c>
      <c r="V217" s="139">
        <f>ROUND(P217*M$1809,2)</f>
        <v>0.22</v>
      </c>
      <c r="W217" s="139">
        <f t="shared" si="217"/>
        <v>0.01</v>
      </c>
      <c r="X217" s="140">
        <f t="shared" si="9"/>
        <v>7.6899999999999995</v>
      </c>
      <c r="Y217" s="141">
        <f t="shared" si="218"/>
        <v>-6457.69</v>
      </c>
      <c r="Z217" s="142">
        <v>-6458</v>
      </c>
      <c r="AA217" s="143">
        <f t="shared" si="47"/>
        <v>-0.31000000000040018</v>
      </c>
      <c r="AB217" s="133">
        <v>44393</v>
      </c>
      <c r="AC217" s="144">
        <f t="shared" si="12"/>
        <v>1.1919999999999999E-3</v>
      </c>
      <c r="AD217" s="145">
        <f t="shared" si="13"/>
        <v>44393</v>
      </c>
      <c r="AE217" s="146" t="s">
        <v>403</v>
      </c>
      <c r="AF217" s="119"/>
    </row>
    <row r="218" spans="1:32" ht="12" customHeight="1">
      <c r="A218" s="148">
        <v>44391</v>
      </c>
      <c r="B218" s="149" t="s">
        <v>551</v>
      </c>
      <c r="C218" s="149"/>
      <c r="D218" s="149"/>
      <c r="E218" s="149"/>
      <c r="F218" s="149"/>
      <c r="G218" s="149"/>
      <c r="H218" s="135" t="s">
        <v>453</v>
      </c>
      <c r="I218" s="134" t="s">
        <v>469</v>
      </c>
      <c r="J218" s="135" t="s">
        <v>471</v>
      </c>
      <c r="K218" s="136">
        <v>100</v>
      </c>
      <c r="L218" s="137">
        <v>36.5</v>
      </c>
      <c r="M218" s="138">
        <f t="shared" si="38"/>
        <v>0</v>
      </c>
      <c r="N218" s="138">
        <f t="shared" si="215"/>
        <v>36.5</v>
      </c>
      <c r="O218" s="138"/>
      <c r="P218" s="138">
        <f t="shared" si="2"/>
        <v>3650</v>
      </c>
      <c r="Q218" s="139">
        <f t="shared" si="3"/>
        <v>4.3199999999999995E-2</v>
      </c>
      <c r="R218" s="139">
        <f t="shared" si="74"/>
        <v>0</v>
      </c>
      <c r="S218" s="139">
        <f t="shared" si="35"/>
        <v>0.02</v>
      </c>
      <c r="T218" s="139">
        <f t="shared" si="61"/>
        <v>3.65</v>
      </c>
      <c r="U218" s="139">
        <f t="shared" si="216"/>
        <v>0.55000000000000004</v>
      </c>
      <c r="V218" s="139">
        <f t="shared" ref="V218:V219" si="220">ROUND(P218*L$1809,2)</f>
        <v>0.1</v>
      </c>
      <c r="W218" s="139">
        <f t="shared" si="217"/>
        <v>0</v>
      </c>
      <c r="X218" s="140">
        <f t="shared" si="9"/>
        <v>4.3199999999999994</v>
      </c>
      <c r="Y218" s="141">
        <f t="shared" si="218"/>
        <v>-3654.32</v>
      </c>
      <c r="Z218" s="142">
        <v>-3654</v>
      </c>
      <c r="AA218" s="143">
        <f t="shared" si="47"/>
        <v>0.32000000000016371</v>
      </c>
      <c r="AB218" s="133">
        <v>44393</v>
      </c>
      <c r="AC218" s="144">
        <f t="shared" si="12"/>
        <v>1.1839999999999999E-3</v>
      </c>
      <c r="AD218" s="145">
        <f t="shared" si="13"/>
        <v>44393</v>
      </c>
      <c r="AE218" s="146" t="s">
        <v>403</v>
      </c>
      <c r="AF218" s="119"/>
    </row>
    <row r="219" spans="1:32" ht="12" customHeight="1">
      <c r="A219" s="150">
        <v>44392</v>
      </c>
      <c r="B219" s="151" t="s">
        <v>489</v>
      </c>
      <c r="C219" s="151"/>
      <c r="D219" s="151"/>
      <c r="E219" s="151"/>
      <c r="F219" s="151"/>
      <c r="G219" s="151"/>
      <c r="H219" s="122" t="s">
        <v>446</v>
      </c>
      <c r="I219" s="121" t="s">
        <v>469</v>
      </c>
      <c r="J219" s="122" t="s">
        <v>471</v>
      </c>
      <c r="K219" s="123">
        <v>20</v>
      </c>
      <c r="L219" s="124">
        <v>109.6</v>
      </c>
      <c r="M219" s="125">
        <f t="shared" si="38"/>
        <v>0</v>
      </c>
      <c r="N219" s="125">
        <f t="shared" ref="N219:N220" si="221">L219-M219</f>
        <v>109.6</v>
      </c>
      <c r="O219" s="125"/>
      <c r="P219" s="125">
        <f t="shared" si="2"/>
        <v>2192</v>
      </c>
      <c r="Q219" s="126">
        <f t="shared" si="3"/>
        <v>0.11299999999999999</v>
      </c>
      <c r="R219" s="126">
        <f t="shared" si="74"/>
        <v>0</v>
      </c>
      <c r="S219" s="126">
        <f t="shared" si="35"/>
        <v>0.01</v>
      </c>
      <c r="T219" s="126">
        <f t="shared" si="61"/>
        <v>2.19</v>
      </c>
      <c r="U219" s="126">
        <v>0</v>
      </c>
      <c r="V219" s="126">
        <f t="shared" si="220"/>
        <v>0.06</v>
      </c>
      <c r="W219" s="126">
        <f t="shared" si="217"/>
        <v>0</v>
      </c>
      <c r="X219" s="126">
        <f t="shared" si="9"/>
        <v>2.2599999999999998</v>
      </c>
      <c r="Y219" s="127">
        <f t="shared" ref="Y219:Y220" si="222">ROUND(P219-SUM(R219:W219),2)</f>
        <v>2189.7399999999998</v>
      </c>
      <c r="Z219" s="128">
        <v>2190</v>
      </c>
      <c r="AA219" s="129">
        <f t="shared" si="47"/>
        <v>0.26000000000021828</v>
      </c>
      <c r="AB219" s="120">
        <v>44396</v>
      </c>
      <c r="AC219" s="130">
        <f t="shared" si="12"/>
        <v>1.031E-3</v>
      </c>
      <c r="AD219" s="131">
        <f t="shared" si="13"/>
        <v>44396</v>
      </c>
      <c r="AE219" s="132" t="s">
        <v>403</v>
      </c>
      <c r="AF219" s="119"/>
    </row>
    <row r="220" spans="1:32" ht="12" customHeight="1">
      <c r="A220" s="150">
        <v>44393</v>
      </c>
      <c r="B220" s="151" t="s">
        <v>542</v>
      </c>
      <c r="C220" s="151"/>
      <c r="D220" s="151"/>
      <c r="E220" s="151"/>
      <c r="F220" s="151"/>
      <c r="G220" s="151"/>
      <c r="H220" s="122" t="s">
        <v>446</v>
      </c>
      <c r="I220" s="121" t="s">
        <v>469</v>
      </c>
      <c r="J220" s="122" t="s">
        <v>471</v>
      </c>
      <c r="K220" s="123">
        <v>2</v>
      </c>
      <c r="L220" s="124">
        <v>7690</v>
      </c>
      <c r="M220" s="125">
        <f t="shared" si="38"/>
        <v>0</v>
      </c>
      <c r="N220" s="125">
        <f t="shared" si="221"/>
        <v>7690</v>
      </c>
      <c r="O220" s="125"/>
      <c r="P220" s="125">
        <f t="shared" si="2"/>
        <v>15380</v>
      </c>
      <c r="Q220" s="126">
        <f t="shared" si="3"/>
        <v>8.0150000000000006</v>
      </c>
      <c r="R220" s="126">
        <f t="shared" si="74"/>
        <v>0</v>
      </c>
      <c r="S220" s="126">
        <f t="shared" si="35"/>
        <v>0.1</v>
      </c>
      <c r="T220" s="126">
        <f t="shared" si="61"/>
        <v>15.38</v>
      </c>
      <c r="U220" s="126">
        <v>0</v>
      </c>
      <c r="V220" s="126">
        <f>ROUND(P220*M$1809,2)</f>
        <v>0.53</v>
      </c>
      <c r="W220" s="126">
        <f t="shared" si="217"/>
        <v>0.02</v>
      </c>
      <c r="X220" s="126">
        <f t="shared" si="9"/>
        <v>16.03</v>
      </c>
      <c r="Y220" s="127">
        <f t="shared" si="222"/>
        <v>15363.97</v>
      </c>
      <c r="Z220" s="128">
        <v>15364</v>
      </c>
      <c r="AA220" s="129">
        <f t="shared" si="47"/>
        <v>3.0000000000654836E-2</v>
      </c>
      <c r="AB220" s="120">
        <v>44397</v>
      </c>
      <c r="AC220" s="130">
        <f t="shared" si="12"/>
        <v>1.042E-3</v>
      </c>
      <c r="AD220" s="131">
        <f t="shared" si="13"/>
        <v>44397</v>
      </c>
      <c r="AE220" s="132" t="s">
        <v>403</v>
      </c>
      <c r="AF220" s="119"/>
    </row>
    <row r="221" spans="1:32" ht="12" customHeight="1">
      <c r="A221" s="148">
        <v>44393</v>
      </c>
      <c r="B221" s="149" t="s">
        <v>552</v>
      </c>
      <c r="C221" s="149"/>
      <c r="D221" s="149"/>
      <c r="E221" s="149"/>
      <c r="F221" s="149"/>
      <c r="G221" s="149"/>
      <c r="H221" s="135" t="s">
        <v>453</v>
      </c>
      <c r="I221" s="134" t="s">
        <v>469</v>
      </c>
      <c r="J221" s="135" t="s">
        <v>471</v>
      </c>
      <c r="K221" s="136">
        <v>50</v>
      </c>
      <c r="L221" s="137">
        <v>266</v>
      </c>
      <c r="M221" s="138">
        <f t="shared" si="38"/>
        <v>0</v>
      </c>
      <c r="N221" s="138">
        <f t="shared" ref="N221:N223" si="223">L221+M221</f>
        <v>266</v>
      </c>
      <c r="O221" s="138"/>
      <c r="P221" s="138">
        <f t="shared" si="2"/>
        <v>13300</v>
      </c>
      <c r="Q221" s="139">
        <f t="shared" si="3"/>
        <v>0.315</v>
      </c>
      <c r="R221" s="139">
        <f t="shared" si="74"/>
        <v>0</v>
      </c>
      <c r="S221" s="139">
        <f t="shared" si="35"/>
        <v>7.0000000000000007E-2</v>
      </c>
      <c r="T221" s="139">
        <f t="shared" si="61"/>
        <v>13.3</v>
      </c>
      <c r="U221" s="139">
        <f t="shared" ref="U221:U223" si="224">ROUND(P221*K$1812,2)</f>
        <v>2</v>
      </c>
      <c r="V221" s="139">
        <f t="shared" ref="V221:V229" si="225">ROUND(P221*L$1809,2)</f>
        <v>0.37</v>
      </c>
      <c r="W221" s="139">
        <f t="shared" si="217"/>
        <v>0.01</v>
      </c>
      <c r="X221" s="140">
        <f t="shared" si="9"/>
        <v>15.75</v>
      </c>
      <c r="Y221" s="141">
        <f t="shared" ref="Y221:Y223" si="226">-ROUND(P221+SUM(R221:W221),2)</f>
        <v>-13315.75</v>
      </c>
      <c r="Z221" s="142">
        <v>-13316</v>
      </c>
      <c r="AA221" s="143">
        <f t="shared" si="47"/>
        <v>-0.25</v>
      </c>
      <c r="AB221" s="133">
        <v>44397</v>
      </c>
      <c r="AC221" s="144">
        <f t="shared" si="12"/>
        <v>1.1839999999999999E-3</v>
      </c>
      <c r="AD221" s="145">
        <f t="shared" si="13"/>
        <v>44397</v>
      </c>
      <c r="AE221" s="146" t="s">
        <v>403</v>
      </c>
      <c r="AF221" s="119"/>
    </row>
    <row r="222" spans="1:32" ht="12" customHeight="1">
      <c r="A222" s="148">
        <v>44396</v>
      </c>
      <c r="B222" s="149" t="s">
        <v>553</v>
      </c>
      <c r="C222" s="149"/>
      <c r="D222" s="149"/>
      <c r="E222" s="149"/>
      <c r="F222" s="149"/>
      <c r="G222" s="149"/>
      <c r="H222" s="135" t="s">
        <v>453</v>
      </c>
      <c r="I222" s="134" t="s">
        <v>469</v>
      </c>
      <c r="J222" s="135" t="s">
        <v>471</v>
      </c>
      <c r="K222" s="136">
        <v>200</v>
      </c>
      <c r="L222" s="137">
        <v>13.15</v>
      </c>
      <c r="M222" s="138">
        <f t="shared" si="38"/>
        <v>0</v>
      </c>
      <c r="N222" s="138">
        <f t="shared" si="223"/>
        <v>13.15</v>
      </c>
      <c r="O222" s="138"/>
      <c r="P222" s="138">
        <f t="shared" si="2"/>
        <v>2630</v>
      </c>
      <c r="Q222" s="139">
        <f t="shared" si="3"/>
        <v>1.5499999999999998E-2</v>
      </c>
      <c r="R222" s="139">
        <f t="shared" si="74"/>
        <v>0</v>
      </c>
      <c r="S222" s="139">
        <f t="shared" si="35"/>
        <v>0.01</v>
      </c>
      <c r="T222" s="139">
        <f t="shared" si="61"/>
        <v>2.63</v>
      </c>
      <c r="U222" s="139">
        <f t="shared" si="224"/>
        <v>0.39</v>
      </c>
      <c r="V222" s="139">
        <f t="shared" si="225"/>
        <v>7.0000000000000007E-2</v>
      </c>
      <c r="W222" s="139">
        <f t="shared" si="217"/>
        <v>0</v>
      </c>
      <c r="X222" s="140">
        <f t="shared" si="9"/>
        <v>3.0999999999999996</v>
      </c>
      <c r="Y222" s="141">
        <f t="shared" si="226"/>
        <v>-2633.1</v>
      </c>
      <c r="Z222" s="142">
        <v>-2633</v>
      </c>
      <c r="AA222" s="143">
        <f t="shared" si="47"/>
        <v>9.9999999999909051E-2</v>
      </c>
      <c r="AB222" s="133">
        <v>44399</v>
      </c>
      <c r="AC222" s="144">
        <f t="shared" si="12"/>
        <v>1.1789999999999999E-3</v>
      </c>
      <c r="AD222" s="145">
        <f t="shared" si="13"/>
        <v>44399</v>
      </c>
      <c r="AE222" s="146" t="s">
        <v>403</v>
      </c>
      <c r="AF222" s="119"/>
    </row>
    <row r="223" spans="1:32" ht="12" customHeight="1">
      <c r="A223" s="148">
        <v>44400</v>
      </c>
      <c r="B223" s="149" t="s">
        <v>554</v>
      </c>
      <c r="C223" s="149"/>
      <c r="D223" s="149"/>
      <c r="E223" s="149"/>
      <c r="F223" s="149"/>
      <c r="G223" s="149"/>
      <c r="H223" s="135" t="s">
        <v>453</v>
      </c>
      <c r="I223" s="134" t="s">
        <v>469</v>
      </c>
      <c r="J223" s="135" t="s">
        <v>471</v>
      </c>
      <c r="K223" s="136">
        <v>25</v>
      </c>
      <c r="L223" s="137">
        <v>83.5</v>
      </c>
      <c r="M223" s="138">
        <f t="shared" si="38"/>
        <v>0</v>
      </c>
      <c r="N223" s="138">
        <f t="shared" si="223"/>
        <v>83.5</v>
      </c>
      <c r="O223" s="138"/>
      <c r="P223" s="138">
        <f t="shared" si="2"/>
        <v>2087.5</v>
      </c>
      <c r="Q223" s="139">
        <f t="shared" si="3"/>
        <v>9.8799999999999985E-2</v>
      </c>
      <c r="R223" s="139">
        <f t="shared" si="74"/>
        <v>0</v>
      </c>
      <c r="S223" s="139">
        <f t="shared" si="35"/>
        <v>0.01</v>
      </c>
      <c r="T223" s="139">
        <f t="shared" si="61"/>
        <v>2.09</v>
      </c>
      <c r="U223" s="139">
        <f t="shared" si="224"/>
        <v>0.31</v>
      </c>
      <c r="V223" s="139">
        <f t="shared" si="225"/>
        <v>0.06</v>
      </c>
      <c r="W223" s="139">
        <f t="shared" si="217"/>
        <v>0</v>
      </c>
      <c r="X223" s="140">
        <f t="shared" si="9"/>
        <v>2.4699999999999998</v>
      </c>
      <c r="Y223" s="141">
        <f t="shared" si="226"/>
        <v>-2089.9699999999998</v>
      </c>
      <c r="Z223" s="142">
        <v>-2090</v>
      </c>
      <c r="AA223" s="143">
        <f t="shared" si="47"/>
        <v>-3.0000000000200089E-2</v>
      </c>
      <c r="AB223" s="133">
        <v>44404</v>
      </c>
      <c r="AC223" s="144">
        <f t="shared" si="12"/>
        <v>1.183E-3</v>
      </c>
      <c r="AD223" s="145">
        <f t="shared" si="13"/>
        <v>44404</v>
      </c>
      <c r="AE223" s="146" t="s">
        <v>403</v>
      </c>
      <c r="AF223" s="119"/>
    </row>
    <row r="224" spans="1:32" ht="12" customHeight="1">
      <c r="A224" s="150">
        <v>44405</v>
      </c>
      <c r="B224" s="151" t="s">
        <v>554</v>
      </c>
      <c r="C224" s="151"/>
      <c r="D224" s="151"/>
      <c r="E224" s="151"/>
      <c r="F224" s="151"/>
      <c r="G224" s="151"/>
      <c r="H224" s="122" t="s">
        <v>446</v>
      </c>
      <c r="I224" s="121" t="s">
        <v>469</v>
      </c>
      <c r="J224" s="122" t="s">
        <v>471</v>
      </c>
      <c r="K224" s="123">
        <v>25</v>
      </c>
      <c r="L224" s="124">
        <v>95</v>
      </c>
      <c r="M224" s="125">
        <f t="shared" si="38"/>
        <v>0</v>
      </c>
      <c r="N224" s="125">
        <f>L224-M224</f>
        <v>95</v>
      </c>
      <c r="O224" s="125"/>
      <c r="P224" s="125">
        <f t="shared" si="2"/>
        <v>2375</v>
      </c>
      <c r="Q224" s="126">
        <f t="shared" si="3"/>
        <v>9.8399999999999987E-2</v>
      </c>
      <c r="R224" s="126">
        <f t="shared" si="74"/>
        <v>0</v>
      </c>
      <c r="S224" s="126">
        <f t="shared" si="35"/>
        <v>0.01</v>
      </c>
      <c r="T224" s="126">
        <f t="shared" si="61"/>
        <v>2.38</v>
      </c>
      <c r="U224" s="126">
        <v>0</v>
      </c>
      <c r="V224" s="126">
        <f t="shared" si="225"/>
        <v>7.0000000000000007E-2</v>
      </c>
      <c r="W224" s="126">
        <f t="shared" si="217"/>
        <v>0</v>
      </c>
      <c r="X224" s="126">
        <f t="shared" si="9"/>
        <v>2.4599999999999995</v>
      </c>
      <c r="Y224" s="127">
        <f>ROUND(P224-SUM(R224:W224),2)</f>
        <v>2372.54</v>
      </c>
      <c r="Z224" s="128">
        <v>2373</v>
      </c>
      <c r="AA224" s="129">
        <f t="shared" si="47"/>
        <v>0.46000000000003638</v>
      </c>
      <c r="AB224" s="120">
        <v>44407</v>
      </c>
      <c r="AC224" s="130">
        <f t="shared" si="12"/>
        <v>1.036E-3</v>
      </c>
      <c r="AD224" s="131">
        <f t="shared" si="13"/>
        <v>44407</v>
      </c>
      <c r="AE224" s="132" t="s">
        <v>403</v>
      </c>
      <c r="AF224" s="119"/>
    </row>
    <row r="225" spans="1:32" ht="12" customHeight="1">
      <c r="A225" s="148">
        <v>44406</v>
      </c>
      <c r="B225" s="149" t="s">
        <v>555</v>
      </c>
      <c r="C225" s="149"/>
      <c r="D225" s="149"/>
      <c r="E225" s="149"/>
      <c r="F225" s="149"/>
      <c r="G225" s="149"/>
      <c r="H225" s="135" t="s">
        <v>453</v>
      </c>
      <c r="I225" s="134" t="s">
        <v>469</v>
      </c>
      <c r="J225" s="135" t="s">
        <v>471</v>
      </c>
      <c r="K225" s="136">
        <v>1</v>
      </c>
      <c r="L225" s="137">
        <v>2300</v>
      </c>
      <c r="M225" s="138">
        <f t="shared" si="38"/>
        <v>0</v>
      </c>
      <c r="N225" s="138">
        <f t="shared" ref="N225:N228" si="227">L225+M225</f>
        <v>2300</v>
      </c>
      <c r="O225" s="138"/>
      <c r="P225" s="138">
        <f t="shared" si="2"/>
        <v>2300</v>
      </c>
      <c r="Q225" s="139">
        <f t="shared" si="3"/>
        <v>2.7199999999999998</v>
      </c>
      <c r="R225" s="139">
        <f t="shared" si="74"/>
        <v>0</v>
      </c>
      <c r="S225" s="139">
        <f t="shared" si="35"/>
        <v>0.01</v>
      </c>
      <c r="T225" s="139">
        <f t="shared" si="61"/>
        <v>2.2999999999999998</v>
      </c>
      <c r="U225" s="139">
        <f t="shared" ref="U225:U228" si="228">ROUND(P225*K$1812,2)</f>
        <v>0.35</v>
      </c>
      <c r="V225" s="139">
        <f t="shared" si="225"/>
        <v>0.06</v>
      </c>
      <c r="W225" s="139">
        <f t="shared" si="217"/>
        <v>0</v>
      </c>
      <c r="X225" s="140">
        <f t="shared" si="9"/>
        <v>2.7199999999999998</v>
      </c>
      <c r="Y225" s="141">
        <f t="shared" ref="Y225:Y228" si="229">-ROUND(P225+SUM(R225:W225),2)</f>
        <v>-2302.7199999999998</v>
      </c>
      <c r="Z225" s="142">
        <v>-2303</v>
      </c>
      <c r="AA225" s="143">
        <f t="shared" si="47"/>
        <v>-0.28000000000020009</v>
      </c>
      <c r="AB225" s="133">
        <v>44410</v>
      </c>
      <c r="AC225" s="144">
        <f t="shared" si="12"/>
        <v>1.183E-3</v>
      </c>
      <c r="AD225" s="145">
        <f t="shared" si="13"/>
        <v>44410</v>
      </c>
      <c r="AE225" s="146" t="s">
        <v>403</v>
      </c>
      <c r="AF225" s="119"/>
    </row>
    <row r="226" spans="1:32" ht="12" customHeight="1">
      <c r="A226" s="148">
        <v>44407</v>
      </c>
      <c r="B226" s="149" t="s">
        <v>556</v>
      </c>
      <c r="C226" s="149"/>
      <c r="D226" s="149"/>
      <c r="E226" s="149"/>
      <c r="F226" s="149"/>
      <c r="G226" s="149"/>
      <c r="H226" s="135" t="s">
        <v>453</v>
      </c>
      <c r="I226" s="134" t="s">
        <v>469</v>
      </c>
      <c r="J226" s="135" t="s">
        <v>471</v>
      </c>
      <c r="K226" s="136">
        <v>10</v>
      </c>
      <c r="L226" s="137">
        <v>225</v>
      </c>
      <c r="M226" s="138">
        <f t="shared" si="38"/>
        <v>0</v>
      </c>
      <c r="N226" s="138">
        <f t="shared" si="227"/>
        <v>225</v>
      </c>
      <c r="O226" s="138"/>
      <c r="P226" s="138">
        <f t="shared" si="2"/>
        <v>2250</v>
      </c>
      <c r="Q226" s="139">
        <f t="shared" si="3"/>
        <v>0.26599999999999996</v>
      </c>
      <c r="R226" s="139">
        <f t="shared" si="74"/>
        <v>0</v>
      </c>
      <c r="S226" s="139">
        <f t="shared" si="35"/>
        <v>0.01</v>
      </c>
      <c r="T226" s="139">
        <f t="shared" si="61"/>
        <v>2.25</v>
      </c>
      <c r="U226" s="139">
        <f t="shared" si="228"/>
        <v>0.34</v>
      </c>
      <c r="V226" s="139">
        <f t="shared" si="225"/>
        <v>0.06</v>
      </c>
      <c r="W226" s="139">
        <f t="shared" si="217"/>
        <v>0</v>
      </c>
      <c r="X226" s="140">
        <f t="shared" si="9"/>
        <v>2.6599999999999997</v>
      </c>
      <c r="Y226" s="141">
        <f t="shared" si="229"/>
        <v>-2252.66</v>
      </c>
      <c r="Z226" s="142">
        <v>-2253</v>
      </c>
      <c r="AA226" s="143">
        <f t="shared" si="47"/>
        <v>-0.34000000000014552</v>
      </c>
      <c r="AB226" s="133">
        <v>44412</v>
      </c>
      <c r="AC226" s="144">
        <f t="shared" si="12"/>
        <v>1.1820000000000001E-3</v>
      </c>
      <c r="AD226" s="145">
        <f t="shared" si="13"/>
        <v>44412</v>
      </c>
      <c r="AE226" s="146" t="s">
        <v>403</v>
      </c>
      <c r="AF226" s="119"/>
    </row>
    <row r="227" spans="1:32" ht="12" customHeight="1">
      <c r="A227" s="148">
        <v>44407</v>
      </c>
      <c r="B227" s="149" t="s">
        <v>557</v>
      </c>
      <c r="C227" s="149"/>
      <c r="D227" s="149"/>
      <c r="E227" s="149"/>
      <c r="F227" s="149"/>
      <c r="G227" s="149"/>
      <c r="H227" s="135" t="s">
        <v>453</v>
      </c>
      <c r="I227" s="134" t="s">
        <v>469</v>
      </c>
      <c r="J227" s="135" t="s">
        <v>471</v>
      </c>
      <c r="K227" s="136">
        <v>50</v>
      </c>
      <c r="L227" s="137">
        <v>20.5</v>
      </c>
      <c r="M227" s="138">
        <f t="shared" si="38"/>
        <v>0</v>
      </c>
      <c r="N227" s="138">
        <f t="shared" si="227"/>
        <v>20.5</v>
      </c>
      <c r="O227" s="138"/>
      <c r="P227" s="138">
        <f t="shared" si="2"/>
        <v>1025</v>
      </c>
      <c r="Q227" s="139">
        <f t="shared" si="3"/>
        <v>2.4399999999999998E-2</v>
      </c>
      <c r="R227" s="139">
        <f t="shared" si="74"/>
        <v>0</v>
      </c>
      <c r="S227" s="139">
        <f t="shared" si="35"/>
        <v>0.01</v>
      </c>
      <c r="T227" s="139">
        <f t="shared" si="61"/>
        <v>1.03</v>
      </c>
      <c r="U227" s="139">
        <f t="shared" si="228"/>
        <v>0.15</v>
      </c>
      <c r="V227" s="139">
        <f t="shared" si="225"/>
        <v>0.03</v>
      </c>
      <c r="W227" s="139">
        <f t="shared" si="217"/>
        <v>0</v>
      </c>
      <c r="X227" s="140">
        <f t="shared" si="9"/>
        <v>1.22</v>
      </c>
      <c r="Y227" s="141">
        <f t="shared" si="229"/>
        <v>-1026.22</v>
      </c>
      <c r="Z227" s="142">
        <v>-1026</v>
      </c>
      <c r="AA227" s="143">
        <f t="shared" si="47"/>
        <v>0.22000000000002728</v>
      </c>
      <c r="AB227" s="133">
        <v>44411</v>
      </c>
      <c r="AC227" s="144">
        <f t="shared" si="12"/>
        <v>1.1900000000000001E-3</v>
      </c>
      <c r="AD227" s="145">
        <f t="shared" si="13"/>
        <v>44411</v>
      </c>
      <c r="AE227" s="146" t="s">
        <v>403</v>
      </c>
      <c r="AF227" s="119"/>
    </row>
    <row r="228" spans="1:32" ht="12" customHeight="1">
      <c r="A228" s="148">
        <v>44410</v>
      </c>
      <c r="B228" s="149" t="s">
        <v>558</v>
      </c>
      <c r="C228" s="149"/>
      <c r="D228" s="149"/>
      <c r="E228" s="149"/>
      <c r="F228" s="149"/>
      <c r="G228" s="149"/>
      <c r="H228" s="135" t="s">
        <v>453</v>
      </c>
      <c r="I228" s="134" t="s">
        <v>469</v>
      </c>
      <c r="J228" s="135" t="s">
        <v>471</v>
      </c>
      <c r="K228" s="136">
        <v>4</v>
      </c>
      <c r="L228" s="137">
        <v>810</v>
      </c>
      <c r="M228" s="138">
        <f t="shared" si="38"/>
        <v>0</v>
      </c>
      <c r="N228" s="138">
        <f t="shared" si="227"/>
        <v>810</v>
      </c>
      <c r="O228" s="138"/>
      <c r="P228" s="138">
        <f t="shared" si="2"/>
        <v>3240</v>
      </c>
      <c r="Q228" s="139">
        <f t="shared" si="3"/>
        <v>0.96</v>
      </c>
      <c r="R228" s="139">
        <f t="shared" si="74"/>
        <v>0</v>
      </c>
      <c r="S228" s="139">
        <f t="shared" si="35"/>
        <v>0.02</v>
      </c>
      <c r="T228" s="139">
        <f t="shared" si="61"/>
        <v>3.24</v>
      </c>
      <c r="U228" s="139">
        <f t="shared" si="228"/>
        <v>0.49</v>
      </c>
      <c r="V228" s="139">
        <f t="shared" si="225"/>
        <v>0.09</v>
      </c>
      <c r="W228" s="139">
        <f t="shared" si="217"/>
        <v>0</v>
      </c>
      <c r="X228" s="140">
        <f t="shared" si="9"/>
        <v>3.84</v>
      </c>
      <c r="Y228" s="141">
        <f t="shared" si="229"/>
        <v>-3243.84</v>
      </c>
      <c r="Z228" s="142">
        <f t="shared" ref="Z228:Z437" si="230">ROUND(Y228,0)</f>
        <v>-3244</v>
      </c>
      <c r="AA228" s="143">
        <f t="shared" si="47"/>
        <v>-0.15999999999985448</v>
      </c>
      <c r="AB228" s="133">
        <v>44412</v>
      </c>
      <c r="AC228" s="144">
        <f t="shared" si="12"/>
        <v>1.1850000000000001E-3</v>
      </c>
      <c r="AD228" s="145">
        <f t="shared" si="13"/>
        <v>44412</v>
      </c>
      <c r="AE228" s="146" t="s">
        <v>403</v>
      </c>
      <c r="AF228" s="119"/>
    </row>
    <row r="229" spans="1:32" ht="12" customHeight="1">
      <c r="A229" s="150">
        <v>44410</v>
      </c>
      <c r="B229" s="151" t="s">
        <v>552</v>
      </c>
      <c r="C229" s="151"/>
      <c r="D229" s="151"/>
      <c r="E229" s="151"/>
      <c r="F229" s="151"/>
      <c r="G229" s="151"/>
      <c r="H229" s="122" t="s">
        <v>446</v>
      </c>
      <c r="I229" s="121" t="s">
        <v>469</v>
      </c>
      <c r="J229" s="122" t="s">
        <v>471</v>
      </c>
      <c r="K229" s="123">
        <v>50</v>
      </c>
      <c r="L229" s="124">
        <v>268.5</v>
      </c>
      <c r="M229" s="125">
        <f t="shared" si="38"/>
        <v>0</v>
      </c>
      <c r="N229" s="125">
        <f>L229-M229</f>
        <v>268.5</v>
      </c>
      <c r="O229" s="125"/>
      <c r="P229" s="125">
        <f t="shared" si="2"/>
        <v>13425</v>
      </c>
      <c r="Q229" s="126">
        <f t="shared" si="3"/>
        <v>0.27759999999999996</v>
      </c>
      <c r="R229" s="126">
        <f t="shared" si="74"/>
        <v>0</v>
      </c>
      <c r="S229" s="126">
        <f t="shared" si="35"/>
        <v>7.0000000000000007E-2</v>
      </c>
      <c r="T229" s="126">
        <f t="shared" si="61"/>
        <v>13.43</v>
      </c>
      <c r="U229" s="126">
        <v>0</v>
      </c>
      <c r="V229" s="126">
        <f t="shared" si="225"/>
        <v>0.37</v>
      </c>
      <c r="W229" s="126">
        <f t="shared" si="217"/>
        <v>0.01</v>
      </c>
      <c r="X229" s="126">
        <f t="shared" si="9"/>
        <v>13.879999999999999</v>
      </c>
      <c r="Y229" s="127">
        <f>ROUND(P229-SUM(R229:W229),2)</f>
        <v>13411.12</v>
      </c>
      <c r="Z229" s="128">
        <f t="shared" si="230"/>
        <v>13411</v>
      </c>
      <c r="AA229" s="129">
        <f t="shared" si="47"/>
        <v>-0.12000000000080036</v>
      </c>
      <c r="AB229" s="120">
        <v>44412</v>
      </c>
      <c r="AC229" s="130">
        <f t="shared" si="12"/>
        <v>1.034E-3</v>
      </c>
      <c r="AD229" s="131">
        <f t="shared" si="13"/>
        <v>44412</v>
      </c>
      <c r="AE229" s="132" t="s">
        <v>403</v>
      </c>
      <c r="AF229" s="119"/>
    </row>
    <row r="230" spans="1:32" ht="12" customHeight="1">
      <c r="A230" s="148">
        <v>44411</v>
      </c>
      <c r="B230" s="149" t="s">
        <v>559</v>
      </c>
      <c r="C230" s="149"/>
      <c r="D230" s="149"/>
      <c r="E230" s="149"/>
      <c r="F230" s="149"/>
      <c r="G230" s="149"/>
      <c r="H230" s="135" t="s">
        <v>453</v>
      </c>
      <c r="I230" s="134" t="s">
        <v>469</v>
      </c>
      <c r="J230" s="135" t="s">
        <v>471</v>
      </c>
      <c r="K230" s="136">
        <v>50</v>
      </c>
      <c r="L230" s="137">
        <v>62.75</v>
      </c>
      <c r="M230" s="138">
        <f t="shared" si="38"/>
        <v>0</v>
      </c>
      <c r="N230" s="138">
        <f>L230+M230</f>
        <v>62.75</v>
      </c>
      <c r="O230" s="138"/>
      <c r="P230" s="138">
        <f t="shared" si="2"/>
        <v>3137.5</v>
      </c>
      <c r="Q230" s="139">
        <f t="shared" si="3"/>
        <v>0.1464</v>
      </c>
      <c r="R230" s="139">
        <f t="shared" si="74"/>
        <v>0</v>
      </c>
      <c r="S230" s="139">
        <f t="shared" si="35"/>
        <v>0.56999999999999995</v>
      </c>
      <c r="T230" s="139">
        <f t="shared" si="61"/>
        <v>3.14</v>
      </c>
      <c r="U230" s="139">
        <f>ROUND(P230*K$1812,2)</f>
        <v>0.47</v>
      </c>
      <c r="V230" s="139">
        <f>ROUND(P230*0.001,2)</f>
        <v>3.14</v>
      </c>
      <c r="W230" s="139">
        <f t="shared" si="217"/>
        <v>0</v>
      </c>
      <c r="X230" s="140">
        <f t="shared" si="9"/>
        <v>7.32</v>
      </c>
      <c r="Y230" s="141">
        <f>-ROUND(P230+SUM(R230:W230),2)</f>
        <v>-3144.82</v>
      </c>
      <c r="Z230" s="142">
        <f t="shared" si="230"/>
        <v>-3145</v>
      </c>
      <c r="AA230" s="143">
        <f t="shared" si="47"/>
        <v>-0.17999999999983629</v>
      </c>
      <c r="AB230" s="133">
        <v>44413</v>
      </c>
      <c r="AC230" s="144">
        <f t="shared" si="12"/>
        <v>2.333E-3</v>
      </c>
      <c r="AD230" s="145">
        <f t="shared" si="13"/>
        <v>44413</v>
      </c>
      <c r="AE230" s="146" t="s">
        <v>403</v>
      </c>
      <c r="AF230" s="119"/>
    </row>
    <row r="231" spans="1:32" ht="12" customHeight="1">
      <c r="A231" s="150">
        <v>44412</v>
      </c>
      <c r="B231" s="151" t="s">
        <v>546</v>
      </c>
      <c r="C231" s="151"/>
      <c r="D231" s="151"/>
      <c r="E231" s="151"/>
      <c r="F231" s="151"/>
      <c r="G231" s="151"/>
      <c r="H231" s="122" t="s">
        <v>446</v>
      </c>
      <c r="I231" s="121" t="s">
        <v>469</v>
      </c>
      <c r="J231" s="122" t="s">
        <v>471</v>
      </c>
      <c r="K231" s="123">
        <v>10</v>
      </c>
      <c r="L231" s="124">
        <v>485</v>
      </c>
      <c r="M231" s="125">
        <f t="shared" si="38"/>
        <v>0</v>
      </c>
      <c r="N231" s="125">
        <f>L231-M231</f>
        <v>485</v>
      </c>
      <c r="O231" s="125"/>
      <c r="P231" s="125">
        <f t="shared" si="2"/>
        <v>4850</v>
      </c>
      <c r="Q231" s="126">
        <f t="shared" si="3"/>
        <v>0.49999999999999989</v>
      </c>
      <c r="R231" s="126">
        <f t="shared" si="74"/>
        <v>0</v>
      </c>
      <c r="S231" s="126">
        <f t="shared" si="35"/>
        <v>0.02</v>
      </c>
      <c r="T231" s="126">
        <f t="shared" si="61"/>
        <v>4.8499999999999996</v>
      </c>
      <c r="U231" s="126">
        <v>0</v>
      </c>
      <c r="V231" s="126">
        <f t="shared" ref="V231:V238" si="231">ROUND(P231*L$1809,2)</f>
        <v>0.13</v>
      </c>
      <c r="W231" s="126">
        <f t="shared" si="217"/>
        <v>0</v>
      </c>
      <c r="X231" s="126">
        <f t="shared" si="9"/>
        <v>4.9999999999999991</v>
      </c>
      <c r="Y231" s="127">
        <f>ROUND(P231-SUM(R231:W231),2)</f>
        <v>4845</v>
      </c>
      <c r="Z231" s="128">
        <f t="shared" si="230"/>
        <v>4845</v>
      </c>
      <c r="AA231" s="129">
        <f t="shared" si="47"/>
        <v>0</v>
      </c>
      <c r="AB231" s="120">
        <v>44414</v>
      </c>
      <c r="AC231" s="130">
        <f t="shared" si="12"/>
        <v>1.031E-3</v>
      </c>
      <c r="AD231" s="131">
        <f t="shared" si="13"/>
        <v>44414</v>
      </c>
      <c r="AE231" s="132" t="s">
        <v>403</v>
      </c>
      <c r="AF231" s="119"/>
    </row>
    <row r="232" spans="1:32" ht="12" customHeight="1">
      <c r="A232" s="148">
        <v>44417</v>
      </c>
      <c r="B232" s="149" t="s">
        <v>482</v>
      </c>
      <c r="C232" s="149"/>
      <c r="D232" s="149"/>
      <c r="E232" s="149"/>
      <c r="F232" s="149"/>
      <c r="G232" s="149"/>
      <c r="H232" s="135" t="s">
        <v>453</v>
      </c>
      <c r="I232" s="134" t="s">
        <v>469</v>
      </c>
      <c r="J232" s="135" t="s">
        <v>471</v>
      </c>
      <c r="K232" s="136">
        <v>100</v>
      </c>
      <c r="L232" s="137">
        <v>84.9</v>
      </c>
      <c r="M232" s="138">
        <f t="shared" si="38"/>
        <v>0</v>
      </c>
      <c r="N232" s="138">
        <f t="shared" ref="N232:N234" si="232">L232+M232</f>
        <v>84.9</v>
      </c>
      <c r="O232" s="138"/>
      <c r="P232" s="138">
        <f t="shared" si="2"/>
        <v>8490</v>
      </c>
      <c r="Q232" s="139">
        <f t="shared" si="3"/>
        <v>0.10039999999999999</v>
      </c>
      <c r="R232" s="139">
        <f t="shared" si="74"/>
        <v>0</v>
      </c>
      <c r="S232" s="139">
        <f t="shared" si="35"/>
        <v>0.04</v>
      </c>
      <c r="T232" s="139">
        <f t="shared" si="61"/>
        <v>8.49</v>
      </c>
      <c r="U232" s="139">
        <f t="shared" ref="U232:U234" si="233">ROUND(P232*K$1812,2)</f>
        <v>1.27</v>
      </c>
      <c r="V232" s="139">
        <f t="shared" si="231"/>
        <v>0.23</v>
      </c>
      <c r="W232" s="139">
        <f t="shared" si="217"/>
        <v>0.01</v>
      </c>
      <c r="X232" s="140">
        <f t="shared" si="9"/>
        <v>10.039999999999999</v>
      </c>
      <c r="Y232" s="141">
        <f t="shared" ref="Y232:Y234" si="234">-ROUND(P232+SUM(R232:W232),2)</f>
        <v>-8500.0400000000009</v>
      </c>
      <c r="Z232" s="142">
        <f t="shared" si="230"/>
        <v>-8500</v>
      </c>
      <c r="AA232" s="143">
        <f t="shared" si="47"/>
        <v>4.0000000000873115E-2</v>
      </c>
      <c r="AB232" s="133">
        <v>44419</v>
      </c>
      <c r="AC232" s="144">
        <f t="shared" si="12"/>
        <v>1.183E-3</v>
      </c>
      <c r="AD232" s="145">
        <f t="shared" si="13"/>
        <v>44419</v>
      </c>
      <c r="AE232" s="146" t="s">
        <v>403</v>
      </c>
      <c r="AF232" s="119"/>
    </row>
    <row r="233" spans="1:32" ht="12" customHeight="1">
      <c r="A233" s="148">
        <v>44424</v>
      </c>
      <c r="B233" s="149" t="s">
        <v>479</v>
      </c>
      <c r="C233" s="149"/>
      <c r="D233" s="149"/>
      <c r="E233" s="149"/>
      <c r="F233" s="149"/>
      <c r="G233" s="149"/>
      <c r="H233" s="135" t="s">
        <v>453</v>
      </c>
      <c r="I233" s="134" t="s">
        <v>469</v>
      </c>
      <c r="J233" s="135" t="s">
        <v>471</v>
      </c>
      <c r="K233" s="136">
        <v>10</v>
      </c>
      <c r="L233" s="137">
        <v>426.5</v>
      </c>
      <c r="M233" s="138">
        <f t="shared" si="38"/>
        <v>0</v>
      </c>
      <c r="N233" s="138">
        <f t="shared" si="232"/>
        <v>426.5</v>
      </c>
      <c r="O233" s="138"/>
      <c r="P233" s="138">
        <f t="shared" si="2"/>
        <v>4265</v>
      </c>
      <c r="Q233" s="139">
        <f t="shared" si="3"/>
        <v>0.50499999999999989</v>
      </c>
      <c r="R233" s="139">
        <f t="shared" si="74"/>
        <v>0</v>
      </c>
      <c r="S233" s="139">
        <f t="shared" si="35"/>
        <v>0.02</v>
      </c>
      <c r="T233" s="139">
        <f t="shared" si="61"/>
        <v>4.2699999999999996</v>
      </c>
      <c r="U233" s="139">
        <f t="shared" si="233"/>
        <v>0.64</v>
      </c>
      <c r="V233" s="139">
        <f t="shared" si="231"/>
        <v>0.12</v>
      </c>
      <c r="W233" s="139">
        <f t="shared" si="217"/>
        <v>0</v>
      </c>
      <c r="X233" s="140">
        <f t="shared" si="9"/>
        <v>5.0499999999999989</v>
      </c>
      <c r="Y233" s="141">
        <f t="shared" si="234"/>
        <v>-4270.05</v>
      </c>
      <c r="Z233" s="142">
        <f t="shared" si="230"/>
        <v>-4270</v>
      </c>
      <c r="AA233" s="143">
        <f t="shared" si="47"/>
        <v>5.0000000000181899E-2</v>
      </c>
      <c r="AB233" s="133">
        <v>44426</v>
      </c>
      <c r="AC233" s="144">
        <f t="shared" si="12"/>
        <v>1.1839999999999999E-3</v>
      </c>
      <c r="AD233" s="145">
        <f t="shared" si="13"/>
        <v>44426</v>
      </c>
      <c r="AE233" s="146" t="s">
        <v>403</v>
      </c>
      <c r="AF233" s="119"/>
    </row>
    <row r="234" spans="1:32" ht="12" customHeight="1">
      <c r="A234" s="148">
        <v>44433</v>
      </c>
      <c r="B234" s="149" t="s">
        <v>560</v>
      </c>
      <c r="C234" s="149"/>
      <c r="D234" s="149"/>
      <c r="E234" s="149"/>
      <c r="F234" s="149"/>
      <c r="G234" s="149"/>
      <c r="H234" s="135" t="s">
        <v>453</v>
      </c>
      <c r="I234" s="134" t="s">
        <v>469</v>
      </c>
      <c r="J234" s="135" t="s">
        <v>471</v>
      </c>
      <c r="K234" s="136">
        <v>11</v>
      </c>
      <c r="L234" s="137">
        <v>77</v>
      </c>
      <c r="M234" s="138">
        <f t="shared" si="38"/>
        <v>0</v>
      </c>
      <c r="N234" s="138">
        <f t="shared" si="232"/>
        <v>77</v>
      </c>
      <c r="O234" s="138"/>
      <c r="P234" s="138">
        <f t="shared" si="2"/>
        <v>847</v>
      </c>
      <c r="Q234" s="139">
        <f t="shared" si="3"/>
        <v>9.0909090909090912E-2</v>
      </c>
      <c r="R234" s="139">
        <f t="shared" si="74"/>
        <v>0</v>
      </c>
      <c r="S234" s="139">
        <f t="shared" si="35"/>
        <v>0</v>
      </c>
      <c r="T234" s="139">
        <f t="shared" si="61"/>
        <v>0.85</v>
      </c>
      <c r="U234" s="139">
        <f t="shared" si="233"/>
        <v>0.13</v>
      </c>
      <c r="V234" s="139">
        <f t="shared" si="231"/>
        <v>0.02</v>
      </c>
      <c r="W234" s="139">
        <f t="shared" si="217"/>
        <v>0</v>
      </c>
      <c r="X234" s="140">
        <f t="shared" si="9"/>
        <v>1</v>
      </c>
      <c r="Y234" s="141">
        <f t="shared" si="234"/>
        <v>-848</v>
      </c>
      <c r="Z234" s="142">
        <f t="shared" si="230"/>
        <v>-848</v>
      </c>
      <c r="AA234" s="143">
        <f t="shared" si="47"/>
        <v>0</v>
      </c>
      <c r="AB234" s="133">
        <v>44435</v>
      </c>
      <c r="AC234" s="144">
        <f t="shared" si="12"/>
        <v>1.181E-3</v>
      </c>
      <c r="AD234" s="145">
        <f t="shared" si="13"/>
        <v>44435</v>
      </c>
      <c r="AE234" s="146" t="s">
        <v>403</v>
      </c>
      <c r="AF234" s="119"/>
    </row>
    <row r="235" spans="1:32" ht="12" customHeight="1">
      <c r="A235" s="150">
        <v>44434</v>
      </c>
      <c r="B235" s="151" t="s">
        <v>557</v>
      </c>
      <c r="C235" s="151"/>
      <c r="D235" s="151"/>
      <c r="E235" s="151"/>
      <c r="F235" s="151"/>
      <c r="G235" s="151"/>
      <c r="H235" s="122" t="s">
        <v>446</v>
      </c>
      <c r="I235" s="121" t="s">
        <v>469</v>
      </c>
      <c r="J235" s="122" t="s">
        <v>471</v>
      </c>
      <c r="K235" s="123">
        <v>50</v>
      </c>
      <c r="L235" s="124">
        <v>20.65</v>
      </c>
      <c r="M235" s="125">
        <f t="shared" si="38"/>
        <v>0</v>
      </c>
      <c r="N235" s="125">
        <f t="shared" ref="N235:N238" si="235">L235-M235</f>
        <v>20.65</v>
      </c>
      <c r="O235" s="125"/>
      <c r="P235" s="125">
        <f t="shared" si="2"/>
        <v>1032.5</v>
      </c>
      <c r="Q235" s="126">
        <f t="shared" si="3"/>
        <v>2.1400000000000002E-2</v>
      </c>
      <c r="R235" s="126">
        <f t="shared" si="74"/>
        <v>0</v>
      </c>
      <c r="S235" s="126">
        <f t="shared" si="35"/>
        <v>0.01</v>
      </c>
      <c r="T235" s="126">
        <f t="shared" si="61"/>
        <v>1.03</v>
      </c>
      <c r="U235" s="126">
        <v>0</v>
      </c>
      <c r="V235" s="126">
        <f t="shared" si="231"/>
        <v>0.03</v>
      </c>
      <c r="W235" s="126">
        <f t="shared" si="217"/>
        <v>0</v>
      </c>
      <c r="X235" s="126">
        <f t="shared" si="9"/>
        <v>1.07</v>
      </c>
      <c r="Y235" s="127">
        <f t="shared" ref="Y235:Y238" si="236">ROUND(P235-SUM(R235:W235),2)</f>
        <v>1031.43</v>
      </c>
      <c r="Z235" s="128">
        <f t="shared" si="230"/>
        <v>1031</v>
      </c>
      <c r="AA235" s="129">
        <f t="shared" si="47"/>
        <v>-0.43000000000006366</v>
      </c>
      <c r="AB235" s="120">
        <v>44438</v>
      </c>
      <c r="AC235" s="130">
        <f t="shared" si="12"/>
        <v>1.036E-3</v>
      </c>
      <c r="AD235" s="131">
        <f t="shared" si="13"/>
        <v>44438</v>
      </c>
      <c r="AE235" s="132" t="s">
        <v>403</v>
      </c>
      <c r="AF235" s="119"/>
    </row>
    <row r="236" spans="1:32" ht="12" customHeight="1">
      <c r="A236" s="150">
        <v>44439</v>
      </c>
      <c r="B236" s="151" t="s">
        <v>482</v>
      </c>
      <c r="C236" s="151"/>
      <c r="D236" s="151"/>
      <c r="E236" s="151"/>
      <c r="F236" s="151"/>
      <c r="G236" s="151"/>
      <c r="H236" s="122" t="s">
        <v>446</v>
      </c>
      <c r="I236" s="121" t="s">
        <v>469</v>
      </c>
      <c r="J236" s="122" t="s">
        <v>471</v>
      </c>
      <c r="K236" s="123">
        <v>100</v>
      </c>
      <c r="L236" s="124">
        <v>90</v>
      </c>
      <c r="M236" s="125">
        <f t="shared" si="38"/>
        <v>0</v>
      </c>
      <c r="N236" s="125">
        <f t="shared" si="235"/>
        <v>90</v>
      </c>
      <c r="O236" s="125"/>
      <c r="P236" s="125">
        <f t="shared" si="2"/>
        <v>9000</v>
      </c>
      <c r="Q236" s="126">
        <f t="shared" si="3"/>
        <v>9.3100000000000002E-2</v>
      </c>
      <c r="R236" s="126">
        <f t="shared" si="74"/>
        <v>0</v>
      </c>
      <c r="S236" s="126">
        <f t="shared" si="35"/>
        <v>0.05</v>
      </c>
      <c r="T236" s="126">
        <f t="shared" si="61"/>
        <v>9</v>
      </c>
      <c r="U236" s="126">
        <v>0</v>
      </c>
      <c r="V236" s="126">
        <f t="shared" si="231"/>
        <v>0.25</v>
      </c>
      <c r="W236" s="126">
        <f t="shared" si="217"/>
        <v>0.01</v>
      </c>
      <c r="X236" s="126">
        <f t="shared" si="9"/>
        <v>9.31</v>
      </c>
      <c r="Y236" s="127">
        <f t="shared" si="236"/>
        <v>8990.69</v>
      </c>
      <c r="Z236" s="128">
        <f t="shared" si="230"/>
        <v>8991</v>
      </c>
      <c r="AA236" s="129">
        <f t="shared" si="47"/>
        <v>0.30999999999949068</v>
      </c>
      <c r="AB236" s="120">
        <v>44441</v>
      </c>
      <c r="AC236" s="130">
        <f t="shared" si="12"/>
        <v>1.034E-3</v>
      </c>
      <c r="AD236" s="131">
        <f t="shared" si="13"/>
        <v>44441</v>
      </c>
      <c r="AE236" s="132" t="s">
        <v>403</v>
      </c>
      <c r="AF236" s="119"/>
    </row>
    <row r="237" spans="1:32" ht="12" customHeight="1">
      <c r="A237" s="150">
        <v>44440</v>
      </c>
      <c r="B237" s="151" t="s">
        <v>550</v>
      </c>
      <c r="C237" s="151"/>
      <c r="D237" s="151"/>
      <c r="E237" s="151"/>
      <c r="F237" s="151"/>
      <c r="G237" s="151"/>
      <c r="H237" s="122" t="s">
        <v>446</v>
      </c>
      <c r="I237" s="121" t="s">
        <v>469</v>
      </c>
      <c r="J237" s="122" t="s">
        <v>471</v>
      </c>
      <c r="K237" s="123">
        <v>25</v>
      </c>
      <c r="L237" s="124">
        <v>323.05</v>
      </c>
      <c r="M237" s="125">
        <f t="shared" si="38"/>
        <v>0</v>
      </c>
      <c r="N237" s="125">
        <f t="shared" si="235"/>
        <v>323.05</v>
      </c>
      <c r="O237" s="125"/>
      <c r="P237" s="125">
        <f t="shared" si="2"/>
        <v>8076.25</v>
      </c>
      <c r="Q237" s="126">
        <f t="shared" si="3"/>
        <v>0.33399999999999996</v>
      </c>
      <c r="R237" s="126">
        <f t="shared" si="74"/>
        <v>0</v>
      </c>
      <c r="S237" s="126">
        <f t="shared" si="35"/>
        <v>0.04</v>
      </c>
      <c r="T237" s="126">
        <f t="shared" si="61"/>
        <v>8.08</v>
      </c>
      <c r="U237" s="126">
        <v>0</v>
      </c>
      <c r="V237" s="126">
        <f t="shared" si="231"/>
        <v>0.22</v>
      </c>
      <c r="W237" s="126">
        <f t="shared" si="217"/>
        <v>0.01</v>
      </c>
      <c r="X237" s="126">
        <f t="shared" si="9"/>
        <v>8.35</v>
      </c>
      <c r="Y237" s="127">
        <f t="shared" si="236"/>
        <v>8067.9</v>
      </c>
      <c r="Z237" s="128">
        <f t="shared" si="230"/>
        <v>8068</v>
      </c>
      <c r="AA237" s="129">
        <f t="shared" si="47"/>
        <v>0.1000000000003638</v>
      </c>
      <c r="AB237" s="120">
        <v>44442</v>
      </c>
      <c r="AC237" s="130">
        <f t="shared" si="12"/>
        <v>1.034E-3</v>
      </c>
      <c r="AD237" s="131">
        <f t="shared" si="13"/>
        <v>44442</v>
      </c>
      <c r="AE237" s="132" t="s">
        <v>403</v>
      </c>
      <c r="AF237" s="119"/>
    </row>
    <row r="238" spans="1:32" ht="12" customHeight="1">
      <c r="A238" s="150">
        <v>44440</v>
      </c>
      <c r="B238" s="151" t="s">
        <v>528</v>
      </c>
      <c r="C238" s="151"/>
      <c r="D238" s="151"/>
      <c r="E238" s="151"/>
      <c r="F238" s="151"/>
      <c r="G238" s="151"/>
      <c r="H238" s="122" t="s">
        <v>446</v>
      </c>
      <c r="I238" s="121" t="s">
        <v>469</v>
      </c>
      <c r="J238" s="122" t="s">
        <v>471</v>
      </c>
      <c r="K238" s="123">
        <v>500</v>
      </c>
      <c r="L238" s="124">
        <v>7.8299000000000003</v>
      </c>
      <c r="M238" s="125">
        <f t="shared" si="38"/>
        <v>0</v>
      </c>
      <c r="N238" s="125">
        <f t="shared" si="235"/>
        <v>7.8299000000000003</v>
      </c>
      <c r="O238" s="125"/>
      <c r="P238" s="125">
        <f t="shared" si="2"/>
        <v>3914.95</v>
      </c>
      <c r="Q238" s="126">
        <f t="shared" si="3"/>
        <v>8.0800000000000004E-3</v>
      </c>
      <c r="R238" s="126">
        <f t="shared" si="74"/>
        <v>0</v>
      </c>
      <c r="S238" s="126">
        <f t="shared" si="35"/>
        <v>0.02</v>
      </c>
      <c r="T238" s="126">
        <f t="shared" si="61"/>
        <v>3.91</v>
      </c>
      <c r="U238" s="126">
        <v>0</v>
      </c>
      <c r="V238" s="126">
        <f t="shared" si="231"/>
        <v>0.11</v>
      </c>
      <c r="W238" s="126">
        <f t="shared" si="217"/>
        <v>0</v>
      </c>
      <c r="X238" s="126">
        <f t="shared" si="9"/>
        <v>4.04</v>
      </c>
      <c r="Y238" s="127">
        <f t="shared" si="236"/>
        <v>3910.91</v>
      </c>
      <c r="Z238" s="128">
        <f t="shared" si="230"/>
        <v>3911</v>
      </c>
      <c r="AA238" s="129">
        <f t="shared" si="47"/>
        <v>9.0000000000145519E-2</v>
      </c>
      <c r="AB238" s="120">
        <v>44442</v>
      </c>
      <c r="AC238" s="130">
        <f t="shared" si="12"/>
        <v>1.0319999999999999E-3</v>
      </c>
      <c r="AD238" s="131">
        <f t="shared" si="13"/>
        <v>44442</v>
      </c>
      <c r="AE238" s="132" t="s">
        <v>403</v>
      </c>
      <c r="AF238" s="119"/>
    </row>
    <row r="239" spans="1:32" ht="12" customHeight="1">
      <c r="A239" s="148">
        <v>44441</v>
      </c>
      <c r="B239" s="149" t="s">
        <v>460</v>
      </c>
      <c r="C239" s="149"/>
      <c r="D239" s="149"/>
      <c r="E239" s="149"/>
      <c r="F239" s="149"/>
      <c r="G239" s="149"/>
      <c r="H239" s="135" t="s">
        <v>453</v>
      </c>
      <c r="I239" s="134" t="s">
        <v>469</v>
      </c>
      <c r="J239" s="135" t="s">
        <v>471</v>
      </c>
      <c r="K239" s="136">
        <v>5</v>
      </c>
      <c r="L239" s="137">
        <v>2275</v>
      </c>
      <c r="M239" s="138">
        <f t="shared" si="38"/>
        <v>0</v>
      </c>
      <c r="N239" s="138">
        <f t="shared" ref="N239:N240" si="237">L239+M239</f>
        <v>2275</v>
      </c>
      <c r="O239" s="138"/>
      <c r="P239" s="138">
        <f t="shared" si="2"/>
        <v>11375</v>
      </c>
      <c r="Q239" s="139">
        <f t="shared" si="3"/>
        <v>2.7120000000000002</v>
      </c>
      <c r="R239" s="139">
        <f t="shared" si="74"/>
        <v>0</v>
      </c>
      <c r="S239" s="139">
        <f t="shared" si="35"/>
        <v>7.0000000000000007E-2</v>
      </c>
      <c r="T239" s="139">
        <f t="shared" si="61"/>
        <v>11.38</v>
      </c>
      <c r="U239" s="139">
        <f t="shared" ref="U239:U240" si="238">ROUND(P239*K$1812,2)</f>
        <v>1.71</v>
      </c>
      <c r="V239" s="139">
        <f t="shared" ref="V239:V244" si="239">ROUND(P239*M$1809,2)</f>
        <v>0.39</v>
      </c>
      <c r="W239" s="139">
        <f t="shared" si="217"/>
        <v>0.01</v>
      </c>
      <c r="X239" s="140">
        <f t="shared" si="9"/>
        <v>13.56</v>
      </c>
      <c r="Y239" s="141">
        <f t="shared" ref="Y239:Y240" si="240">-ROUND(P239+SUM(R239:W239),2)</f>
        <v>-11388.56</v>
      </c>
      <c r="Z239" s="142">
        <f t="shared" si="230"/>
        <v>-11389</v>
      </c>
      <c r="AA239" s="143">
        <f t="shared" si="47"/>
        <v>-0.44000000000050932</v>
      </c>
      <c r="AB239" s="133">
        <v>44445</v>
      </c>
      <c r="AC239" s="144">
        <f t="shared" si="12"/>
        <v>1.1919999999999999E-3</v>
      </c>
      <c r="AD239" s="145">
        <f t="shared" si="13"/>
        <v>44445</v>
      </c>
      <c r="AE239" s="146" t="s">
        <v>403</v>
      </c>
      <c r="AF239" s="119"/>
    </row>
    <row r="240" spans="1:32" ht="12" customHeight="1">
      <c r="A240" s="148">
        <v>44441</v>
      </c>
      <c r="B240" s="149" t="s">
        <v>561</v>
      </c>
      <c r="C240" s="149"/>
      <c r="D240" s="149"/>
      <c r="E240" s="149"/>
      <c r="F240" s="149"/>
      <c r="G240" s="149"/>
      <c r="H240" s="135" t="s">
        <v>453</v>
      </c>
      <c r="I240" s="134" t="s">
        <v>469</v>
      </c>
      <c r="J240" s="135" t="s">
        <v>471</v>
      </c>
      <c r="K240" s="136">
        <v>20</v>
      </c>
      <c r="L240" s="137">
        <v>495.5</v>
      </c>
      <c r="M240" s="138">
        <f t="shared" si="38"/>
        <v>0</v>
      </c>
      <c r="N240" s="138">
        <f t="shared" si="237"/>
        <v>495.5</v>
      </c>
      <c r="O240" s="138"/>
      <c r="P240" s="138">
        <f t="shared" si="2"/>
        <v>9910</v>
      </c>
      <c r="Q240" s="139">
        <f t="shared" si="3"/>
        <v>0.59050000000000002</v>
      </c>
      <c r="R240" s="139">
        <f t="shared" si="74"/>
        <v>0</v>
      </c>
      <c r="S240" s="139">
        <f t="shared" si="35"/>
        <v>0.06</v>
      </c>
      <c r="T240" s="139">
        <f t="shared" si="61"/>
        <v>9.91</v>
      </c>
      <c r="U240" s="139">
        <f t="shared" si="238"/>
        <v>1.49</v>
      </c>
      <c r="V240" s="139">
        <f t="shared" si="239"/>
        <v>0.34</v>
      </c>
      <c r="W240" s="139">
        <f t="shared" si="217"/>
        <v>0.01</v>
      </c>
      <c r="X240" s="140">
        <f t="shared" si="9"/>
        <v>11.81</v>
      </c>
      <c r="Y240" s="141">
        <f t="shared" si="240"/>
        <v>-9921.81</v>
      </c>
      <c r="Z240" s="142">
        <f t="shared" si="230"/>
        <v>-9922</v>
      </c>
      <c r="AA240" s="143">
        <f t="shared" si="47"/>
        <v>-0.19000000000050932</v>
      </c>
      <c r="AB240" s="133">
        <v>44445</v>
      </c>
      <c r="AC240" s="144">
        <f t="shared" si="12"/>
        <v>1.1919999999999999E-3</v>
      </c>
      <c r="AD240" s="145">
        <f t="shared" si="13"/>
        <v>44445</v>
      </c>
      <c r="AE240" s="146" t="s">
        <v>403</v>
      </c>
      <c r="AF240" s="119"/>
    </row>
    <row r="241" spans="1:32" ht="12" customHeight="1">
      <c r="A241" s="150">
        <v>44442</v>
      </c>
      <c r="B241" s="151" t="s">
        <v>460</v>
      </c>
      <c r="C241" s="151"/>
      <c r="D241" s="151"/>
      <c r="E241" s="151"/>
      <c r="F241" s="151"/>
      <c r="G241" s="151"/>
      <c r="H241" s="122" t="s">
        <v>446</v>
      </c>
      <c r="I241" s="121" t="s">
        <v>469</v>
      </c>
      <c r="J241" s="122" t="s">
        <v>471</v>
      </c>
      <c r="K241" s="123">
        <v>5</v>
      </c>
      <c r="L241" s="124">
        <v>2389.5</v>
      </c>
      <c r="M241" s="125">
        <f t="shared" si="38"/>
        <v>0</v>
      </c>
      <c r="N241" s="125">
        <f t="shared" ref="N241:N242" si="241">L241-M241</f>
        <v>2389.5</v>
      </c>
      <c r="O241" s="125"/>
      <c r="P241" s="125">
        <f t="shared" si="2"/>
        <v>11947.5</v>
      </c>
      <c r="Q241" s="126">
        <f t="shared" si="3"/>
        <v>2.488</v>
      </c>
      <c r="R241" s="126">
        <f t="shared" si="74"/>
        <v>0</v>
      </c>
      <c r="S241" s="126">
        <f t="shared" si="35"/>
        <v>7.0000000000000007E-2</v>
      </c>
      <c r="T241" s="126">
        <f t="shared" si="61"/>
        <v>11.95</v>
      </c>
      <c r="U241" s="126">
        <v>0</v>
      </c>
      <c r="V241" s="126">
        <f t="shared" si="239"/>
        <v>0.41</v>
      </c>
      <c r="W241" s="126">
        <f t="shared" si="217"/>
        <v>0.01</v>
      </c>
      <c r="X241" s="126">
        <f t="shared" si="9"/>
        <v>12.44</v>
      </c>
      <c r="Y241" s="127">
        <f t="shared" ref="Y241:Y242" si="242">ROUND(P241-SUM(R241:W241),2)</f>
        <v>11935.06</v>
      </c>
      <c r="Z241" s="128">
        <f t="shared" si="230"/>
        <v>11935</v>
      </c>
      <c r="AA241" s="129">
        <f t="shared" si="47"/>
        <v>-5.9999999999490683E-2</v>
      </c>
      <c r="AB241" s="120">
        <v>44446</v>
      </c>
      <c r="AC241" s="130">
        <f t="shared" si="12"/>
        <v>1.041E-3</v>
      </c>
      <c r="AD241" s="131">
        <f t="shared" si="13"/>
        <v>44446</v>
      </c>
      <c r="AE241" s="132" t="s">
        <v>403</v>
      </c>
      <c r="AF241" s="119"/>
    </row>
    <row r="242" spans="1:32" ht="12" customHeight="1">
      <c r="A242" s="150">
        <v>44445</v>
      </c>
      <c r="B242" s="151" t="s">
        <v>560</v>
      </c>
      <c r="C242" s="151"/>
      <c r="D242" s="151"/>
      <c r="E242" s="151"/>
      <c r="F242" s="151"/>
      <c r="G242" s="151"/>
      <c r="H242" s="122" t="s">
        <v>446</v>
      </c>
      <c r="I242" s="121" t="s">
        <v>469</v>
      </c>
      <c r="J242" s="122" t="s">
        <v>471</v>
      </c>
      <c r="K242" s="123">
        <v>11</v>
      </c>
      <c r="L242" s="124">
        <v>103.15</v>
      </c>
      <c r="M242" s="125">
        <f t="shared" si="38"/>
        <v>0</v>
      </c>
      <c r="N242" s="125">
        <f t="shared" si="241"/>
        <v>103.15</v>
      </c>
      <c r="O242" s="125"/>
      <c r="P242" s="125">
        <f t="shared" si="2"/>
        <v>1134.6500000000001</v>
      </c>
      <c r="Q242" s="126">
        <f t="shared" si="3"/>
        <v>0.10727272727272727</v>
      </c>
      <c r="R242" s="126">
        <f t="shared" si="74"/>
        <v>0</v>
      </c>
      <c r="S242" s="126">
        <f t="shared" si="35"/>
        <v>0.01</v>
      </c>
      <c r="T242" s="126">
        <f t="shared" si="61"/>
        <v>1.1299999999999999</v>
      </c>
      <c r="U242" s="126">
        <v>0</v>
      </c>
      <c r="V242" s="126">
        <f t="shared" si="239"/>
        <v>0.04</v>
      </c>
      <c r="W242" s="126">
        <f t="shared" si="217"/>
        <v>0</v>
      </c>
      <c r="X242" s="126">
        <f t="shared" si="9"/>
        <v>1.18</v>
      </c>
      <c r="Y242" s="127">
        <f t="shared" si="242"/>
        <v>1133.47</v>
      </c>
      <c r="Z242" s="128">
        <f t="shared" si="230"/>
        <v>1133</v>
      </c>
      <c r="AA242" s="129">
        <f t="shared" si="47"/>
        <v>-0.47000000000002728</v>
      </c>
      <c r="AB242" s="120">
        <v>44447</v>
      </c>
      <c r="AC242" s="130">
        <f t="shared" si="12"/>
        <v>1.0399999999999999E-3</v>
      </c>
      <c r="AD242" s="131">
        <f t="shared" si="13"/>
        <v>44447</v>
      </c>
      <c r="AE242" s="132" t="s">
        <v>403</v>
      </c>
      <c r="AF242" s="119"/>
    </row>
    <row r="243" spans="1:32" ht="12" customHeight="1">
      <c r="A243" s="148">
        <v>44445</v>
      </c>
      <c r="B243" s="149" t="s">
        <v>484</v>
      </c>
      <c r="C243" s="149"/>
      <c r="D243" s="149"/>
      <c r="E243" s="149"/>
      <c r="F243" s="149"/>
      <c r="G243" s="149"/>
      <c r="H243" s="135" t="s">
        <v>453</v>
      </c>
      <c r="I243" s="134" t="s">
        <v>469</v>
      </c>
      <c r="J243" s="135" t="s">
        <v>471</v>
      </c>
      <c r="K243" s="136">
        <v>2</v>
      </c>
      <c r="L243" s="137">
        <v>7546</v>
      </c>
      <c r="M243" s="138">
        <f t="shared" si="38"/>
        <v>0</v>
      </c>
      <c r="N243" s="138">
        <f t="shared" ref="N243:N244" si="243">L243+M243</f>
        <v>7546</v>
      </c>
      <c r="O243" s="138"/>
      <c r="P243" s="138">
        <f t="shared" si="2"/>
        <v>15092</v>
      </c>
      <c r="Q243" s="139">
        <f t="shared" si="3"/>
        <v>8.9899999999999984</v>
      </c>
      <c r="R243" s="139">
        <f t="shared" si="74"/>
        <v>0</v>
      </c>
      <c r="S243" s="139">
        <f t="shared" si="35"/>
        <v>0.09</v>
      </c>
      <c r="T243" s="139">
        <f t="shared" si="61"/>
        <v>15.09</v>
      </c>
      <c r="U243" s="139">
        <f t="shared" ref="U243:U244" si="244">ROUND(P243*K$1812,2)</f>
        <v>2.2599999999999998</v>
      </c>
      <c r="V243" s="139">
        <f t="shared" si="239"/>
        <v>0.52</v>
      </c>
      <c r="W243" s="139">
        <f t="shared" si="217"/>
        <v>0.02</v>
      </c>
      <c r="X243" s="140">
        <f t="shared" si="9"/>
        <v>17.979999999999997</v>
      </c>
      <c r="Y243" s="141">
        <f t="shared" ref="Y243:Y244" si="245">-ROUND(P243+SUM(R243:W243),2)</f>
        <v>-15109.98</v>
      </c>
      <c r="Z243" s="142">
        <f t="shared" si="230"/>
        <v>-15110</v>
      </c>
      <c r="AA243" s="143">
        <f t="shared" si="47"/>
        <v>-2.0000000000436557E-2</v>
      </c>
      <c r="AB243" s="133">
        <v>44447</v>
      </c>
      <c r="AC243" s="144">
        <f t="shared" si="12"/>
        <v>1.191E-3</v>
      </c>
      <c r="AD243" s="145">
        <f t="shared" si="13"/>
        <v>44447</v>
      </c>
      <c r="AE243" s="146" t="s">
        <v>403</v>
      </c>
      <c r="AF243" s="119"/>
    </row>
    <row r="244" spans="1:32" ht="12" customHeight="1">
      <c r="A244" s="148">
        <v>44445</v>
      </c>
      <c r="B244" s="149" t="s">
        <v>562</v>
      </c>
      <c r="C244" s="149"/>
      <c r="D244" s="149"/>
      <c r="E244" s="149"/>
      <c r="F244" s="149"/>
      <c r="G244" s="149"/>
      <c r="H244" s="135" t="s">
        <v>453</v>
      </c>
      <c r="I244" s="134" t="s">
        <v>469</v>
      </c>
      <c r="J244" s="135" t="s">
        <v>471</v>
      </c>
      <c r="K244" s="136">
        <v>5</v>
      </c>
      <c r="L244" s="137">
        <v>1210</v>
      </c>
      <c r="M244" s="138">
        <f t="shared" si="38"/>
        <v>0</v>
      </c>
      <c r="N244" s="138">
        <f t="shared" si="243"/>
        <v>1210</v>
      </c>
      <c r="O244" s="138"/>
      <c r="P244" s="138">
        <f t="shared" si="2"/>
        <v>6050</v>
      </c>
      <c r="Q244" s="139">
        <f t="shared" si="3"/>
        <v>1.444</v>
      </c>
      <c r="R244" s="139">
        <f t="shared" si="74"/>
        <v>0</v>
      </c>
      <c r="S244" s="139">
        <f t="shared" si="35"/>
        <v>0.04</v>
      </c>
      <c r="T244" s="139">
        <f t="shared" si="61"/>
        <v>6.05</v>
      </c>
      <c r="U244" s="139">
        <f t="shared" si="244"/>
        <v>0.91</v>
      </c>
      <c r="V244" s="139">
        <f t="shared" si="239"/>
        <v>0.21</v>
      </c>
      <c r="W244" s="139">
        <f t="shared" si="217"/>
        <v>0.01</v>
      </c>
      <c r="X244" s="140">
        <f t="shared" si="9"/>
        <v>7.22</v>
      </c>
      <c r="Y244" s="141">
        <f t="shared" si="245"/>
        <v>-6057.22</v>
      </c>
      <c r="Z244" s="142">
        <f t="shared" si="230"/>
        <v>-6057</v>
      </c>
      <c r="AA244" s="143">
        <f t="shared" si="47"/>
        <v>0.22000000000025466</v>
      </c>
      <c r="AB244" s="133">
        <v>44447</v>
      </c>
      <c r="AC244" s="144">
        <f t="shared" si="12"/>
        <v>1.193E-3</v>
      </c>
      <c r="AD244" s="145">
        <f t="shared" si="13"/>
        <v>44447</v>
      </c>
      <c r="AE244" s="146" t="s">
        <v>403</v>
      </c>
      <c r="AF244" s="119"/>
    </row>
    <row r="245" spans="1:32" ht="12" customHeight="1">
      <c r="A245" s="150">
        <v>44452</v>
      </c>
      <c r="B245" s="151" t="s">
        <v>486</v>
      </c>
      <c r="C245" s="151"/>
      <c r="D245" s="151"/>
      <c r="E245" s="151"/>
      <c r="F245" s="151"/>
      <c r="G245" s="151"/>
      <c r="H245" s="122" t="s">
        <v>446</v>
      </c>
      <c r="I245" s="121" t="s">
        <v>469</v>
      </c>
      <c r="J245" s="122" t="s">
        <v>471</v>
      </c>
      <c r="K245" s="123">
        <v>50</v>
      </c>
      <c r="L245" s="124">
        <v>582</v>
      </c>
      <c r="M245" s="125">
        <f t="shared" si="38"/>
        <v>0</v>
      </c>
      <c r="N245" s="125">
        <f>L245-M245</f>
        <v>582</v>
      </c>
      <c r="O245" s="125"/>
      <c r="P245" s="125">
        <f t="shared" si="2"/>
        <v>29100</v>
      </c>
      <c r="Q245" s="126">
        <f t="shared" si="3"/>
        <v>0.60140000000000005</v>
      </c>
      <c r="R245" s="126">
        <f t="shared" si="74"/>
        <v>0</v>
      </c>
      <c r="S245" s="126">
        <f t="shared" si="35"/>
        <v>0.14000000000000001</v>
      </c>
      <c r="T245" s="126">
        <f t="shared" si="61"/>
        <v>29.1</v>
      </c>
      <c r="U245" s="126">
        <v>0</v>
      </c>
      <c r="V245" s="126">
        <f t="shared" ref="V245:V253" si="246">ROUND(P245*L$1809,2)</f>
        <v>0.8</v>
      </c>
      <c r="W245" s="126">
        <f t="shared" si="217"/>
        <v>0.03</v>
      </c>
      <c r="X245" s="126">
        <f t="shared" si="9"/>
        <v>30.070000000000004</v>
      </c>
      <c r="Y245" s="127">
        <f>ROUND(P245-SUM(R245:W245),2)</f>
        <v>29069.93</v>
      </c>
      <c r="Z245" s="128">
        <f t="shared" si="230"/>
        <v>29070</v>
      </c>
      <c r="AA245" s="129">
        <f t="shared" si="47"/>
        <v>6.9999999999708962E-2</v>
      </c>
      <c r="AB245" s="120">
        <v>44454</v>
      </c>
      <c r="AC245" s="130">
        <f t="shared" si="12"/>
        <v>1.0330000000000001E-3</v>
      </c>
      <c r="AD245" s="131">
        <f t="shared" si="13"/>
        <v>44454</v>
      </c>
      <c r="AE245" s="132" t="s">
        <v>403</v>
      </c>
      <c r="AF245" s="119"/>
    </row>
    <row r="246" spans="1:32" ht="12" customHeight="1">
      <c r="A246" s="148">
        <v>44452</v>
      </c>
      <c r="B246" s="149" t="s">
        <v>460</v>
      </c>
      <c r="C246" s="149"/>
      <c r="D246" s="149"/>
      <c r="E246" s="149"/>
      <c r="F246" s="149"/>
      <c r="G246" s="149"/>
      <c r="H246" s="135" t="s">
        <v>453</v>
      </c>
      <c r="I246" s="134" t="s">
        <v>469</v>
      </c>
      <c r="J246" s="135" t="s">
        <v>471</v>
      </c>
      <c r="K246" s="136">
        <v>2</v>
      </c>
      <c r="L246" s="137">
        <v>2376</v>
      </c>
      <c r="M246" s="138">
        <f t="shared" si="38"/>
        <v>0</v>
      </c>
      <c r="N246" s="138">
        <f t="shared" ref="N246:N249" si="247">L246+M246</f>
        <v>2376</v>
      </c>
      <c r="O246" s="138"/>
      <c r="P246" s="138">
        <f t="shared" si="2"/>
        <v>4752</v>
      </c>
      <c r="Q246" s="139">
        <f t="shared" si="3"/>
        <v>2.8049999999999997</v>
      </c>
      <c r="R246" s="139">
        <f t="shared" si="74"/>
        <v>0</v>
      </c>
      <c r="S246" s="139">
        <f t="shared" si="35"/>
        <v>0.02</v>
      </c>
      <c r="T246" s="139">
        <f t="shared" si="61"/>
        <v>4.75</v>
      </c>
      <c r="U246" s="139">
        <f t="shared" ref="U246:U249" si="248">ROUND(P246*K$1812,2)</f>
        <v>0.71</v>
      </c>
      <c r="V246" s="139">
        <f t="shared" si="246"/>
        <v>0.13</v>
      </c>
      <c r="W246" s="139">
        <f t="shared" si="217"/>
        <v>0</v>
      </c>
      <c r="X246" s="140">
        <f t="shared" si="9"/>
        <v>5.6099999999999994</v>
      </c>
      <c r="Y246" s="141">
        <f t="shared" ref="Y246:Y249" si="249">-ROUND(P246+SUM(R246:W246),2)</f>
        <v>-4757.6099999999997</v>
      </c>
      <c r="Z246" s="142">
        <f t="shared" si="230"/>
        <v>-4758</v>
      </c>
      <c r="AA246" s="143">
        <f t="shared" si="47"/>
        <v>-0.39000000000032742</v>
      </c>
      <c r="AB246" s="133">
        <v>44454</v>
      </c>
      <c r="AC246" s="144">
        <f t="shared" si="12"/>
        <v>1.181E-3</v>
      </c>
      <c r="AD246" s="145">
        <f t="shared" si="13"/>
        <v>44454</v>
      </c>
      <c r="AE246" s="146" t="s">
        <v>403</v>
      </c>
      <c r="AF246" s="119"/>
    </row>
    <row r="247" spans="1:32" ht="12" customHeight="1">
      <c r="A247" s="148">
        <v>44452</v>
      </c>
      <c r="B247" s="149" t="s">
        <v>563</v>
      </c>
      <c r="C247" s="149"/>
      <c r="D247" s="149"/>
      <c r="E247" s="149"/>
      <c r="F247" s="149"/>
      <c r="G247" s="149"/>
      <c r="H247" s="135" t="s">
        <v>453</v>
      </c>
      <c r="I247" s="134" t="s">
        <v>469</v>
      </c>
      <c r="J247" s="135" t="s">
        <v>471</v>
      </c>
      <c r="K247" s="136">
        <v>3</v>
      </c>
      <c r="L247" s="137">
        <v>207</v>
      </c>
      <c r="M247" s="138">
        <f t="shared" si="38"/>
        <v>0</v>
      </c>
      <c r="N247" s="138">
        <f t="shared" si="247"/>
        <v>207</v>
      </c>
      <c r="O247" s="138"/>
      <c r="P247" s="138">
        <f t="shared" si="2"/>
        <v>621</v>
      </c>
      <c r="Q247" s="139">
        <f t="shared" si="3"/>
        <v>0.24333333333333332</v>
      </c>
      <c r="R247" s="139">
        <f t="shared" si="74"/>
        <v>0</v>
      </c>
      <c r="S247" s="139">
        <f t="shared" si="35"/>
        <v>0</v>
      </c>
      <c r="T247" s="139">
        <f t="shared" si="61"/>
        <v>0.62</v>
      </c>
      <c r="U247" s="139">
        <f t="shared" si="248"/>
        <v>0.09</v>
      </c>
      <c r="V247" s="139">
        <f t="shared" si="246"/>
        <v>0.02</v>
      </c>
      <c r="W247" s="139">
        <f t="shared" si="217"/>
        <v>0</v>
      </c>
      <c r="X247" s="140">
        <f t="shared" si="9"/>
        <v>0.73</v>
      </c>
      <c r="Y247" s="141">
        <f t="shared" si="249"/>
        <v>-621.73</v>
      </c>
      <c r="Z247" s="142">
        <f t="shared" si="230"/>
        <v>-622</v>
      </c>
      <c r="AA247" s="143">
        <f t="shared" si="47"/>
        <v>-0.26999999999998181</v>
      </c>
      <c r="AB247" s="133">
        <v>44454</v>
      </c>
      <c r="AC247" s="144">
        <f t="shared" si="12"/>
        <v>1.176E-3</v>
      </c>
      <c r="AD247" s="145">
        <f t="shared" si="13"/>
        <v>44454</v>
      </c>
      <c r="AE247" s="146" t="s">
        <v>403</v>
      </c>
      <c r="AF247" s="119"/>
    </row>
    <row r="248" spans="1:32" ht="12" customHeight="1">
      <c r="A248" s="148">
        <v>44454</v>
      </c>
      <c r="B248" s="149" t="s">
        <v>563</v>
      </c>
      <c r="C248" s="149"/>
      <c r="D248" s="149"/>
      <c r="E248" s="149"/>
      <c r="F248" s="149"/>
      <c r="G248" s="149"/>
      <c r="H248" s="135" t="s">
        <v>453</v>
      </c>
      <c r="I248" s="134" t="s">
        <v>469</v>
      </c>
      <c r="J248" s="135" t="s">
        <v>471</v>
      </c>
      <c r="K248" s="136">
        <v>17</v>
      </c>
      <c r="L248" s="137">
        <v>220</v>
      </c>
      <c r="M248" s="138">
        <f t="shared" si="38"/>
        <v>0</v>
      </c>
      <c r="N248" s="138">
        <f t="shared" si="247"/>
        <v>220</v>
      </c>
      <c r="O248" s="138"/>
      <c r="P248" s="138">
        <f t="shared" si="2"/>
        <v>3740</v>
      </c>
      <c r="Q248" s="139">
        <f t="shared" si="3"/>
        <v>0.26</v>
      </c>
      <c r="R248" s="139">
        <f t="shared" si="74"/>
        <v>0</v>
      </c>
      <c r="S248" s="139">
        <f t="shared" si="35"/>
        <v>0.02</v>
      </c>
      <c r="T248" s="139">
        <f t="shared" si="61"/>
        <v>3.74</v>
      </c>
      <c r="U248" s="139">
        <f t="shared" si="248"/>
        <v>0.56000000000000005</v>
      </c>
      <c r="V248" s="139">
        <f t="shared" si="246"/>
        <v>0.1</v>
      </c>
      <c r="W248" s="139">
        <f t="shared" si="217"/>
        <v>0</v>
      </c>
      <c r="X248" s="140">
        <f t="shared" si="9"/>
        <v>4.42</v>
      </c>
      <c r="Y248" s="141">
        <f t="shared" si="249"/>
        <v>-3744.42</v>
      </c>
      <c r="Z248" s="142">
        <f t="shared" si="230"/>
        <v>-3744</v>
      </c>
      <c r="AA248" s="143">
        <f t="shared" si="47"/>
        <v>0.42000000000007276</v>
      </c>
      <c r="AB248" s="133">
        <v>44456</v>
      </c>
      <c r="AC248" s="144">
        <f t="shared" si="12"/>
        <v>1.1820000000000001E-3</v>
      </c>
      <c r="AD248" s="145">
        <f t="shared" si="13"/>
        <v>44456</v>
      </c>
      <c r="AE248" s="146" t="s">
        <v>403</v>
      </c>
      <c r="AF248" s="119"/>
    </row>
    <row r="249" spans="1:32" ht="12" customHeight="1">
      <c r="A249" s="148">
        <v>44454</v>
      </c>
      <c r="B249" s="149" t="s">
        <v>564</v>
      </c>
      <c r="C249" s="149"/>
      <c r="D249" s="149"/>
      <c r="E249" s="149"/>
      <c r="F249" s="149"/>
      <c r="G249" s="149"/>
      <c r="H249" s="135" t="s">
        <v>453</v>
      </c>
      <c r="I249" s="134" t="s">
        <v>469</v>
      </c>
      <c r="J249" s="135" t="s">
        <v>471</v>
      </c>
      <c r="K249" s="136">
        <v>100</v>
      </c>
      <c r="L249" s="137">
        <v>73.5</v>
      </c>
      <c r="M249" s="138">
        <f t="shared" si="38"/>
        <v>0</v>
      </c>
      <c r="N249" s="138">
        <f t="shared" si="247"/>
        <v>73.5</v>
      </c>
      <c r="O249" s="138"/>
      <c r="P249" s="138">
        <f t="shared" si="2"/>
        <v>7350</v>
      </c>
      <c r="Q249" s="139">
        <f t="shared" si="3"/>
        <v>8.6999999999999994E-2</v>
      </c>
      <c r="R249" s="139">
        <f t="shared" si="74"/>
        <v>0</v>
      </c>
      <c r="S249" s="139">
        <f t="shared" si="35"/>
        <v>0.04</v>
      </c>
      <c r="T249" s="139">
        <f t="shared" si="61"/>
        <v>7.35</v>
      </c>
      <c r="U249" s="139">
        <f t="shared" si="248"/>
        <v>1.1000000000000001</v>
      </c>
      <c r="V249" s="139">
        <f t="shared" si="246"/>
        <v>0.2</v>
      </c>
      <c r="W249" s="139">
        <f t="shared" si="217"/>
        <v>0.01</v>
      </c>
      <c r="X249" s="140">
        <f t="shared" si="9"/>
        <v>8.6999999999999993</v>
      </c>
      <c r="Y249" s="141">
        <f t="shared" si="249"/>
        <v>-7358.7</v>
      </c>
      <c r="Z249" s="142">
        <f t="shared" si="230"/>
        <v>-7359</v>
      </c>
      <c r="AA249" s="143">
        <f t="shared" si="47"/>
        <v>-0.3000000000001819</v>
      </c>
      <c r="AB249" s="133">
        <v>44456</v>
      </c>
      <c r="AC249" s="144">
        <f t="shared" si="12"/>
        <v>1.1839999999999999E-3</v>
      </c>
      <c r="AD249" s="145">
        <f t="shared" si="13"/>
        <v>44456</v>
      </c>
      <c r="AE249" s="146" t="s">
        <v>403</v>
      </c>
      <c r="AF249" s="119"/>
    </row>
    <row r="250" spans="1:32" ht="12" customHeight="1">
      <c r="A250" s="150">
        <v>44454</v>
      </c>
      <c r="B250" s="151" t="s">
        <v>479</v>
      </c>
      <c r="C250" s="151"/>
      <c r="D250" s="151"/>
      <c r="E250" s="151"/>
      <c r="F250" s="151"/>
      <c r="G250" s="151"/>
      <c r="H250" s="122" t="s">
        <v>446</v>
      </c>
      <c r="I250" s="121" t="s">
        <v>469</v>
      </c>
      <c r="J250" s="122" t="s">
        <v>471</v>
      </c>
      <c r="K250" s="123">
        <v>10</v>
      </c>
      <c r="L250" s="124">
        <v>440.4</v>
      </c>
      <c r="M250" s="125">
        <f t="shared" si="38"/>
        <v>0</v>
      </c>
      <c r="N250" s="125">
        <f t="shared" ref="N250:N252" si="250">L250-M250</f>
        <v>440.4</v>
      </c>
      <c r="O250" s="125"/>
      <c r="P250" s="125">
        <f t="shared" si="2"/>
        <v>4404</v>
      </c>
      <c r="Q250" s="126">
        <f t="shared" si="3"/>
        <v>0.45400000000000001</v>
      </c>
      <c r="R250" s="126">
        <f t="shared" si="74"/>
        <v>0</v>
      </c>
      <c r="S250" s="126">
        <f t="shared" si="35"/>
        <v>0.02</v>
      </c>
      <c r="T250" s="126">
        <f t="shared" si="61"/>
        <v>4.4000000000000004</v>
      </c>
      <c r="U250" s="126">
        <v>0</v>
      </c>
      <c r="V250" s="126">
        <f t="shared" si="246"/>
        <v>0.12</v>
      </c>
      <c r="W250" s="126">
        <f t="shared" si="217"/>
        <v>0</v>
      </c>
      <c r="X250" s="126">
        <f t="shared" si="9"/>
        <v>4.54</v>
      </c>
      <c r="Y250" s="127">
        <f t="shared" ref="Y250:Y252" si="251">ROUND(P250-SUM(R250:W250),2)</f>
        <v>4399.46</v>
      </c>
      <c r="Z250" s="128">
        <f t="shared" si="230"/>
        <v>4399</v>
      </c>
      <c r="AA250" s="129">
        <f t="shared" si="47"/>
        <v>-0.46000000000003638</v>
      </c>
      <c r="AB250" s="120">
        <v>44456</v>
      </c>
      <c r="AC250" s="130">
        <f t="shared" si="12"/>
        <v>1.031E-3</v>
      </c>
      <c r="AD250" s="131">
        <f t="shared" si="13"/>
        <v>44456</v>
      </c>
      <c r="AE250" s="132" t="s">
        <v>403</v>
      </c>
      <c r="AF250" s="119"/>
    </row>
    <row r="251" spans="1:32" ht="12" customHeight="1">
      <c r="A251" s="150">
        <v>44455</v>
      </c>
      <c r="B251" s="151" t="s">
        <v>507</v>
      </c>
      <c r="C251" s="151"/>
      <c r="D251" s="151"/>
      <c r="E251" s="151"/>
      <c r="F251" s="151"/>
      <c r="G251" s="151"/>
      <c r="H251" s="122" t="s">
        <v>446</v>
      </c>
      <c r="I251" s="121" t="s">
        <v>469</v>
      </c>
      <c r="J251" s="122" t="s">
        <v>471</v>
      </c>
      <c r="K251" s="123">
        <v>4000</v>
      </c>
      <c r="L251" s="124">
        <v>10.7</v>
      </c>
      <c r="M251" s="125">
        <f t="shared" si="38"/>
        <v>0</v>
      </c>
      <c r="N251" s="125">
        <f t="shared" si="250"/>
        <v>10.7</v>
      </c>
      <c r="O251" s="125"/>
      <c r="P251" s="125">
        <f t="shared" si="2"/>
        <v>42800</v>
      </c>
      <c r="Q251" s="126">
        <f t="shared" si="3"/>
        <v>1.10575E-2</v>
      </c>
      <c r="R251" s="126">
        <f t="shared" si="74"/>
        <v>0</v>
      </c>
      <c r="S251" s="126">
        <f t="shared" si="35"/>
        <v>0.21</v>
      </c>
      <c r="T251" s="126">
        <f t="shared" si="61"/>
        <v>42.8</v>
      </c>
      <c r="U251" s="126">
        <v>0</v>
      </c>
      <c r="V251" s="126">
        <f t="shared" si="246"/>
        <v>1.18</v>
      </c>
      <c r="W251" s="126">
        <f t="shared" si="217"/>
        <v>0.04</v>
      </c>
      <c r="X251" s="126">
        <f t="shared" si="9"/>
        <v>44.23</v>
      </c>
      <c r="Y251" s="127">
        <f t="shared" si="251"/>
        <v>42755.77</v>
      </c>
      <c r="Z251" s="128">
        <f t="shared" si="230"/>
        <v>42756</v>
      </c>
      <c r="AA251" s="129">
        <f t="shared" si="47"/>
        <v>0.23000000000320142</v>
      </c>
      <c r="AB251" s="120">
        <v>44459</v>
      </c>
      <c r="AC251" s="130">
        <f t="shared" si="12"/>
        <v>1.0330000000000001E-3</v>
      </c>
      <c r="AD251" s="131">
        <f t="shared" si="13"/>
        <v>44459</v>
      </c>
      <c r="AE251" s="132" t="s">
        <v>403</v>
      </c>
      <c r="AF251" s="119"/>
    </row>
    <row r="252" spans="1:32" ht="12" customHeight="1">
      <c r="A252" s="150">
        <v>44455</v>
      </c>
      <c r="B252" s="151" t="s">
        <v>553</v>
      </c>
      <c r="C252" s="151"/>
      <c r="D252" s="151"/>
      <c r="E252" s="151"/>
      <c r="F252" s="151"/>
      <c r="G252" s="151"/>
      <c r="H252" s="122" t="s">
        <v>446</v>
      </c>
      <c r="I252" s="121" t="s">
        <v>469</v>
      </c>
      <c r="J252" s="122" t="s">
        <v>471</v>
      </c>
      <c r="K252" s="123">
        <v>200</v>
      </c>
      <c r="L252" s="124">
        <v>14.15</v>
      </c>
      <c r="M252" s="125">
        <f t="shared" si="38"/>
        <v>0</v>
      </c>
      <c r="N252" s="125">
        <f t="shared" si="250"/>
        <v>14.15</v>
      </c>
      <c r="O252" s="125"/>
      <c r="P252" s="125">
        <f t="shared" si="2"/>
        <v>2830</v>
      </c>
      <c r="Q252" s="126">
        <f t="shared" si="3"/>
        <v>1.46E-2</v>
      </c>
      <c r="R252" s="126">
        <f t="shared" si="74"/>
        <v>0</v>
      </c>
      <c r="S252" s="126">
        <f t="shared" si="35"/>
        <v>0.01</v>
      </c>
      <c r="T252" s="126">
        <f t="shared" si="61"/>
        <v>2.83</v>
      </c>
      <c r="U252" s="126">
        <v>0</v>
      </c>
      <c r="V252" s="126">
        <f t="shared" si="246"/>
        <v>0.08</v>
      </c>
      <c r="W252" s="126">
        <f t="shared" si="217"/>
        <v>0</v>
      </c>
      <c r="X252" s="126">
        <f t="shared" si="9"/>
        <v>2.92</v>
      </c>
      <c r="Y252" s="127">
        <f t="shared" si="251"/>
        <v>2827.08</v>
      </c>
      <c r="Z252" s="128">
        <f t="shared" si="230"/>
        <v>2827</v>
      </c>
      <c r="AA252" s="129">
        <f t="shared" si="47"/>
        <v>-7.999999999992724E-2</v>
      </c>
      <c r="AB252" s="120">
        <v>44459</v>
      </c>
      <c r="AC252" s="130">
        <f t="shared" si="12"/>
        <v>1.0319999999999999E-3</v>
      </c>
      <c r="AD252" s="131">
        <f t="shared" si="13"/>
        <v>44459</v>
      </c>
      <c r="AE252" s="132" t="s">
        <v>403</v>
      </c>
      <c r="AF252" s="119"/>
    </row>
    <row r="253" spans="1:32" ht="12" customHeight="1">
      <c r="A253" s="148">
        <v>44456</v>
      </c>
      <c r="B253" s="149" t="s">
        <v>562</v>
      </c>
      <c r="C253" s="149"/>
      <c r="D253" s="149"/>
      <c r="E253" s="149"/>
      <c r="F253" s="149"/>
      <c r="G253" s="149"/>
      <c r="H253" s="135" t="s">
        <v>453</v>
      </c>
      <c r="I253" s="134" t="s">
        <v>469</v>
      </c>
      <c r="J253" s="135" t="s">
        <v>471</v>
      </c>
      <c r="K253" s="136">
        <v>5</v>
      </c>
      <c r="L253" s="137">
        <v>1350</v>
      </c>
      <c r="M253" s="138">
        <f t="shared" si="38"/>
        <v>0</v>
      </c>
      <c r="N253" s="138">
        <f>L253+M253</f>
        <v>1350</v>
      </c>
      <c r="O253" s="138"/>
      <c r="P253" s="138">
        <f t="shared" si="2"/>
        <v>6750</v>
      </c>
      <c r="Q253" s="139">
        <f t="shared" si="3"/>
        <v>1.5980000000000001</v>
      </c>
      <c r="R253" s="139">
        <f t="shared" si="74"/>
        <v>0</v>
      </c>
      <c r="S253" s="139">
        <f t="shared" si="35"/>
        <v>0.03</v>
      </c>
      <c r="T253" s="139">
        <f t="shared" si="61"/>
        <v>6.75</v>
      </c>
      <c r="U253" s="139">
        <f>ROUND(P253*K$1812,2)</f>
        <v>1.01</v>
      </c>
      <c r="V253" s="139">
        <f t="shared" si="246"/>
        <v>0.19</v>
      </c>
      <c r="W253" s="139">
        <f t="shared" si="217"/>
        <v>0.01</v>
      </c>
      <c r="X253" s="140">
        <f t="shared" si="9"/>
        <v>7.99</v>
      </c>
      <c r="Y253" s="141">
        <f>-ROUND(P253+SUM(R253:W253),2)</f>
        <v>-6757.99</v>
      </c>
      <c r="Z253" s="142">
        <f t="shared" si="230"/>
        <v>-6758</v>
      </c>
      <c r="AA253" s="143">
        <f t="shared" si="47"/>
        <v>-1.0000000000218279E-2</v>
      </c>
      <c r="AB253" s="133">
        <v>44460</v>
      </c>
      <c r="AC253" s="144">
        <f t="shared" si="12"/>
        <v>1.1839999999999999E-3</v>
      </c>
      <c r="AD253" s="145">
        <f t="shared" si="13"/>
        <v>44460</v>
      </c>
      <c r="AE253" s="146" t="s">
        <v>403</v>
      </c>
      <c r="AF253" s="119"/>
    </row>
    <row r="254" spans="1:32" ht="12" customHeight="1">
      <c r="A254" s="150">
        <v>44456</v>
      </c>
      <c r="B254" s="151" t="s">
        <v>562</v>
      </c>
      <c r="C254" s="151"/>
      <c r="D254" s="151"/>
      <c r="E254" s="151"/>
      <c r="F254" s="151"/>
      <c r="G254" s="151"/>
      <c r="H254" s="122" t="s">
        <v>446</v>
      </c>
      <c r="I254" s="121" t="s">
        <v>469</v>
      </c>
      <c r="J254" s="122" t="s">
        <v>471</v>
      </c>
      <c r="K254" s="123">
        <v>5</v>
      </c>
      <c r="L254" s="124">
        <v>1374</v>
      </c>
      <c r="M254" s="125">
        <f t="shared" si="38"/>
        <v>0</v>
      </c>
      <c r="N254" s="125">
        <f>L254-M254</f>
        <v>1374</v>
      </c>
      <c r="O254" s="125"/>
      <c r="P254" s="125">
        <f t="shared" si="2"/>
        <v>6870</v>
      </c>
      <c r="Q254" s="126">
        <f t="shared" si="3"/>
        <v>1.4319999999999999</v>
      </c>
      <c r="R254" s="126">
        <f t="shared" si="74"/>
        <v>0</v>
      </c>
      <c r="S254" s="126">
        <f t="shared" si="35"/>
        <v>0.04</v>
      </c>
      <c r="T254" s="126">
        <f t="shared" si="61"/>
        <v>6.87</v>
      </c>
      <c r="U254" s="126">
        <v>0</v>
      </c>
      <c r="V254" s="126">
        <f t="shared" ref="V254:V255" si="252">ROUND(P254*M$1809,2)</f>
        <v>0.24</v>
      </c>
      <c r="W254" s="126">
        <f t="shared" si="217"/>
        <v>0.01</v>
      </c>
      <c r="X254" s="126">
        <f t="shared" si="9"/>
        <v>7.16</v>
      </c>
      <c r="Y254" s="127">
        <f>ROUND(P254-SUM(R254:W254),2)</f>
        <v>6862.84</v>
      </c>
      <c r="Z254" s="128">
        <f t="shared" si="230"/>
        <v>6863</v>
      </c>
      <c r="AA254" s="129">
        <f t="shared" si="47"/>
        <v>0.15999999999985448</v>
      </c>
      <c r="AB254" s="120">
        <v>44460</v>
      </c>
      <c r="AC254" s="130">
        <f t="shared" si="12"/>
        <v>1.042E-3</v>
      </c>
      <c r="AD254" s="131">
        <f t="shared" si="13"/>
        <v>44460</v>
      </c>
      <c r="AE254" s="132" t="s">
        <v>403</v>
      </c>
      <c r="AF254" s="119"/>
    </row>
    <row r="255" spans="1:32" ht="12" customHeight="1">
      <c r="A255" s="148">
        <v>44459</v>
      </c>
      <c r="B255" s="149" t="s">
        <v>565</v>
      </c>
      <c r="C255" s="149"/>
      <c r="D255" s="149"/>
      <c r="E255" s="149"/>
      <c r="F255" s="149"/>
      <c r="G255" s="149"/>
      <c r="H255" s="135" t="s">
        <v>453</v>
      </c>
      <c r="I255" s="134" t="s">
        <v>469</v>
      </c>
      <c r="J255" s="135" t="s">
        <v>471</v>
      </c>
      <c r="K255" s="136">
        <v>5</v>
      </c>
      <c r="L255" s="137">
        <v>2160</v>
      </c>
      <c r="M255" s="138">
        <f t="shared" si="38"/>
        <v>0</v>
      </c>
      <c r="N255" s="138">
        <f t="shared" ref="N255:N257" si="253">L255+M255</f>
        <v>2160</v>
      </c>
      <c r="O255" s="138"/>
      <c r="P255" s="138">
        <f t="shared" si="2"/>
        <v>10800</v>
      </c>
      <c r="Q255" s="139">
        <f t="shared" si="3"/>
        <v>2.5740000000000003</v>
      </c>
      <c r="R255" s="139">
        <f t="shared" si="74"/>
        <v>0</v>
      </c>
      <c r="S255" s="139">
        <f t="shared" si="35"/>
        <v>7.0000000000000007E-2</v>
      </c>
      <c r="T255" s="139">
        <f t="shared" si="61"/>
        <v>10.8</v>
      </c>
      <c r="U255" s="139">
        <f t="shared" ref="U255:U257" si="254">ROUND(P255*K$1812,2)</f>
        <v>1.62</v>
      </c>
      <c r="V255" s="139">
        <f t="shared" si="252"/>
        <v>0.37</v>
      </c>
      <c r="W255" s="139">
        <f t="shared" si="217"/>
        <v>0.01</v>
      </c>
      <c r="X255" s="140">
        <f t="shared" si="9"/>
        <v>12.870000000000001</v>
      </c>
      <c r="Y255" s="141">
        <f t="shared" ref="Y255:Y257" si="255">-ROUND(P255+SUM(R255:W255),2)</f>
        <v>-10812.87</v>
      </c>
      <c r="Z255" s="142">
        <f t="shared" si="230"/>
        <v>-10813</v>
      </c>
      <c r="AA255" s="143">
        <f t="shared" si="47"/>
        <v>-0.12999999999919964</v>
      </c>
      <c r="AB255" s="133">
        <v>44461</v>
      </c>
      <c r="AC255" s="144">
        <f t="shared" si="12"/>
        <v>1.1919999999999999E-3</v>
      </c>
      <c r="AD255" s="145">
        <f t="shared" si="13"/>
        <v>44461</v>
      </c>
      <c r="AE255" s="146" t="s">
        <v>403</v>
      </c>
      <c r="AF255" s="119"/>
    </row>
    <row r="256" spans="1:32" ht="12" customHeight="1">
      <c r="A256" s="148">
        <v>44459</v>
      </c>
      <c r="B256" s="149" t="s">
        <v>552</v>
      </c>
      <c r="C256" s="149"/>
      <c r="D256" s="149"/>
      <c r="E256" s="149"/>
      <c r="F256" s="149"/>
      <c r="G256" s="149"/>
      <c r="H256" s="135" t="s">
        <v>453</v>
      </c>
      <c r="I256" s="134" t="s">
        <v>469</v>
      </c>
      <c r="J256" s="135" t="s">
        <v>471</v>
      </c>
      <c r="K256" s="136">
        <v>50</v>
      </c>
      <c r="L256" s="137">
        <v>293</v>
      </c>
      <c r="M256" s="138">
        <f t="shared" si="38"/>
        <v>0</v>
      </c>
      <c r="N256" s="138">
        <f t="shared" si="253"/>
        <v>293</v>
      </c>
      <c r="O256" s="138"/>
      <c r="P256" s="138">
        <f t="shared" si="2"/>
        <v>14650</v>
      </c>
      <c r="Q256" s="139">
        <f t="shared" si="3"/>
        <v>0.34660000000000002</v>
      </c>
      <c r="R256" s="139">
        <f t="shared" si="74"/>
        <v>0</v>
      </c>
      <c r="S256" s="139">
        <f t="shared" si="35"/>
        <v>7.0000000000000007E-2</v>
      </c>
      <c r="T256" s="139">
        <f t="shared" si="61"/>
        <v>14.65</v>
      </c>
      <c r="U256" s="139">
        <f t="shared" si="254"/>
        <v>2.2000000000000002</v>
      </c>
      <c r="V256" s="139">
        <f t="shared" ref="V256:V257" si="256">ROUND(P256*L$1809,2)</f>
        <v>0.4</v>
      </c>
      <c r="W256" s="139">
        <f t="shared" si="217"/>
        <v>0.01</v>
      </c>
      <c r="X256" s="140">
        <f t="shared" si="9"/>
        <v>17.330000000000002</v>
      </c>
      <c r="Y256" s="141">
        <f t="shared" si="255"/>
        <v>-14667.33</v>
      </c>
      <c r="Z256" s="142">
        <f t="shared" si="230"/>
        <v>-14667</v>
      </c>
      <c r="AA256" s="143">
        <f t="shared" si="47"/>
        <v>0.32999999999992724</v>
      </c>
      <c r="AB256" s="133">
        <v>44461</v>
      </c>
      <c r="AC256" s="144">
        <f t="shared" si="12"/>
        <v>1.183E-3</v>
      </c>
      <c r="AD256" s="145">
        <f t="shared" si="13"/>
        <v>44461</v>
      </c>
      <c r="AE256" s="146" t="s">
        <v>403</v>
      </c>
      <c r="AF256" s="119"/>
    </row>
    <row r="257" spans="1:32" ht="12" customHeight="1">
      <c r="A257" s="148">
        <v>44460</v>
      </c>
      <c r="B257" s="149" t="s">
        <v>566</v>
      </c>
      <c r="C257" s="149"/>
      <c r="D257" s="149"/>
      <c r="E257" s="149"/>
      <c r="F257" s="149"/>
      <c r="G257" s="149"/>
      <c r="H257" s="135" t="s">
        <v>453</v>
      </c>
      <c r="I257" s="134" t="s">
        <v>469</v>
      </c>
      <c r="J257" s="135" t="s">
        <v>471</v>
      </c>
      <c r="K257" s="136">
        <v>50</v>
      </c>
      <c r="L257" s="137">
        <v>208.3</v>
      </c>
      <c r="M257" s="138">
        <f t="shared" si="38"/>
        <v>0</v>
      </c>
      <c r="N257" s="138">
        <f t="shared" si="253"/>
        <v>208.3</v>
      </c>
      <c r="O257" s="138"/>
      <c r="P257" s="138">
        <f t="shared" si="2"/>
        <v>10415</v>
      </c>
      <c r="Q257" s="139">
        <f t="shared" si="3"/>
        <v>0.24660000000000001</v>
      </c>
      <c r="R257" s="139">
        <f t="shared" si="74"/>
        <v>0</v>
      </c>
      <c r="S257" s="139">
        <f t="shared" si="35"/>
        <v>0.05</v>
      </c>
      <c r="T257" s="139">
        <f t="shared" si="61"/>
        <v>10.42</v>
      </c>
      <c r="U257" s="139">
        <f t="shared" si="254"/>
        <v>1.56</v>
      </c>
      <c r="V257" s="139">
        <f t="shared" si="256"/>
        <v>0.28999999999999998</v>
      </c>
      <c r="W257" s="139">
        <f t="shared" si="217"/>
        <v>0.01</v>
      </c>
      <c r="X257" s="140">
        <f t="shared" si="9"/>
        <v>12.33</v>
      </c>
      <c r="Y257" s="141">
        <f t="shared" si="255"/>
        <v>-10427.33</v>
      </c>
      <c r="Z257" s="142">
        <f t="shared" si="230"/>
        <v>-10427</v>
      </c>
      <c r="AA257" s="143">
        <f t="shared" si="47"/>
        <v>0.32999999999992724</v>
      </c>
      <c r="AB257" s="133">
        <v>44462</v>
      </c>
      <c r="AC257" s="144">
        <f t="shared" si="12"/>
        <v>1.1839999999999999E-3</v>
      </c>
      <c r="AD257" s="145">
        <f t="shared" si="13"/>
        <v>44462</v>
      </c>
      <c r="AE257" s="146" t="s">
        <v>403</v>
      </c>
      <c r="AF257" s="119"/>
    </row>
    <row r="258" spans="1:32" ht="12" customHeight="1">
      <c r="A258" s="150">
        <v>44460</v>
      </c>
      <c r="B258" s="151" t="s">
        <v>484</v>
      </c>
      <c r="C258" s="151"/>
      <c r="D258" s="151"/>
      <c r="E258" s="151"/>
      <c r="F258" s="151"/>
      <c r="G258" s="151"/>
      <c r="H258" s="122" t="s">
        <v>446</v>
      </c>
      <c r="I258" s="121" t="s">
        <v>469</v>
      </c>
      <c r="J258" s="122" t="s">
        <v>471</v>
      </c>
      <c r="K258" s="123">
        <v>2</v>
      </c>
      <c r="L258" s="124">
        <v>7800</v>
      </c>
      <c r="M258" s="125">
        <f t="shared" si="38"/>
        <v>0</v>
      </c>
      <c r="N258" s="125">
        <f t="shared" ref="N258:N259" si="257">L258-M258</f>
        <v>7800</v>
      </c>
      <c r="O258" s="125"/>
      <c r="P258" s="125">
        <f t="shared" si="2"/>
        <v>15600</v>
      </c>
      <c r="Q258" s="126">
        <f t="shared" si="3"/>
        <v>8.129999999999999</v>
      </c>
      <c r="R258" s="126">
        <f t="shared" si="74"/>
        <v>0</v>
      </c>
      <c r="S258" s="126">
        <f t="shared" si="35"/>
        <v>0.1</v>
      </c>
      <c r="T258" s="126">
        <f t="shared" si="61"/>
        <v>15.6</v>
      </c>
      <c r="U258" s="126">
        <v>0</v>
      </c>
      <c r="V258" s="126">
        <f>ROUND(P258*M$1809,2)</f>
        <v>0.54</v>
      </c>
      <c r="W258" s="126">
        <f t="shared" si="217"/>
        <v>0.02</v>
      </c>
      <c r="X258" s="126">
        <f t="shared" si="9"/>
        <v>16.259999999999998</v>
      </c>
      <c r="Y258" s="127">
        <f t="shared" ref="Y258:Y259" si="258">ROUND(P258-SUM(R258:W258),2)</f>
        <v>15583.74</v>
      </c>
      <c r="Z258" s="128">
        <f t="shared" si="230"/>
        <v>15584</v>
      </c>
      <c r="AA258" s="129">
        <f t="shared" si="47"/>
        <v>0.26000000000021828</v>
      </c>
      <c r="AB258" s="120">
        <v>44462</v>
      </c>
      <c r="AC258" s="130">
        <f t="shared" si="12"/>
        <v>1.042E-3</v>
      </c>
      <c r="AD258" s="131">
        <f t="shared" si="13"/>
        <v>44462</v>
      </c>
      <c r="AE258" s="132" t="s">
        <v>403</v>
      </c>
      <c r="AF258" s="119"/>
    </row>
    <row r="259" spans="1:32" ht="12" customHeight="1">
      <c r="A259" s="150">
        <v>44460</v>
      </c>
      <c r="B259" s="151" t="s">
        <v>561</v>
      </c>
      <c r="C259" s="151"/>
      <c r="D259" s="151"/>
      <c r="E259" s="151"/>
      <c r="F259" s="151"/>
      <c r="G259" s="151"/>
      <c r="H259" s="122" t="s">
        <v>446</v>
      </c>
      <c r="I259" s="121" t="s">
        <v>469</v>
      </c>
      <c r="J259" s="122" t="s">
        <v>471</v>
      </c>
      <c r="K259" s="123">
        <v>20</v>
      </c>
      <c r="L259" s="124">
        <v>528</v>
      </c>
      <c r="M259" s="125">
        <f t="shared" si="38"/>
        <v>0</v>
      </c>
      <c r="N259" s="125">
        <f t="shared" si="257"/>
        <v>528</v>
      </c>
      <c r="O259" s="125"/>
      <c r="P259" s="125">
        <f t="shared" si="2"/>
        <v>10560</v>
      </c>
      <c r="Q259" s="126">
        <f t="shared" si="3"/>
        <v>0.54549999999999998</v>
      </c>
      <c r="R259" s="126">
        <f t="shared" si="74"/>
        <v>0</v>
      </c>
      <c r="S259" s="126">
        <f t="shared" si="35"/>
        <v>0.05</v>
      </c>
      <c r="T259" s="126">
        <f t="shared" si="61"/>
        <v>10.56</v>
      </c>
      <c r="U259" s="126">
        <v>0</v>
      </c>
      <c r="V259" s="126">
        <f>ROUND(P259*L$1809,2)</f>
        <v>0.28999999999999998</v>
      </c>
      <c r="W259" s="126">
        <f t="shared" si="217"/>
        <v>0.01</v>
      </c>
      <c r="X259" s="126">
        <f t="shared" si="9"/>
        <v>10.91</v>
      </c>
      <c r="Y259" s="127">
        <f t="shared" si="258"/>
        <v>10549.09</v>
      </c>
      <c r="Z259" s="128">
        <f t="shared" si="230"/>
        <v>10549</v>
      </c>
      <c r="AA259" s="129">
        <f t="shared" si="47"/>
        <v>-9.0000000000145519E-2</v>
      </c>
      <c r="AB259" s="120">
        <v>44462</v>
      </c>
      <c r="AC259" s="130">
        <f t="shared" si="12"/>
        <v>1.0330000000000001E-3</v>
      </c>
      <c r="AD259" s="131">
        <f t="shared" si="13"/>
        <v>44462</v>
      </c>
      <c r="AE259" s="132" t="s">
        <v>403</v>
      </c>
      <c r="AF259" s="119"/>
    </row>
    <row r="260" spans="1:32" ht="12" customHeight="1">
      <c r="A260" s="148">
        <v>44461</v>
      </c>
      <c r="B260" s="149" t="s">
        <v>565</v>
      </c>
      <c r="C260" s="149"/>
      <c r="D260" s="149"/>
      <c r="E260" s="149"/>
      <c r="F260" s="149"/>
      <c r="G260" s="149"/>
      <c r="H260" s="135" t="s">
        <v>453</v>
      </c>
      <c r="I260" s="134" t="s">
        <v>469</v>
      </c>
      <c r="J260" s="135" t="s">
        <v>471</v>
      </c>
      <c r="K260" s="136">
        <v>5</v>
      </c>
      <c r="L260" s="137">
        <v>2200</v>
      </c>
      <c r="M260" s="138">
        <f t="shared" si="38"/>
        <v>0</v>
      </c>
      <c r="N260" s="138">
        <f>L260+M260</f>
        <v>2200</v>
      </c>
      <c r="O260" s="138"/>
      <c r="P260" s="138">
        <f t="shared" si="2"/>
        <v>11000</v>
      </c>
      <c r="Q260" s="139">
        <f t="shared" si="3"/>
        <v>2.6220000000000003</v>
      </c>
      <c r="R260" s="139">
        <f t="shared" si="74"/>
        <v>0</v>
      </c>
      <c r="S260" s="139">
        <f t="shared" si="35"/>
        <v>7.0000000000000007E-2</v>
      </c>
      <c r="T260" s="139">
        <f t="shared" si="61"/>
        <v>11</v>
      </c>
      <c r="U260" s="139">
        <f>ROUND(P260*K$1812,2)</f>
        <v>1.65</v>
      </c>
      <c r="V260" s="139">
        <f t="shared" ref="V260:V261" si="259">ROUND(P260*M$1809,2)</f>
        <v>0.38</v>
      </c>
      <c r="W260" s="139">
        <f t="shared" si="217"/>
        <v>0.01</v>
      </c>
      <c r="X260" s="140">
        <f t="shared" si="9"/>
        <v>13.110000000000001</v>
      </c>
      <c r="Y260" s="141">
        <f>-ROUND(P260+SUM(R260:W260),2)</f>
        <v>-11013.11</v>
      </c>
      <c r="Z260" s="142">
        <f t="shared" si="230"/>
        <v>-11013</v>
      </c>
      <c r="AA260" s="143">
        <f t="shared" si="47"/>
        <v>0.11000000000058208</v>
      </c>
      <c r="AB260" s="133">
        <v>44463</v>
      </c>
      <c r="AC260" s="144">
        <f t="shared" si="12"/>
        <v>1.1919999999999999E-3</v>
      </c>
      <c r="AD260" s="145">
        <f t="shared" si="13"/>
        <v>44463</v>
      </c>
      <c r="AE260" s="146" t="s">
        <v>403</v>
      </c>
      <c r="AF260" s="119"/>
    </row>
    <row r="261" spans="1:32" ht="12" customHeight="1">
      <c r="A261" s="150">
        <v>44461</v>
      </c>
      <c r="B261" s="151" t="s">
        <v>566</v>
      </c>
      <c r="C261" s="151"/>
      <c r="D261" s="151"/>
      <c r="E261" s="151"/>
      <c r="F261" s="151"/>
      <c r="G261" s="151"/>
      <c r="H261" s="122" t="s">
        <v>446</v>
      </c>
      <c r="I261" s="121" t="s">
        <v>469</v>
      </c>
      <c r="J261" s="122" t="s">
        <v>471</v>
      </c>
      <c r="K261" s="123">
        <v>50</v>
      </c>
      <c r="L261" s="124">
        <v>215.7</v>
      </c>
      <c r="M261" s="125">
        <f t="shared" si="38"/>
        <v>0</v>
      </c>
      <c r="N261" s="125">
        <f t="shared" ref="N261:N262" si="260">L261-M261</f>
        <v>215.7</v>
      </c>
      <c r="O261" s="125"/>
      <c r="P261" s="125">
        <f t="shared" si="2"/>
        <v>10785</v>
      </c>
      <c r="Q261" s="126">
        <f t="shared" si="3"/>
        <v>0.22479999999999997</v>
      </c>
      <c r="R261" s="126">
        <f t="shared" si="74"/>
        <v>0</v>
      </c>
      <c r="S261" s="126">
        <f t="shared" si="35"/>
        <v>7.0000000000000007E-2</v>
      </c>
      <c r="T261" s="126">
        <f t="shared" si="61"/>
        <v>10.79</v>
      </c>
      <c r="U261" s="126">
        <v>0</v>
      </c>
      <c r="V261" s="126">
        <f t="shared" si="259"/>
        <v>0.37</v>
      </c>
      <c r="W261" s="126">
        <f t="shared" si="217"/>
        <v>0.01</v>
      </c>
      <c r="X261" s="126">
        <f t="shared" si="9"/>
        <v>11.239999999999998</v>
      </c>
      <c r="Y261" s="127">
        <f t="shared" ref="Y261:Y262" si="261">ROUND(P261-SUM(R261:W261),2)</f>
        <v>10773.76</v>
      </c>
      <c r="Z261" s="128">
        <f t="shared" si="230"/>
        <v>10774</v>
      </c>
      <c r="AA261" s="129">
        <f t="shared" si="47"/>
        <v>0.23999999999978172</v>
      </c>
      <c r="AB261" s="120">
        <v>44463</v>
      </c>
      <c r="AC261" s="130">
        <f t="shared" si="12"/>
        <v>1.042E-3</v>
      </c>
      <c r="AD261" s="131">
        <f t="shared" si="13"/>
        <v>44463</v>
      </c>
      <c r="AE261" s="132" t="s">
        <v>403</v>
      </c>
      <c r="AF261" s="119"/>
    </row>
    <row r="262" spans="1:32" ht="12" customHeight="1">
      <c r="A262" s="150">
        <v>44462</v>
      </c>
      <c r="B262" s="151" t="s">
        <v>565</v>
      </c>
      <c r="C262" s="151"/>
      <c r="D262" s="151"/>
      <c r="E262" s="151"/>
      <c r="F262" s="151"/>
      <c r="G262" s="151"/>
      <c r="H262" s="122" t="s">
        <v>446</v>
      </c>
      <c r="I262" s="121" t="s">
        <v>469</v>
      </c>
      <c r="J262" s="122" t="s">
        <v>471</v>
      </c>
      <c r="K262" s="123">
        <v>5</v>
      </c>
      <c r="L262" s="124">
        <v>2234</v>
      </c>
      <c r="M262" s="125">
        <f t="shared" si="38"/>
        <v>0</v>
      </c>
      <c r="N262" s="125">
        <f t="shared" si="260"/>
        <v>2234</v>
      </c>
      <c r="O262" s="125"/>
      <c r="P262" s="125">
        <f t="shared" si="2"/>
        <v>11170</v>
      </c>
      <c r="Q262" s="126">
        <f t="shared" si="3"/>
        <v>2.31</v>
      </c>
      <c r="R262" s="126">
        <f t="shared" si="74"/>
        <v>0</v>
      </c>
      <c r="S262" s="126">
        <f t="shared" si="35"/>
        <v>0.06</v>
      </c>
      <c r="T262" s="126">
        <f t="shared" si="61"/>
        <v>11.17</v>
      </c>
      <c r="U262" s="126">
        <v>0</v>
      </c>
      <c r="V262" s="126">
        <f t="shared" ref="V262:V266" si="262">ROUND(P262*L$1809,2)</f>
        <v>0.31</v>
      </c>
      <c r="W262" s="126">
        <f t="shared" si="217"/>
        <v>0.01</v>
      </c>
      <c r="X262" s="126">
        <f t="shared" si="9"/>
        <v>11.55</v>
      </c>
      <c r="Y262" s="127">
        <f t="shared" si="261"/>
        <v>11158.45</v>
      </c>
      <c r="Z262" s="128">
        <f t="shared" si="230"/>
        <v>11158</v>
      </c>
      <c r="AA262" s="129">
        <f t="shared" si="47"/>
        <v>-0.4500000000007276</v>
      </c>
      <c r="AB262" s="120">
        <v>44466</v>
      </c>
      <c r="AC262" s="130">
        <f t="shared" si="12"/>
        <v>1.034E-3</v>
      </c>
      <c r="AD262" s="131">
        <f t="shared" si="13"/>
        <v>44466</v>
      </c>
      <c r="AE262" s="132" t="s">
        <v>403</v>
      </c>
      <c r="AF262" s="119"/>
    </row>
    <row r="263" spans="1:32" ht="12" customHeight="1">
      <c r="A263" s="148">
        <v>44462</v>
      </c>
      <c r="B263" s="149" t="s">
        <v>567</v>
      </c>
      <c r="C263" s="149"/>
      <c r="D263" s="149"/>
      <c r="E263" s="149"/>
      <c r="F263" s="149"/>
      <c r="G263" s="149"/>
      <c r="H263" s="135" t="s">
        <v>453</v>
      </c>
      <c r="I263" s="134" t="s">
        <v>469</v>
      </c>
      <c r="J263" s="135" t="s">
        <v>471</v>
      </c>
      <c r="K263" s="136">
        <v>5</v>
      </c>
      <c r="L263" s="137">
        <v>1541</v>
      </c>
      <c r="M263" s="138">
        <f t="shared" si="38"/>
        <v>0</v>
      </c>
      <c r="N263" s="138">
        <f>L263+M263</f>
        <v>1541</v>
      </c>
      <c r="O263" s="138"/>
      <c r="P263" s="138">
        <f t="shared" si="2"/>
        <v>7705</v>
      </c>
      <c r="Q263" s="139">
        <f t="shared" si="3"/>
        <v>1.8260000000000001</v>
      </c>
      <c r="R263" s="139">
        <f t="shared" si="74"/>
        <v>0</v>
      </c>
      <c r="S263" s="139">
        <f t="shared" si="35"/>
        <v>0.04</v>
      </c>
      <c r="T263" s="139">
        <f t="shared" si="61"/>
        <v>7.71</v>
      </c>
      <c r="U263" s="139">
        <f>ROUND(P263*K$1812,2)</f>
        <v>1.1599999999999999</v>
      </c>
      <c r="V263" s="139">
        <f t="shared" si="262"/>
        <v>0.21</v>
      </c>
      <c r="W263" s="139">
        <f t="shared" si="217"/>
        <v>0.01</v>
      </c>
      <c r="X263" s="140">
        <f t="shared" si="9"/>
        <v>9.1300000000000008</v>
      </c>
      <c r="Y263" s="141">
        <f>-ROUND(P263+SUM(R263:W263),2)</f>
        <v>-7714.13</v>
      </c>
      <c r="Z263" s="142">
        <f t="shared" si="230"/>
        <v>-7714</v>
      </c>
      <c r="AA263" s="143">
        <f t="shared" si="47"/>
        <v>0.13000000000010914</v>
      </c>
      <c r="AB263" s="133">
        <v>44466</v>
      </c>
      <c r="AC263" s="144">
        <f t="shared" si="12"/>
        <v>1.1850000000000001E-3</v>
      </c>
      <c r="AD263" s="145">
        <f t="shared" si="13"/>
        <v>44466</v>
      </c>
      <c r="AE263" s="146" t="s">
        <v>403</v>
      </c>
      <c r="AF263" s="119"/>
    </row>
    <row r="264" spans="1:32" ht="12" customHeight="1">
      <c r="A264" s="150">
        <v>44463</v>
      </c>
      <c r="B264" s="151" t="s">
        <v>568</v>
      </c>
      <c r="C264" s="151"/>
      <c r="D264" s="151"/>
      <c r="E264" s="151"/>
      <c r="F264" s="151"/>
      <c r="G264" s="151"/>
      <c r="H264" s="122" t="s">
        <v>446</v>
      </c>
      <c r="I264" s="121" t="s">
        <v>469</v>
      </c>
      <c r="J264" s="122" t="s">
        <v>471</v>
      </c>
      <c r="K264" s="123">
        <v>20</v>
      </c>
      <c r="L264" s="124">
        <v>838</v>
      </c>
      <c r="M264" s="125">
        <f t="shared" si="38"/>
        <v>0</v>
      </c>
      <c r="N264" s="125">
        <f>L264-M264</f>
        <v>838</v>
      </c>
      <c r="O264" s="125"/>
      <c r="P264" s="125">
        <f t="shared" si="2"/>
        <v>16760</v>
      </c>
      <c r="Q264" s="126">
        <f t="shared" si="3"/>
        <v>0.86599999999999999</v>
      </c>
      <c r="R264" s="126">
        <f t="shared" si="74"/>
        <v>0</v>
      </c>
      <c r="S264" s="126">
        <f t="shared" si="35"/>
        <v>0.08</v>
      </c>
      <c r="T264" s="126">
        <f t="shared" si="61"/>
        <v>16.760000000000002</v>
      </c>
      <c r="U264" s="126">
        <v>0</v>
      </c>
      <c r="V264" s="126">
        <f t="shared" si="262"/>
        <v>0.46</v>
      </c>
      <c r="W264" s="126">
        <f t="shared" si="217"/>
        <v>0.02</v>
      </c>
      <c r="X264" s="126">
        <f t="shared" si="9"/>
        <v>17.32</v>
      </c>
      <c r="Y264" s="127">
        <f>ROUND(P264-SUM(R264:W264),2)</f>
        <v>16742.68</v>
      </c>
      <c r="Z264" s="128">
        <f t="shared" si="230"/>
        <v>16743</v>
      </c>
      <c r="AA264" s="129">
        <f t="shared" si="47"/>
        <v>0.31999999999970896</v>
      </c>
      <c r="AB264" s="120">
        <v>44467</v>
      </c>
      <c r="AC264" s="130">
        <f t="shared" si="12"/>
        <v>1.0330000000000001E-3</v>
      </c>
      <c r="AD264" s="131">
        <f t="shared" si="13"/>
        <v>44467</v>
      </c>
      <c r="AE264" s="132" t="s">
        <v>403</v>
      </c>
      <c r="AF264" s="119"/>
    </row>
    <row r="265" spans="1:32" ht="12" customHeight="1">
      <c r="A265" s="148">
        <v>44463</v>
      </c>
      <c r="B265" s="134" t="s">
        <v>569</v>
      </c>
      <c r="C265" s="134"/>
      <c r="D265" s="134"/>
      <c r="E265" s="134"/>
      <c r="F265" s="134"/>
      <c r="G265" s="134"/>
      <c r="H265" s="135" t="s">
        <v>453</v>
      </c>
      <c r="I265" s="134" t="s">
        <v>469</v>
      </c>
      <c r="J265" s="135" t="s">
        <v>471</v>
      </c>
      <c r="K265" s="136">
        <v>10</v>
      </c>
      <c r="L265" s="137">
        <v>900</v>
      </c>
      <c r="M265" s="138">
        <f t="shared" si="38"/>
        <v>0</v>
      </c>
      <c r="N265" s="138">
        <f t="shared" ref="N265:N269" si="263">L265+M265</f>
        <v>900</v>
      </c>
      <c r="O265" s="138"/>
      <c r="P265" s="138">
        <f t="shared" si="2"/>
        <v>9000</v>
      </c>
      <c r="Q265" s="139">
        <f t="shared" si="3"/>
        <v>1.0660000000000001</v>
      </c>
      <c r="R265" s="139">
        <f t="shared" si="74"/>
        <v>0</v>
      </c>
      <c r="S265" s="139">
        <f t="shared" si="35"/>
        <v>0.05</v>
      </c>
      <c r="T265" s="139">
        <f t="shared" si="61"/>
        <v>9</v>
      </c>
      <c r="U265" s="139">
        <f t="shared" ref="U265:U269" si="264">ROUND(P265*K$1812,2)</f>
        <v>1.35</v>
      </c>
      <c r="V265" s="139">
        <f t="shared" si="262"/>
        <v>0.25</v>
      </c>
      <c r="W265" s="139">
        <f t="shared" si="217"/>
        <v>0.01</v>
      </c>
      <c r="X265" s="140">
        <f t="shared" si="9"/>
        <v>10.66</v>
      </c>
      <c r="Y265" s="141">
        <f t="shared" ref="Y265:Y269" si="265">-ROUND(P265+SUM(R265:W265),2)</f>
        <v>-9010.66</v>
      </c>
      <c r="Z265" s="142">
        <f t="shared" si="230"/>
        <v>-9011</v>
      </c>
      <c r="AA265" s="143">
        <f t="shared" si="47"/>
        <v>-0.34000000000014552</v>
      </c>
      <c r="AB265" s="133">
        <v>44467</v>
      </c>
      <c r="AC265" s="144">
        <f t="shared" si="12"/>
        <v>1.1839999999999999E-3</v>
      </c>
      <c r="AD265" s="145">
        <f t="shared" si="13"/>
        <v>44467</v>
      </c>
      <c r="AE265" s="146" t="s">
        <v>403</v>
      </c>
      <c r="AF265" s="119"/>
    </row>
    <row r="266" spans="1:32" ht="12" customHeight="1">
      <c r="A266" s="148">
        <v>44463</v>
      </c>
      <c r="B266" s="134" t="s">
        <v>570</v>
      </c>
      <c r="C266" s="134"/>
      <c r="D266" s="134"/>
      <c r="E266" s="134"/>
      <c r="F266" s="134"/>
      <c r="G266" s="134"/>
      <c r="H266" s="135" t="s">
        <v>453</v>
      </c>
      <c r="I266" s="134" t="s">
        <v>469</v>
      </c>
      <c r="J266" s="135" t="s">
        <v>471</v>
      </c>
      <c r="K266" s="136">
        <v>100</v>
      </c>
      <c r="L266" s="137">
        <v>158.35</v>
      </c>
      <c r="M266" s="138">
        <f t="shared" si="38"/>
        <v>0</v>
      </c>
      <c r="N266" s="138">
        <f t="shared" si="263"/>
        <v>158.35</v>
      </c>
      <c r="O266" s="138"/>
      <c r="P266" s="138">
        <f t="shared" si="2"/>
        <v>15835</v>
      </c>
      <c r="Q266" s="139">
        <f t="shared" si="3"/>
        <v>0.18760000000000002</v>
      </c>
      <c r="R266" s="139">
        <f t="shared" si="74"/>
        <v>0</v>
      </c>
      <c r="S266" s="139">
        <f t="shared" si="35"/>
        <v>0.08</v>
      </c>
      <c r="T266" s="139">
        <f t="shared" si="61"/>
        <v>15.84</v>
      </c>
      <c r="U266" s="139">
        <f t="shared" si="264"/>
        <v>2.38</v>
      </c>
      <c r="V266" s="139">
        <f t="shared" si="262"/>
        <v>0.44</v>
      </c>
      <c r="W266" s="139">
        <f t="shared" si="217"/>
        <v>0.02</v>
      </c>
      <c r="X266" s="140">
        <f t="shared" si="9"/>
        <v>18.760000000000002</v>
      </c>
      <c r="Y266" s="141">
        <f t="shared" si="265"/>
        <v>-15853.76</v>
      </c>
      <c r="Z266" s="142">
        <f t="shared" si="230"/>
        <v>-15854</v>
      </c>
      <c r="AA266" s="143">
        <f t="shared" si="47"/>
        <v>-0.23999999999978172</v>
      </c>
      <c r="AB266" s="133">
        <v>44467</v>
      </c>
      <c r="AC266" s="144">
        <f t="shared" si="12"/>
        <v>1.1850000000000001E-3</v>
      </c>
      <c r="AD266" s="145">
        <f t="shared" si="13"/>
        <v>44467</v>
      </c>
      <c r="AE266" s="146" t="s">
        <v>403</v>
      </c>
      <c r="AF266" s="119"/>
    </row>
    <row r="267" spans="1:32" ht="12" customHeight="1">
      <c r="A267" s="148">
        <v>44467</v>
      </c>
      <c r="B267" s="149" t="s">
        <v>484</v>
      </c>
      <c r="C267" s="149"/>
      <c r="D267" s="149"/>
      <c r="E267" s="149"/>
      <c r="F267" s="149"/>
      <c r="G267" s="149"/>
      <c r="H267" s="135" t="s">
        <v>453</v>
      </c>
      <c r="I267" s="134" t="s">
        <v>469</v>
      </c>
      <c r="J267" s="135" t="s">
        <v>471</v>
      </c>
      <c r="K267" s="136">
        <v>1</v>
      </c>
      <c r="L267" s="137">
        <v>7630</v>
      </c>
      <c r="M267" s="138">
        <f t="shared" si="38"/>
        <v>0</v>
      </c>
      <c r="N267" s="138">
        <f t="shared" si="263"/>
        <v>7630</v>
      </c>
      <c r="O267" s="138"/>
      <c r="P267" s="138">
        <f t="shared" si="2"/>
        <v>7630</v>
      </c>
      <c r="Q267" s="139">
        <f t="shared" si="3"/>
        <v>9.09</v>
      </c>
      <c r="R267" s="139">
        <f t="shared" si="74"/>
        <v>0</v>
      </c>
      <c r="S267" s="139">
        <f t="shared" si="35"/>
        <v>0.05</v>
      </c>
      <c r="T267" s="139">
        <f t="shared" si="61"/>
        <v>7.63</v>
      </c>
      <c r="U267" s="139">
        <f t="shared" si="264"/>
        <v>1.1399999999999999</v>
      </c>
      <c r="V267" s="139">
        <f t="shared" ref="V267:V269" si="266">ROUND(P267*M$1809,2)</f>
        <v>0.26</v>
      </c>
      <c r="W267" s="139">
        <f t="shared" si="217"/>
        <v>0.01</v>
      </c>
      <c r="X267" s="140">
        <f t="shared" si="9"/>
        <v>9.09</v>
      </c>
      <c r="Y267" s="141">
        <f t="shared" si="265"/>
        <v>-7639.09</v>
      </c>
      <c r="Z267" s="142">
        <f t="shared" si="230"/>
        <v>-7639</v>
      </c>
      <c r="AA267" s="143">
        <f t="shared" si="47"/>
        <v>9.0000000000145519E-2</v>
      </c>
      <c r="AB267" s="133">
        <v>44469</v>
      </c>
      <c r="AC267" s="144">
        <f t="shared" si="12"/>
        <v>1.191E-3</v>
      </c>
      <c r="AD267" s="145">
        <f t="shared" si="13"/>
        <v>44469</v>
      </c>
      <c r="AE267" s="146" t="s">
        <v>403</v>
      </c>
      <c r="AF267" s="119"/>
    </row>
    <row r="268" spans="1:32" ht="12" customHeight="1">
      <c r="A268" s="148">
        <v>44467</v>
      </c>
      <c r="B268" s="149" t="s">
        <v>484</v>
      </c>
      <c r="C268" s="149"/>
      <c r="D268" s="149"/>
      <c r="E268" s="149"/>
      <c r="F268" s="149"/>
      <c r="G268" s="149"/>
      <c r="H268" s="135" t="s">
        <v>453</v>
      </c>
      <c r="I268" s="134" t="s">
        <v>469</v>
      </c>
      <c r="J268" s="135" t="s">
        <v>471</v>
      </c>
      <c r="K268" s="136">
        <v>2</v>
      </c>
      <c r="L268" s="137">
        <v>7700</v>
      </c>
      <c r="M268" s="138">
        <f t="shared" si="38"/>
        <v>0</v>
      </c>
      <c r="N268" s="138">
        <f t="shared" si="263"/>
        <v>7700</v>
      </c>
      <c r="O268" s="138"/>
      <c r="P268" s="138">
        <f t="shared" si="2"/>
        <v>15400</v>
      </c>
      <c r="Q268" s="139">
        <f t="shared" si="3"/>
        <v>9.18</v>
      </c>
      <c r="R268" s="139">
        <f t="shared" si="74"/>
        <v>0</v>
      </c>
      <c r="S268" s="139">
        <f t="shared" si="35"/>
        <v>0.1</v>
      </c>
      <c r="T268" s="139">
        <f t="shared" si="61"/>
        <v>15.4</v>
      </c>
      <c r="U268" s="139">
        <f t="shared" si="264"/>
        <v>2.31</v>
      </c>
      <c r="V268" s="139">
        <f t="shared" si="266"/>
        <v>0.53</v>
      </c>
      <c r="W268" s="139">
        <f t="shared" si="217"/>
        <v>0.02</v>
      </c>
      <c r="X268" s="140">
        <f t="shared" si="9"/>
        <v>18.36</v>
      </c>
      <c r="Y268" s="141">
        <f t="shared" si="265"/>
        <v>-15418.36</v>
      </c>
      <c r="Z268" s="142">
        <f t="shared" si="230"/>
        <v>-15418</v>
      </c>
      <c r="AA268" s="143">
        <f t="shared" si="47"/>
        <v>0.36000000000058208</v>
      </c>
      <c r="AB268" s="133">
        <v>44469</v>
      </c>
      <c r="AC268" s="144">
        <f t="shared" si="12"/>
        <v>1.1919999999999999E-3</v>
      </c>
      <c r="AD268" s="145">
        <f t="shared" si="13"/>
        <v>44469</v>
      </c>
      <c r="AE268" s="146" t="s">
        <v>403</v>
      </c>
      <c r="AF268" s="119"/>
    </row>
    <row r="269" spans="1:32" ht="12" customHeight="1">
      <c r="A269" s="148">
        <v>44469</v>
      </c>
      <c r="B269" s="149" t="s">
        <v>571</v>
      </c>
      <c r="C269" s="149"/>
      <c r="D269" s="149"/>
      <c r="E269" s="149"/>
      <c r="F269" s="149"/>
      <c r="G269" s="149"/>
      <c r="H269" s="135" t="s">
        <v>453</v>
      </c>
      <c r="I269" s="134" t="s">
        <v>469</v>
      </c>
      <c r="J269" s="135" t="s">
        <v>471</v>
      </c>
      <c r="K269" s="136">
        <v>10</v>
      </c>
      <c r="L269" s="137">
        <v>645</v>
      </c>
      <c r="M269" s="138">
        <f t="shared" si="38"/>
        <v>0</v>
      </c>
      <c r="N269" s="138">
        <f t="shared" si="263"/>
        <v>645</v>
      </c>
      <c r="O269" s="138"/>
      <c r="P269" s="138">
        <f t="shared" si="2"/>
        <v>6450</v>
      </c>
      <c r="Q269" s="139">
        <f t="shared" si="3"/>
        <v>0.76899999999999991</v>
      </c>
      <c r="R269" s="139">
        <f t="shared" si="74"/>
        <v>0</v>
      </c>
      <c r="S269" s="139">
        <f t="shared" si="35"/>
        <v>0.04</v>
      </c>
      <c r="T269" s="139">
        <f t="shared" si="61"/>
        <v>6.45</v>
      </c>
      <c r="U269" s="139">
        <f t="shared" si="264"/>
        <v>0.97</v>
      </c>
      <c r="V269" s="139">
        <f t="shared" si="266"/>
        <v>0.22</v>
      </c>
      <c r="W269" s="139">
        <f t="shared" si="217"/>
        <v>0.01</v>
      </c>
      <c r="X269" s="140">
        <f t="shared" si="9"/>
        <v>7.6899999999999995</v>
      </c>
      <c r="Y269" s="141">
        <f t="shared" si="265"/>
        <v>-6457.69</v>
      </c>
      <c r="Z269" s="142">
        <f t="shared" si="230"/>
        <v>-6458</v>
      </c>
      <c r="AA269" s="143">
        <f t="shared" si="47"/>
        <v>-0.31000000000040018</v>
      </c>
      <c r="AB269" s="133">
        <v>44473</v>
      </c>
      <c r="AC269" s="144">
        <f t="shared" si="12"/>
        <v>1.1919999999999999E-3</v>
      </c>
      <c r="AD269" s="145">
        <f t="shared" si="13"/>
        <v>44473</v>
      </c>
      <c r="AE269" s="146" t="s">
        <v>403</v>
      </c>
      <c r="AF269" s="119"/>
    </row>
    <row r="270" spans="1:32" ht="12" customHeight="1">
      <c r="A270" s="150">
        <v>44469</v>
      </c>
      <c r="B270" s="151" t="s">
        <v>484</v>
      </c>
      <c r="C270" s="151"/>
      <c r="D270" s="151"/>
      <c r="E270" s="151"/>
      <c r="F270" s="151"/>
      <c r="G270" s="151"/>
      <c r="H270" s="122" t="s">
        <v>446</v>
      </c>
      <c r="I270" s="121" t="s">
        <v>469</v>
      </c>
      <c r="J270" s="122" t="s">
        <v>471</v>
      </c>
      <c r="K270" s="123">
        <v>1</v>
      </c>
      <c r="L270" s="124">
        <v>7650</v>
      </c>
      <c r="M270" s="125">
        <f t="shared" si="38"/>
        <v>0</v>
      </c>
      <c r="N270" s="125">
        <f>L270-M270</f>
        <v>7650</v>
      </c>
      <c r="O270" s="125"/>
      <c r="P270" s="125">
        <f t="shared" si="2"/>
        <v>7650</v>
      </c>
      <c r="Q270" s="126">
        <f t="shared" si="3"/>
        <v>7.91</v>
      </c>
      <c r="R270" s="126">
        <f t="shared" si="74"/>
        <v>0</v>
      </c>
      <c r="S270" s="126">
        <f t="shared" si="35"/>
        <v>0.04</v>
      </c>
      <c r="T270" s="126">
        <f t="shared" si="61"/>
        <v>7.65</v>
      </c>
      <c r="U270" s="126">
        <v>0</v>
      </c>
      <c r="V270" s="126">
        <f>ROUND(P270*L$1809,2)</f>
        <v>0.21</v>
      </c>
      <c r="W270" s="126">
        <f t="shared" si="217"/>
        <v>0.01</v>
      </c>
      <c r="X270" s="126">
        <f t="shared" si="9"/>
        <v>7.91</v>
      </c>
      <c r="Y270" s="127">
        <f>ROUND(P270-SUM(R270:W270),2)</f>
        <v>7642.09</v>
      </c>
      <c r="Z270" s="128">
        <f t="shared" si="230"/>
        <v>7642</v>
      </c>
      <c r="AA270" s="129">
        <f t="shared" si="47"/>
        <v>-9.0000000000145519E-2</v>
      </c>
      <c r="AB270" s="120">
        <v>44473</v>
      </c>
      <c r="AC270" s="130">
        <f t="shared" si="12"/>
        <v>1.034E-3</v>
      </c>
      <c r="AD270" s="131">
        <f t="shared" si="13"/>
        <v>44473</v>
      </c>
      <c r="AE270" s="132" t="s">
        <v>403</v>
      </c>
      <c r="AF270" s="119"/>
    </row>
    <row r="271" spans="1:32" ht="12" customHeight="1">
      <c r="A271" s="148">
        <v>44470</v>
      </c>
      <c r="B271" s="149" t="s">
        <v>482</v>
      </c>
      <c r="C271" s="149"/>
      <c r="D271" s="149"/>
      <c r="E271" s="149"/>
      <c r="F271" s="149"/>
      <c r="G271" s="149"/>
      <c r="H271" s="135" t="s">
        <v>453</v>
      </c>
      <c r="I271" s="134" t="s">
        <v>469</v>
      </c>
      <c r="J271" s="135" t="s">
        <v>471</v>
      </c>
      <c r="K271" s="136">
        <v>9</v>
      </c>
      <c r="L271" s="137">
        <v>91.15</v>
      </c>
      <c r="M271" s="138">
        <f t="shared" si="38"/>
        <v>0</v>
      </c>
      <c r="N271" s="138">
        <f t="shared" ref="N271:N273" si="267">L271+M271</f>
        <v>91.15</v>
      </c>
      <c r="O271" s="138"/>
      <c r="P271" s="138">
        <f t="shared" si="2"/>
        <v>820.35</v>
      </c>
      <c r="Q271" s="139">
        <f t="shared" si="3"/>
        <v>0.10888888888888888</v>
      </c>
      <c r="R271" s="139">
        <f t="shared" si="74"/>
        <v>0</v>
      </c>
      <c r="S271" s="139">
        <f t="shared" si="35"/>
        <v>0.01</v>
      </c>
      <c r="T271" s="139">
        <f t="shared" si="61"/>
        <v>0.82</v>
      </c>
      <c r="U271" s="139">
        <f t="shared" ref="U271:U273" si="268">ROUND(P271*K$1812,2)</f>
        <v>0.12</v>
      </c>
      <c r="V271" s="139">
        <f t="shared" ref="V271:V272" si="269">ROUND(P271*M$1809,2)</f>
        <v>0.03</v>
      </c>
      <c r="W271" s="139">
        <f t="shared" si="217"/>
        <v>0</v>
      </c>
      <c r="X271" s="140">
        <f t="shared" si="9"/>
        <v>0.98</v>
      </c>
      <c r="Y271" s="141">
        <f t="shared" ref="Y271:Y273" si="270">-ROUND(P271+SUM(R271:W271),2)</f>
        <v>-821.33</v>
      </c>
      <c r="Z271" s="142">
        <f t="shared" si="230"/>
        <v>-821</v>
      </c>
      <c r="AA271" s="143">
        <f t="shared" si="47"/>
        <v>0.33000000000004093</v>
      </c>
      <c r="AB271" s="133">
        <v>44474</v>
      </c>
      <c r="AC271" s="144">
        <f t="shared" si="12"/>
        <v>1.1950000000000001E-3</v>
      </c>
      <c r="AD271" s="145">
        <f t="shared" si="13"/>
        <v>44474</v>
      </c>
      <c r="AE271" s="146" t="s">
        <v>403</v>
      </c>
      <c r="AF271" s="119"/>
    </row>
    <row r="272" spans="1:32" ht="12" customHeight="1">
      <c r="A272" s="148">
        <v>44470</v>
      </c>
      <c r="B272" s="149" t="s">
        <v>479</v>
      </c>
      <c r="C272" s="149"/>
      <c r="D272" s="149"/>
      <c r="E272" s="149"/>
      <c r="F272" s="149"/>
      <c r="G272" s="149"/>
      <c r="H272" s="135" t="s">
        <v>453</v>
      </c>
      <c r="I272" s="134" t="s">
        <v>469</v>
      </c>
      <c r="J272" s="135" t="s">
        <v>471</v>
      </c>
      <c r="K272" s="136">
        <v>15</v>
      </c>
      <c r="L272" s="137">
        <v>451</v>
      </c>
      <c r="M272" s="138">
        <f t="shared" si="38"/>
        <v>0</v>
      </c>
      <c r="N272" s="138">
        <f t="shared" si="267"/>
        <v>451</v>
      </c>
      <c r="O272" s="138"/>
      <c r="P272" s="138">
        <f t="shared" si="2"/>
        <v>6765</v>
      </c>
      <c r="Q272" s="139">
        <f t="shared" si="3"/>
        <v>0.53733333333333322</v>
      </c>
      <c r="R272" s="139">
        <f t="shared" si="74"/>
        <v>0</v>
      </c>
      <c r="S272" s="139">
        <f t="shared" si="35"/>
        <v>0.04</v>
      </c>
      <c r="T272" s="139">
        <f t="shared" si="61"/>
        <v>6.77</v>
      </c>
      <c r="U272" s="139">
        <f t="shared" si="268"/>
        <v>1.01</v>
      </c>
      <c r="V272" s="139">
        <f t="shared" si="269"/>
        <v>0.23</v>
      </c>
      <c r="W272" s="139">
        <f t="shared" si="217"/>
        <v>0.01</v>
      </c>
      <c r="X272" s="140">
        <f t="shared" si="9"/>
        <v>8.0599999999999987</v>
      </c>
      <c r="Y272" s="141">
        <f t="shared" si="270"/>
        <v>-6773.06</v>
      </c>
      <c r="Z272" s="142">
        <f t="shared" si="230"/>
        <v>-6773</v>
      </c>
      <c r="AA272" s="143">
        <f t="shared" si="47"/>
        <v>6.0000000000400178E-2</v>
      </c>
      <c r="AB272" s="133">
        <v>44474</v>
      </c>
      <c r="AC272" s="144">
        <f t="shared" si="12"/>
        <v>1.191E-3</v>
      </c>
      <c r="AD272" s="145">
        <f t="shared" si="13"/>
        <v>44474</v>
      </c>
      <c r="AE272" s="146" t="s">
        <v>403</v>
      </c>
      <c r="AF272" s="119"/>
    </row>
    <row r="273" spans="1:32" ht="12" customHeight="1">
      <c r="A273" s="148">
        <v>44473</v>
      </c>
      <c r="B273" s="149" t="s">
        <v>470</v>
      </c>
      <c r="C273" s="149"/>
      <c r="D273" s="149"/>
      <c r="E273" s="149"/>
      <c r="F273" s="149"/>
      <c r="G273" s="149"/>
      <c r="H273" s="135" t="s">
        <v>453</v>
      </c>
      <c r="I273" s="134" t="s">
        <v>469</v>
      </c>
      <c r="J273" s="135" t="s">
        <v>471</v>
      </c>
      <c r="K273" s="136">
        <v>2</v>
      </c>
      <c r="L273" s="137">
        <v>3139.6</v>
      </c>
      <c r="M273" s="138">
        <f t="shared" si="38"/>
        <v>0</v>
      </c>
      <c r="N273" s="138">
        <f t="shared" si="267"/>
        <v>3139.6</v>
      </c>
      <c r="O273" s="138"/>
      <c r="P273" s="138">
        <f t="shared" si="2"/>
        <v>6279.2</v>
      </c>
      <c r="Q273" s="139">
        <f t="shared" si="3"/>
        <v>3.7149999999999999</v>
      </c>
      <c r="R273" s="139">
        <f t="shared" si="74"/>
        <v>0</v>
      </c>
      <c r="S273" s="139">
        <f t="shared" si="35"/>
        <v>0.03</v>
      </c>
      <c r="T273" s="139">
        <f t="shared" si="61"/>
        <v>6.28</v>
      </c>
      <c r="U273" s="139">
        <f t="shared" si="268"/>
        <v>0.94</v>
      </c>
      <c r="V273" s="139">
        <f t="shared" ref="V273:V275" si="271">ROUND(P273*L$1809,2)</f>
        <v>0.17</v>
      </c>
      <c r="W273" s="139">
        <f t="shared" si="217"/>
        <v>0.01</v>
      </c>
      <c r="X273" s="140">
        <f t="shared" si="9"/>
        <v>7.43</v>
      </c>
      <c r="Y273" s="141">
        <f t="shared" si="270"/>
        <v>-6286.63</v>
      </c>
      <c r="Z273" s="142">
        <f t="shared" si="230"/>
        <v>-6287</v>
      </c>
      <c r="AA273" s="143">
        <f t="shared" si="47"/>
        <v>-0.36999999999989086</v>
      </c>
      <c r="AB273" s="133">
        <v>44475</v>
      </c>
      <c r="AC273" s="144">
        <f t="shared" si="12"/>
        <v>1.183E-3</v>
      </c>
      <c r="AD273" s="145">
        <f t="shared" si="13"/>
        <v>44475</v>
      </c>
      <c r="AE273" s="146" t="s">
        <v>403</v>
      </c>
      <c r="AF273" s="119"/>
    </row>
    <row r="274" spans="1:32" ht="12" customHeight="1">
      <c r="A274" s="150">
        <v>44473</v>
      </c>
      <c r="B274" s="151" t="s">
        <v>544</v>
      </c>
      <c r="C274" s="151"/>
      <c r="D274" s="151"/>
      <c r="E274" s="151"/>
      <c r="F274" s="151"/>
      <c r="G274" s="151"/>
      <c r="H274" s="122" t="s">
        <v>446</v>
      </c>
      <c r="I274" s="121" t="s">
        <v>469</v>
      </c>
      <c r="J274" s="122" t="s">
        <v>471</v>
      </c>
      <c r="K274" s="123">
        <v>100</v>
      </c>
      <c r="L274" s="124">
        <v>78</v>
      </c>
      <c r="M274" s="125">
        <f t="shared" si="38"/>
        <v>0</v>
      </c>
      <c r="N274" s="125">
        <f t="shared" ref="N274:N281" si="272">L274-M274</f>
        <v>78</v>
      </c>
      <c r="O274" s="125"/>
      <c r="P274" s="125">
        <f t="shared" si="2"/>
        <v>7800</v>
      </c>
      <c r="Q274" s="126">
        <f t="shared" si="3"/>
        <v>8.0600000000000005E-2</v>
      </c>
      <c r="R274" s="126">
        <f t="shared" si="74"/>
        <v>0</v>
      </c>
      <c r="S274" s="126">
        <f t="shared" si="35"/>
        <v>0.04</v>
      </c>
      <c r="T274" s="126">
        <f t="shared" si="61"/>
        <v>7.8</v>
      </c>
      <c r="U274" s="126">
        <v>0</v>
      </c>
      <c r="V274" s="126">
        <f t="shared" si="271"/>
        <v>0.21</v>
      </c>
      <c r="W274" s="126">
        <f t="shared" si="217"/>
        <v>0.01</v>
      </c>
      <c r="X274" s="126">
        <f t="shared" si="9"/>
        <v>8.06</v>
      </c>
      <c r="Y274" s="127">
        <f t="shared" ref="Y274:Y281" si="273">ROUND(P274-SUM(R274:W274),2)</f>
        <v>7791.94</v>
      </c>
      <c r="Z274" s="128">
        <f t="shared" si="230"/>
        <v>7792</v>
      </c>
      <c r="AA274" s="129">
        <f t="shared" si="47"/>
        <v>6.0000000000400178E-2</v>
      </c>
      <c r="AB274" s="120">
        <v>44475</v>
      </c>
      <c r="AC274" s="130">
        <f t="shared" si="12"/>
        <v>1.0330000000000001E-3</v>
      </c>
      <c r="AD274" s="131">
        <f t="shared" si="13"/>
        <v>44475</v>
      </c>
      <c r="AE274" s="132" t="s">
        <v>403</v>
      </c>
      <c r="AF274" s="119"/>
    </row>
    <row r="275" spans="1:32" ht="12" customHeight="1">
      <c r="A275" s="150">
        <v>44473</v>
      </c>
      <c r="B275" s="151" t="s">
        <v>482</v>
      </c>
      <c r="C275" s="151"/>
      <c r="D275" s="151"/>
      <c r="E275" s="151"/>
      <c r="F275" s="151"/>
      <c r="G275" s="151"/>
      <c r="H275" s="122" t="s">
        <v>446</v>
      </c>
      <c r="I275" s="121" t="s">
        <v>469</v>
      </c>
      <c r="J275" s="122" t="s">
        <v>471</v>
      </c>
      <c r="K275" s="123">
        <v>9</v>
      </c>
      <c r="L275" s="124">
        <v>104.2</v>
      </c>
      <c r="M275" s="125">
        <f t="shared" si="38"/>
        <v>0</v>
      </c>
      <c r="N275" s="125">
        <f t="shared" si="272"/>
        <v>104.2</v>
      </c>
      <c r="O275" s="125"/>
      <c r="P275" s="125">
        <f t="shared" si="2"/>
        <v>937.8</v>
      </c>
      <c r="Q275" s="126">
        <f t="shared" si="3"/>
        <v>0.10888888888888888</v>
      </c>
      <c r="R275" s="126">
        <f t="shared" si="74"/>
        <v>0</v>
      </c>
      <c r="S275" s="126">
        <f t="shared" si="35"/>
        <v>0.01</v>
      </c>
      <c r="T275" s="126">
        <f t="shared" si="61"/>
        <v>0.94</v>
      </c>
      <c r="U275" s="126">
        <v>0</v>
      </c>
      <c r="V275" s="126">
        <f t="shared" si="271"/>
        <v>0.03</v>
      </c>
      <c r="W275" s="126">
        <f t="shared" si="217"/>
        <v>0</v>
      </c>
      <c r="X275" s="126">
        <f t="shared" si="9"/>
        <v>0.98</v>
      </c>
      <c r="Y275" s="127">
        <f t="shared" si="273"/>
        <v>936.82</v>
      </c>
      <c r="Z275" s="128">
        <f t="shared" si="230"/>
        <v>937</v>
      </c>
      <c r="AA275" s="129">
        <f t="shared" si="47"/>
        <v>0.17999999999994998</v>
      </c>
      <c r="AB275" s="120">
        <v>44475</v>
      </c>
      <c r="AC275" s="130">
        <f t="shared" si="12"/>
        <v>1.0449999999999999E-3</v>
      </c>
      <c r="AD275" s="131">
        <f t="shared" si="13"/>
        <v>44475</v>
      </c>
      <c r="AE275" s="132" t="s">
        <v>403</v>
      </c>
      <c r="AF275" s="119"/>
    </row>
    <row r="276" spans="1:32" ht="12" customHeight="1">
      <c r="A276" s="150">
        <v>44474</v>
      </c>
      <c r="B276" s="151" t="s">
        <v>552</v>
      </c>
      <c r="C276" s="151"/>
      <c r="D276" s="151"/>
      <c r="E276" s="151"/>
      <c r="F276" s="151"/>
      <c r="G276" s="151"/>
      <c r="H276" s="122" t="s">
        <v>446</v>
      </c>
      <c r="I276" s="121" t="s">
        <v>469</v>
      </c>
      <c r="J276" s="122" t="s">
        <v>471</v>
      </c>
      <c r="K276" s="123">
        <v>50</v>
      </c>
      <c r="L276" s="124">
        <v>303</v>
      </c>
      <c r="M276" s="125">
        <f t="shared" si="38"/>
        <v>0</v>
      </c>
      <c r="N276" s="125">
        <f t="shared" si="272"/>
        <v>303</v>
      </c>
      <c r="O276" s="125"/>
      <c r="P276" s="125">
        <f t="shared" si="2"/>
        <v>15150</v>
      </c>
      <c r="Q276" s="126">
        <f t="shared" si="3"/>
        <v>0.31559999999999999</v>
      </c>
      <c r="R276" s="126">
        <f t="shared" si="74"/>
        <v>0</v>
      </c>
      <c r="S276" s="126">
        <f t="shared" si="35"/>
        <v>0.09</v>
      </c>
      <c r="T276" s="126">
        <f t="shared" si="61"/>
        <v>15.15</v>
      </c>
      <c r="U276" s="126">
        <v>0</v>
      </c>
      <c r="V276" s="126">
        <f t="shared" ref="V276:V278" si="274">ROUND(P276*M$1809,2)</f>
        <v>0.52</v>
      </c>
      <c r="W276" s="126">
        <f t="shared" si="217"/>
        <v>0.02</v>
      </c>
      <c r="X276" s="126">
        <f t="shared" si="9"/>
        <v>15.78</v>
      </c>
      <c r="Y276" s="127">
        <f t="shared" si="273"/>
        <v>15134.22</v>
      </c>
      <c r="Z276" s="128">
        <f t="shared" si="230"/>
        <v>15134</v>
      </c>
      <c r="AA276" s="129">
        <f t="shared" si="47"/>
        <v>-0.21999999999934516</v>
      </c>
      <c r="AB276" s="120">
        <v>44476</v>
      </c>
      <c r="AC276" s="130">
        <f t="shared" si="12"/>
        <v>1.042E-3</v>
      </c>
      <c r="AD276" s="131">
        <f t="shared" si="13"/>
        <v>44476</v>
      </c>
      <c r="AE276" s="132" t="s">
        <v>403</v>
      </c>
      <c r="AF276" s="119"/>
    </row>
    <row r="277" spans="1:32" ht="12" customHeight="1">
      <c r="A277" s="150">
        <v>44474</v>
      </c>
      <c r="B277" s="151" t="s">
        <v>515</v>
      </c>
      <c r="C277" s="151"/>
      <c r="D277" s="151"/>
      <c r="E277" s="151"/>
      <c r="F277" s="151"/>
      <c r="G277" s="151"/>
      <c r="H277" s="122" t="s">
        <v>446</v>
      </c>
      <c r="I277" s="121" t="s">
        <v>469</v>
      </c>
      <c r="J277" s="122" t="s">
        <v>471</v>
      </c>
      <c r="K277" s="123">
        <v>15</v>
      </c>
      <c r="L277" s="124">
        <v>842.5</v>
      </c>
      <c r="M277" s="125">
        <f t="shared" si="38"/>
        <v>0</v>
      </c>
      <c r="N277" s="125">
        <f t="shared" si="272"/>
        <v>842.5</v>
      </c>
      <c r="O277" s="125"/>
      <c r="P277" s="125">
        <f t="shared" si="2"/>
        <v>12637.5</v>
      </c>
      <c r="Q277" s="126">
        <f t="shared" si="3"/>
        <v>0.878</v>
      </c>
      <c r="R277" s="126">
        <f t="shared" si="74"/>
        <v>0</v>
      </c>
      <c r="S277" s="126">
        <f t="shared" si="35"/>
        <v>0.08</v>
      </c>
      <c r="T277" s="126">
        <f t="shared" si="61"/>
        <v>12.64</v>
      </c>
      <c r="U277" s="126">
        <v>0</v>
      </c>
      <c r="V277" s="126">
        <f t="shared" si="274"/>
        <v>0.44</v>
      </c>
      <c r="W277" s="126">
        <f t="shared" si="217"/>
        <v>0.01</v>
      </c>
      <c r="X277" s="126">
        <f t="shared" si="9"/>
        <v>13.17</v>
      </c>
      <c r="Y277" s="127">
        <f t="shared" si="273"/>
        <v>12624.33</v>
      </c>
      <c r="Z277" s="128">
        <f t="shared" si="230"/>
        <v>12624</v>
      </c>
      <c r="AA277" s="129">
        <f t="shared" si="47"/>
        <v>-0.32999999999992724</v>
      </c>
      <c r="AB277" s="120">
        <v>44476</v>
      </c>
      <c r="AC277" s="130">
        <f t="shared" si="12"/>
        <v>1.042E-3</v>
      </c>
      <c r="AD277" s="131">
        <f t="shared" si="13"/>
        <v>44476</v>
      </c>
      <c r="AE277" s="132" t="s">
        <v>403</v>
      </c>
      <c r="AF277" s="119"/>
    </row>
    <row r="278" spans="1:32" ht="12" customHeight="1">
      <c r="A278" s="150">
        <v>44476</v>
      </c>
      <c r="B278" s="151" t="s">
        <v>567</v>
      </c>
      <c r="C278" s="151"/>
      <c r="D278" s="151"/>
      <c r="E278" s="151"/>
      <c r="F278" s="151"/>
      <c r="G278" s="151"/>
      <c r="H278" s="122" t="s">
        <v>446</v>
      </c>
      <c r="I278" s="121" t="s">
        <v>469</v>
      </c>
      <c r="J278" s="122" t="s">
        <v>471</v>
      </c>
      <c r="K278" s="123">
        <v>5</v>
      </c>
      <c r="L278" s="124">
        <v>1575</v>
      </c>
      <c r="M278" s="125">
        <f t="shared" si="38"/>
        <v>0</v>
      </c>
      <c r="N278" s="125">
        <f t="shared" si="272"/>
        <v>1575</v>
      </c>
      <c r="O278" s="125"/>
      <c r="P278" s="125">
        <f t="shared" si="2"/>
        <v>7875</v>
      </c>
      <c r="Q278" s="126">
        <f t="shared" si="3"/>
        <v>1.6419999999999999</v>
      </c>
      <c r="R278" s="126">
        <f t="shared" si="74"/>
        <v>0</v>
      </c>
      <c r="S278" s="126">
        <f t="shared" si="35"/>
        <v>0.05</v>
      </c>
      <c r="T278" s="126">
        <f t="shared" si="61"/>
        <v>7.88</v>
      </c>
      <c r="U278" s="126">
        <v>0</v>
      </c>
      <c r="V278" s="126">
        <f t="shared" si="274"/>
        <v>0.27</v>
      </c>
      <c r="W278" s="126">
        <f t="shared" si="217"/>
        <v>0.01</v>
      </c>
      <c r="X278" s="126">
        <f t="shared" si="9"/>
        <v>8.2099999999999991</v>
      </c>
      <c r="Y278" s="127">
        <f t="shared" si="273"/>
        <v>7866.79</v>
      </c>
      <c r="Z278" s="128">
        <f t="shared" si="230"/>
        <v>7867</v>
      </c>
      <c r="AA278" s="129">
        <f t="shared" si="47"/>
        <v>0.21000000000003638</v>
      </c>
      <c r="AB278" s="120">
        <v>44480</v>
      </c>
      <c r="AC278" s="130">
        <f t="shared" si="12"/>
        <v>1.0430000000000001E-3</v>
      </c>
      <c r="AD278" s="131">
        <f t="shared" si="13"/>
        <v>44480</v>
      </c>
      <c r="AE278" s="132" t="s">
        <v>403</v>
      </c>
      <c r="AF278" s="119"/>
    </row>
    <row r="279" spans="1:32" ht="12" customHeight="1">
      <c r="A279" s="150">
        <v>44477</v>
      </c>
      <c r="B279" s="151" t="s">
        <v>555</v>
      </c>
      <c r="C279" s="151"/>
      <c r="D279" s="151"/>
      <c r="E279" s="151"/>
      <c r="F279" s="151"/>
      <c r="G279" s="151"/>
      <c r="H279" s="122" t="s">
        <v>446</v>
      </c>
      <c r="I279" s="121" t="s">
        <v>469</v>
      </c>
      <c r="J279" s="122" t="s">
        <v>471</v>
      </c>
      <c r="K279" s="123">
        <v>1</v>
      </c>
      <c r="L279" s="124">
        <v>2375</v>
      </c>
      <c r="M279" s="125">
        <f t="shared" si="38"/>
        <v>0</v>
      </c>
      <c r="N279" s="125">
        <f t="shared" si="272"/>
        <v>2375</v>
      </c>
      <c r="O279" s="125"/>
      <c r="P279" s="125">
        <f t="shared" si="2"/>
        <v>2375</v>
      </c>
      <c r="Q279" s="126">
        <f t="shared" si="3"/>
        <v>2.4599999999999995</v>
      </c>
      <c r="R279" s="126">
        <f t="shared" si="74"/>
        <v>0</v>
      </c>
      <c r="S279" s="126">
        <f t="shared" si="35"/>
        <v>0.01</v>
      </c>
      <c r="T279" s="126">
        <f t="shared" si="61"/>
        <v>2.38</v>
      </c>
      <c r="U279" s="126">
        <v>0</v>
      </c>
      <c r="V279" s="126">
        <f>ROUND(P279*L$1809,2)</f>
        <v>7.0000000000000007E-2</v>
      </c>
      <c r="W279" s="126">
        <f t="shared" si="217"/>
        <v>0</v>
      </c>
      <c r="X279" s="126">
        <f t="shared" si="9"/>
        <v>2.4599999999999995</v>
      </c>
      <c r="Y279" s="127">
        <f t="shared" si="273"/>
        <v>2372.54</v>
      </c>
      <c r="Z279" s="128">
        <f t="shared" si="230"/>
        <v>2373</v>
      </c>
      <c r="AA279" s="129">
        <f t="shared" si="47"/>
        <v>0.46000000000003638</v>
      </c>
      <c r="AB279" s="120">
        <v>44481</v>
      </c>
      <c r="AC279" s="130">
        <f t="shared" si="12"/>
        <v>1.036E-3</v>
      </c>
      <c r="AD279" s="131">
        <f t="shared" si="13"/>
        <v>44481</v>
      </c>
      <c r="AE279" s="132" t="s">
        <v>403</v>
      </c>
      <c r="AF279" s="119"/>
    </row>
    <row r="280" spans="1:32" ht="12" customHeight="1">
      <c r="A280" s="150">
        <v>44477</v>
      </c>
      <c r="B280" s="151" t="s">
        <v>571</v>
      </c>
      <c r="C280" s="151"/>
      <c r="D280" s="151"/>
      <c r="E280" s="151"/>
      <c r="F280" s="151"/>
      <c r="G280" s="151"/>
      <c r="H280" s="122" t="s">
        <v>446</v>
      </c>
      <c r="I280" s="121" t="s">
        <v>469</v>
      </c>
      <c r="J280" s="122" t="s">
        <v>471</v>
      </c>
      <c r="K280" s="123">
        <v>10</v>
      </c>
      <c r="L280" s="124">
        <v>690</v>
      </c>
      <c r="M280" s="125">
        <f t="shared" si="38"/>
        <v>0</v>
      </c>
      <c r="N280" s="125">
        <f t="shared" si="272"/>
        <v>690</v>
      </c>
      <c r="O280" s="125"/>
      <c r="P280" s="125">
        <f t="shared" si="2"/>
        <v>6900</v>
      </c>
      <c r="Q280" s="126">
        <f t="shared" si="3"/>
        <v>0.71900000000000008</v>
      </c>
      <c r="R280" s="126">
        <f t="shared" si="74"/>
        <v>0</v>
      </c>
      <c r="S280" s="126">
        <f t="shared" si="35"/>
        <v>0.04</v>
      </c>
      <c r="T280" s="126">
        <f t="shared" si="61"/>
        <v>6.9</v>
      </c>
      <c r="U280" s="126">
        <v>0</v>
      </c>
      <c r="V280" s="126">
        <f>ROUND(P280*M$1809,2)</f>
        <v>0.24</v>
      </c>
      <c r="W280" s="126">
        <f t="shared" si="217"/>
        <v>0.01</v>
      </c>
      <c r="X280" s="126">
        <f t="shared" si="9"/>
        <v>7.19</v>
      </c>
      <c r="Y280" s="127">
        <f t="shared" si="273"/>
        <v>6892.81</v>
      </c>
      <c r="Z280" s="128">
        <f t="shared" si="230"/>
        <v>6893</v>
      </c>
      <c r="AA280" s="129">
        <f t="shared" si="47"/>
        <v>0.18999999999959982</v>
      </c>
      <c r="AB280" s="120">
        <v>44481</v>
      </c>
      <c r="AC280" s="130">
        <f t="shared" si="12"/>
        <v>1.042E-3</v>
      </c>
      <c r="AD280" s="131">
        <f t="shared" si="13"/>
        <v>44481</v>
      </c>
      <c r="AE280" s="132" t="s">
        <v>403</v>
      </c>
      <c r="AF280" s="119"/>
    </row>
    <row r="281" spans="1:32" ht="12" customHeight="1">
      <c r="A281" s="150">
        <v>44477</v>
      </c>
      <c r="B281" s="151" t="s">
        <v>460</v>
      </c>
      <c r="C281" s="151"/>
      <c r="D281" s="151"/>
      <c r="E281" s="151"/>
      <c r="F281" s="151"/>
      <c r="G281" s="151"/>
      <c r="H281" s="122" t="s">
        <v>446</v>
      </c>
      <c r="I281" s="121" t="s">
        <v>469</v>
      </c>
      <c r="J281" s="122" t="s">
        <v>471</v>
      </c>
      <c r="K281" s="123">
        <v>2</v>
      </c>
      <c r="L281" s="124">
        <v>2610</v>
      </c>
      <c r="M281" s="125">
        <f t="shared" si="38"/>
        <v>0</v>
      </c>
      <c r="N281" s="125">
        <f t="shared" si="272"/>
        <v>2610</v>
      </c>
      <c r="O281" s="125"/>
      <c r="P281" s="125">
        <f t="shared" si="2"/>
        <v>5220</v>
      </c>
      <c r="Q281" s="126">
        <f t="shared" si="3"/>
        <v>2.6999999999999997</v>
      </c>
      <c r="R281" s="126">
        <f t="shared" si="74"/>
        <v>0</v>
      </c>
      <c r="S281" s="126">
        <f t="shared" si="35"/>
        <v>0.03</v>
      </c>
      <c r="T281" s="126">
        <f t="shared" si="61"/>
        <v>5.22</v>
      </c>
      <c r="U281" s="126">
        <v>0</v>
      </c>
      <c r="V281" s="126">
        <f>ROUND(P281*L$1809,2)</f>
        <v>0.14000000000000001</v>
      </c>
      <c r="W281" s="126">
        <f t="shared" si="217"/>
        <v>0.01</v>
      </c>
      <c r="X281" s="126">
        <f t="shared" si="9"/>
        <v>5.3999999999999995</v>
      </c>
      <c r="Y281" s="127">
        <f t="shared" si="273"/>
        <v>5214.6000000000004</v>
      </c>
      <c r="Z281" s="128">
        <f t="shared" si="230"/>
        <v>5215</v>
      </c>
      <c r="AA281" s="129">
        <f t="shared" si="47"/>
        <v>0.3999999999996362</v>
      </c>
      <c r="AB281" s="120">
        <v>44481</v>
      </c>
      <c r="AC281" s="130">
        <f t="shared" si="12"/>
        <v>1.034E-3</v>
      </c>
      <c r="AD281" s="131">
        <f t="shared" si="13"/>
        <v>44481</v>
      </c>
      <c r="AE281" s="132" t="s">
        <v>403</v>
      </c>
      <c r="AF281" s="119"/>
    </row>
    <row r="282" spans="1:32" ht="12" customHeight="1">
      <c r="A282" s="148">
        <v>44480</v>
      </c>
      <c r="B282" s="149" t="s">
        <v>460</v>
      </c>
      <c r="C282" s="149"/>
      <c r="D282" s="149"/>
      <c r="E282" s="149"/>
      <c r="F282" s="149"/>
      <c r="G282" s="149"/>
      <c r="H282" s="135" t="s">
        <v>453</v>
      </c>
      <c r="I282" s="134" t="s">
        <v>469</v>
      </c>
      <c r="J282" s="135" t="s">
        <v>471</v>
      </c>
      <c r="K282" s="136">
        <v>5</v>
      </c>
      <c r="L282" s="137">
        <v>2675</v>
      </c>
      <c r="M282" s="138">
        <f t="shared" si="38"/>
        <v>0</v>
      </c>
      <c r="N282" s="138">
        <f t="shared" ref="N282:N284" si="275">L282+M282</f>
        <v>2675</v>
      </c>
      <c r="O282" s="138"/>
      <c r="P282" s="138">
        <f t="shared" si="2"/>
        <v>13375</v>
      </c>
      <c r="Q282" s="139">
        <f t="shared" si="3"/>
        <v>3.1880000000000002</v>
      </c>
      <c r="R282" s="139">
        <f t="shared" si="74"/>
        <v>0</v>
      </c>
      <c r="S282" s="139">
        <f t="shared" si="35"/>
        <v>0.08</v>
      </c>
      <c r="T282" s="139">
        <f t="shared" si="61"/>
        <v>13.38</v>
      </c>
      <c r="U282" s="139">
        <f t="shared" ref="U282:U284" si="276">ROUND(P282*K$1812,2)</f>
        <v>2.0099999999999998</v>
      </c>
      <c r="V282" s="139">
        <f t="shared" ref="V282:V284" si="277">ROUND(P282*M$1809,2)</f>
        <v>0.46</v>
      </c>
      <c r="W282" s="139">
        <f t="shared" si="217"/>
        <v>0.01</v>
      </c>
      <c r="X282" s="140">
        <f t="shared" si="9"/>
        <v>15.940000000000001</v>
      </c>
      <c r="Y282" s="141">
        <f t="shared" ref="Y282:Y284" si="278">-ROUND(P282+SUM(R282:W282),2)</f>
        <v>-13390.94</v>
      </c>
      <c r="Z282" s="142">
        <f t="shared" si="230"/>
        <v>-13391</v>
      </c>
      <c r="AA282" s="143">
        <f t="shared" si="47"/>
        <v>-5.9999999999490683E-2</v>
      </c>
      <c r="AB282" s="133">
        <v>44482</v>
      </c>
      <c r="AC282" s="144">
        <f t="shared" si="12"/>
        <v>1.1919999999999999E-3</v>
      </c>
      <c r="AD282" s="145">
        <f t="shared" si="13"/>
        <v>44482</v>
      </c>
      <c r="AE282" s="146" t="s">
        <v>403</v>
      </c>
      <c r="AF282" s="119"/>
    </row>
    <row r="283" spans="1:32" ht="12" customHeight="1">
      <c r="A283" s="148">
        <v>44482</v>
      </c>
      <c r="B283" s="149" t="s">
        <v>572</v>
      </c>
      <c r="C283" s="149"/>
      <c r="D283" s="149"/>
      <c r="E283" s="149"/>
      <c r="F283" s="149"/>
      <c r="G283" s="149"/>
      <c r="H283" s="135" t="s">
        <v>453</v>
      </c>
      <c r="I283" s="134" t="s">
        <v>469</v>
      </c>
      <c r="J283" s="135" t="s">
        <v>471</v>
      </c>
      <c r="K283" s="136">
        <v>50</v>
      </c>
      <c r="L283" s="137">
        <v>120.75</v>
      </c>
      <c r="M283" s="138">
        <f t="shared" si="38"/>
        <v>0</v>
      </c>
      <c r="N283" s="138">
        <f t="shared" si="275"/>
        <v>120.75</v>
      </c>
      <c r="O283" s="138"/>
      <c r="P283" s="138">
        <f t="shared" si="2"/>
        <v>6037.5</v>
      </c>
      <c r="Q283" s="139">
        <f t="shared" si="3"/>
        <v>0.14419999999999999</v>
      </c>
      <c r="R283" s="139">
        <f t="shared" si="74"/>
        <v>0</v>
      </c>
      <c r="S283" s="139">
        <f t="shared" si="35"/>
        <v>0.04</v>
      </c>
      <c r="T283" s="139">
        <f t="shared" si="61"/>
        <v>6.04</v>
      </c>
      <c r="U283" s="139">
        <f t="shared" si="276"/>
        <v>0.91</v>
      </c>
      <c r="V283" s="139">
        <f t="shared" si="277"/>
        <v>0.21</v>
      </c>
      <c r="W283" s="139">
        <f t="shared" si="217"/>
        <v>0.01</v>
      </c>
      <c r="X283" s="140">
        <f t="shared" si="9"/>
        <v>7.21</v>
      </c>
      <c r="Y283" s="141">
        <f t="shared" si="278"/>
        <v>-6044.71</v>
      </c>
      <c r="Z283" s="142">
        <f t="shared" si="230"/>
        <v>-6045</v>
      </c>
      <c r="AA283" s="143">
        <f t="shared" si="47"/>
        <v>-0.28999999999996362</v>
      </c>
      <c r="AB283" s="133">
        <v>44487</v>
      </c>
      <c r="AC283" s="144">
        <f t="shared" si="12"/>
        <v>1.194E-3</v>
      </c>
      <c r="AD283" s="145">
        <f t="shared" si="13"/>
        <v>44487</v>
      </c>
      <c r="AE283" s="146" t="s">
        <v>403</v>
      </c>
      <c r="AF283" s="119"/>
    </row>
    <row r="284" spans="1:32" ht="12" customHeight="1">
      <c r="A284" s="148">
        <v>44482</v>
      </c>
      <c r="B284" s="149" t="s">
        <v>562</v>
      </c>
      <c r="C284" s="149"/>
      <c r="D284" s="149"/>
      <c r="E284" s="149"/>
      <c r="F284" s="149"/>
      <c r="G284" s="149"/>
      <c r="H284" s="135" t="s">
        <v>453</v>
      </c>
      <c r="I284" s="134" t="s">
        <v>469</v>
      </c>
      <c r="J284" s="135" t="s">
        <v>471</v>
      </c>
      <c r="K284" s="136">
        <v>5</v>
      </c>
      <c r="L284" s="137">
        <v>1425</v>
      </c>
      <c r="M284" s="138">
        <f t="shared" si="38"/>
        <v>0</v>
      </c>
      <c r="N284" s="138">
        <f t="shared" si="275"/>
        <v>1425</v>
      </c>
      <c r="O284" s="138"/>
      <c r="P284" s="138">
        <f t="shared" si="2"/>
        <v>7125</v>
      </c>
      <c r="Q284" s="139">
        <f t="shared" si="3"/>
        <v>1.702</v>
      </c>
      <c r="R284" s="139">
        <f t="shared" si="74"/>
        <v>0</v>
      </c>
      <c r="S284" s="139">
        <f t="shared" si="35"/>
        <v>0.05</v>
      </c>
      <c r="T284" s="139">
        <f t="shared" si="61"/>
        <v>7.13</v>
      </c>
      <c r="U284" s="139">
        <f t="shared" si="276"/>
        <v>1.07</v>
      </c>
      <c r="V284" s="139">
        <f t="shared" si="277"/>
        <v>0.25</v>
      </c>
      <c r="W284" s="139">
        <f t="shared" si="217"/>
        <v>0.01</v>
      </c>
      <c r="X284" s="140">
        <f t="shared" si="9"/>
        <v>8.51</v>
      </c>
      <c r="Y284" s="141">
        <f t="shared" si="278"/>
        <v>-7133.51</v>
      </c>
      <c r="Z284" s="142">
        <f t="shared" si="230"/>
        <v>-7134</v>
      </c>
      <c r="AA284" s="143">
        <f t="shared" si="47"/>
        <v>-0.48999999999978172</v>
      </c>
      <c r="AB284" s="133">
        <v>44487</v>
      </c>
      <c r="AC284" s="144">
        <f t="shared" si="12"/>
        <v>1.194E-3</v>
      </c>
      <c r="AD284" s="145">
        <f t="shared" si="13"/>
        <v>44487</v>
      </c>
      <c r="AE284" s="146" t="s">
        <v>403</v>
      </c>
      <c r="AF284" s="119"/>
    </row>
    <row r="285" spans="1:32" ht="12" customHeight="1">
      <c r="A285" s="150">
        <v>44482</v>
      </c>
      <c r="B285" s="151" t="s">
        <v>562</v>
      </c>
      <c r="C285" s="151"/>
      <c r="D285" s="151"/>
      <c r="E285" s="151"/>
      <c r="F285" s="151"/>
      <c r="G285" s="151"/>
      <c r="H285" s="122" t="s">
        <v>446</v>
      </c>
      <c r="I285" s="121" t="s">
        <v>469</v>
      </c>
      <c r="J285" s="122" t="s">
        <v>471</v>
      </c>
      <c r="K285" s="123">
        <v>5</v>
      </c>
      <c r="L285" s="124">
        <v>1435</v>
      </c>
      <c r="M285" s="125">
        <f t="shared" si="38"/>
        <v>0</v>
      </c>
      <c r="N285" s="125">
        <f>L285-M285</f>
        <v>1435</v>
      </c>
      <c r="O285" s="125"/>
      <c r="P285" s="125">
        <f t="shared" si="2"/>
        <v>7175</v>
      </c>
      <c r="Q285" s="126">
        <f t="shared" si="3"/>
        <v>1.486</v>
      </c>
      <c r="R285" s="126">
        <f t="shared" si="74"/>
        <v>0</v>
      </c>
      <c r="S285" s="126">
        <f t="shared" si="35"/>
        <v>0.04</v>
      </c>
      <c r="T285" s="126">
        <f t="shared" si="61"/>
        <v>7.18</v>
      </c>
      <c r="U285" s="126">
        <v>0</v>
      </c>
      <c r="V285" s="126">
        <f t="shared" ref="V285:V287" si="279">ROUND(P285*L$1809,2)</f>
        <v>0.2</v>
      </c>
      <c r="W285" s="126">
        <f t="shared" si="217"/>
        <v>0.01</v>
      </c>
      <c r="X285" s="126">
        <f t="shared" si="9"/>
        <v>7.43</v>
      </c>
      <c r="Y285" s="127">
        <f>ROUND(P285-SUM(R285:W285),2)</f>
        <v>7167.57</v>
      </c>
      <c r="Z285" s="128">
        <f t="shared" si="230"/>
        <v>7168</v>
      </c>
      <c r="AA285" s="129">
        <f t="shared" si="47"/>
        <v>0.43000000000029104</v>
      </c>
      <c r="AB285" s="120">
        <v>44487</v>
      </c>
      <c r="AC285" s="130">
        <f t="shared" si="12"/>
        <v>1.036E-3</v>
      </c>
      <c r="AD285" s="131">
        <f t="shared" si="13"/>
        <v>44487</v>
      </c>
      <c r="AE285" s="132" t="s">
        <v>403</v>
      </c>
      <c r="AF285" s="119"/>
    </row>
    <row r="286" spans="1:32" ht="12" customHeight="1">
      <c r="A286" s="148">
        <v>44487</v>
      </c>
      <c r="B286" s="149" t="s">
        <v>573</v>
      </c>
      <c r="C286" s="149"/>
      <c r="D286" s="149"/>
      <c r="E286" s="149"/>
      <c r="F286" s="149"/>
      <c r="G286" s="149"/>
      <c r="H286" s="135" t="s">
        <v>453</v>
      </c>
      <c r="I286" s="134" t="s">
        <v>469</v>
      </c>
      <c r="J286" s="135" t="s">
        <v>471</v>
      </c>
      <c r="K286" s="136">
        <v>10</v>
      </c>
      <c r="L286" s="137">
        <v>1145</v>
      </c>
      <c r="M286" s="138">
        <f t="shared" si="38"/>
        <v>0</v>
      </c>
      <c r="N286" s="138">
        <f t="shared" ref="N286:N287" si="280">L286+M286</f>
        <v>1145</v>
      </c>
      <c r="O286" s="138"/>
      <c r="P286" s="138">
        <f t="shared" si="2"/>
        <v>11450</v>
      </c>
      <c r="Q286" s="139">
        <f t="shared" si="3"/>
        <v>1.355</v>
      </c>
      <c r="R286" s="139">
        <f t="shared" si="74"/>
        <v>0</v>
      </c>
      <c r="S286" s="139">
        <f t="shared" si="35"/>
        <v>0.06</v>
      </c>
      <c r="T286" s="139">
        <f t="shared" si="61"/>
        <v>11.45</v>
      </c>
      <c r="U286" s="139">
        <f t="shared" ref="U286:U287" si="281">ROUND(P286*K$1812,2)</f>
        <v>1.72</v>
      </c>
      <c r="V286" s="139">
        <f t="shared" si="279"/>
        <v>0.31</v>
      </c>
      <c r="W286" s="139">
        <f t="shared" si="217"/>
        <v>0.01</v>
      </c>
      <c r="X286" s="140">
        <f t="shared" si="9"/>
        <v>13.55</v>
      </c>
      <c r="Y286" s="141">
        <f t="shared" ref="Y286:Y287" si="282">-ROUND(P286+SUM(R286:W286),2)</f>
        <v>-11463.55</v>
      </c>
      <c r="Z286" s="142">
        <f t="shared" si="230"/>
        <v>-11464</v>
      </c>
      <c r="AA286" s="143">
        <f t="shared" si="47"/>
        <v>-0.4500000000007276</v>
      </c>
      <c r="AB286" s="133">
        <v>44490</v>
      </c>
      <c r="AC286" s="144">
        <f t="shared" si="12"/>
        <v>1.183E-3</v>
      </c>
      <c r="AD286" s="145">
        <f t="shared" si="13"/>
        <v>44490</v>
      </c>
      <c r="AE286" s="146" t="s">
        <v>403</v>
      </c>
      <c r="AF286" s="119"/>
    </row>
    <row r="287" spans="1:32" ht="12" customHeight="1">
      <c r="A287" s="148">
        <v>44487</v>
      </c>
      <c r="B287" s="152" t="s">
        <v>574</v>
      </c>
      <c r="C287" s="149"/>
      <c r="D287" s="149"/>
      <c r="E287" s="149"/>
      <c r="F287" s="149"/>
      <c r="G287" s="149"/>
      <c r="H287" s="135" t="s">
        <v>453</v>
      </c>
      <c r="I287" s="134" t="s">
        <v>469</v>
      </c>
      <c r="J287" s="135" t="s">
        <v>471</v>
      </c>
      <c r="K287" s="136">
        <v>1</v>
      </c>
      <c r="L287" s="137">
        <v>3614</v>
      </c>
      <c r="M287" s="138">
        <f t="shared" si="38"/>
        <v>0</v>
      </c>
      <c r="N287" s="138">
        <f t="shared" si="280"/>
        <v>3614</v>
      </c>
      <c r="O287" s="138"/>
      <c r="P287" s="138">
        <f t="shared" si="2"/>
        <v>3614</v>
      </c>
      <c r="Q287" s="139">
        <f t="shared" si="3"/>
        <v>4.2699999999999996</v>
      </c>
      <c r="R287" s="139">
        <f t="shared" si="74"/>
        <v>0</v>
      </c>
      <c r="S287" s="139">
        <f t="shared" si="35"/>
        <v>0.02</v>
      </c>
      <c r="T287" s="139">
        <f t="shared" si="61"/>
        <v>3.61</v>
      </c>
      <c r="U287" s="139">
        <f t="shared" si="281"/>
        <v>0.54</v>
      </c>
      <c r="V287" s="139">
        <f t="shared" si="279"/>
        <v>0.1</v>
      </c>
      <c r="W287" s="139">
        <f t="shared" si="217"/>
        <v>0</v>
      </c>
      <c r="X287" s="140">
        <f t="shared" si="9"/>
        <v>4.2699999999999996</v>
      </c>
      <c r="Y287" s="141">
        <f t="shared" si="282"/>
        <v>-3618.27</v>
      </c>
      <c r="Z287" s="142">
        <f t="shared" si="230"/>
        <v>-3618</v>
      </c>
      <c r="AA287" s="143">
        <f t="shared" si="47"/>
        <v>0.26999999999998181</v>
      </c>
      <c r="AB287" s="133">
        <v>44490</v>
      </c>
      <c r="AC287" s="144">
        <f t="shared" si="12"/>
        <v>1.1820000000000001E-3</v>
      </c>
      <c r="AD287" s="145">
        <f t="shared" si="13"/>
        <v>44490</v>
      </c>
      <c r="AE287" s="146" t="s">
        <v>403</v>
      </c>
      <c r="AF287" s="119"/>
    </row>
    <row r="288" spans="1:32" ht="12" customHeight="1">
      <c r="A288" s="150">
        <v>44487</v>
      </c>
      <c r="B288" s="151" t="s">
        <v>526</v>
      </c>
      <c r="C288" s="151"/>
      <c r="D288" s="151"/>
      <c r="E288" s="151"/>
      <c r="F288" s="151"/>
      <c r="G288" s="151"/>
      <c r="H288" s="122" t="s">
        <v>446</v>
      </c>
      <c r="I288" s="121" t="s">
        <v>469</v>
      </c>
      <c r="J288" s="122" t="s">
        <v>471</v>
      </c>
      <c r="K288" s="123">
        <v>50</v>
      </c>
      <c r="L288" s="124">
        <v>96</v>
      </c>
      <c r="M288" s="125">
        <f t="shared" si="38"/>
        <v>0</v>
      </c>
      <c r="N288" s="125">
        <f t="shared" ref="N288:N293" si="283">L288-M288</f>
        <v>96</v>
      </c>
      <c r="O288" s="125"/>
      <c r="P288" s="125">
        <f t="shared" si="2"/>
        <v>4800</v>
      </c>
      <c r="Q288" s="126">
        <f t="shared" si="3"/>
        <v>0.1</v>
      </c>
      <c r="R288" s="126">
        <f t="shared" si="74"/>
        <v>0</v>
      </c>
      <c r="S288" s="126">
        <f t="shared" si="35"/>
        <v>0.03</v>
      </c>
      <c r="T288" s="126">
        <f t="shared" si="61"/>
        <v>4.8</v>
      </c>
      <c r="U288" s="126">
        <v>0</v>
      </c>
      <c r="V288" s="126">
        <f t="shared" ref="V288:V292" si="284">ROUND(P288*M$1809,2)</f>
        <v>0.17</v>
      </c>
      <c r="W288" s="126">
        <f t="shared" si="217"/>
        <v>0</v>
      </c>
      <c r="X288" s="126">
        <f t="shared" si="9"/>
        <v>5</v>
      </c>
      <c r="Y288" s="127">
        <f t="shared" ref="Y288:Y293" si="285">ROUND(P288-SUM(R288:W288),2)</f>
        <v>4795</v>
      </c>
      <c r="Z288" s="128">
        <f t="shared" si="230"/>
        <v>4795</v>
      </c>
      <c r="AA288" s="129">
        <f t="shared" si="47"/>
        <v>0</v>
      </c>
      <c r="AB288" s="120">
        <v>44490</v>
      </c>
      <c r="AC288" s="130">
        <f t="shared" si="12"/>
        <v>1.042E-3</v>
      </c>
      <c r="AD288" s="131">
        <f t="shared" si="13"/>
        <v>44490</v>
      </c>
      <c r="AE288" s="132" t="s">
        <v>403</v>
      </c>
      <c r="AF288" s="119"/>
    </row>
    <row r="289" spans="1:32" ht="12" customHeight="1">
      <c r="A289" s="150">
        <v>44487</v>
      </c>
      <c r="B289" s="151" t="s">
        <v>545</v>
      </c>
      <c r="C289" s="151"/>
      <c r="D289" s="151"/>
      <c r="E289" s="151"/>
      <c r="F289" s="151"/>
      <c r="G289" s="151"/>
      <c r="H289" s="122" t="s">
        <v>446</v>
      </c>
      <c r="I289" s="121" t="s">
        <v>469</v>
      </c>
      <c r="J289" s="122" t="s">
        <v>471</v>
      </c>
      <c r="K289" s="123">
        <v>100</v>
      </c>
      <c r="L289" s="124">
        <v>58.5</v>
      </c>
      <c r="M289" s="125">
        <f t="shared" si="38"/>
        <v>0</v>
      </c>
      <c r="N289" s="125">
        <f t="shared" si="283"/>
        <v>58.5</v>
      </c>
      <c r="O289" s="125"/>
      <c r="P289" s="125">
        <f t="shared" si="2"/>
        <v>5850</v>
      </c>
      <c r="Q289" s="126">
        <f t="shared" si="3"/>
        <v>6.0999999999999999E-2</v>
      </c>
      <c r="R289" s="126">
        <f t="shared" si="74"/>
        <v>0</v>
      </c>
      <c r="S289" s="126">
        <f t="shared" si="35"/>
        <v>0.04</v>
      </c>
      <c r="T289" s="126">
        <f t="shared" si="61"/>
        <v>5.85</v>
      </c>
      <c r="U289" s="126">
        <v>0</v>
      </c>
      <c r="V289" s="126">
        <f t="shared" si="284"/>
        <v>0.2</v>
      </c>
      <c r="W289" s="126">
        <f t="shared" si="217"/>
        <v>0.01</v>
      </c>
      <c r="X289" s="126">
        <f t="shared" si="9"/>
        <v>6.1</v>
      </c>
      <c r="Y289" s="127">
        <f t="shared" si="285"/>
        <v>5843.9</v>
      </c>
      <c r="Z289" s="128">
        <f t="shared" si="230"/>
        <v>5844</v>
      </c>
      <c r="AA289" s="129">
        <f t="shared" si="47"/>
        <v>0.1000000000003638</v>
      </c>
      <c r="AB289" s="120">
        <v>44490</v>
      </c>
      <c r="AC289" s="130">
        <f t="shared" si="12"/>
        <v>1.0430000000000001E-3</v>
      </c>
      <c r="AD289" s="131">
        <f t="shared" si="13"/>
        <v>44490</v>
      </c>
      <c r="AE289" s="132" t="s">
        <v>403</v>
      </c>
      <c r="AF289" s="119"/>
    </row>
    <row r="290" spans="1:32" ht="12" customHeight="1">
      <c r="A290" s="150">
        <v>44487</v>
      </c>
      <c r="B290" s="151" t="s">
        <v>549</v>
      </c>
      <c r="C290" s="151"/>
      <c r="D290" s="151"/>
      <c r="E290" s="151"/>
      <c r="F290" s="151"/>
      <c r="G290" s="151"/>
      <c r="H290" s="122" t="s">
        <v>446</v>
      </c>
      <c r="I290" s="121" t="s">
        <v>469</v>
      </c>
      <c r="J290" s="122" t="s">
        <v>471</v>
      </c>
      <c r="K290" s="123">
        <v>50</v>
      </c>
      <c r="L290" s="124">
        <v>95.3</v>
      </c>
      <c r="M290" s="125">
        <f t="shared" si="38"/>
        <v>0</v>
      </c>
      <c r="N290" s="125">
        <f t="shared" si="283"/>
        <v>95.3</v>
      </c>
      <c r="O290" s="125"/>
      <c r="P290" s="125">
        <f t="shared" si="2"/>
        <v>4765</v>
      </c>
      <c r="Q290" s="126">
        <f t="shared" si="3"/>
        <v>9.9199999999999997E-2</v>
      </c>
      <c r="R290" s="126">
        <f t="shared" si="74"/>
        <v>0</v>
      </c>
      <c r="S290" s="126">
        <f t="shared" si="35"/>
        <v>0.03</v>
      </c>
      <c r="T290" s="126">
        <f t="shared" si="61"/>
        <v>4.7699999999999996</v>
      </c>
      <c r="U290" s="126">
        <v>0</v>
      </c>
      <c r="V290" s="126">
        <f t="shared" si="284"/>
        <v>0.16</v>
      </c>
      <c r="W290" s="126">
        <f t="shared" si="217"/>
        <v>0</v>
      </c>
      <c r="X290" s="126">
        <f t="shared" si="9"/>
        <v>4.96</v>
      </c>
      <c r="Y290" s="127">
        <f t="shared" si="285"/>
        <v>4760.04</v>
      </c>
      <c r="Z290" s="128">
        <f t="shared" si="230"/>
        <v>4760</v>
      </c>
      <c r="AA290" s="129">
        <f t="shared" si="47"/>
        <v>-3.999999999996362E-2</v>
      </c>
      <c r="AB290" s="120">
        <v>44490</v>
      </c>
      <c r="AC290" s="130">
        <f t="shared" si="12"/>
        <v>1.041E-3</v>
      </c>
      <c r="AD290" s="131">
        <f t="shared" si="13"/>
        <v>44490</v>
      </c>
      <c r="AE290" s="132" t="s">
        <v>403</v>
      </c>
      <c r="AF290" s="119"/>
    </row>
    <row r="291" spans="1:32" ht="12" customHeight="1">
      <c r="A291" s="150">
        <v>44487</v>
      </c>
      <c r="B291" s="151" t="s">
        <v>519</v>
      </c>
      <c r="C291" s="151"/>
      <c r="D291" s="151"/>
      <c r="E291" s="151"/>
      <c r="F291" s="151"/>
      <c r="G291" s="151"/>
      <c r="H291" s="122" t="s">
        <v>446</v>
      </c>
      <c r="I291" s="121" t="s">
        <v>469</v>
      </c>
      <c r="J291" s="122" t="s">
        <v>471</v>
      </c>
      <c r="K291" s="123">
        <v>200</v>
      </c>
      <c r="L291" s="124">
        <v>44.75</v>
      </c>
      <c r="M291" s="125">
        <f t="shared" si="38"/>
        <v>0</v>
      </c>
      <c r="N291" s="125">
        <f t="shared" si="283"/>
        <v>44.75</v>
      </c>
      <c r="O291" s="125"/>
      <c r="P291" s="125">
        <f t="shared" si="2"/>
        <v>8950</v>
      </c>
      <c r="Q291" s="126">
        <f t="shared" si="3"/>
        <v>4.6649999999999997E-2</v>
      </c>
      <c r="R291" s="126">
        <f t="shared" si="74"/>
        <v>0</v>
      </c>
      <c r="S291" s="126">
        <f t="shared" si="35"/>
        <v>0.06</v>
      </c>
      <c r="T291" s="126">
        <f t="shared" si="61"/>
        <v>8.9499999999999993</v>
      </c>
      <c r="U291" s="126">
        <v>0</v>
      </c>
      <c r="V291" s="126">
        <f t="shared" si="284"/>
        <v>0.31</v>
      </c>
      <c r="W291" s="126">
        <f t="shared" si="217"/>
        <v>0.01</v>
      </c>
      <c r="X291" s="126">
        <f t="shared" si="9"/>
        <v>9.33</v>
      </c>
      <c r="Y291" s="127">
        <f t="shared" si="285"/>
        <v>8940.67</v>
      </c>
      <c r="Z291" s="128">
        <f t="shared" si="230"/>
        <v>8941</v>
      </c>
      <c r="AA291" s="129">
        <f t="shared" si="47"/>
        <v>0.32999999999992724</v>
      </c>
      <c r="AB291" s="120">
        <v>44490</v>
      </c>
      <c r="AC291" s="130">
        <f t="shared" si="12"/>
        <v>1.042E-3</v>
      </c>
      <c r="AD291" s="131">
        <f t="shared" si="13"/>
        <v>44490</v>
      </c>
      <c r="AE291" s="132" t="s">
        <v>403</v>
      </c>
      <c r="AF291" s="119"/>
    </row>
    <row r="292" spans="1:32" ht="12" customHeight="1">
      <c r="A292" s="150">
        <v>44487</v>
      </c>
      <c r="B292" s="151" t="s">
        <v>498</v>
      </c>
      <c r="C292" s="151"/>
      <c r="D292" s="151"/>
      <c r="E292" s="151"/>
      <c r="F292" s="151"/>
      <c r="G292" s="151"/>
      <c r="H292" s="122" t="s">
        <v>446</v>
      </c>
      <c r="I292" s="121" t="s">
        <v>469</v>
      </c>
      <c r="J292" s="122" t="s">
        <v>448</v>
      </c>
      <c r="K292" s="123">
        <v>575</v>
      </c>
      <c r="L292" s="124">
        <v>24.25</v>
      </c>
      <c r="M292" s="125">
        <f t="shared" si="38"/>
        <v>0</v>
      </c>
      <c r="N292" s="125">
        <f t="shared" si="283"/>
        <v>24.25</v>
      </c>
      <c r="O292" s="125"/>
      <c r="P292" s="125">
        <f t="shared" si="2"/>
        <v>13943.75</v>
      </c>
      <c r="Q292" s="126">
        <f t="shared" si="3"/>
        <v>2.5252173913043477E-2</v>
      </c>
      <c r="R292" s="126">
        <f t="shared" si="74"/>
        <v>0</v>
      </c>
      <c r="S292" s="126">
        <f t="shared" si="35"/>
        <v>0.09</v>
      </c>
      <c r="T292" s="126">
        <f t="shared" si="61"/>
        <v>13.94</v>
      </c>
      <c r="U292" s="126">
        <v>0</v>
      </c>
      <c r="V292" s="126">
        <f t="shared" si="284"/>
        <v>0.48</v>
      </c>
      <c r="W292" s="126">
        <f t="shared" si="217"/>
        <v>0.01</v>
      </c>
      <c r="X292" s="126">
        <f t="shared" si="9"/>
        <v>14.52</v>
      </c>
      <c r="Y292" s="127">
        <f t="shared" si="285"/>
        <v>13929.23</v>
      </c>
      <c r="Z292" s="128">
        <f t="shared" si="230"/>
        <v>13929</v>
      </c>
      <c r="AA292" s="129">
        <f t="shared" si="47"/>
        <v>-0.22999999999956344</v>
      </c>
      <c r="AB292" s="120">
        <v>44490</v>
      </c>
      <c r="AC292" s="130">
        <f t="shared" si="12"/>
        <v>1.041E-3</v>
      </c>
      <c r="AD292" s="131">
        <f t="shared" si="13"/>
        <v>44490</v>
      </c>
      <c r="AE292" s="132" t="s">
        <v>403</v>
      </c>
      <c r="AF292" s="119"/>
    </row>
    <row r="293" spans="1:32" ht="12" customHeight="1">
      <c r="A293" s="150">
        <v>44488</v>
      </c>
      <c r="B293" s="151" t="s">
        <v>572</v>
      </c>
      <c r="C293" s="151"/>
      <c r="D293" s="151"/>
      <c r="E293" s="151"/>
      <c r="F293" s="151"/>
      <c r="G293" s="151"/>
      <c r="H293" s="122" t="s">
        <v>446</v>
      </c>
      <c r="I293" s="121" t="s">
        <v>469</v>
      </c>
      <c r="J293" s="122" t="s">
        <v>471</v>
      </c>
      <c r="K293" s="123">
        <v>50</v>
      </c>
      <c r="L293" s="124">
        <v>134.5</v>
      </c>
      <c r="M293" s="125">
        <f t="shared" si="38"/>
        <v>0</v>
      </c>
      <c r="N293" s="125">
        <f t="shared" si="283"/>
        <v>134.5</v>
      </c>
      <c r="O293" s="125"/>
      <c r="P293" s="125">
        <f t="shared" si="2"/>
        <v>6725</v>
      </c>
      <c r="Q293" s="126">
        <f t="shared" si="3"/>
        <v>0.13900000000000001</v>
      </c>
      <c r="R293" s="126">
        <f t="shared" si="74"/>
        <v>0</v>
      </c>
      <c r="S293" s="126">
        <f t="shared" si="35"/>
        <v>0.03</v>
      </c>
      <c r="T293" s="126">
        <f t="shared" si="61"/>
        <v>6.73</v>
      </c>
      <c r="U293" s="126">
        <v>0</v>
      </c>
      <c r="V293" s="126">
        <f t="shared" ref="V293:V296" si="286">ROUND(P293*L$1809,2)</f>
        <v>0.18</v>
      </c>
      <c r="W293" s="126">
        <f t="shared" si="217"/>
        <v>0.01</v>
      </c>
      <c r="X293" s="126">
        <f t="shared" si="9"/>
        <v>6.95</v>
      </c>
      <c r="Y293" s="127">
        <f t="shared" si="285"/>
        <v>6718.05</v>
      </c>
      <c r="Z293" s="128">
        <f t="shared" si="230"/>
        <v>6718</v>
      </c>
      <c r="AA293" s="129">
        <f t="shared" si="47"/>
        <v>-5.0000000000181899E-2</v>
      </c>
      <c r="AB293" s="120">
        <v>44490</v>
      </c>
      <c r="AC293" s="130">
        <f t="shared" si="12"/>
        <v>1.0330000000000001E-3</v>
      </c>
      <c r="AD293" s="131">
        <f t="shared" si="13"/>
        <v>44490</v>
      </c>
      <c r="AE293" s="132" t="s">
        <v>403</v>
      </c>
      <c r="AF293" s="119"/>
    </row>
    <row r="294" spans="1:32" ht="12" customHeight="1">
      <c r="A294" s="148">
        <v>44489</v>
      </c>
      <c r="B294" s="149" t="s">
        <v>482</v>
      </c>
      <c r="C294" s="149"/>
      <c r="D294" s="149"/>
      <c r="E294" s="149"/>
      <c r="F294" s="149"/>
      <c r="G294" s="149"/>
      <c r="H294" s="135" t="s">
        <v>453</v>
      </c>
      <c r="I294" s="134" t="s">
        <v>469</v>
      </c>
      <c r="J294" s="135" t="s">
        <v>471</v>
      </c>
      <c r="K294" s="136">
        <v>50</v>
      </c>
      <c r="L294" s="137">
        <v>109.6</v>
      </c>
      <c r="M294" s="138">
        <f t="shared" si="38"/>
        <v>0</v>
      </c>
      <c r="N294" s="138">
        <f t="shared" ref="N294:N298" si="287">L294+M294</f>
        <v>109.6</v>
      </c>
      <c r="O294" s="138"/>
      <c r="P294" s="138">
        <f t="shared" si="2"/>
        <v>5480</v>
      </c>
      <c r="Q294" s="139">
        <f t="shared" si="3"/>
        <v>0.12980000000000003</v>
      </c>
      <c r="R294" s="139">
        <f t="shared" si="74"/>
        <v>0</v>
      </c>
      <c r="S294" s="139">
        <f t="shared" si="35"/>
        <v>0.03</v>
      </c>
      <c r="T294" s="139">
        <f t="shared" si="61"/>
        <v>5.48</v>
      </c>
      <c r="U294" s="139">
        <f t="shared" ref="U294:U298" si="288">ROUND(P294*K$1812,2)</f>
        <v>0.82</v>
      </c>
      <c r="V294" s="139">
        <f t="shared" si="286"/>
        <v>0.15</v>
      </c>
      <c r="W294" s="139">
        <f t="shared" si="217"/>
        <v>0.01</v>
      </c>
      <c r="X294" s="140">
        <f t="shared" si="9"/>
        <v>6.4900000000000011</v>
      </c>
      <c r="Y294" s="141">
        <f t="shared" ref="Y294:Y298" si="289">-ROUND(P294+SUM(R294:W294),2)</f>
        <v>-5486.49</v>
      </c>
      <c r="Z294" s="142">
        <f t="shared" si="230"/>
        <v>-5486</v>
      </c>
      <c r="AA294" s="143">
        <f t="shared" si="47"/>
        <v>0.48999999999978172</v>
      </c>
      <c r="AB294" s="133">
        <v>44491</v>
      </c>
      <c r="AC294" s="144">
        <f t="shared" si="12"/>
        <v>1.1839999999999999E-3</v>
      </c>
      <c r="AD294" s="145">
        <f t="shared" si="13"/>
        <v>44491</v>
      </c>
      <c r="AE294" s="146" t="s">
        <v>403</v>
      </c>
      <c r="AF294" s="119"/>
    </row>
    <row r="295" spans="1:32" ht="12" customHeight="1">
      <c r="A295" s="148">
        <v>44489</v>
      </c>
      <c r="B295" s="149" t="s">
        <v>552</v>
      </c>
      <c r="C295" s="149"/>
      <c r="D295" s="149"/>
      <c r="E295" s="149"/>
      <c r="F295" s="149"/>
      <c r="G295" s="149"/>
      <c r="H295" s="135" t="s">
        <v>453</v>
      </c>
      <c r="I295" s="134" t="s">
        <v>469</v>
      </c>
      <c r="J295" s="135" t="s">
        <v>471</v>
      </c>
      <c r="K295" s="136">
        <v>50</v>
      </c>
      <c r="L295" s="137">
        <v>285</v>
      </c>
      <c r="M295" s="138">
        <f t="shared" si="38"/>
        <v>0</v>
      </c>
      <c r="N295" s="138">
        <f t="shared" si="287"/>
        <v>285</v>
      </c>
      <c r="O295" s="138"/>
      <c r="P295" s="138">
        <f t="shared" si="2"/>
        <v>14250</v>
      </c>
      <c r="Q295" s="139">
        <f t="shared" si="3"/>
        <v>0.33720000000000006</v>
      </c>
      <c r="R295" s="139">
        <f t="shared" si="74"/>
        <v>0</v>
      </c>
      <c r="S295" s="139">
        <f t="shared" si="35"/>
        <v>7.0000000000000007E-2</v>
      </c>
      <c r="T295" s="139">
        <f t="shared" si="61"/>
        <v>14.25</v>
      </c>
      <c r="U295" s="139">
        <f t="shared" si="288"/>
        <v>2.14</v>
      </c>
      <c r="V295" s="139">
        <f t="shared" si="286"/>
        <v>0.39</v>
      </c>
      <c r="W295" s="139">
        <f t="shared" si="217"/>
        <v>0.01</v>
      </c>
      <c r="X295" s="140">
        <f t="shared" si="9"/>
        <v>16.860000000000003</v>
      </c>
      <c r="Y295" s="141">
        <f t="shared" si="289"/>
        <v>-14266.86</v>
      </c>
      <c r="Z295" s="142">
        <f t="shared" si="230"/>
        <v>-14267</v>
      </c>
      <c r="AA295" s="143">
        <f t="shared" si="47"/>
        <v>-0.13999999999941792</v>
      </c>
      <c r="AB295" s="133">
        <v>44491</v>
      </c>
      <c r="AC295" s="144">
        <f t="shared" si="12"/>
        <v>1.183E-3</v>
      </c>
      <c r="AD295" s="145">
        <f t="shared" si="13"/>
        <v>44491</v>
      </c>
      <c r="AE295" s="146" t="s">
        <v>403</v>
      </c>
      <c r="AF295" s="119"/>
    </row>
    <row r="296" spans="1:32" ht="12" customHeight="1">
      <c r="A296" s="148">
        <v>44490</v>
      </c>
      <c r="B296" s="149" t="s">
        <v>571</v>
      </c>
      <c r="C296" s="149"/>
      <c r="D296" s="149"/>
      <c r="E296" s="149"/>
      <c r="F296" s="149"/>
      <c r="G296" s="149"/>
      <c r="H296" s="135" t="s">
        <v>453</v>
      </c>
      <c r="I296" s="134" t="s">
        <v>469</v>
      </c>
      <c r="J296" s="135" t="s">
        <v>471</v>
      </c>
      <c r="K296" s="136">
        <v>10</v>
      </c>
      <c r="L296" s="137">
        <v>765</v>
      </c>
      <c r="M296" s="138">
        <f t="shared" si="38"/>
        <v>0</v>
      </c>
      <c r="N296" s="138">
        <f t="shared" si="287"/>
        <v>765</v>
      </c>
      <c r="O296" s="138"/>
      <c r="P296" s="138">
        <f t="shared" si="2"/>
        <v>7650</v>
      </c>
      <c r="Q296" s="139">
        <f t="shared" si="3"/>
        <v>0.90600000000000003</v>
      </c>
      <c r="R296" s="139">
        <f t="shared" si="74"/>
        <v>0</v>
      </c>
      <c r="S296" s="139">
        <f t="shared" si="35"/>
        <v>0.04</v>
      </c>
      <c r="T296" s="139">
        <f t="shared" si="61"/>
        <v>7.65</v>
      </c>
      <c r="U296" s="139">
        <f t="shared" si="288"/>
        <v>1.1499999999999999</v>
      </c>
      <c r="V296" s="139">
        <f t="shared" si="286"/>
        <v>0.21</v>
      </c>
      <c r="W296" s="139">
        <f t="shared" si="217"/>
        <v>0.01</v>
      </c>
      <c r="X296" s="140">
        <f t="shared" si="9"/>
        <v>9.06</v>
      </c>
      <c r="Y296" s="141">
        <f t="shared" si="289"/>
        <v>-7659.06</v>
      </c>
      <c r="Z296" s="142">
        <f t="shared" si="230"/>
        <v>-7659</v>
      </c>
      <c r="AA296" s="143">
        <f t="shared" si="47"/>
        <v>6.0000000000400178E-2</v>
      </c>
      <c r="AB296" s="133">
        <v>44494</v>
      </c>
      <c r="AC296" s="144">
        <f t="shared" si="12"/>
        <v>1.1839999999999999E-3</v>
      </c>
      <c r="AD296" s="145">
        <f t="shared" si="13"/>
        <v>44494</v>
      </c>
      <c r="AE296" s="146" t="s">
        <v>403</v>
      </c>
      <c r="AF296" s="119"/>
    </row>
    <row r="297" spans="1:32" ht="12" customHeight="1">
      <c r="A297" s="148">
        <v>44490</v>
      </c>
      <c r="B297" s="134" t="s">
        <v>574</v>
      </c>
      <c r="C297" s="134"/>
      <c r="D297" s="134"/>
      <c r="E297" s="134"/>
      <c r="F297" s="134"/>
      <c r="G297" s="134"/>
      <c r="H297" s="135" t="s">
        <v>453</v>
      </c>
      <c r="I297" s="134" t="s">
        <v>469</v>
      </c>
      <c r="J297" s="135" t="s">
        <v>471</v>
      </c>
      <c r="K297" s="136">
        <v>4</v>
      </c>
      <c r="L297" s="137">
        <v>3560</v>
      </c>
      <c r="M297" s="138">
        <f t="shared" si="38"/>
        <v>0</v>
      </c>
      <c r="N297" s="138">
        <f t="shared" si="287"/>
        <v>3560</v>
      </c>
      <c r="O297" s="138"/>
      <c r="P297" s="138">
        <f t="shared" si="2"/>
        <v>14240</v>
      </c>
      <c r="Q297" s="139">
        <f t="shared" si="3"/>
        <v>4.2424999999999997</v>
      </c>
      <c r="R297" s="139">
        <f t="shared" si="74"/>
        <v>0</v>
      </c>
      <c r="S297" s="139">
        <f t="shared" si="35"/>
        <v>0.09</v>
      </c>
      <c r="T297" s="139">
        <f t="shared" si="61"/>
        <v>14.24</v>
      </c>
      <c r="U297" s="139">
        <f t="shared" si="288"/>
        <v>2.14</v>
      </c>
      <c r="V297" s="139">
        <f>ROUND(P297*M$1809,2)</f>
        <v>0.49</v>
      </c>
      <c r="W297" s="139">
        <f t="shared" si="217"/>
        <v>0.01</v>
      </c>
      <c r="X297" s="140">
        <f t="shared" si="9"/>
        <v>16.97</v>
      </c>
      <c r="Y297" s="141">
        <f t="shared" si="289"/>
        <v>-14256.97</v>
      </c>
      <c r="Z297" s="142">
        <f t="shared" si="230"/>
        <v>-14257</v>
      </c>
      <c r="AA297" s="143">
        <f t="shared" si="47"/>
        <v>-3.0000000000654836E-2</v>
      </c>
      <c r="AB297" s="133">
        <v>44494</v>
      </c>
      <c r="AC297" s="144">
        <f t="shared" si="12"/>
        <v>1.1919999999999999E-3</v>
      </c>
      <c r="AD297" s="145">
        <f t="shared" si="13"/>
        <v>44494</v>
      </c>
      <c r="AE297" s="146" t="s">
        <v>403</v>
      </c>
      <c r="AF297" s="119"/>
    </row>
    <row r="298" spans="1:32" ht="12" customHeight="1">
      <c r="A298" s="148">
        <v>44490</v>
      </c>
      <c r="B298" s="149" t="s">
        <v>575</v>
      </c>
      <c r="C298" s="149"/>
      <c r="D298" s="149"/>
      <c r="E298" s="149"/>
      <c r="F298" s="149"/>
      <c r="G298" s="149"/>
      <c r="H298" s="135" t="s">
        <v>453</v>
      </c>
      <c r="I298" s="134" t="s">
        <v>469</v>
      </c>
      <c r="J298" s="135" t="s">
        <v>448</v>
      </c>
      <c r="K298" s="136">
        <v>1</v>
      </c>
      <c r="L298" s="137">
        <v>1050</v>
      </c>
      <c r="M298" s="138">
        <f t="shared" si="38"/>
        <v>0</v>
      </c>
      <c r="N298" s="138">
        <f t="shared" si="287"/>
        <v>1050</v>
      </c>
      <c r="O298" s="138"/>
      <c r="P298" s="138">
        <f t="shared" si="2"/>
        <v>1050</v>
      </c>
      <c r="Q298" s="139">
        <f t="shared" si="3"/>
        <v>1.25</v>
      </c>
      <c r="R298" s="139">
        <f t="shared" si="74"/>
        <v>0</v>
      </c>
      <c r="S298" s="139">
        <f t="shared" si="35"/>
        <v>0.01</v>
      </c>
      <c r="T298" s="139">
        <f t="shared" si="61"/>
        <v>1.05</v>
      </c>
      <c r="U298" s="139">
        <f t="shared" si="288"/>
        <v>0.16</v>
      </c>
      <c r="V298" s="139">
        <f t="shared" ref="V298:V299" si="290">ROUND(P298*L$1809,2)</f>
        <v>0.03</v>
      </c>
      <c r="W298" s="139">
        <f t="shared" si="217"/>
        <v>0</v>
      </c>
      <c r="X298" s="140">
        <f t="shared" si="9"/>
        <v>1.25</v>
      </c>
      <c r="Y298" s="141">
        <f t="shared" si="289"/>
        <v>-1051.25</v>
      </c>
      <c r="Z298" s="142">
        <f t="shared" si="230"/>
        <v>-1051</v>
      </c>
      <c r="AA298" s="143">
        <f t="shared" si="47"/>
        <v>0.25</v>
      </c>
      <c r="AB298" s="133">
        <v>44494</v>
      </c>
      <c r="AC298" s="144">
        <f t="shared" si="12"/>
        <v>1.1900000000000001E-3</v>
      </c>
      <c r="AD298" s="145">
        <f t="shared" si="13"/>
        <v>44494</v>
      </c>
      <c r="AE298" s="146" t="s">
        <v>403</v>
      </c>
      <c r="AF298" s="119"/>
    </row>
    <row r="299" spans="1:32" ht="12" customHeight="1">
      <c r="A299" s="150">
        <v>44490</v>
      </c>
      <c r="B299" s="151" t="s">
        <v>489</v>
      </c>
      <c r="C299" s="151"/>
      <c r="D299" s="151"/>
      <c r="E299" s="151"/>
      <c r="F299" s="151"/>
      <c r="G299" s="151"/>
      <c r="H299" s="122" t="s">
        <v>446</v>
      </c>
      <c r="I299" s="121" t="s">
        <v>469</v>
      </c>
      <c r="J299" s="122" t="s">
        <v>448</v>
      </c>
      <c r="K299" s="123">
        <v>4</v>
      </c>
      <c r="L299" s="124">
        <v>90.013499999999993</v>
      </c>
      <c r="M299" s="125">
        <f t="shared" si="38"/>
        <v>0</v>
      </c>
      <c r="N299" s="125">
        <f>L299-M299</f>
        <v>90.013499999999993</v>
      </c>
      <c r="O299" s="125"/>
      <c r="P299" s="125">
        <f t="shared" si="2"/>
        <v>360.05</v>
      </c>
      <c r="Q299" s="126">
        <f t="shared" si="3"/>
        <v>9.2499999999999999E-2</v>
      </c>
      <c r="R299" s="126">
        <f t="shared" si="74"/>
        <v>0</v>
      </c>
      <c r="S299" s="126">
        <f t="shared" si="35"/>
        <v>0</v>
      </c>
      <c r="T299" s="126">
        <f t="shared" si="61"/>
        <v>0.36</v>
      </c>
      <c r="U299" s="126">
        <v>0</v>
      </c>
      <c r="V299" s="126">
        <f t="shared" si="290"/>
        <v>0.01</v>
      </c>
      <c r="W299" s="126">
        <f t="shared" si="217"/>
        <v>0</v>
      </c>
      <c r="X299" s="126">
        <f t="shared" si="9"/>
        <v>0.37</v>
      </c>
      <c r="Y299" s="127">
        <f>ROUND(P299-SUM(R299:W299),2)</f>
        <v>359.68</v>
      </c>
      <c r="Z299" s="128">
        <f t="shared" si="230"/>
        <v>360</v>
      </c>
      <c r="AA299" s="129">
        <f t="shared" si="47"/>
        <v>0.31999999999999318</v>
      </c>
      <c r="AB299" s="120">
        <v>44494</v>
      </c>
      <c r="AC299" s="130">
        <f t="shared" si="12"/>
        <v>1.0280000000000001E-3</v>
      </c>
      <c r="AD299" s="131">
        <f t="shared" si="13"/>
        <v>44494</v>
      </c>
      <c r="AE299" s="132" t="s">
        <v>403</v>
      </c>
      <c r="AF299" s="119"/>
    </row>
    <row r="300" spans="1:32" ht="12" customHeight="1">
      <c r="A300" s="148">
        <v>44491</v>
      </c>
      <c r="B300" s="149" t="s">
        <v>574</v>
      </c>
      <c r="C300" s="149"/>
      <c r="D300" s="149"/>
      <c r="E300" s="149"/>
      <c r="F300" s="149"/>
      <c r="G300" s="149"/>
      <c r="H300" s="135" t="s">
        <v>453</v>
      </c>
      <c r="I300" s="134" t="s">
        <v>469</v>
      </c>
      <c r="J300" s="135" t="s">
        <v>471</v>
      </c>
      <c r="K300" s="136">
        <v>1</v>
      </c>
      <c r="L300" s="137">
        <v>3515</v>
      </c>
      <c r="M300" s="138">
        <f t="shared" si="38"/>
        <v>0</v>
      </c>
      <c r="N300" s="138">
        <f t="shared" ref="N300:N301" si="291">L300+M300</f>
        <v>3515</v>
      </c>
      <c r="O300" s="138"/>
      <c r="P300" s="138">
        <f t="shared" si="2"/>
        <v>3515</v>
      </c>
      <c r="Q300" s="139">
        <f t="shared" si="3"/>
        <v>4.1900000000000004</v>
      </c>
      <c r="R300" s="139">
        <f t="shared" si="74"/>
        <v>0</v>
      </c>
      <c r="S300" s="139">
        <f t="shared" si="35"/>
        <v>0.02</v>
      </c>
      <c r="T300" s="139">
        <f t="shared" si="61"/>
        <v>3.52</v>
      </c>
      <c r="U300" s="139">
        <f t="shared" ref="U300:U301" si="292">ROUND(P300*K$1812,2)</f>
        <v>0.53</v>
      </c>
      <c r="V300" s="139">
        <f t="shared" ref="V300:V301" si="293">ROUND(P300*M$1809,2)</f>
        <v>0.12</v>
      </c>
      <c r="W300" s="139">
        <f t="shared" si="217"/>
        <v>0</v>
      </c>
      <c r="X300" s="140">
        <f t="shared" si="9"/>
        <v>4.1900000000000004</v>
      </c>
      <c r="Y300" s="141">
        <f t="shared" ref="Y300:Y301" si="294">-ROUND(P300+SUM(R300:W300),2)</f>
        <v>-3519.19</v>
      </c>
      <c r="Z300" s="142">
        <f t="shared" si="230"/>
        <v>-3519</v>
      </c>
      <c r="AA300" s="143">
        <f t="shared" si="47"/>
        <v>0.19000000000005457</v>
      </c>
      <c r="AB300" s="133">
        <v>44495</v>
      </c>
      <c r="AC300" s="144">
        <f t="shared" si="12"/>
        <v>1.1919999999999999E-3</v>
      </c>
      <c r="AD300" s="145">
        <f t="shared" si="13"/>
        <v>44495</v>
      </c>
      <c r="AE300" s="146" t="s">
        <v>403</v>
      </c>
      <c r="AF300" s="119"/>
    </row>
    <row r="301" spans="1:32" ht="12" customHeight="1">
      <c r="A301" s="148">
        <v>44491</v>
      </c>
      <c r="B301" s="149" t="s">
        <v>572</v>
      </c>
      <c r="C301" s="149"/>
      <c r="D301" s="149"/>
      <c r="E301" s="149"/>
      <c r="F301" s="149"/>
      <c r="G301" s="149"/>
      <c r="H301" s="135" t="s">
        <v>453</v>
      </c>
      <c r="I301" s="134" t="s">
        <v>469</v>
      </c>
      <c r="J301" s="135" t="s">
        <v>471</v>
      </c>
      <c r="K301" s="136">
        <v>50</v>
      </c>
      <c r="L301" s="137">
        <v>134</v>
      </c>
      <c r="M301" s="138">
        <f t="shared" si="38"/>
        <v>0</v>
      </c>
      <c r="N301" s="138">
        <f t="shared" si="291"/>
        <v>134</v>
      </c>
      <c r="O301" s="138"/>
      <c r="P301" s="138">
        <f t="shared" si="2"/>
        <v>6700</v>
      </c>
      <c r="Q301" s="139">
        <f t="shared" si="3"/>
        <v>0.1598</v>
      </c>
      <c r="R301" s="139">
        <f t="shared" si="74"/>
        <v>0</v>
      </c>
      <c r="S301" s="139">
        <f t="shared" si="35"/>
        <v>0.04</v>
      </c>
      <c r="T301" s="139">
        <f t="shared" si="61"/>
        <v>6.7</v>
      </c>
      <c r="U301" s="139">
        <f t="shared" si="292"/>
        <v>1.01</v>
      </c>
      <c r="V301" s="139">
        <f t="shared" si="293"/>
        <v>0.23</v>
      </c>
      <c r="W301" s="139">
        <f t="shared" si="217"/>
        <v>0.01</v>
      </c>
      <c r="X301" s="140">
        <f t="shared" si="9"/>
        <v>7.99</v>
      </c>
      <c r="Y301" s="141">
        <f t="shared" si="294"/>
        <v>-6707.99</v>
      </c>
      <c r="Z301" s="142">
        <f t="shared" si="230"/>
        <v>-6708</v>
      </c>
      <c r="AA301" s="143">
        <f t="shared" si="47"/>
        <v>-1.0000000000218279E-2</v>
      </c>
      <c r="AB301" s="133">
        <v>44495</v>
      </c>
      <c r="AC301" s="144">
        <f t="shared" si="12"/>
        <v>1.193E-3</v>
      </c>
      <c r="AD301" s="145">
        <f t="shared" si="13"/>
        <v>44495</v>
      </c>
      <c r="AE301" s="146" t="s">
        <v>403</v>
      </c>
      <c r="AF301" s="119"/>
    </row>
    <row r="302" spans="1:32" ht="12" customHeight="1">
      <c r="A302" s="150">
        <v>44494</v>
      </c>
      <c r="B302" s="151" t="s">
        <v>479</v>
      </c>
      <c r="C302" s="151"/>
      <c r="D302" s="151"/>
      <c r="E302" s="151"/>
      <c r="F302" s="151"/>
      <c r="G302" s="151"/>
      <c r="H302" s="122" t="s">
        <v>446</v>
      </c>
      <c r="I302" s="121" t="s">
        <v>469</v>
      </c>
      <c r="J302" s="122" t="s">
        <v>471</v>
      </c>
      <c r="K302" s="123">
        <v>15</v>
      </c>
      <c r="L302" s="124">
        <v>505</v>
      </c>
      <c r="M302" s="125">
        <f t="shared" si="38"/>
        <v>0</v>
      </c>
      <c r="N302" s="125">
        <f t="shared" ref="N302:N303" si="295">L302-M302</f>
        <v>505</v>
      </c>
      <c r="O302" s="125"/>
      <c r="P302" s="125">
        <f t="shared" si="2"/>
        <v>7575</v>
      </c>
      <c r="Q302" s="126">
        <f t="shared" si="3"/>
        <v>0.52266666666666661</v>
      </c>
      <c r="R302" s="126">
        <f t="shared" si="74"/>
        <v>0</v>
      </c>
      <c r="S302" s="126">
        <f t="shared" si="35"/>
        <v>0.04</v>
      </c>
      <c r="T302" s="126">
        <f t="shared" si="61"/>
        <v>7.58</v>
      </c>
      <c r="U302" s="126">
        <v>0</v>
      </c>
      <c r="V302" s="126">
        <f>ROUND(P302*L$1809,2)</f>
        <v>0.21</v>
      </c>
      <c r="W302" s="126">
        <f t="shared" si="217"/>
        <v>0.01</v>
      </c>
      <c r="X302" s="126">
        <f t="shared" si="9"/>
        <v>7.84</v>
      </c>
      <c r="Y302" s="127">
        <f t="shared" ref="Y302:Y303" si="296">ROUND(P302-SUM(R302:W302),2)</f>
        <v>7567.16</v>
      </c>
      <c r="Z302" s="128">
        <f t="shared" si="230"/>
        <v>7567</v>
      </c>
      <c r="AA302" s="129">
        <f t="shared" si="47"/>
        <v>-0.15999999999985448</v>
      </c>
      <c r="AB302" s="120">
        <v>44496</v>
      </c>
      <c r="AC302" s="130">
        <f t="shared" si="12"/>
        <v>1.0349999999999999E-3</v>
      </c>
      <c r="AD302" s="131">
        <f t="shared" si="13"/>
        <v>44496</v>
      </c>
      <c r="AE302" s="132" t="s">
        <v>403</v>
      </c>
      <c r="AF302" s="119"/>
    </row>
    <row r="303" spans="1:32" ht="12" customHeight="1">
      <c r="A303" s="150">
        <v>44495</v>
      </c>
      <c r="B303" s="151" t="s">
        <v>575</v>
      </c>
      <c r="C303" s="151"/>
      <c r="D303" s="151"/>
      <c r="E303" s="151"/>
      <c r="F303" s="151"/>
      <c r="G303" s="151"/>
      <c r="H303" s="122" t="s">
        <v>446</v>
      </c>
      <c r="I303" s="121" t="s">
        <v>469</v>
      </c>
      <c r="J303" s="122" t="s">
        <v>448</v>
      </c>
      <c r="K303" s="123">
        <v>100</v>
      </c>
      <c r="L303" s="124">
        <v>975</v>
      </c>
      <c r="M303" s="125">
        <f t="shared" si="38"/>
        <v>0</v>
      </c>
      <c r="N303" s="125">
        <f t="shared" si="295"/>
        <v>975</v>
      </c>
      <c r="O303" s="125"/>
      <c r="P303" s="125">
        <f t="shared" si="2"/>
        <v>97500</v>
      </c>
      <c r="Q303" s="126">
        <f t="shared" si="3"/>
        <v>1.0155999999999998</v>
      </c>
      <c r="R303" s="126">
        <f t="shared" si="74"/>
        <v>0</v>
      </c>
      <c r="S303" s="126">
        <f t="shared" si="35"/>
        <v>0.6</v>
      </c>
      <c r="T303" s="126">
        <f t="shared" si="61"/>
        <v>97.5</v>
      </c>
      <c r="U303" s="126">
        <v>0</v>
      </c>
      <c r="V303" s="126">
        <f t="shared" ref="V303:V308" si="297">ROUND(P303*M$1809,2)</f>
        <v>3.36</v>
      </c>
      <c r="W303" s="126">
        <f t="shared" si="217"/>
        <v>0.1</v>
      </c>
      <c r="X303" s="126">
        <f t="shared" si="9"/>
        <v>101.55999999999999</v>
      </c>
      <c r="Y303" s="127">
        <f t="shared" si="296"/>
        <v>97398.44</v>
      </c>
      <c r="Z303" s="128">
        <f t="shared" si="230"/>
        <v>97398</v>
      </c>
      <c r="AA303" s="129">
        <f t="shared" si="47"/>
        <v>-0.44000000000232831</v>
      </c>
      <c r="AB303" s="120">
        <v>44497</v>
      </c>
      <c r="AC303" s="130">
        <f t="shared" si="12"/>
        <v>1.042E-3</v>
      </c>
      <c r="AD303" s="131">
        <f t="shared" si="13"/>
        <v>44497</v>
      </c>
      <c r="AE303" s="132" t="s">
        <v>403</v>
      </c>
      <c r="AF303" s="119"/>
    </row>
    <row r="304" spans="1:32" ht="12" customHeight="1">
      <c r="A304" s="148">
        <v>44496</v>
      </c>
      <c r="B304" s="149" t="s">
        <v>575</v>
      </c>
      <c r="C304" s="149"/>
      <c r="D304" s="149"/>
      <c r="E304" s="149"/>
      <c r="F304" s="149"/>
      <c r="G304" s="149"/>
      <c r="H304" s="135" t="s">
        <v>453</v>
      </c>
      <c r="I304" s="134" t="s">
        <v>469</v>
      </c>
      <c r="J304" s="135" t="s">
        <v>448</v>
      </c>
      <c r="K304" s="136">
        <v>100</v>
      </c>
      <c r="L304" s="137">
        <v>981</v>
      </c>
      <c r="M304" s="138">
        <f t="shared" si="38"/>
        <v>0</v>
      </c>
      <c r="N304" s="138">
        <f t="shared" ref="N304:N310" si="298">L304+M304</f>
        <v>981</v>
      </c>
      <c r="O304" s="138"/>
      <c r="P304" s="138">
        <f t="shared" si="2"/>
        <v>98100</v>
      </c>
      <c r="Q304" s="139">
        <f t="shared" si="3"/>
        <v>1.1690999999999998</v>
      </c>
      <c r="R304" s="139">
        <f t="shared" si="74"/>
        <v>0</v>
      </c>
      <c r="S304" s="139">
        <f t="shared" si="35"/>
        <v>0.61</v>
      </c>
      <c r="T304" s="139">
        <f t="shared" si="61"/>
        <v>98.1</v>
      </c>
      <c r="U304" s="139">
        <f t="shared" ref="U304:U310" si="299">ROUND(P304*K$1812,2)</f>
        <v>14.72</v>
      </c>
      <c r="V304" s="139">
        <f t="shared" si="297"/>
        <v>3.38</v>
      </c>
      <c r="W304" s="139">
        <f t="shared" si="217"/>
        <v>0.1</v>
      </c>
      <c r="X304" s="140">
        <f t="shared" si="9"/>
        <v>116.90999999999998</v>
      </c>
      <c r="Y304" s="141">
        <f t="shared" ref="Y304:Y310" si="300">-ROUND(P304+SUM(R304:W304),2)</f>
        <v>-98216.91</v>
      </c>
      <c r="Z304" s="142">
        <f t="shared" si="230"/>
        <v>-98217</v>
      </c>
      <c r="AA304" s="143">
        <f t="shared" si="47"/>
        <v>-8.999999999650754E-2</v>
      </c>
      <c r="AB304" s="133">
        <v>44498</v>
      </c>
      <c r="AC304" s="144">
        <f t="shared" si="12"/>
        <v>1.1919999999999999E-3</v>
      </c>
      <c r="AD304" s="145">
        <f t="shared" si="13"/>
        <v>44498</v>
      </c>
      <c r="AE304" s="146" t="s">
        <v>403</v>
      </c>
      <c r="AF304" s="119"/>
    </row>
    <row r="305" spans="1:32" ht="12" customHeight="1">
      <c r="A305" s="148">
        <v>44496</v>
      </c>
      <c r="B305" s="149" t="s">
        <v>504</v>
      </c>
      <c r="C305" s="149"/>
      <c r="D305" s="149"/>
      <c r="E305" s="149"/>
      <c r="F305" s="149"/>
      <c r="G305" s="149"/>
      <c r="H305" s="135" t="s">
        <v>453</v>
      </c>
      <c r="I305" s="134" t="s">
        <v>469</v>
      </c>
      <c r="J305" s="135" t="s">
        <v>471</v>
      </c>
      <c r="K305" s="136">
        <v>20</v>
      </c>
      <c r="L305" s="137">
        <v>500</v>
      </c>
      <c r="M305" s="138">
        <f t="shared" si="38"/>
        <v>0</v>
      </c>
      <c r="N305" s="138">
        <f t="shared" si="298"/>
        <v>500</v>
      </c>
      <c r="O305" s="138"/>
      <c r="P305" s="138">
        <f t="shared" si="2"/>
        <v>10000</v>
      </c>
      <c r="Q305" s="139">
        <f t="shared" si="3"/>
        <v>0.59599999999999997</v>
      </c>
      <c r="R305" s="139">
        <f t="shared" si="74"/>
        <v>0</v>
      </c>
      <c r="S305" s="139">
        <f t="shared" si="35"/>
        <v>0.06</v>
      </c>
      <c r="T305" s="139">
        <f t="shared" si="61"/>
        <v>10</v>
      </c>
      <c r="U305" s="139">
        <f t="shared" si="299"/>
        <v>1.5</v>
      </c>
      <c r="V305" s="139">
        <f t="shared" si="297"/>
        <v>0.35</v>
      </c>
      <c r="W305" s="139">
        <f t="shared" si="217"/>
        <v>0.01</v>
      </c>
      <c r="X305" s="140">
        <f t="shared" si="9"/>
        <v>11.92</v>
      </c>
      <c r="Y305" s="141">
        <f t="shared" si="300"/>
        <v>-10011.92</v>
      </c>
      <c r="Z305" s="142">
        <f t="shared" si="230"/>
        <v>-10012</v>
      </c>
      <c r="AA305" s="143">
        <f t="shared" si="47"/>
        <v>-7.999999999992724E-2</v>
      </c>
      <c r="AB305" s="133">
        <v>44489</v>
      </c>
      <c r="AC305" s="144">
        <f t="shared" si="12"/>
        <v>1.1919999999999999E-3</v>
      </c>
      <c r="AD305" s="145">
        <f t="shared" si="13"/>
        <v>44489</v>
      </c>
      <c r="AE305" s="146" t="s">
        <v>403</v>
      </c>
      <c r="AF305" s="119"/>
    </row>
    <row r="306" spans="1:32" ht="12" customHeight="1">
      <c r="A306" s="148">
        <v>44497</v>
      </c>
      <c r="B306" s="149" t="s">
        <v>573</v>
      </c>
      <c r="C306" s="149"/>
      <c r="D306" s="149"/>
      <c r="E306" s="149"/>
      <c r="F306" s="149"/>
      <c r="G306" s="149"/>
      <c r="H306" s="135" t="s">
        <v>453</v>
      </c>
      <c r="I306" s="134" t="s">
        <v>469</v>
      </c>
      <c r="J306" s="135" t="s">
        <v>471</v>
      </c>
      <c r="K306" s="136">
        <v>10</v>
      </c>
      <c r="L306" s="137">
        <v>989</v>
      </c>
      <c r="M306" s="138">
        <f t="shared" si="38"/>
        <v>0</v>
      </c>
      <c r="N306" s="138">
        <f t="shared" si="298"/>
        <v>989</v>
      </c>
      <c r="O306" s="138"/>
      <c r="P306" s="138">
        <f t="shared" si="2"/>
        <v>9890</v>
      </c>
      <c r="Q306" s="139">
        <f t="shared" si="3"/>
        <v>1.1780000000000002</v>
      </c>
      <c r="R306" s="139">
        <f t="shared" si="74"/>
        <v>0</v>
      </c>
      <c r="S306" s="139">
        <f t="shared" si="35"/>
        <v>0.06</v>
      </c>
      <c r="T306" s="139">
        <f t="shared" si="61"/>
        <v>9.89</v>
      </c>
      <c r="U306" s="139">
        <f t="shared" si="299"/>
        <v>1.48</v>
      </c>
      <c r="V306" s="139">
        <f t="shared" si="297"/>
        <v>0.34</v>
      </c>
      <c r="W306" s="139">
        <f t="shared" si="217"/>
        <v>0.01</v>
      </c>
      <c r="X306" s="140">
        <f t="shared" si="9"/>
        <v>11.780000000000001</v>
      </c>
      <c r="Y306" s="141">
        <f t="shared" si="300"/>
        <v>-9901.7800000000007</v>
      </c>
      <c r="Z306" s="142">
        <f t="shared" si="230"/>
        <v>-9902</v>
      </c>
      <c r="AA306" s="143">
        <f t="shared" si="47"/>
        <v>-0.21999999999934516</v>
      </c>
      <c r="AB306" s="133">
        <v>44501</v>
      </c>
      <c r="AC306" s="144">
        <f t="shared" si="12"/>
        <v>1.191E-3</v>
      </c>
      <c r="AD306" s="145">
        <f t="shared" si="13"/>
        <v>44501</v>
      </c>
      <c r="AE306" s="146" t="s">
        <v>403</v>
      </c>
      <c r="AF306" s="119"/>
    </row>
    <row r="307" spans="1:32" ht="12" customHeight="1">
      <c r="A307" s="148">
        <v>44497</v>
      </c>
      <c r="B307" s="149" t="s">
        <v>484</v>
      </c>
      <c r="C307" s="149"/>
      <c r="D307" s="149"/>
      <c r="E307" s="149"/>
      <c r="F307" s="149"/>
      <c r="G307" s="149"/>
      <c r="H307" s="135" t="s">
        <v>453</v>
      </c>
      <c r="I307" s="134" t="s">
        <v>469</v>
      </c>
      <c r="J307" s="135" t="s">
        <v>471</v>
      </c>
      <c r="K307" s="136">
        <v>2</v>
      </c>
      <c r="L307" s="137">
        <v>7475</v>
      </c>
      <c r="M307" s="138">
        <f t="shared" si="38"/>
        <v>0</v>
      </c>
      <c r="N307" s="138">
        <f t="shared" si="298"/>
        <v>7475</v>
      </c>
      <c r="O307" s="138"/>
      <c r="P307" s="138">
        <f t="shared" si="2"/>
        <v>14950</v>
      </c>
      <c r="Q307" s="139">
        <f t="shared" si="3"/>
        <v>8.9050000000000011</v>
      </c>
      <c r="R307" s="139">
        <f t="shared" si="74"/>
        <v>0</v>
      </c>
      <c r="S307" s="139">
        <f t="shared" si="35"/>
        <v>0.09</v>
      </c>
      <c r="T307" s="139">
        <f t="shared" si="61"/>
        <v>14.95</v>
      </c>
      <c r="U307" s="139">
        <f t="shared" si="299"/>
        <v>2.2400000000000002</v>
      </c>
      <c r="V307" s="139">
        <f t="shared" si="297"/>
        <v>0.52</v>
      </c>
      <c r="W307" s="139">
        <f t="shared" si="217"/>
        <v>0.01</v>
      </c>
      <c r="X307" s="140">
        <f t="shared" si="9"/>
        <v>17.810000000000002</v>
      </c>
      <c r="Y307" s="141">
        <f t="shared" si="300"/>
        <v>-14967.81</v>
      </c>
      <c r="Z307" s="142">
        <f t="shared" si="230"/>
        <v>-14968</v>
      </c>
      <c r="AA307" s="143">
        <f t="shared" si="47"/>
        <v>-0.19000000000050932</v>
      </c>
      <c r="AB307" s="133">
        <v>44501</v>
      </c>
      <c r="AC307" s="144">
        <f t="shared" si="12"/>
        <v>1.191E-3</v>
      </c>
      <c r="AD307" s="145">
        <f t="shared" si="13"/>
        <v>44501</v>
      </c>
      <c r="AE307" s="146" t="s">
        <v>403</v>
      </c>
      <c r="AF307" s="119"/>
    </row>
    <row r="308" spans="1:32" ht="12" customHeight="1">
      <c r="A308" s="148">
        <v>44497</v>
      </c>
      <c r="B308" s="149" t="s">
        <v>576</v>
      </c>
      <c r="C308" s="149"/>
      <c r="D308" s="149"/>
      <c r="E308" s="149"/>
      <c r="F308" s="149"/>
      <c r="G308" s="149"/>
      <c r="H308" s="135" t="s">
        <v>453</v>
      </c>
      <c r="I308" s="134" t="s">
        <v>469</v>
      </c>
      <c r="J308" s="135" t="s">
        <v>471</v>
      </c>
      <c r="K308" s="153">
        <v>60</v>
      </c>
      <c r="L308" s="137">
        <v>229.16669999999999</v>
      </c>
      <c r="M308" s="138">
        <f t="shared" si="38"/>
        <v>0</v>
      </c>
      <c r="N308" s="138">
        <f t="shared" si="298"/>
        <v>229.16669999999999</v>
      </c>
      <c r="O308" s="138"/>
      <c r="P308" s="138">
        <f t="shared" si="2"/>
        <v>13750</v>
      </c>
      <c r="Q308" s="139">
        <f t="shared" si="3"/>
        <v>0.27283333333333337</v>
      </c>
      <c r="R308" s="139">
        <f t="shared" si="74"/>
        <v>0</v>
      </c>
      <c r="S308" s="139">
        <f t="shared" si="35"/>
        <v>0.08</v>
      </c>
      <c r="T308" s="139">
        <f t="shared" si="61"/>
        <v>13.75</v>
      </c>
      <c r="U308" s="139">
        <f t="shared" si="299"/>
        <v>2.06</v>
      </c>
      <c r="V308" s="139">
        <f t="shared" si="297"/>
        <v>0.47</v>
      </c>
      <c r="W308" s="139">
        <f t="shared" si="217"/>
        <v>0.01</v>
      </c>
      <c r="X308" s="140">
        <f t="shared" si="9"/>
        <v>16.37</v>
      </c>
      <c r="Y308" s="141">
        <f t="shared" si="300"/>
        <v>-13766.37</v>
      </c>
      <c r="Z308" s="142">
        <f t="shared" si="230"/>
        <v>-13766</v>
      </c>
      <c r="AA308" s="143">
        <f t="shared" si="47"/>
        <v>0.37000000000080036</v>
      </c>
      <c r="AB308" s="133">
        <v>44501</v>
      </c>
      <c r="AC308" s="144">
        <f t="shared" si="12"/>
        <v>1.191E-3</v>
      </c>
      <c r="AD308" s="145">
        <f t="shared" si="13"/>
        <v>44501</v>
      </c>
      <c r="AE308" s="146" t="s">
        <v>403</v>
      </c>
      <c r="AF308" s="119"/>
    </row>
    <row r="309" spans="1:32" ht="12" customHeight="1">
      <c r="A309" s="148">
        <v>44497</v>
      </c>
      <c r="B309" s="149" t="s">
        <v>479</v>
      </c>
      <c r="C309" s="149"/>
      <c r="D309" s="149"/>
      <c r="E309" s="149"/>
      <c r="F309" s="149"/>
      <c r="G309" s="149"/>
      <c r="H309" s="135" t="s">
        <v>453</v>
      </c>
      <c r="I309" s="134" t="s">
        <v>469</v>
      </c>
      <c r="J309" s="135" t="s">
        <v>471</v>
      </c>
      <c r="K309" s="136">
        <v>10</v>
      </c>
      <c r="L309" s="137">
        <v>505</v>
      </c>
      <c r="M309" s="138">
        <f t="shared" si="38"/>
        <v>0</v>
      </c>
      <c r="N309" s="138">
        <f t="shared" si="298"/>
        <v>505</v>
      </c>
      <c r="O309" s="138"/>
      <c r="P309" s="138">
        <f t="shared" si="2"/>
        <v>5050</v>
      </c>
      <c r="Q309" s="139">
        <f t="shared" si="3"/>
        <v>0.59899999999999998</v>
      </c>
      <c r="R309" s="139">
        <f t="shared" si="74"/>
        <v>0</v>
      </c>
      <c r="S309" s="139">
        <f t="shared" si="35"/>
        <v>0.03</v>
      </c>
      <c r="T309" s="139">
        <f t="shared" si="61"/>
        <v>5.05</v>
      </c>
      <c r="U309" s="139">
        <f t="shared" si="299"/>
        <v>0.76</v>
      </c>
      <c r="V309" s="139">
        <f t="shared" ref="V309:V310" si="301">ROUND(P309*L$1809,2)</f>
        <v>0.14000000000000001</v>
      </c>
      <c r="W309" s="139">
        <f t="shared" si="217"/>
        <v>0.01</v>
      </c>
      <c r="X309" s="140">
        <f t="shared" si="9"/>
        <v>5.9899999999999993</v>
      </c>
      <c r="Y309" s="141">
        <f t="shared" si="300"/>
        <v>-5055.99</v>
      </c>
      <c r="Z309" s="142">
        <f t="shared" si="230"/>
        <v>-5056</v>
      </c>
      <c r="AA309" s="143">
        <f t="shared" si="47"/>
        <v>-1.0000000000218279E-2</v>
      </c>
      <c r="AB309" s="133">
        <v>44501</v>
      </c>
      <c r="AC309" s="144">
        <f t="shared" si="12"/>
        <v>1.186E-3</v>
      </c>
      <c r="AD309" s="145">
        <f t="shared" si="13"/>
        <v>44501</v>
      </c>
      <c r="AE309" s="146" t="s">
        <v>403</v>
      </c>
      <c r="AF309" s="119"/>
    </row>
    <row r="310" spans="1:32" ht="12" customHeight="1">
      <c r="A310" s="148">
        <v>44498</v>
      </c>
      <c r="B310" s="149" t="s">
        <v>577</v>
      </c>
      <c r="C310" s="149"/>
      <c r="D310" s="149"/>
      <c r="E310" s="149"/>
      <c r="F310" s="149"/>
      <c r="G310" s="149"/>
      <c r="H310" s="135" t="s">
        <v>453</v>
      </c>
      <c r="I310" s="134" t="s">
        <v>469</v>
      </c>
      <c r="J310" s="135" t="s">
        <v>471</v>
      </c>
      <c r="K310" s="136">
        <v>3</v>
      </c>
      <c r="L310" s="137">
        <v>263.64999999999998</v>
      </c>
      <c r="M310" s="138">
        <f t="shared" si="38"/>
        <v>0</v>
      </c>
      <c r="N310" s="138">
        <f t="shared" si="298"/>
        <v>263.64999999999998</v>
      </c>
      <c r="O310" s="138"/>
      <c r="P310" s="138">
        <f t="shared" si="2"/>
        <v>790.95</v>
      </c>
      <c r="Q310" s="139">
        <f t="shared" si="3"/>
        <v>0.31</v>
      </c>
      <c r="R310" s="139">
        <f t="shared" si="74"/>
        <v>0</v>
      </c>
      <c r="S310" s="139">
        <f t="shared" si="35"/>
        <v>0</v>
      </c>
      <c r="T310" s="139">
        <f t="shared" si="61"/>
        <v>0.79</v>
      </c>
      <c r="U310" s="139">
        <f t="shared" si="299"/>
        <v>0.12</v>
      </c>
      <c r="V310" s="139">
        <f t="shared" si="301"/>
        <v>0.02</v>
      </c>
      <c r="W310" s="139">
        <f t="shared" si="217"/>
        <v>0</v>
      </c>
      <c r="X310" s="140">
        <f t="shared" si="9"/>
        <v>0.93</v>
      </c>
      <c r="Y310" s="141">
        <f t="shared" si="300"/>
        <v>-791.88</v>
      </c>
      <c r="Z310" s="142">
        <f t="shared" si="230"/>
        <v>-792</v>
      </c>
      <c r="AA310" s="143">
        <f t="shared" si="47"/>
        <v>-0.12000000000000455</v>
      </c>
      <c r="AB310" s="133">
        <v>44502</v>
      </c>
      <c r="AC310" s="144">
        <f t="shared" si="12"/>
        <v>1.176E-3</v>
      </c>
      <c r="AD310" s="145">
        <f t="shared" si="13"/>
        <v>44502</v>
      </c>
      <c r="AE310" s="146" t="s">
        <v>403</v>
      </c>
      <c r="AF310" s="119"/>
    </row>
    <row r="311" spans="1:32" ht="12" customHeight="1">
      <c r="A311" s="150">
        <v>44501</v>
      </c>
      <c r="B311" s="151" t="s">
        <v>572</v>
      </c>
      <c r="C311" s="151"/>
      <c r="D311" s="151"/>
      <c r="E311" s="151"/>
      <c r="F311" s="151"/>
      <c r="G311" s="151"/>
      <c r="H311" s="122" t="s">
        <v>446</v>
      </c>
      <c r="I311" s="121" t="s">
        <v>469</v>
      </c>
      <c r="J311" s="122" t="s">
        <v>471</v>
      </c>
      <c r="K311" s="123">
        <v>50</v>
      </c>
      <c r="L311" s="124">
        <v>145</v>
      </c>
      <c r="M311" s="125">
        <f t="shared" si="38"/>
        <v>0</v>
      </c>
      <c r="N311" s="125">
        <f t="shared" ref="N311:N314" si="302">L311-M311</f>
        <v>145</v>
      </c>
      <c r="O311" s="125"/>
      <c r="P311" s="125">
        <f t="shared" si="2"/>
        <v>7250</v>
      </c>
      <c r="Q311" s="126">
        <f t="shared" si="3"/>
        <v>0.1512</v>
      </c>
      <c r="R311" s="126">
        <f t="shared" si="74"/>
        <v>0</v>
      </c>
      <c r="S311" s="126">
        <f t="shared" si="35"/>
        <v>0.05</v>
      </c>
      <c r="T311" s="126">
        <f t="shared" si="61"/>
        <v>7.25</v>
      </c>
      <c r="U311" s="126">
        <v>0</v>
      </c>
      <c r="V311" s="126">
        <f>ROUND(P311*M$1809,2)</f>
        <v>0.25</v>
      </c>
      <c r="W311" s="126">
        <f t="shared" si="217"/>
        <v>0.01</v>
      </c>
      <c r="X311" s="126">
        <f t="shared" si="9"/>
        <v>7.56</v>
      </c>
      <c r="Y311" s="127">
        <f t="shared" ref="Y311:Y314" si="303">ROUND(P311-SUM(R311:W311),2)</f>
        <v>7242.44</v>
      </c>
      <c r="Z311" s="128">
        <f t="shared" si="230"/>
        <v>7242</v>
      </c>
      <c r="AA311" s="129">
        <f t="shared" si="47"/>
        <v>-0.43999999999959982</v>
      </c>
      <c r="AB311" s="120"/>
      <c r="AC311" s="130">
        <f t="shared" si="12"/>
        <v>1.0430000000000001E-3</v>
      </c>
      <c r="AD311" s="131">
        <f t="shared" si="13"/>
        <v>0</v>
      </c>
      <c r="AE311" s="132" t="s">
        <v>403</v>
      </c>
      <c r="AF311" s="119"/>
    </row>
    <row r="312" spans="1:32" ht="12" customHeight="1">
      <c r="A312" s="150">
        <v>44502</v>
      </c>
      <c r="B312" s="151" t="s">
        <v>570</v>
      </c>
      <c r="C312" s="151"/>
      <c r="D312" s="151"/>
      <c r="E312" s="151"/>
      <c r="F312" s="151"/>
      <c r="G312" s="151"/>
      <c r="H312" s="122" t="s">
        <v>446</v>
      </c>
      <c r="I312" s="121" t="s">
        <v>469</v>
      </c>
      <c r="J312" s="122" t="s">
        <v>471</v>
      </c>
      <c r="K312" s="123">
        <v>100</v>
      </c>
      <c r="L312" s="124">
        <v>173</v>
      </c>
      <c r="M312" s="125">
        <f t="shared" si="38"/>
        <v>0</v>
      </c>
      <c r="N312" s="125">
        <f t="shared" si="302"/>
        <v>173</v>
      </c>
      <c r="O312" s="125"/>
      <c r="P312" s="125">
        <f t="shared" si="2"/>
        <v>17300</v>
      </c>
      <c r="Q312" s="126">
        <f t="shared" si="3"/>
        <v>0.1789</v>
      </c>
      <c r="R312" s="126">
        <f t="shared" si="74"/>
        <v>0</v>
      </c>
      <c r="S312" s="126">
        <f t="shared" si="35"/>
        <v>0.09</v>
      </c>
      <c r="T312" s="126">
        <f t="shared" si="61"/>
        <v>17.3</v>
      </c>
      <c r="U312" s="126">
        <v>0</v>
      </c>
      <c r="V312" s="126">
        <f>ROUND(P312*L$1809,2)</f>
        <v>0.48</v>
      </c>
      <c r="W312" s="126">
        <f t="shared" si="217"/>
        <v>0.02</v>
      </c>
      <c r="X312" s="126">
        <f t="shared" si="9"/>
        <v>17.89</v>
      </c>
      <c r="Y312" s="127">
        <f t="shared" si="303"/>
        <v>17282.11</v>
      </c>
      <c r="Z312" s="128">
        <f t="shared" si="230"/>
        <v>17282</v>
      </c>
      <c r="AA312" s="129">
        <f t="shared" si="47"/>
        <v>-0.11000000000058208</v>
      </c>
      <c r="AB312" s="120">
        <v>44508</v>
      </c>
      <c r="AC312" s="130">
        <f t="shared" si="12"/>
        <v>1.034E-3</v>
      </c>
      <c r="AD312" s="131">
        <f t="shared" si="13"/>
        <v>44508</v>
      </c>
      <c r="AE312" s="132" t="s">
        <v>403</v>
      </c>
      <c r="AF312" s="119"/>
    </row>
    <row r="313" spans="1:32" ht="12" customHeight="1">
      <c r="A313" s="150">
        <v>44502</v>
      </c>
      <c r="B313" s="151" t="s">
        <v>479</v>
      </c>
      <c r="C313" s="151"/>
      <c r="D313" s="151"/>
      <c r="E313" s="151"/>
      <c r="F313" s="151"/>
      <c r="G313" s="151"/>
      <c r="H313" s="122" t="s">
        <v>446</v>
      </c>
      <c r="I313" s="121" t="s">
        <v>469</v>
      </c>
      <c r="J313" s="122" t="s">
        <v>471</v>
      </c>
      <c r="K313" s="123">
        <v>10</v>
      </c>
      <c r="L313" s="124">
        <v>522.5</v>
      </c>
      <c r="M313" s="125">
        <f t="shared" si="38"/>
        <v>0</v>
      </c>
      <c r="N313" s="125">
        <f t="shared" si="302"/>
        <v>522.5</v>
      </c>
      <c r="O313" s="125"/>
      <c r="P313" s="125">
        <f t="shared" si="2"/>
        <v>5225</v>
      </c>
      <c r="Q313" s="126">
        <f t="shared" si="3"/>
        <v>0.54500000000000004</v>
      </c>
      <c r="R313" s="126">
        <f t="shared" si="74"/>
        <v>0</v>
      </c>
      <c r="S313" s="126">
        <f t="shared" si="35"/>
        <v>0.03</v>
      </c>
      <c r="T313" s="126">
        <f t="shared" si="61"/>
        <v>5.23</v>
      </c>
      <c r="U313" s="126">
        <v>0</v>
      </c>
      <c r="V313" s="126">
        <f t="shared" ref="V313:V325" si="304">ROUND(P313*M$1809,2)</f>
        <v>0.18</v>
      </c>
      <c r="W313" s="126">
        <f t="shared" si="217"/>
        <v>0.01</v>
      </c>
      <c r="X313" s="126">
        <f t="shared" si="9"/>
        <v>5.45</v>
      </c>
      <c r="Y313" s="127">
        <f t="shared" si="303"/>
        <v>5219.55</v>
      </c>
      <c r="Z313" s="128">
        <f t="shared" si="230"/>
        <v>5220</v>
      </c>
      <c r="AA313" s="129">
        <f t="shared" si="47"/>
        <v>0.4499999999998181</v>
      </c>
      <c r="AB313" s="120">
        <v>44508</v>
      </c>
      <c r="AC313" s="130">
        <f t="shared" si="12"/>
        <v>1.0430000000000001E-3</v>
      </c>
      <c r="AD313" s="131">
        <f t="shared" si="13"/>
        <v>44508</v>
      </c>
      <c r="AE313" s="132" t="s">
        <v>403</v>
      </c>
      <c r="AF313" s="119"/>
    </row>
    <row r="314" spans="1:32" ht="12" customHeight="1">
      <c r="A314" s="150">
        <v>44508</v>
      </c>
      <c r="B314" s="151" t="s">
        <v>484</v>
      </c>
      <c r="C314" s="151"/>
      <c r="D314" s="151"/>
      <c r="E314" s="151"/>
      <c r="F314" s="151"/>
      <c r="G314" s="151"/>
      <c r="H314" s="122" t="s">
        <v>446</v>
      </c>
      <c r="I314" s="121" t="s">
        <v>469</v>
      </c>
      <c r="J314" s="122" t="s">
        <v>471</v>
      </c>
      <c r="K314" s="123">
        <v>4</v>
      </c>
      <c r="L314" s="124">
        <v>7685</v>
      </c>
      <c r="M314" s="125">
        <f t="shared" si="38"/>
        <v>0</v>
      </c>
      <c r="N314" s="125">
        <f t="shared" si="302"/>
        <v>7685</v>
      </c>
      <c r="O314" s="125"/>
      <c r="P314" s="125">
        <f t="shared" si="2"/>
        <v>30740</v>
      </c>
      <c r="Q314" s="126">
        <f t="shared" si="3"/>
        <v>8.004999999999999</v>
      </c>
      <c r="R314" s="126">
        <f t="shared" si="74"/>
        <v>0</v>
      </c>
      <c r="S314" s="126">
        <f t="shared" si="35"/>
        <v>0.19</v>
      </c>
      <c r="T314" s="126">
        <f t="shared" si="61"/>
        <v>30.74</v>
      </c>
      <c r="U314" s="126">
        <v>0</v>
      </c>
      <c r="V314" s="126">
        <f t="shared" si="304"/>
        <v>1.06</v>
      </c>
      <c r="W314" s="126">
        <f t="shared" si="217"/>
        <v>0.03</v>
      </c>
      <c r="X314" s="126">
        <f t="shared" si="9"/>
        <v>32.019999999999996</v>
      </c>
      <c r="Y314" s="127">
        <f t="shared" si="303"/>
        <v>30707.98</v>
      </c>
      <c r="Z314" s="128">
        <f t="shared" si="230"/>
        <v>30708</v>
      </c>
      <c r="AA314" s="129">
        <f t="shared" si="47"/>
        <v>2.0000000000436557E-2</v>
      </c>
      <c r="AB314" s="120">
        <v>44510</v>
      </c>
      <c r="AC314" s="130">
        <f t="shared" si="12"/>
        <v>1.042E-3</v>
      </c>
      <c r="AD314" s="131">
        <f t="shared" si="13"/>
        <v>44510</v>
      </c>
      <c r="AE314" s="132" t="s">
        <v>403</v>
      </c>
      <c r="AF314" s="119"/>
    </row>
    <row r="315" spans="1:32" ht="12" customHeight="1">
      <c r="A315" s="148">
        <v>44508</v>
      </c>
      <c r="B315" s="149" t="s">
        <v>460</v>
      </c>
      <c r="C315" s="149"/>
      <c r="D315" s="149"/>
      <c r="E315" s="149"/>
      <c r="F315" s="149"/>
      <c r="G315" s="149"/>
      <c r="H315" s="135" t="s">
        <v>453</v>
      </c>
      <c r="I315" s="134" t="s">
        <v>469</v>
      </c>
      <c r="J315" s="135" t="s">
        <v>471</v>
      </c>
      <c r="K315" s="136">
        <v>2</v>
      </c>
      <c r="L315" s="154">
        <v>2500</v>
      </c>
      <c r="M315" s="138">
        <f t="shared" si="38"/>
        <v>0</v>
      </c>
      <c r="N315" s="138">
        <f t="shared" ref="N315:N318" si="305">L315+M315</f>
        <v>2500</v>
      </c>
      <c r="O315" s="138"/>
      <c r="P315" s="138">
        <f t="shared" si="2"/>
        <v>5000</v>
      </c>
      <c r="Q315" s="139">
        <f t="shared" si="3"/>
        <v>2.98</v>
      </c>
      <c r="R315" s="139">
        <f t="shared" si="74"/>
        <v>0</v>
      </c>
      <c r="S315" s="139">
        <f t="shared" si="35"/>
        <v>0.03</v>
      </c>
      <c r="T315" s="139">
        <f t="shared" si="61"/>
        <v>5</v>
      </c>
      <c r="U315" s="139">
        <f t="shared" ref="U315:U318" si="306">ROUND(P315*K$1812,2)</f>
        <v>0.75</v>
      </c>
      <c r="V315" s="139">
        <f t="shared" si="304"/>
        <v>0.17</v>
      </c>
      <c r="W315" s="139">
        <f t="shared" si="217"/>
        <v>0.01</v>
      </c>
      <c r="X315" s="140">
        <f t="shared" si="9"/>
        <v>5.96</v>
      </c>
      <c r="Y315" s="141">
        <f t="shared" ref="Y315:Y318" si="307">-ROUND(P315+SUM(R315:W315),2)</f>
        <v>-5005.96</v>
      </c>
      <c r="Z315" s="142">
        <f t="shared" si="230"/>
        <v>-5006</v>
      </c>
      <c r="AA315" s="143">
        <f t="shared" si="47"/>
        <v>-3.999999999996362E-2</v>
      </c>
      <c r="AB315" s="133">
        <v>44510</v>
      </c>
      <c r="AC315" s="144">
        <f t="shared" si="12"/>
        <v>1.1919999999999999E-3</v>
      </c>
      <c r="AD315" s="145">
        <f t="shared" si="13"/>
        <v>44510</v>
      </c>
      <c r="AE315" s="146" t="s">
        <v>403</v>
      </c>
      <c r="AF315" s="119"/>
    </row>
    <row r="316" spans="1:32" ht="12" customHeight="1">
      <c r="A316" s="148">
        <v>44508</v>
      </c>
      <c r="B316" s="149" t="s">
        <v>479</v>
      </c>
      <c r="C316" s="149"/>
      <c r="D316" s="149"/>
      <c r="E316" s="149"/>
      <c r="F316" s="149"/>
      <c r="G316" s="149"/>
      <c r="H316" s="135" t="s">
        <v>453</v>
      </c>
      <c r="I316" s="134" t="s">
        <v>469</v>
      </c>
      <c r="J316" s="135" t="s">
        <v>471</v>
      </c>
      <c r="K316" s="136">
        <v>15</v>
      </c>
      <c r="L316" s="154">
        <v>519</v>
      </c>
      <c r="M316" s="138">
        <f t="shared" si="38"/>
        <v>0</v>
      </c>
      <c r="N316" s="138">
        <f t="shared" si="305"/>
        <v>519</v>
      </c>
      <c r="O316" s="138"/>
      <c r="P316" s="138">
        <f t="shared" si="2"/>
        <v>7785</v>
      </c>
      <c r="Q316" s="139">
        <f t="shared" si="3"/>
        <v>0.61933333333333329</v>
      </c>
      <c r="R316" s="139">
        <f t="shared" si="74"/>
        <v>0</v>
      </c>
      <c r="S316" s="139">
        <f t="shared" si="35"/>
        <v>0.05</v>
      </c>
      <c r="T316" s="139">
        <f t="shared" si="61"/>
        <v>7.79</v>
      </c>
      <c r="U316" s="139">
        <f t="shared" si="306"/>
        <v>1.17</v>
      </c>
      <c r="V316" s="139">
        <f t="shared" si="304"/>
        <v>0.27</v>
      </c>
      <c r="W316" s="139">
        <f t="shared" si="217"/>
        <v>0.01</v>
      </c>
      <c r="X316" s="140">
        <f t="shared" si="9"/>
        <v>9.2899999999999991</v>
      </c>
      <c r="Y316" s="141">
        <f t="shared" si="307"/>
        <v>-7794.29</v>
      </c>
      <c r="Z316" s="142">
        <f t="shared" si="230"/>
        <v>-7794</v>
      </c>
      <c r="AA316" s="143">
        <f t="shared" si="47"/>
        <v>0.28999999999996362</v>
      </c>
      <c r="AB316" s="133">
        <v>44510</v>
      </c>
      <c r="AC316" s="144">
        <f t="shared" si="12"/>
        <v>1.193E-3</v>
      </c>
      <c r="AD316" s="145">
        <f t="shared" si="13"/>
        <v>44510</v>
      </c>
      <c r="AE316" s="146" t="s">
        <v>403</v>
      </c>
      <c r="AF316" s="119"/>
    </row>
    <row r="317" spans="1:32" ht="12" customHeight="1">
      <c r="A317" s="148">
        <v>44508</v>
      </c>
      <c r="B317" s="149" t="s">
        <v>578</v>
      </c>
      <c r="C317" s="149"/>
      <c r="D317" s="149"/>
      <c r="E317" s="149"/>
      <c r="F317" s="149"/>
      <c r="G317" s="149"/>
      <c r="H317" s="135" t="s">
        <v>453</v>
      </c>
      <c r="I317" s="134" t="s">
        <v>469</v>
      </c>
      <c r="J317" s="135" t="s">
        <v>471</v>
      </c>
      <c r="K317" s="136">
        <v>100</v>
      </c>
      <c r="L317" s="154">
        <v>88</v>
      </c>
      <c r="M317" s="138">
        <f t="shared" si="38"/>
        <v>0</v>
      </c>
      <c r="N317" s="138">
        <f t="shared" si="305"/>
        <v>88</v>
      </c>
      <c r="O317" s="138"/>
      <c r="P317" s="138">
        <f t="shared" si="2"/>
        <v>8800</v>
      </c>
      <c r="Q317" s="139">
        <f t="shared" si="3"/>
        <v>0.10480000000000002</v>
      </c>
      <c r="R317" s="139">
        <f t="shared" si="74"/>
        <v>0</v>
      </c>
      <c r="S317" s="139">
        <f t="shared" si="35"/>
        <v>0.05</v>
      </c>
      <c r="T317" s="139">
        <f t="shared" si="61"/>
        <v>8.8000000000000007</v>
      </c>
      <c r="U317" s="139">
        <f t="shared" si="306"/>
        <v>1.32</v>
      </c>
      <c r="V317" s="139">
        <f t="shared" si="304"/>
        <v>0.3</v>
      </c>
      <c r="W317" s="139">
        <f t="shared" si="217"/>
        <v>0.01</v>
      </c>
      <c r="X317" s="140">
        <f t="shared" si="9"/>
        <v>10.480000000000002</v>
      </c>
      <c r="Y317" s="141">
        <f t="shared" si="307"/>
        <v>-8810.48</v>
      </c>
      <c r="Z317" s="142">
        <f t="shared" si="230"/>
        <v>-8810</v>
      </c>
      <c r="AA317" s="143">
        <f t="shared" si="47"/>
        <v>0.47999999999956344</v>
      </c>
      <c r="AB317" s="133">
        <v>44510</v>
      </c>
      <c r="AC317" s="144">
        <f t="shared" si="12"/>
        <v>1.191E-3</v>
      </c>
      <c r="AD317" s="145">
        <f t="shared" si="13"/>
        <v>44510</v>
      </c>
      <c r="AE317" s="146" t="s">
        <v>403</v>
      </c>
      <c r="AF317" s="119"/>
    </row>
    <row r="318" spans="1:32" ht="12" customHeight="1">
      <c r="A318" s="148">
        <v>44508</v>
      </c>
      <c r="B318" s="149" t="s">
        <v>577</v>
      </c>
      <c r="C318" s="149"/>
      <c r="D318" s="149"/>
      <c r="E318" s="149"/>
      <c r="F318" s="149"/>
      <c r="G318" s="149"/>
      <c r="H318" s="135" t="s">
        <v>453</v>
      </c>
      <c r="I318" s="134" t="s">
        <v>469</v>
      </c>
      <c r="J318" s="135" t="s">
        <v>471</v>
      </c>
      <c r="K318" s="136">
        <v>7</v>
      </c>
      <c r="L318" s="154">
        <v>285</v>
      </c>
      <c r="M318" s="138">
        <f t="shared" si="38"/>
        <v>0</v>
      </c>
      <c r="N318" s="138">
        <f t="shared" si="305"/>
        <v>285</v>
      </c>
      <c r="O318" s="138"/>
      <c r="P318" s="138">
        <f t="shared" si="2"/>
        <v>1995</v>
      </c>
      <c r="Q318" s="139">
        <f t="shared" si="3"/>
        <v>0.33999999999999991</v>
      </c>
      <c r="R318" s="139">
        <f t="shared" si="74"/>
        <v>0</v>
      </c>
      <c r="S318" s="139">
        <f t="shared" si="35"/>
        <v>0.01</v>
      </c>
      <c r="T318" s="139">
        <f t="shared" si="61"/>
        <v>2</v>
      </c>
      <c r="U318" s="139">
        <f t="shared" si="306"/>
        <v>0.3</v>
      </c>
      <c r="V318" s="139">
        <f t="shared" si="304"/>
        <v>7.0000000000000007E-2</v>
      </c>
      <c r="W318" s="139">
        <f t="shared" si="217"/>
        <v>0</v>
      </c>
      <c r="X318" s="140">
        <f t="shared" si="9"/>
        <v>2.3799999999999994</v>
      </c>
      <c r="Y318" s="141">
        <f t="shared" si="307"/>
        <v>-1997.38</v>
      </c>
      <c r="Z318" s="142">
        <f t="shared" si="230"/>
        <v>-1997</v>
      </c>
      <c r="AA318" s="143">
        <f t="shared" si="47"/>
        <v>0.38000000000010914</v>
      </c>
      <c r="AB318" s="133">
        <v>44510</v>
      </c>
      <c r="AC318" s="144">
        <f t="shared" si="12"/>
        <v>1.193E-3</v>
      </c>
      <c r="AD318" s="145">
        <f t="shared" si="13"/>
        <v>44510</v>
      </c>
      <c r="AE318" s="146" t="s">
        <v>403</v>
      </c>
      <c r="AF318" s="119"/>
    </row>
    <row r="319" spans="1:32" ht="12" customHeight="1">
      <c r="A319" s="150">
        <v>44509</v>
      </c>
      <c r="B319" s="151" t="s">
        <v>556</v>
      </c>
      <c r="C319" s="151"/>
      <c r="D319" s="151"/>
      <c r="E319" s="151"/>
      <c r="F319" s="151"/>
      <c r="G319" s="151"/>
      <c r="H319" s="122" t="s">
        <v>446</v>
      </c>
      <c r="I319" s="121" t="s">
        <v>469</v>
      </c>
      <c r="J319" s="122" t="s">
        <v>471</v>
      </c>
      <c r="K319" s="123">
        <v>10</v>
      </c>
      <c r="L319" s="124">
        <v>227</v>
      </c>
      <c r="M319" s="125">
        <f t="shared" si="38"/>
        <v>0</v>
      </c>
      <c r="N319" s="125">
        <f t="shared" ref="N319:N324" si="308">L319-M319</f>
        <v>227</v>
      </c>
      <c r="O319" s="125"/>
      <c r="P319" s="125">
        <f t="shared" si="2"/>
        <v>2270</v>
      </c>
      <c r="Q319" s="126">
        <f t="shared" si="3"/>
        <v>0.23599999999999999</v>
      </c>
      <c r="R319" s="126">
        <f t="shared" si="74"/>
        <v>0</v>
      </c>
      <c r="S319" s="126">
        <f t="shared" si="35"/>
        <v>0.01</v>
      </c>
      <c r="T319" s="126">
        <f t="shared" si="61"/>
        <v>2.27</v>
      </c>
      <c r="U319" s="126">
        <v>0</v>
      </c>
      <c r="V319" s="126">
        <f t="shared" si="304"/>
        <v>0.08</v>
      </c>
      <c r="W319" s="126">
        <f t="shared" si="217"/>
        <v>0</v>
      </c>
      <c r="X319" s="126">
        <f t="shared" si="9"/>
        <v>2.36</v>
      </c>
      <c r="Y319" s="127">
        <f t="shared" ref="Y319:Y324" si="309">ROUND(P319-SUM(R319:W319),2)</f>
        <v>2267.64</v>
      </c>
      <c r="Z319" s="128">
        <f t="shared" si="230"/>
        <v>2268</v>
      </c>
      <c r="AA319" s="129">
        <f t="shared" si="47"/>
        <v>0.36000000000012733</v>
      </c>
      <c r="AB319" s="120">
        <v>44511</v>
      </c>
      <c r="AC319" s="130">
        <f t="shared" si="12"/>
        <v>1.0399999999999999E-3</v>
      </c>
      <c r="AD319" s="131">
        <f t="shared" si="13"/>
        <v>44511</v>
      </c>
      <c r="AE319" s="132" t="s">
        <v>403</v>
      </c>
      <c r="AF319" s="119"/>
    </row>
    <row r="320" spans="1:32" ht="12" customHeight="1">
      <c r="A320" s="150">
        <v>44509</v>
      </c>
      <c r="B320" s="151" t="s">
        <v>571</v>
      </c>
      <c r="C320" s="151"/>
      <c r="D320" s="151"/>
      <c r="E320" s="151"/>
      <c r="F320" s="151"/>
      <c r="G320" s="151"/>
      <c r="H320" s="122" t="s">
        <v>446</v>
      </c>
      <c r="I320" s="121" t="s">
        <v>469</v>
      </c>
      <c r="J320" s="122" t="s">
        <v>471</v>
      </c>
      <c r="K320" s="123">
        <v>10</v>
      </c>
      <c r="L320" s="124">
        <v>786</v>
      </c>
      <c r="M320" s="125">
        <f t="shared" si="38"/>
        <v>0</v>
      </c>
      <c r="N320" s="125">
        <f t="shared" si="308"/>
        <v>786</v>
      </c>
      <c r="O320" s="125"/>
      <c r="P320" s="125">
        <f t="shared" si="2"/>
        <v>7860</v>
      </c>
      <c r="Q320" s="126">
        <f t="shared" si="3"/>
        <v>0.81899999999999995</v>
      </c>
      <c r="R320" s="126">
        <f t="shared" si="74"/>
        <v>0</v>
      </c>
      <c r="S320" s="126">
        <f t="shared" si="35"/>
        <v>0.05</v>
      </c>
      <c r="T320" s="126">
        <f t="shared" si="61"/>
        <v>7.86</v>
      </c>
      <c r="U320" s="126">
        <v>0</v>
      </c>
      <c r="V320" s="126">
        <f t="shared" si="304"/>
        <v>0.27</v>
      </c>
      <c r="W320" s="126">
        <f t="shared" si="217"/>
        <v>0.01</v>
      </c>
      <c r="X320" s="126">
        <f t="shared" si="9"/>
        <v>8.19</v>
      </c>
      <c r="Y320" s="127">
        <f t="shared" si="309"/>
        <v>7851.81</v>
      </c>
      <c r="Z320" s="128">
        <f t="shared" si="230"/>
        <v>7852</v>
      </c>
      <c r="AA320" s="129">
        <f t="shared" si="47"/>
        <v>0.18999999999959982</v>
      </c>
      <c r="AB320" s="120">
        <v>44511</v>
      </c>
      <c r="AC320" s="130">
        <f t="shared" si="12"/>
        <v>1.042E-3</v>
      </c>
      <c r="AD320" s="131">
        <f t="shared" si="13"/>
        <v>44511</v>
      </c>
      <c r="AE320" s="132" t="s">
        <v>403</v>
      </c>
      <c r="AF320" s="119"/>
    </row>
    <row r="321" spans="1:32" ht="12" customHeight="1">
      <c r="A321" s="150">
        <v>44509</v>
      </c>
      <c r="B321" s="151" t="s">
        <v>564</v>
      </c>
      <c r="C321" s="151"/>
      <c r="D321" s="151"/>
      <c r="E321" s="151"/>
      <c r="F321" s="151"/>
      <c r="G321" s="151"/>
      <c r="H321" s="122" t="s">
        <v>446</v>
      </c>
      <c r="I321" s="121" t="s">
        <v>469</v>
      </c>
      <c r="J321" s="122" t="s">
        <v>471</v>
      </c>
      <c r="K321" s="123">
        <v>100</v>
      </c>
      <c r="L321" s="124">
        <v>74.5</v>
      </c>
      <c r="M321" s="125">
        <f t="shared" si="38"/>
        <v>0</v>
      </c>
      <c r="N321" s="125">
        <f t="shared" si="308"/>
        <v>74.5</v>
      </c>
      <c r="O321" s="125"/>
      <c r="P321" s="125">
        <f t="shared" si="2"/>
        <v>7450</v>
      </c>
      <c r="Q321" s="126">
        <f t="shared" si="3"/>
        <v>7.7699999999999991E-2</v>
      </c>
      <c r="R321" s="126">
        <f t="shared" si="74"/>
        <v>0</v>
      </c>
      <c r="S321" s="126">
        <f t="shared" si="35"/>
        <v>0.05</v>
      </c>
      <c r="T321" s="126">
        <f t="shared" si="61"/>
        <v>7.45</v>
      </c>
      <c r="U321" s="126">
        <v>0</v>
      </c>
      <c r="V321" s="126">
        <f t="shared" si="304"/>
        <v>0.26</v>
      </c>
      <c r="W321" s="126">
        <f t="shared" si="217"/>
        <v>0.01</v>
      </c>
      <c r="X321" s="126">
        <f t="shared" si="9"/>
        <v>7.77</v>
      </c>
      <c r="Y321" s="127">
        <f t="shared" si="309"/>
        <v>7442.23</v>
      </c>
      <c r="Z321" s="128">
        <f t="shared" si="230"/>
        <v>7442</v>
      </c>
      <c r="AA321" s="129">
        <f t="shared" si="47"/>
        <v>-0.22999999999956344</v>
      </c>
      <c r="AB321" s="120">
        <v>44511</v>
      </c>
      <c r="AC321" s="130">
        <f t="shared" si="12"/>
        <v>1.0430000000000001E-3</v>
      </c>
      <c r="AD321" s="131">
        <f t="shared" si="13"/>
        <v>44511</v>
      </c>
      <c r="AE321" s="132" t="s">
        <v>403</v>
      </c>
      <c r="AF321" s="119"/>
    </row>
    <row r="322" spans="1:32" ht="12" customHeight="1">
      <c r="A322" s="150">
        <v>44509</v>
      </c>
      <c r="B322" s="151" t="s">
        <v>504</v>
      </c>
      <c r="C322" s="151"/>
      <c r="D322" s="151"/>
      <c r="E322" s="151"/>
      <c r="F322" s="151"/>
      <c r="G322" s="151"/>
      <c r="H322" s="122" t="s">
        <v>446</v>
      </c>
      <c r="I322" s="121" t="s">
        <v>469</v>
      </c>
      <c r="J322" s="122" t="s">
        <v>471</v>
      </c>
      <c r="K322" s="123">
        <v>20</v>
      </c>
      <c r="L322" s="124">
        <v>511.14249999999998</v>
      </c>
      <c r="M322" s="125">
        <f t="shared" si="38"/>
        <v>0</v>
      </c>
      <c r="N322" s="125">
        <f t="shared" si="308"/>
        <v>511.14249999999998</v>
      </c>
      <c r="O322" s="125"/>
      <c r="P322" s="125">
        <f t="shared" si="2"/>
        <v>10222.85</v>
      </c>
      <c r="Q322" s="126">
        <f t="shared" si="3"/>
        <v>0.53200000000000003</v>
      </c>
      <c r="R322" s="126">
        <f t="shared" si="74"/>
        <v>0</v>
      </c>
      <c r="S322" s="126">
        <f t="shared" si="35"/>
        <v>0.06</v>
      </c>
      <c r="T322" s="126">
        <f t="shared" si="61"/>
        <v>10.220000000000001</v>
      </c>
      <c r="U322" s="126">
        <v>0</v>
      </c>
      <c r="V322" s="126">
        <f t="shared" si="304"/>
        <v>0.35</v>
      </c>
      <c r="W322" s="126">
        <f t="shared" si="217"/>
        <v>0.01</v>
      </c>
      <c r="X322" s="126">
        <f t="shared" si="9"/>
        <v>10.64</v>
      </c>
      <c r="Y322" s="127">
        <f t="shared" si="309"/>
        <v>10212.209999999999</v>
      </c>
      <c r="Z322" s="128">
        <f t="shared" si="230"/>
        <v>10212</v>
      </c>
      <c r="AA322" s="129">
        <f t="shared" si="47"/>
        <v>-0.20999999999912689</v>
      </c>
      <c r="AB322" s="120">
        <v>44511</v>
      </c>
      <c r="AC322" s="130">
        <f t="shared" si="12"/>
        <v>1.041E-3</v>
      </c>
      <c r="AD322" s="131">
        <f t="shared" si="13"/>
        <v>44511</v>
      </c>
      <c r="AE322" s="132" t="s">
        <v>403</v>
      </c>
      <c r="AF322" s="119"/>
    </row>
    <row r="323" spans="1:32" ht="12" customHeight="1">
      <c r="A323" s="150">
        <v>44509</v>
      </c>
      <c r="B323" s="151" t="s">
        <v>563</v>
      </c>
      <c r="C323" s="151"/>
      <c r="D323" s="151"/>
      <c r="E323" s="151"/>
      <c r="F323" s="151"/>
      <c r="G323" s="151"/>
      <c r="H323" s="122" t="s">
        <v>446</v>
      </c>
      <c r="I323" s="121" t="s">
        <v>469</v>
      </c>
      <c r="J323" s="122" t="s">
        <v>471</v>
      </c>
      <c r="K323" s="123">
        <v>20</v>
      </c>
      <c r="L323" s="124">
        <v>221</v>
      </c>
      <c r="M323" s="125">
        <f t="shared" si="38"/>
        <v>0</v>
      </c>
      <c r="N323" s="125">
        <f t="shared" si="308"/>
        <v>221</v>
      </c>
      <c r="O323" s="125"/>
      <c r="P323" s="125">
        <f t="shared" si="2"/>
        <v>4420</v>
      </c>
      <c r="Q323" s="126">
        <f t="shared" si="3"/>
        <v>0.23000000000000004</v>
      </c>
      <c r="R323" s="126">
        <f t="shared" si="74"/>
        <v>0</v>
      </c>
      <c r="S323" s="126">
        <f t="shared" si="35"/>
        <v>0.03</v>
      </c>
      <c r="T323" s="126">
        <f t="shared" si="61"/>
        <v>4.42</v>
      </c>
      <c r="U323" s="126">
        <v>0</v>
      </c>
      <c r="V323" s="126">
        <f t="shared" si="304"/>
        <v>0.15</v>
      </c>
      <c r="W323" s="126">
        <f t="shared" si="217"/>
        <v>0</v>
      </c>
      <c r="X323" s="126">
        <f t="shared" si="9"/>
        <v>4.6000000000000005</v>
      </c>
      <c r="Y323" s="127">
        <f t="shared" si="309"/>
        <v>4415.3999999999996</v>
      </c>
      <c r="Z323" s="128">
        <f t="shared" si="230"/>
        <v>4415</v>
      </c>
      <c r="AA323" s="129">
        <f t="shared" si="47"/>
        <v>-0.3999999999996362</v>
      </c>
      <c r="AB323" s="120">
        <v>44511</v>
      </c>
      <c r="AC323" s="130">
        <f t="shared" si="12"/>
        <v>1.041E-3</v>
      </c>
      <c r="AD323" s="131">
        <f t="shared" si="13"/>
        <v>44511</v>
      </c>
      <c r="AE323" s="132" t="s">
        <v>403</v>
      </c>
      <c r="AF323" s="119"/>
    </row>
    <row r="324" spans="1:32" ht="12" customHeight="1">
      <c r="A324" s="150">
        <v>44509</v>
      </c>
      <c r="B324" s="151" t="s">
        <v>479</v>
      </c>
      <c r="C324" s="151"/>
      <c r="D324" s="151"/>
      <c r="E324" s="151"/>
      <c r="F324" s="151"/>
      <c r="G324" s="151"/>
      <c r="H324" s="122" t="s">
        <v>446</v>
      </c>
      <c r="I324" s="121" t="s">
        <v>469</v>
      </c>
      <c r="J324" s="122" t="s">
        <v>471</v>
      </c>
      <c r="K324" s="123">
        <v>15</v>
      </c>
      <c r="L324" s="124">
        <v>530</v>
      </c>
      <c r="M324" s="125">
        <f t="shared" si="38"/>
        <v>0</v>
      </c>
      <c r="N324" s="125">
        <f t="shared" si="308"/>
        <v>530</v>
      </c>
      <c r="O324" s="125"/>
      <c r="P324" s="125">
        <f t="shared" si="2"/>
        <v>7950</v>
      </c>
      <c r="Q324" s="126">
        <f t="shared" si="3"/>
        <v>0.55199999999999994</v>
      </c>
      <c r="R324" s="126">
        <f t="shared" si="74"/>
        <v>0</v>
      </c>
      <c r="S324" s="126">
        <f t="shared" si="35"/>
        <v>0.05</v>
      </c>
      <c r="T324" s="126">
        <f t="shared" si="61"/>
        <v>7.95</v>
      </c>
      <c r="U324" s="126">
        <v>0</v>
      </c>
      <c r="V324" s="126">
        <f t="shared" si="304"/>
        <v>0.27</v>
      </c>
      <c r="W324" s="126">
        <f t="shared" si="217"/>
        <v>0.01</v>
      </c>
      <c r="X324" s="126">
        <f t="shared" si="9"/>
        <v>8.2799999999999994</v>
      </c>
      <c r="Y324" s="127">
        <f t="shared" si="309"/>
        <v>7941.72</v>
      </c>
      <c r="Z324" s="128">
        <f t="shared" si="230"/>
        <v>7942</v>
      </c>
      <c r="AA324" s="129">
        <f t="shared" si="47"/>
        <v>0.27999999999974534</v>
      </c>
      <c r="AB324" s="120">
        <v>44511</v>
      </c>
      <c r="AC324" s="130">
        <f t="shared" si="12"/>
        <v>1.042E-3</v>
      </c>
      <c r="AD324" s="131">
        <f t="shared" si="13"/>
        <v>44511</v>
      </c>
      <c r="AE324" s="132" t="s">
        <v>403</v>
      </c>
      <c r="AF324" s="119"/>
    </row>
    <row r="325" spans="1:32" ht="12" customHeight="1">
      <c r="A325" s="148">
        <v>44509</v>
      </c>
      <c r="B325" s="149" t="s">
        <v>484</v>
      </c>
      <c r="C325" s="149"/>
      <c r="D325" s="149"/>
      <c r="E325" s="149"/>
      <c r="F325" s="149"/>
      <c r="G325" s="149"/>
      <c r="H325" s="135" t="s">
        <v>453</v>
      </c>
      <c r="I325" s="134" t="s">
        <v>469</v>
      </c>
      <c r="J325" s="135" t="s">
        <v>471</v>
      </c>
      <c r="K325" s="136">
        <v>2</v>
      </c>
      <c r="L325" s="137">
        <v>7650</v>
      </c>
      <c r="M325" s="138">
        <f t="shared" si="38"/>
        <v>0</v>
      </c>
      <c r="N325" s="138">
        <f>L325+M325</f>
        <v>7650</v>
      </c>
      <c r="O325" s="138"/>
      <c r="P325" s="138">
        <f t="shared" si="2"/>
        <v>15300</v>
      </c>
      <c r="Q325" s="139">
        <f t="shared" si="3"/>
        <v>9.125</v>
      </c>
      <c r="R325" s="139">
        <f t="shared" si="74"/>
        <v>0</v>
      </c>
      <c r="S325" s="139">
        <f t="shared" si="35"/>
        <v>0.1</v>
      </c>
      <c r="T325" s="139">
        <f t="shared" si="61"/>
        <v>15.3</v>
      </c>
      <c r="U325" s="139">
        <f>ROUND(P325*K$1812,2)</f>
        <v>2.2999999999999998</v>
      </c>
      <c r="V325" s="139">
        <f t="shared" si="304"/>
        <v>0.53</v>
      </c>
      <c r="W325" s="139">
        <f t="shared" si="217"/>
        <v>0.02</v>
      </c>
      <c r="X325" s="140">
        <f t="shared" si="9"/>
        <v>18.25</v>
      </c>
      <c r="Y325" s="141">
        <f>-ROUND(P325+SUM(R325:W325),2)</f>
        <v>-15318.25</v>
      </c>
      <c r="Z325" s="142">
        <f t="shared" si="230"/>
        <v>-15318</v>
      </c>
      <c r="AA325" s="143">
        <f t="shared" si="47"/>
        <v>0.25</v>
      </c>
      <c r="AB325" s="133">
        <v>44511</v>
      </c>
      <c r="AC325" s="144">
        <f t="shared" si="12"/>
        <v>1.193E-3</v>
      </c>
      <c r="AD325" s="145">
        <f t="shared" si="13"/>
        <v>44511</v>
      </c>
      <c r="AE325" s="146" t="s">
        <v>403</v>
      </c>
      <c r="AF325" s="119"/>
    </row>
    <row r="326" spans="1:32" ht="12" customHeight="1">
      <c r="A326" s="150">
        <v>44509</v>
      </c>
      <c r="B326" s="151" t="s">
        <v>575</v>
      </c>
      <c r="C326" s="151"/>
      <c r="D326" s="151"/>
      <c r="E326" s="151"/>
      <c r="F326" s="151"/>
      <c r="G326" s="151"/>
      <c r="H326" s="122" t="s">
        <v>446</v>
      </c>
      <c r="I326" s="121" t="s">
        <v>469</v>
      </c>
      <c r="J326" s="122" t="s">
        <v>448</v>
      </c>
      <c r="K326" s="123">
        <v>300</v>
      </c>
      <c r="L326" s="124">
        <v>1019.33333</v>
      </c>
      <c r="M326" s="125">
        <f t="shared" si="38"/>
        <v>0</v>
      </c>
      <c r="N326" s="125">
        <f>L326-M326</f>
        <v>1019.33333</v>
      </c>
      <c r="O326" s="125"/>
      <c r="P326" s="125">
        <f t="shared" si="2"/>
        <v>305800</v>
      </c>
      <c r="Q326" s="126">
        <f t="shared" si="3"/>
        <v>1.0534333333333334</v>
      </c>
      <c r="R326" s="126">
        <f t="shared" si="74"/>
        <v>0</v>
      </c>
      <c r="S326" s="126">
        <f t="shared" si="35"/>
        <v>1.51</v>
      </c>
      <c r="T326" s="126">
        <f t="shared" si="61"/>
        <v>305.8</v>
      </c>
      <c r="U326" s="126">
        <v>0</v>
      </c>
      <c r="V326" s="126">
        <f t="shared" ref="V326:V329" si="310">ROUND(P326*L$1809,2)</f>
        <v>8.41</v>
      </c>
      <c r="W326" s="126">
        <f t="shared" si="217"/>
        <v>0.31</v>
      </c>
      <c r="X326" s="126">
        <f t="shared" si="9"/>
        <v>316.03000000000003</v>
      </c>
      <c r="Y326" s="127">
        <f>ROUND(P326-SUM(R326:W326),2)</f>
        <v>305483.96999999997</v>
      </c>
      <c r="Z326" s="128">
        <f t="shared" si="230"/>
        <v>305484</v>
      </c>
      <c r="AA326" s="129">
        <f t="shared" si="47"/>
        <v>3.0000000027939677E-2</v>
      </c>
      <c r="AB326" s="120">
        <v>44511</v>
      </c>
      <c r="AC326" s="130">
        <f t="shared" si="12"/>
        <v>1.0330000000000001E-3</v>
      </c>
      <c r="AD326" s="131">
        <f t="shared" si="13"/>
        <v>44511</v>
      </c>
      <c r="AE326" s="132" t="s">
        <v>403</v>
      </c>
      <c r="AF326" s="119"/>
    </row>
    <row r="327" spans="1:32" ht="12" customHeight="1">
      <c r="A327" s="148">
        <v>44510</v>
      </c>
      <c r="B327" s="149" t="s">
        <v>575</v>
      </c>
      <c r="C327" s="149"/>
      <c r="D327" s="149"/>
      <c r="E327" s="149"/>
      <c r="F327" s="149"/>
      <c r="G327" s="149"/>
      <c r="H327" s="135" t="s">
        <v>453</v>
      </c>
      <c r="I327" s="134" t="s">
        <v>469</v>
      </c>
      <c r="J327" s="135" t="s">
        <v>448</v>
      </c>
      <c r="K327" s="136">
        <v>110</v>
      </c>
      <c r="L327" s="137">
        <v>1019.855</v>
      </c>
      <c r="M327" s="138">
        <f t="shared" si="38"/>
        <v>0</v>
      </c>
      <c r="N327" s="138">
        <f t="shared" ref="N327:N332" si="311">L327+M327</f>
        <v>1019.855</v>
      </c>
      <c r="O327" s="138"/>
      <c r="P327" s="138">
        <f t="shared" si="2"/>
        <v>112184.05</v>
      </c>
      <c r="Q327" s="139">
        <f t="shared" si="3"/>
        <v>1.2070000000000001</v>
      </c>
      <c r="R327" s="139">
        <f t="shared" si="74"/>
        <v>0</v>
      </c>
      <c r="S327" s="139">
        <f t="shared" si="35"/>
        <v>0.56000000000000005</v>
      </c>
      <c r="T327" s="139">
        <f t="shared" si="61"/>
        <v>112.18</v>
      </c>
      <c r="U327" s="139">
        <f t="shared" ref="U327:U332" si="312">ROUND(P327*K$1812,2)</f>
        <v>16.829999999999998</v>
      </c>
      <c r="V327" s="139">
        <f t="shared" si="310"/>
        <v>3.09</v>
      </c>
      <c r="W327" s="139">
        <f t="shared" si="217"/>
        <v>0.11</v>
      </c>
      <c r="X327" s="140">
        <f t="shared" si="9"/>
        <v>132.77000000000001</v>
      </c>
      <c r="Y327" s="141">
        <f t="shared" ref="Y327:Y332" si="313">-ROUND(P327+SUM(R327:W327),2)</f>
        <v>-112316.82</v>
      </c>
      <c r="Z327" s="142">
        <f t="shared" si="230"/>
        <v>-112317</v>
      </c>
      <c r="AA327" s="143">
        <f t="shared" si="47"/>
        <v>-0.17999999999301508</v>
      </c>
      <c r="AB327" s="133">
        <v>44512</v>
      </c>
      <c r="AC327" s="144">
        <f t="shared" si="12"/>
        <v>1.1839999999999999E-3</v>
      </c>
      <c r="AD327" s="145">
        <f t="shared" si="13"/>
        <v>44512</v>
      </c>
      <c r="AE327" s="146" t="s">
        <v>403</v>
      </c>
      <c r="AF327" s="119"/>
    </row>
    <row r="328" spans="1:32" ht="12" customHeight="1">
      <c r="A328" s="148">
        <v>44510</v>
      </c>
      <c r="B328" s="149" t="s">
        <v>562</v>
      </c>
      <c r="C328" s="149"/>
      <c r="D328" s="149"/>
      <c r="E328" s="149"/>
      <c r="F328" s="149"/>
      <c r="G328" s="149"/>
      <c r="H328" s="135" t="s">
        <v>453</v>
      </c>
      <c r="I328" s="134" t="s">
        <v>469</v>
      </c>
      <c r="J328" s="135" t="s">
        <v>471</v>
      </c>
      <c r="K328" s="136">
        <v>5</v>
      </c>
      <c r="L328" s="137">
        <v>1450</v>
      </c>
      <c r="M328" s="138">
        <f t="shared" si="38"/>
        <v>0</v>
      </c>
      <c r="N328" s="138">
        <f t="shared" si="311"/>
        <v>1450</v>
      </c>
      <c r="O328" s="138"/>
      <c r="P328" s="138">
        <f t="shared" si="2"/>
        <v>7250</v>
      </c>
      <c r="Q328" s="139">
        <f t="shared" si="3"/>
        <v>1.718</v>
      </c>
      <c r="R328" s="139">
        <f t="shared" si="74"/>
        <v>0</v>
      </c>
      <c r="S328" s="139">
        <f t="shared" si="35"/>
        <v>0.04</v>
      </c>
      <c r="T328" s="139">
        <f t="shared" si="61"/>
        <v>7.25</v>
      </c>
      <c r="U328" s="139">
        <f t="shared" si="312"/>
        <v>1.0900000000000001</v>
      </c>
      <c r="V328" s="139">
        <f t="shared" si="310"/>
        <v>0.2</v>
      </c>
      <c r="W328" s="139">
        <f t="shared" si="217"/>
        <v>0.01</v>
      </c>
      <c r="X328" s="140">
        <f t="shared" si="9"/>
        <v>8.59</v>
      </c>
      <c r="Y328" s="141">
        <f t="shared" si="313"/>
        <v>-7258.59</v>
      </c>
      <c r="Z328" s="142">
        <f t="shared" si="230"/>
        <v>-7259</v>
      </c>
      <c r="AA328" s="143">
        <f t="shared" si="47"/>
        <v>-0.40999999999985448</v>
      </c>
      <c r="AB328" s="133">
        <v>44512</v>
      </c>
      <c r="AC328" s="144">
        <f t="shared" si="12"/>
        <v>1.1850000000000001E-3</v>
      </c>
      <c r="AD328" s="145">
        <f t="shared" si="13"/>
        <v>44512</v>
      </c>
      <c r="AE328" s="146" t="s">
        <v>403</v>
      </c>
      <c r="AF328" s="119"/>
    </row>
    <row r="329" spans="1:32" ht="12" customHeight="1">
      <c r="A329" s="148">
        <v>44511</v>
      </c>
      <c r="B329" s="149" t="s">
        <v>484</v>
      </c>
      <c r="C329" s="149"/>
      <c r="D329" s="149"/>
      <c r="E329" s="149"/>
      <c r="F329" s="149"/>
      <c r="G329" s="149"/>
      <c r="H329" s="135" t="s">
        <v>453</v>
      </c>
      <c r="I329" s="134" t="s">
        <v>469</v>
      </c>
      <c r="J329" s="135" t="s">
        <v>471</v>
      </c>
      <c r="K329" s="136">
        <v>1</v>
      </c>
      <c r="L329" s="137">
        <v>7460</v>
      </c>
      <c r="M329" s="138">
        <f t="shared" si="38"/>
        <v>0</v>
      </c>
      <c r="N329" s="138">
        <f t="shared" si="311"/>
        <v>7460</v>
      </c>
      <c r="O329" s="138"/>
      <c r="P329" s="138">
        <f t="shared" si="2"/>
        <v>7460</v>
      </c>
      <c r="Q329" s="139">
        <f t="shared" si="3"/>
        <v>8.8400000000000016</v>
      </c>
      <c r="R329" s="139">
        <f t="shared" si="74"/>
        <v>0</v>
      </c>
      <c r="S329" s="139">
        <f t="shared" si="35"/>
        <v>0.04</v>
      </c>
      <c r="T329" s="139">
        <f t="shared" si="61"/>
        <v>7.46</v>
      </c>
      <c r="U329" s="139">
        <f t="shared" si="312"/>
        <v>1.1200000000000001</v>
      </c>
      <c r="V329" s="139">
        <f t="shared" si="310"/>
        <v>0.21</v>
      </c>
      <c r="W329" s="139">
        <f t="shared" si="217"/>
        <v>0.01</v>
      </c>
      <c r="X329" s="140">
        <f t="shared" si="9"/>
        <v>8.8400000000000016</v>
      </c>
      <c r="Y329" s="141">
        <f t="shared" si="313"/>
        <v>-7468.84</v>
      </c>
      <c r="Z329" s="142">
        <f t="shared" si="230"/>
        <v>-7469</v>
      </c>
      <c r="AA329" s="143">
        <f t="shared" si="47"/>
        <v>-0.15999999999985448</v>
      </c>
      <c r="AB329" s="133">
        <v>44515</v>
      </c>
      <c r="AC329" s="144">
        <f t="shared" si="12"/>
        <v>1.1850000000000001E-3</v>
      </c>
      <c r="AD329" s="145">
        <f t="shared" si="13"/>
        <v>44515</v>
      </c>
      <c r="AE329" s="146" t="s">
        <v>403</v>
      </c>
      <c r="AF329" s="119"/>
    </row>
    <row r="330" spans="1:32" ht="12" customHeight="1">
      <c r="A330" s="148">
        <v>44511</v>
      </c>
      <c r="B330" s="149" t="s">
        <v>479</v>
      </c>
      <c r="C330" s="149"/>
      <c r="D330" s="149"/>
      <c r="E330" s="149"/>
      <c r="F330" s="149"/>
      <c r="G330" s="149"/>
      <c r="H330" s="135" t="s">
        <v>453</v>
      </c>
      <c r="I330" s="134" t="s">
        <v>469</v>
      </c>
      <c r="J330" s="135" t="s">
        <v>471</v>
      </c>
      <c r="K330" s="136">
        <v>25</v>
      </c>
      <c r="L330" s="137">
        <v>519</v>
      </c>
      <c r="M330" s="138">
        <f t="shared" si="38"/>
        <v>0</v>
      </c>
      <c r="N330" s="138">
        <f t="shared" si="311"/>
        <v>519</v>
      </c>
      <c r="O330" s="138"/>
      <c r="P330" s="138">
        <f t="shared" si="2"/>
        <v>12975</v>
      </c>
      <c r="Q330" s="139">
        <f t="shared" si="3"/>
        <v>0.61879999999999991</v>
      </c>
      <c r="R330" s="139">
        <f t="shared" si="74"/>
        <v>0</v>
      </c>
      <c r="S330" s="139">
        <f t="shared" si="35"/>
        <v>0.08</v>
      </c>
      <c r="T330" s="139">
        <f t="shared" si="61"/>
        <v>12.98</v>
      </c>
      <c r="U330" s="139">
        <f t="shared" si="312"/>
        <v>1.95</v>
      </c>
      <c r="V330" s="139">
        <f t="shared" ref="V330:V332" si="314">ROUND(P330*M$1809,2)</f>
        <v>0.45</v>
      </c>
      <c r="W330" s="139">
        <f t="shared" si="217"/>
        <v>0.01</v>
      </c>
      <c r="X330" s="140">
        <f t="shared" si="9"/>
        <v>15.469999999999999</v>
      </c>
      <c r="Y330" s="141">
        <f t="shared" si="313"/>
        <v>-12990.47</v>
      </c>
      <c r="Z330" s="142">
        <f t="shared" si="230"/>
        <v>-12990</v>
      </c>
      <c r="AA330" s="143">
        <f t="shared" si="47"/>
        <v>0.46999999999934516</v>
      </c>
      <c r="AB330" s="133">
        <v>44515</v>
      </c>
      <c r="AC330" s="144">
        <f t="shared" si="12"/>
        <v>1.1919999999999999E-3</v>
      </c>
      <c r="AD330" s="145">
        <f t="shared" si="13"/>
        <v>44515</v>
      </c>
      <c r="AE330" s="146" t="s">
        <v>403</v>
      </c>
      <c r="AF330" s="119"/>
    </row>
    <row r="331" spans="1:32" ht="12" customHeight="1">
      <c r="A331" s="148">
        <v>44511</v>
      </c>
      <c r="B331" s="149" t="s">
        <v>577</v>
      </c>
      <c r="C331" s="149"/>
      <c r="D331" s="149"/>
      <c r="E331" s="149"/>
      <c r="F331" s="149"/>
      <c r="G331" s="149"/>
      <c r="H331" s="135" t="s">
        <v>453</v>
      </c>
      <c r="I331" s="134" t="s">
        <v>469</v>
      </c>
      <c r="J331" s="135" t="s">
        <v>471</v>
      </c>
      <c r="K331" s="136">
        <v>25</v>
      </c>
      <c r="L331" s="154">
        <v>272</v>
      </c>
      <c r="M331" s="138">
        <f t="shared" si="38"/>
        <v>0</v>
      </c>
      <c r="N331" s="138">
        <f t="shared" si="311"/>
        <v>272</v>
      </c>
      <c r="O331" s="138"/>
      <c r="P331" s="138">
        <f t="shared" si="2"/>
        <v>6800</v>
      </c>
      <c r="Q331" s="139">
        <f t="shared" si="3"/>
        <v>0.32400000000000001</v>
      </c>
      <c r="R331" s="139">
        <f t="shared" si="74"/>
        <v>0</v>
      </c>
      <c r="S331" s="139">
        <f t="shared" si="35"/>
        <v>0.04</v>
      </c>
      <c r="T331" s="139">
        <f t="shared" si="61"/>
        <v>6.8</v>
      </c>
      <c r="U331" s="139">
        <f t="shared" si="312"/>
        <v>1.02</v>
      </c>
      <c r="V331" s="139">
        <f t="shared" si="314"/>
        <v>0.23</v>
      </c>
      <c r="W331" s="139">
        <f t="shared" si="217"/>
        <v>0.01</v>
      </c>
      <c r="X331" s="140">
        <f t="shared" si="9"/>
        <v>8.1</v>
      </c>
      <c r="Y331" s="141">
        <f t="shared" si="313"/>
        <v>-6808.1</v>
      </c>
      <c r="Z331" s="142">
        <f t="shared" si="230"/>
        <v>-6808</v>
      </c>
      <c r="AA331" s="143">
        <f t="shared" si="47"/>
        <v>0.1000000000003638</v>
      </c>
      <c r="AB331" s="133">
        <v>44515</v>
      </c>
      <c r="AC331" s="144">
        <f t="shared" si="12"/>
        <v>1.191E-3</v>
      </c>
      <c r="AD331" s="145">
        <f t="shared" si="13"/>
        <v>44515</v>
      </c>
      <c r="AE331" s="146" t="s">
        <v>403</v>
      </c>
      <c r="AF331" s="119"/>
    </row>
    <row r="332" spans="1:32" ht="12" customHeight="1">
      <c r="A332" s="148">
        <v>44512</v>
      </c>
      <c r="B332" s="149" t="s">
        <v>575</v>
      </c>
      <c r="C332" s="149"/>
      <c r="D332" s="149"/>
      <c r="E332" s="149"/>
      <c r="F332" s="149"/>
      <c r="G332" s="149"/>
      <c r="H332" s="135" t="s">
        <v>453</v>
      </c>
      <c r="I332" s="134" t="s">
        <v>469</v>
      </c>
      <c r="J332" s="135" t="s">
        <v>448</v>
      </c>
      <c r="K332" s="136">
        <v>90</v>
      </c>
      <c r="L332" s="137">
        <v>1011</v>
      </c>
      <c r="M332" s="138">
        <f t="shared" si="38"/>
        <v>0</v>
      </c>
      <c r="N332" s="138">
        <f t="shared" si="311"/>
        <v>1011</v>
      </c>
      <c r="O332" s="138"/>
      <c r="P332" s="138">
        <f t="shared" si="2"/>
        <v>90990</v>
      </c>
      <c r="Q332" s="139">
        <f t="shared" si="3"/>
        <v>1.2048888888888889</v>
      </c>
      <c r="R332" s="139">
        <f t="shared" si="74"/>
        <v>0</v>
      </c>
      <c r="S332" s="139">
        <f t="shared" si="35"/>
        <v>0.56999999999999995</v>
      </c>
      <c r="T332" s="139">
        <f t="shared" si="61"/>
        <v>90.99</v>
      </c>
      <c r="U332" s="139">
        <f t="shared" si="312"/>
        <v>13.65</v>
      </c>
      <c r="V332" s="139">
        <f t="shared" si="314"/>
        <v>3.14</v>
      </c>
      <c r="W332" s="139">
        <f t="shared" si="217"/>
        <v>0.09</v>
      </c>
      <c r="X332" s="140">
        <f t="shared" si="9"/>
        <v>108.44</v>
      </c>
      <c r="Y332" s="141">
        <f t="shared" si="313"/>
        <v>-91098.44</v>
      </c>
      <c r="Z332" s="142">
        <f t="shared" si="230"/>
        <v>-91098</v>
      </c>
      <c r="AA332" s="143">
        <f t="shared" si="47"/>
        <v>0.44000000000232831</v>
      </c>
      <c r="AB332" s="133">
        <v>44516</v>
      </c>
      <c r="AC332" s="144">
        <f t="shared" si="12"/>
        <v>1.1919999999999999E-3</v>
      </c>
      <c r="AD332" s="145">
        <f t="shared" si="13"/>
        <v>44516</v>
      </c>
      <c r="AE332" s="146" t="s">
        <v>403</v>
      </c>
      <c r="AF332" s="119"/>
    </row>
    <row r="333" spans="1:32" ht="12" customHeight="1">
      <c r="A333" s="150">
        <v>44512</v>
      </c>
      <c r="B333" s="151" t="s">
        <v>562</v>
      </c>
      <c r="C333" s="151"/>
      <c r="D333" s="151"/>
      <c r="E333" s="151"/>
      <c r="F333" s="151"/>
      <c r="G333" s="151"/>
      <c r="H333" s="122" t="s">
        <v>446</v>
      </c>
      <c r="I333" s="121" t="s">
        <v>469</v>
      </c>
      <c r="J333" s="122" t="s">
        <v>471</v>
      </c>
      <c r="K333" s="123">
        <v>10</v>
      </c>
      <c r="L333" s="155">
        <v>1466</v>
      </c>
      <c r="M333" s="125">
        <f t="shared" si="38"/>
        <v>0</v>
      </c>
      <c r="N333" s="125">
        <f t="shared" ref="N333:N334" si="315">L333-M333</f>
        <v>1466</v>
      </c>
      <c r="O333" s="125"/>
      <c r="P333" s="125">
        <f t="shared" si="2"/>
        <v>14660</v>
      </c>
      <c r="Q333" s="126">
        <f t="shared" si="3"/>
        <v>1.514</v>
      </c>
      <c r="R333" s="126">
        <f t="shared" si="74"/>
        <v>0</v>
      </c>
      <c r="S333" s="126">
        <f t="shared" si="35"/>
        <v>7.0000000000000007E-2</v>
      </c>
      <c r="T333" s="126">
        <f t="shared" si="61"/>
        <v>14.66</v>
      </c>
      <c r="U333" s="126">
        <v>0</v>
      </c>
      <c r="V333" s="126">
        <f>ROUND(P333*L$1809,2)</f>
        <v>0.4</v>
      </c>
      <c r="W333" s="126">
        <f t="shared" si="217"/>
        <v>0.01</v>
      </c>
      <c r="X333" s="126">
        <f t="shared" si="9"/>
        <v>15.14</v>
      </c>
      <c r="Y333" s="127">
        <f t="shared" ref="Y333:Y334" si="316">ROUND(P333-SUM(R333:W333),2)</f>
        <v>14644.86</v>
      </c>
      <c r="Z333" s="128">
        <f t="shared" si="230"/>
        <v>14645</v>
      </c>
      <c r="AA333" s="129">
        <f t="shared" si="47"/>
        <v>0.13999999999941792</v>
      </c>
      <c r="AB333" s="120">
        <v>44516</v>
      </c>
      <c r="AC333" s="130">
        <f t="shared" si="12"/>
        <v>1.0330000000000001E-3</v>
      </c>
      <c r="AD333" s="131">
        <f t="shared" si="13"/>
        <v>44516</v>
      </c>
      <c r="AE333" s="132" t="s">
        <v>403</v>
      </c>
      <c r="AF333" s="119"/>
    </row>
    <row r="334" spans="1:32" ht="12" customHeight="1">
      <c r="A334" s="150">
        <v>44512</v>
      </c>
      <c r="B334" s="151" t="s">
        <v>565</v>
      </c>
      <c r="C334" s="151"/>
      <c r="D334" s="151"/>
      <c r="E334" s="151"/>
      <c r="F334" s="151"/>
      <c r="G334" s="151"/>
      <c r="H334" s="122" t="s">
        <v>446</v>
      </c>
      <c r="I334" s="121" t="s">
        <v>469</v>
      </c>
      <c r="J334" s="122" t="s">
        <v>471</v>
      </c>
      <c r="K334" s="123">
        <v>5</v>
      </c>
      <c r="L334" s="155">
        <v>2224</v>
      </c>
      <c r="M334" s="125">
        <f t="shared" si="38"/>
        <v>0</v>
      </c>
      <c r="N334" s="125">
        <f t="shared" si="315"/>
        <v>2224</v>
      </c>
      <c r="O334" s="125"/>
      <c r="P334" s="125">
        <f t="shared" si="2"/>
        <v>11120</v>
      </c>
      <c r="Q334" s="126">
        <f t="shared" si="3"/>
        <v>2.3159999999999998</v>
      </c>
      <c r="R334" s="126">
        <f t="shared" si="74"/>
        <v>0</v>
      </c>
      <c r="S334" s="126">
        <f t="shared" si="35"/>
        <v>7.0000000000000007E-2</v>
      </c>
      <c r="T334" s="126">
        <f t="shared" si="61"/>
        <v>11.12</v>
      </c>
      <c r="U334" s="126">
        <v>0</v>
      </c>
      <c r="V334" s="126">
        <f t="shared" ref="V334:V336" si="317">ROUND(P334*M$1809,2)</f>
        <v>0.38</v>
      </c>
      <c r="W334" s="126">
        <f t="shared" si="217"/>
        <v>0.01</v>
      </c>
      <c r="X334" s="126">
        <f t="shared" si="9"/>
        <v>11.58</v>
      </c>
      <c r="Y334" s="127">
        <f t="shared" si="316"/>
        <v>11108.42</v>
      </c>
      <c r="Z334" s="128">
        <f t="shared" si="230"/>
        <v>11108</v>
      </c>
      <c r="AA334" s="129">
        <f t="shared" si="47"/>
        <v>-0.42000000000007276</v>
      </c>
      <c r="AB334" s="120">
        <v>44516</v>
      </c>
      <c r="AC334" s="130">
        <f t="shared" si="12"/>
        <v>1.041E-3</v>
      </c>
      <c r="AD334" s="131">
        <f t="shared" si="13"/>
        <v>44516</v>
      </c>
      <c r="AE334" s="132" t="s">
        <v>403</v>
      </c>
      <c r="AF334" s="119"/>
    </row>
    <row r="335" spans="1:32" ht="12" customHeight="1">
      <c r="A335" s="148">
        <v>44515</v>
      </c>
      <c r="B335" s="149" t="s">
        <v>481</v>
      </c>
      <c r="C335" s="149"/>
      <c r="D335" s="149"/>
      <c r="E335" s="149"/>
      <c r="F335" s="149"/>
      <c r="G335" s="149"/>
      <c r="H335" s="135" t="s">
        <v>453</v>
      </c>
      <c r="I335" s="134" t="s">
        <v>469</v>
      </c>
      <c r="J335" s="135" t="s">
        <v>471</v>
      </c>
      <c r="K335" s="136">
        <v>100</v>
      </c>
      <c r="L335" s="137">
        <v>116.6</v>
      </c>
      <c r="M335" s="138">
        <f t="shared" si="38"/>
        <v>0</v>
      </c>
      <c r="N335" s="138">
        <f t="shared" ref="N335:N341" si="318">L335+M335</f>
        <v>116.6</v>
      </c>
      <c r="O335" s="138"/>
      <c r="P335" s="138">
        <f t="shared" si="2"/>
        <v>11660</v>
      </c>
      <c r="Q335" s="139">
        <f t="shared" si="3"/>
        <v>0.1389</v>
      </c>
      <c r="R335" s="139">
        <f t="shared" si="74"/>
        <v>0</v>
      </c>
      <c r="S335" s="139">
        <f t="shared" si="35"/>
        <v>7.0000000000000007E-2</v>
      </c>
      <c r="T335" s="139">
        <f t="shared" si="61"/>
        <v>11.66</v>
      </c>
      <c r="U335" s="139">
        <f t="shared" ref="U335:U341" si="319">ROUND(P335*K$1812,2)</f>
        <v>1.75</v>
      </c>
      <c r="V335" s="139">
        <f t="shared" si="317"/>
        <v>0.4</v>
      </c>
      <c r="W335" s="139">
        <f t="shared" si="217"/>
        <v>0.01</v>
      </c>
      <c r="X335" s="140">
        <f t="shared" si="9"/>
        <v>13.89</v>
      </c>
      <c r="Y335" s="141">
        <f t="shared" ref="Y335:Y341" si="320">-ROUND(P335+SUM(R335:W335),2)</f>
        <v>-11673.89</v>
      </c>
      <c r="Z335" s="142">
        <f t="shared" si="230"/>
        <v>-11674</v>
      </c>
      <c r="AA335" s="143">
        <f t="shared" si="47"/>
        <v>-0.11000000000058208</v>
      </c>
      <c r="AB335" s="133">
        <v>44517</v>
      </c>
      <c r="AC335" s="144">
        <f t="shared" si="12"/>
        <v>1.191E-3</v>
      </c>
      <c r="AD335" s="145">
        <f t="shared" si="13"/>
        <v>44517</v>
      </c>
      <c r="AE335" s="146" t="s">
        <v>403</v>
      </c>
      <c r="AF335" s="119"/>
    </row>
    <row r="336" spans="1:32" ht="12" customHeight="1">
      <c r="A336" s="148">
        <v>44515</v>
      </c>
      <c r="B336" s="149" t="s">
        <v>465</v>
      </c>
      <c r="C336" s="149"/>
      <c r="D336" s="149"/>
      <c r="E336" s="149"/>
      <c r="F336" s="149"/>
      <c r="G336" s="149"/>
      <c r="H336" s="135" t="s">
        <v>453</v>
      </c>
      <c r="I336" s="134" t="s">
        <v>469</v>
      </c>
      <c r="J336" s="135" t="s">
        <v>471</v>
      </c>
      <c r="K336" s="136">
        <v>50</v>
      </c>
      <c r="L336" s="137">
        <v>241.75</v>
      </c>
      <c r="M336" s="138">
        <f t="shared" si="38"/>
        <v>0</v>
      </c>
      <c r="N336" s="138">
        <f t="shared" si="318"/>
        <v>241.75</v>
      </c>
      <c r="O336" s="138"/>
      <c r="P336" s="138">
        <f t="shared" si="2"/>
        <v>12087.5</v>
      </c>
      <c r="Q336" s="139">
        <f t="shared" si="3"/>
        <v>0.28820000000000001</v>
      </c>
      <c r="R336" s="139">
        <f t="shared" si="74"/>
        <v>0</v>
      </c>
      <c r="S336" s="139">
        <f t="shared" si="35"/>
        <v>0.08</v>
      </c>
      <c r="T336" s="139">
        <f t="shared" si="61"/>
        <v>12.09</v>
      </c>
      <c r="U336" s="139">
        <f t="shared" si="319"/>
        <v>1.81</v>
      </c>
      <c r="V336" s="139">
        <f t="shared" si="317"/>
        <v>0.42</v>
      </c>
      <c r="W336" s="139">
        <f t="shared" si="217"/>
        <v>0.01</v>
      </c>
      <c r="X336" s="140">
        <f t="shared" si="9"/>
        <v>14.41</v>
      </c>
      <c r="Y336" s="141">
        <f t="shared" si="320"/>
        <v>-12101.91</v>
      </c>
      <c r="Z336" s="142">
        <f t="shared" si="230"/>
        <v>-12102</v>
      </c>
      <c r="AA336" s="143">
        <f t="shared" si="47"/>
        <v>-9.0000000000145519E-2</v>
      </c>
      <c r="AB336" s="133">
        <v>44517</v>
      </c>
      <c r="AC336" s="144">
        <f t="shared" si="12"/>
        <v>1.1919999999999999E-3</v>
      </c>
      <c r="AD336" s="145">
        <f t="shared" si="13"/>
        <v>44517</v>
      </c>
      <c r="AE336" s="146" t="s">
        <v>403</v>
      </c>
      <c r="AF336" s="119"/>
    </row>
    <row r="337" spans="1:32" ht="12" customHeight="1">
      <c r="A337" s="148">
        <v>44515</v>
      </c>
      <c r="B337" s="149" t="s">
        <v>579</v>
      </c>
      <c r="C337" s="149"/>
      <c r="D337" s="149"/>
      <c r="E337" s="149"/>
      <c r="F337" s="149"/>
      <c r="G337" s="149"/>
      <c r="H337" s="135" t="s">
        <v>453</v>
      </c>
      <c r="I337" s="134" t="s">
        <v>469</v>
      </c>
      <c r="J337" s="135" t="s">
        <v>471</v>
      </c>
      <c r="K337" s="136">
        <v>10</v>
      </c>
      <c r="L337" s="137">
        <v>455</v>
      </c>
      <c r="M337" s="138">
        <f t="shared" si="38"/>
        <v>0</v>
      </c>
      <c r="N337" s="138">
        <f t="shared" si="318"/>
        <v>455</v>
      </c>
      <c r="O337" s="138"/>
      <c r="P337" s="138">
        <f t="shared" si="2"/>
        <v>4550</v>
      </c>
      <c r="Q337" s="139">
        <f t="shared" si="3"/>
        <v>0.53799999999999992</v>
      </c>
      <c r="R337" s="139">
        <f t="shared" si="74"/>
        <v>0</v>
      </c>
      <c r="S337" s="139">
        <f t="shared" si="35"/>
        <v>0.02</v>
      </c>
      <c r="T337" s="139">
        <f t="shared" si="61"/>
        <v>4.55</v>
      </c>
      <c r="U337" s="139">
        <f t="shared" si="319"/>
        <v>0.68</v>
      </c>
      <c r="V337" s="139">
        <f>ROUND(P337*L$1809,2)</f>
        <v>0.13</v>
      </c>
      <c r="W337" s="139">
        <f t="shared" si="217"/>
        <v>0</v>
      </c>
      <c r="X337" s="140">
        <f t="shared" si="9"/>
        <v>5.379999999999999</v>
      </c>
      <c r="Y337" s="141">
        <f t="shared" si="320"/>
        <v>-4555.38</v>
      </c>
      <c r="Z337" s="142">
        <f t="shared" si="230"/>
        <v>-4555</v>
      </c>
      <c r="AA337" s="143">
        <f t="shared" si="47"/>
        <v>0.38000000000010914</v>
      </c>
      <c r="AB337" s="133">
        <v>44517</v>
      </c>
      <c r="AC337" s="144">
        <f t="shared" si="12"/>
        <v>1.1820000000000001E-3</v>
      </c>
      <c r="AD337" s="145">
        <f t="shared" si="13"/>
        <v>44517</v>
      </c>
      <c r="AE337" s="146" t="s">
        <v>403</v>
      </c>
      <c r="AF337" s="119"/>
    </row>
    <row r="338" spans="1:32" ht="12" customHeight="1">
      <c r="A338" s="148">
        <v>44515</v>
      </c>
      <c r="B338" s="149" t="s">
        <v>575</v>
      </c>
      <c r="C338" s="149"/>
      <c r="D338" s="149"/>
      <c r="E338" s="149"/>
      <c r="F338" s="149"/>
      <c r="G338" s="149"/>
      <c r="H338" s="135" t="s">
        <v>453</v>
      </c>
      <c r="I338" s="134" t="s">
        <v>469</v>
      </c>
      <c r="J338" s="135" t="s">
        <v>448</v>
      </c>
      <c r="K338" s="136">
        <v>100</v>
      </c>
      <c r="L338" s="137">
        <v>1001</v>
      </c>
      <c r="M338" s="138">
        <f t="shared" si="38"/>
        <v>0</v>
      </c>
      <c r="N338" s="138">
        <f t="shared" si="318"/>
        <v>1001</v>
      </c>
      <c r="O338" s="138"/>
      <c r="P338" s="138">
        <f t="shared" si="2"/>
        <v>100100</v>
      </c>
      <c r="Q338" s="139">
        <f t="shared" si="3"/>
        <v>1.1928999999999998</v>
      </c>
      <c r="R338" s="139">
        <f t="shared" si="74"/>
        <v>0</v>
      </c>
      <c r="S338" s="139">
        <f t="shared" si="35"/>
        <v>0.62</v>
      </c>
      <c r="T338" s="139">
        <f t="shared" si="61"/>
        <v>100.1</v>
      </c>
      <c r="U338" s="139">
        <f t="shared" si="319"/>
        <v>15.02</v>
      </c>
      <c r="V338" s="139">
        <f t="shared" ref="V338:V340" si="321">ROUND(P338*M$1809,2)</f>
        <v>3.45</v>
      </c>
      <c r="W338" s="139">
        <f t="shared" si="217"/>
        <v>0.1</v>
      </c>
      <c r="X338" s="140">
        <f t="shared" si="9"/>
        <v>119.28999999999999</v>
      </c>
      <c r="Y338" s="141">
        <f t="shared" si="320"/>
        <v>-100219.29</v>
      </c>
      <c r="Z338" s="142">
        <f t="shared" si="230"/>
        <v>-100219</v>
      </c>
      <c r="AA338" s="143">
        <f t="shared" si="47"/>
        <v>0.28999999999359716</v>
      </c>
      <c r="AB338" s="133">
        <v>44517</v>
      </c>
      <c r="AC338" s="144">
        <f t="shared" si="12"/>
        <v>1.1919999999999999E-3</v>
      </c>
      <c r="AD338" s="145">
        <f t="shared" si="13"/>
        <v>44517</v>
      </c>
      <c r="AE338" s="146" t="s">
        <v>403</v>
      </c>
      <c r="AF338" s="119"/>
    </row>
    <row r="339" spans="1:32" ht="12" customHeight="1">
      <c r="A339" s="148">
        <v>44516</v>
      </c>
      <c r="B339" s="149" t="s">
        <v>580</v>
      </c>
      <c r="C339" s="149"/>
      <c r="D339" s="149"/>
      <c r="E339" s="149"/>
      <c r="F339" s="149"/>
      <c r="G339" s="149"/>
      <c r="H339" s="135" t="s">
        <v>453</v>
      </c>
      <c r="I339" s="134" t="s">
        <v>469</v>
      </c>
      <c r="J339" s="135" t="s">
        <v>471</v>
      </c>
      <c r="K339" s="136">
        <v>20</v>
      </c>
      <c r="L339" s="137">
        <v>163.5</v>
      </c>
      <c r="M339" s="138">
        <f t="shared" si="38"/>
        <v>0</v>
      </c>
      <c r="N339" s="138">
        <f t="shared" si="318"/>
        <v>163.5</v>
      </c>
      <c r="O339" s="138"/>
      <c r="P339" s="138">
        <f t="shared" si="2"/>
        <v>3270</v>
      </c>
      <c r="Q339" s="139">
        <f t="shared" si="3"/>
        <v>0.19450000000000001</v>
      </c>
      <c r="R339" s="139">
        <f t="shared" si="74"/>
        <v>0</v>
      </c>
      <c r="S339" s="139">
        <f t="shared" si="35"/>
        <v>0.02</v>
      </c>
      <c r="T339" s="139">
        <f t="shared" si="61"/>
        <v>3.27</v>
      </c>
      <c r="U339" s="139">
        <f t="shared" si="319"/>
        <v>0.49</v>
      </c>
      <c r="V339" s="139">
        <f t="shared" si="321"/>
        <v>0.11</v>
      </c>
      <c r="W339" s="139">
        <f t="shared" si="217"/>
        <v>0</v>
      </c>
      <c r="X339" s="140">
        <f t="shared" si="9"/>
        <v>3.89</v>
      </c>
      <c r="Y339" s="141">
        <f t="shared" si="320"/>
        <v>-3273.89</v>
      </c>
      <c r="Z339" s="142">
        <f t="shared" si="230"/>
        <v>-3274</v>
      </c>
      <c r="AA339" s="143">
        <f t="shared" si="47"/>
        <v>-0.11000000000012733</v>
      </c>
      <c r="AB339" s="133">
        <v>44518</v>
      </c>
      <c r="AC339" s="144">
        <f t="shared" si="12"/>
        <v>1.1900000000000001E-3</v>
      </c>
      <c r="AD339" s="145">
        <f t="shared" si="13"/>
        <v>44518</v>
      </c>
      <c r="AE339" s="146" t="s">
        <v>403</v>
      </c>
      <c r="AF339" s="119"/>
    </row>
    <row r="340" spans="1:32" ht="12" customHeight="1">
      <c r="A340" s="148">
        <v>44517</v>
      </c>
      <c r="B340" s="149" t="s">
        <v>581</v>
      </c>
      <c r="C340" s="149"/>
      <c r="D340" s="149"/>
      <c r="E340" s="149"/>
      <c r="F340" s="149"/>
      <c r="G340" s="149"/>
      <c r="H340" s="135" t="s">
        <v>453</v>
      </c>
      <c r="I340" s="134" t="s">
        <v>469</v>
      </c>
      <c r="J340" s="135" t="s">
        <v>471</v>
      </c>
      <c r="K340" s="136">
        <v>5</v>
      </c>
      <c r="L340" s="137">
        <v>1390</v>
      </c>
      <c r="M340" s="138">
        <f t="shared" si="38"/>
        <v>0</v>
      </c>
      <c r="N340" s="138">
        <f t="shared" si="318"/>
        <v>1390</v>
      </c>
      <c r="O340" s="138"/>
      <c r="P340" s="138">
        <f t="shared" si="2"/>
        <v>6950</v>
      </c>
      <c r="Q340" s="139">
        <f t="shared" si="3"/>
        <v>1.6560000000000001</v>
      </c>
      <c r="R340" s="139">
        <f t="shared" si="74"/>
        <v>0</v>
      </c>
      <c r="S340" s="139">
        <f t="shared" si="35"/>
        <v>0.04</v>
      </c>
      <c r="T340" s="139">
        <f t="shared" si="61"/>
        <v>6.95</v>
      </c>
      <c r="U340" s="139">
        <f t="shared" si="319"/>
        <v>1.04</v>
      </c>
      <c r="V340" s="139">
        <f t="shared" si="321"/>
        <v>0.24</v>
      </c>
      <c r="W340" s="139">
        <f t="shared" si="217"/>
        <v>0.01</v>
      </c>
      <c r="X340" s="140">
        <f t="shared" si="9"/>
        <v>8.2800000000000011</v>
      </c>
      <c r="Y340" s="141">
        <f t="shared" si="320"/>
        <v>-6958.28</v>
      </c>
      <c r="Z340" s="142">
        <f t="shared" si="230"/>
        <v>-6958</v>
      </c>
      <c r="AA340" s="143">
        <f t="shared" si="47"/>
        <v>0.27999999999974534</v>
      </c>
      <c r="AB340" s="133">
        <v>44522</v>
      </c>
      <c r="AC340" s="144">
        <f t="shared" si="12"/>
        <v>1.191E-3</v>
      </c>
      <c r="AD340" s="145">
        <f t="shared" si="13"/>
        <v>44522</v>
      </c>
      <c r="AE340" s="146" t="s">
        <v>403</v>
      </c>
      <c r="AF340" s="119"/>
    </row>
    <row r="341" spans="1:32" ht="12" customHeight="1">
      <c r="A341" s="148">
        <v>44517</v>
      </c>
      <c r="B341" s="149" t="s">
        <v>582</v>
      </c>
      <c r="C341" s="149"/>
      <c r="D341" s="149"/>
      <c r="E341" s="149"/>
      <c r="F341" s="149"/>
      <c r="G341" s="149"/>
      <c r="H341" s="135" t="s">
        <v>453</v>
      </c>
      <c r="I341" s="134" t="s">
        <v>469</v>
      </c>
      <c r="J341" s="135" t="s">
        <v>471</v>
      </c>
      <c r="K341" s="136">
        <v>2</v>
      </c>
      <c r="L341" s="137">
        <v>1985</v>
      </c>
      <c r="M341" s="138">
        <f t="shared" si="38"/>
        <v>0</v>
      </c>
      <c r="N341" s="138">
        <f t="shared" si="318"/>
        <v>1985</v>
      </c>
      <c r="O341" s="138"/>
      <c r="P341" s="138">
        <f t="shared" si="2"/>
        <v>3970</v>
      </c>
      <c r="Q341" s="139">
        <f t="shared" si="3"/>
        <v>2.35</v>
      </c>
      <c r="R341" s="139">
        <f t="shared" si="74"/>
        <v>0</v>
      </c>
      <c r="S341" s="139">
        <f t="shared" si="35"/>
        <v>0.02</v>
      </c>
      <c r="T341" s="139">
        <f t="shared" si="61"/>
        <v>3.97</v>
      </c>
      <c r="U341" s="139">
        <f t="shared" si="319"/>
        <v>0.6</v>
      </c>
      <c r="V341" s="139">
        <f t="shared" ref="V341:V343" si="322">ROUND(P341*L$1809,2)</f>
        <v>0.11</v>
      </c>
      <c r="W341" s="139">
        <f t="shared" si="217"/>
        <v>0</v>
      </c>
      <c r="X341" s="140">
        <f t="shared" si="9"/>
        <v>4.7</v>
      </c>
      <c r="Y341" s="141">
        <f t="shared" si="320"/>
        <v>-3974.7</v>
      </c>
      <c r="Z341" s="142">
        <f t="shared" si="230"/>
        <v>-3975</v>
      </c>
      <c r="AA341" s="143">
        <f t="shared" si="47"/>
        <v>-0.3000000000001819</v>
      </c>
      <c r="AB341" s="133">
        <v>44522</v>
      </c>
      <c r="AC341" s="144">
        <f t="shared" si="12"/>
        <v>1.1839999999999999E-3</v>
      </c>
      <c r="AD341" s="145">
        <f t="shared" si="13"/>
        <v>44522</v>
      </c>
      <c r="AE341" s="146" t="s">
        <v>403</v>
      </c>
      <c r="AF341" s="119"/>
    </row>
    <row r="342" spans="1:32" ht="12" customHeight="1">
      <c r="A342" s="150">
        <v>44517</v>
      </c>
      <c r="B342" s="151" t="s">
        <v>576</v>
      </c>
      <c r="C342" s="151"/>
      <c r="D342" s="151"/>
      <c r="E342" s="151"/>
      <c r="F342" s="151"/>
      <c r="G342" s="151"/>
      <c r="H342" s="122" t="s">
        <v>446</v>
      </c>
      <c r="I342" s="121" t="s">
        <v>469</v>
      </c>
      <c r="J342" s="122" t="s">
        <v>471</v>
      </c>
      <c r="K342" s="123">
        <v>60</v>
      </c>
      <c r="L342" s="124">
        <v>238</v>
      </c>
      <c r="M342" s="125">
        <f t="shared" si="38"/>
        <v>0</v>
      </c>
      <c r="N342" s="125">
        <f t="shared" ref="N342:N343" si="323">L342-M342</f>
        <v>238</v>
      </c>
      <c r="O342" s="125"/>
      <c r="P342" s="125">
        <f t="shared" si="2"/>
        <v>14280</v>
      </c>
      <c r="Q342" s="126">
        <f t="shared" si="3"/>
        <v>0.24583333333333332</v>
      </c>
      <c r="R342" s="126">
        <f t="shared" si="74"/>
        <v>0</v>
      </c>
      <c r="S342" s="126">
        <f t="shared" si="35"/>
        <v>7.0000000000000007E-2</v>
      </c>
      <c r="T342" s="126">
        <f t="shared" si="61"/>
        <v>14.28</v>
      </c>
      <c r="U342" s="126">
        <v>0</v>
      </c>
      <c r="V342" s="126">
        <f t="shared" si="322"/>
        <v>0.39</v>
      </c>
      <c r="W342" s="126">
        <f t="shared" si="217"/>
        <v>0.01</v>
      </c>
      <c r="X342" s="126">
        <f t="shared" si="9"/>
        <v>14.75</v>
      </c>
      <c r="Y342" s="127">
        <f t="shared" ref="Y342:Y343" si="324">ROUND(P342-SUM(R342:W342),2)</f>
        <v>14265.25</v>
      </c>
      <c r="Z342" s="128">
        <f t="shared" si="230"/>
        <v>14265</v>
      </c>
      <c r="AA342" s="129">
        <f t="shared" si="47"/>
        <v>-0.25</v>
      </c>
      <c r="AB342" s="120">
        <v>44522</v>
      </c>
      <c r="AC342" s="130">
        <f t="shared" si="12"/>
        <v>1.0330000000000001E-3</v>
      </c>
      <c r="AD342" s="131">
        <f t="shared" si="13"/>
        <v>44522</v>
      </c>
      <c r="AE342" s="132" t="s">
        <v>403</v>
      </c>
      <c r="AF342" s="119"/>
    </row>
    <row r="343" spans="1:32" ht="12" customHeight="1">
      <c r="A343" s="150">
        <v>44517</v>
      </c>
      <c r="B343" s="151" t="s">
        <v>465</v>
      </c>
      <c r="C343" s="151"/>
      <c r="D343" s="151"/>
      <c r="E343" s="151"/>
      <c r="F343" s="151"/>
      <c r="G343" s="151"/>
      <c r="H343" s="122" t="s">
        <v>446</v>
      </c>
      <c r="I343" s="121" t="s">
        <v>469</v>
      </c>
      <c r="J343" s="122" t="s">
        <v>471</v>
      </c>
      <c r="K343" s="123">
        <v>30</v>
      </c>
      <c r="L343" s="124">
        <v>250.2</v>
      </c>
      <c r="M343" s="125">
        <f t="shared" si="38"/>
        <v>0</v>
      </c>
      <c r="N343" s="125">
        <f t="shared" si="323"/>
        <v>250.2</v>
      </c>
      <c r="O343" s="125"/>
      <c r="P343" s="125">
        <f t="shared" si="2"/>
        <v>7506</v>
      </c>
      <c r="Q343" s="126">
        <f t="shared" si="3"/>
        <v>0.25900000000000001</v>
      </c>
      <c r="R343" s="126">
        <f t="shared" si="74"/>
        <v>0</v>
      </c>
      <c r="S343" s="126">
        <f t="shared" si="35"/>
        <v>0.04</v>
      </c>
      <c r="T343" s="126">
        <f t="shared" si="61"/>
        <v>7.51</v>
      </c>
      <c r="U343" s="126">
        <v>0</v>
      </c>
      <c r="V343" s="126">
        <f t="shared" si="322"/>
        <v>0.21</v>
      </c>
      <c r="W343" s="126">
        <f t="shared" si="217"/>
        <v>0.01</v>
      </c>
      <c r="X343" s="126">
        <f t="shared" si="9"/>
        <v>7.77</v>
      </c>
      <c r="Y343" s="127">
        <f t="shared" si="324"/>
        <v>7498.23</v>
      </c>
      <c r="Z343" s="128">
        <f t="shared" si="230"/>
        <v>7498</v>
      </c>
      <c r="AA343" s="129">
        <f t="shared" si="47"/>
        <v>-0.22999999999956344</v>
      </c>
      <c r="AB343" s="120">
        <v>44522</v>
      </c>
      <c r="AC343" s="130">
        <f t="shared" si="12"/>
        <v>1.0349999999999999E-3</v>
      </c>
      <c r="AD343" s="131">
        <f t="shared" si="13"/>
        <v>44522</v>
      </c>
      <c r="AE343" s="132" t="s">
        <v>403</v>
      </c>
      <c r="AF343" s="119"/>
    </row>
    <row r="344" spans="1:32" ht="12" customHeight="1">
      <c r="A344" s="148">
        <v>44518</v>
      </c>
      <c r="B344" s="149" t="s">
        <v>465</v>
      </c>
      <c r="C344" s="149"/>
      <c r="D344" s="149"/>
      <c r="E344" s="149"/>
      <c r="F344" s="149"/>
      <c r="G344" s="149"/>
      <c r="H344" s="135" t="s">
        <v>453</v>
      </c>
      <c r="I344" s="134" t="s">
        <v>469</v>
      </c>
      <c r="J344" s="135" t="s">
        <v>471</v>
      </c>
      <c r="K344" s="136">
        <v>30</v>
      </c>
      <c r="L344" s="137">
        <v>244.45</v>
      </c>
      <c r="M344" s="138">
        <f t="shared" si="38"/>
        <v>0</v>
      </c>
      <c r="N344" s="138">
        <f t="shared" ref="N344:N345" si="325">L344+M344</f>
        <v>244.45</v>
      </c>
      <c r="O344" s="138"/>
      <c r="P344" s="138">
        <f t="shared" si="2"/>
        <v>7333.5</v>
      </c>
      <c r="Q344" s="139">
        <f t="shared" si="3"/>
        <v>0.29133333333333333</v>
      </c>
      <c r="R344" s="139">
        <f t="shared" si="74"/>
        <v>0</v>
      </c>
      <c r="S344" s="139">
        <f t="shared" si="35"/>
        <v>0.05</v>
      </c>
      <c r="T344" s="139">
        <f t="shared" si="61"/>
        <v>7.33</v>
      </c>
      <c r="U344" s="139">
        <f t="shared" ref="U344:U345" si="326">ROUND(P344*K$1812,2)</f>
        <v>1.1000000000000001</v>
      </c>
      <c r="V344" s="139">
        <f t="shared" ref="V344:V345" si="327">ROUND(P344*M$1809,2)</f>
        <v>0.25</v>
      </c>
      <c r="W344" s="139">
        <f t="shared" si="217"/>
        <v>0.01</v>
      </c>
      <c r="X344" s="140">
        <f t="shared" si="9"/>
        <v>8.74</v>
      </c>
      <c r="Y344" s="141">
        <f t="shared" ref="Y344:Y345" si="328">-ROUND(P344+SUM(R344:W344),2)</f>
        <v>-7342.24</v>
      </c>
      <c r="Z344" s="142">
        <f t="shared" si="230"/>
        <v>-7342</v>
      </c>
      <c r="AA344" s="143">
        <f t="shared" si="47"/>
        <v>0.23999999999978172</v>
      </c>
      <c r="AB344" s="133">
        <v>44523</v>
      </c>
      <c r="AC344" s="144">
        <f t="shared" si="12"/>
        <v>1.1919999999999999E-3</v>
      </c>
      <c r="AD344" s="145">
        <f t="shared" si="13"/>
        <v>44523</v>
      </c>
      <c r="AE344" s="146" t="s">
        <v>403</v>
      </c>
      <c r="AF344" s="119"/>
    </row>
    <row r="345" spans="1:32" ht="12" customHeight="1">
      <c r="A345" s="148">
        <v>44518</v>
      </c>
      <c r="B345" s="149" t="s">
        <v>482</v>
      </c>
      <c r="C345" s="149"/>
      <c r="D345" s="149"/>
      <c r="E345" s="149"/>
      <c r="F345" s="149"/>
      <c r="G345" s="149"/>
      <c r="H345" s="135" t="s">
        <v>453</v>
      </c>
      <c r="I345" s="134" t="s">
        <v>469</v>
      </c>
      <c r="J345" s="135" t="s">
        <v>471</v>
      </c>
      <c r="K345" s="136">
        <v>50</v>
      </c>
      <c r="L345" s="137">
        <v>97.25</v>
      </c>
      <c r="M345" s="138">
        <f t="shared" si="38"/>
        <v>0</v>
      </c>
      <c r="N345" s="138">
        <f t="shared" si="325"/>
        <v>97.25</v>
      </c>
      <c r="O345" s="138"/>
      <c r="P345" s="138">
        <f t="shared" si="2"/>
        <v>4862.5</v>
      </c>
      <c r="Q345" s="139">
        <f t="shared" si="3"/>
        <v>0.11580000000000001</v>
      </c>
      <c r="R345" s="139">
        <f t="shared" si="74"/>
        <v>0</v>
      </c>
      <c r="S345" s="139">
        <f t="shared" si="35"/>
        <v>0.03</v>
      </c>
      <c r="T345" s="139">
        <f t="shared" si="61"/>
        <v>4.8600000000000003</v>
      </c>
      <c r="U345" s="139">
        <f t="shared" si="326"/>
        <v>0.73</v>
      </c>
      <c r="V345" s="139">
        <f t="shared" si="327"/>
        <v>0.17</v>
      </c>
      <c r="W345" s="139">
        <f t="shared" si="217"/>
        <v>0</v>
      </c>
      <c r="X345" s="140">
        <f t="shared" si="9"/>
        <v>5.7900000000000009</v>
      </c>
      <c r="Y345" s="141">
        <f t="shared" si="328"/>
        <v>-4868.29</v>
      </c>
      <c r="Z345" s="142">
        <f t="shared" si="230"/>
        <v>-4868</v>
      </c>
      <c r="AA345" s="143">
        <f t="shared" si="47"/>
        <v>0.28999999999996362</v>
      </c>
      <c r="AB345" s="133">
        <v>44523</v>
      </c>
      <c r="AC345" s="144">
        <f t="shared" si="12"/>
        <v>1.191E-3</v>
      </c>
      <c r="AD345" s="145">
        <f t="shared" si="13"/>
        <v>44523</v>
      </c>
      <c r="AE345" s="146" t="s">
        <v>403</v>
      </c>
      <c r="AF345" s="119"/>
    </row>
    <row r="346" spans="1:32" ht="12" customHeight="1">
      <c r="A346" s="150">
        <v>44525</v>
      </c>
      <c r="B346" s="151" t="s">
        <v>465</v>
      </c>
      <c r="C346" s="151"/>
      <c r="D346" s="151"/>
      <c r="E346" s="151"/>
      <c r="F346" s="151"/>
      <c r="G346" s="151"/>
      <c r="H346" s="122" t="s">
        <v>446</v>
      </c>
      <c r="I346" s="121" t="s">
        <v>469</v>
      </c>
      <c r="J346" s="122" t="s">
        <v>471</v>
      </c>
      <c r="K346" s="123">
        <v>50</v>
      </c>
      <c r="L346" s="124">
        <v>243.75</v>
      </c>
      <c r="M346" s="125">
        <f t="shared" si="38"/>
        <v>0</v>
      </c>
      <c r="N346" s="125">
        <f>L346-M346</f>
        <v>243.75</v>
      </c>
      <c r="O346" s="125"/>
      <c r="P346" s="125">
        <f t="shared" si="2"/>
        <v>12187.5</v>
      </c>
      <c r="Q346" s="126">
        <f t="shared" si="3"/>
        <v>0.252</v>
      </c>
      <c r="R346" s="126">
        <f t="shared" si="74"/>
        <v>0</v>
      </c>
      <c r="S346" s="126">
        <f t="shared" si="35"/>
        <v>0.06</v>
      </c>
      <c r="T346" s="126">
        <f t="shared" si="61"/>
        <v>12.19</v>
      </c>
      <c r="U346" s="126">
        <v>0</v>
      </c>
      <c r="V346" s="126">
        <f>ROUND(P346*L$1809,2)</f>
        <v>0.34</v>
      </c>
      <c r="W346" s="126">
        <f t="shared" si="217"/>
        <v>0.01</v>
      </c>
      <c r="X346" s="126">
        <f t="shared" si="9"/>
        <v>12.6</v>
      </c>
      <c r="Y346" s="127">
        <f>ROUND(P346-SUM(R346:W346),2)</f>
        <v>12174.9</v>
      </c>
      <c r="Z346" s="128">
        <f t="shared" si="230"/>
        <v>12175</v>
      </c>
      <c r="AA346" s="129">
        <f t="shared" si="47"/>
        <v>0.1000000000003638</v>
      </c>
      <c r="AB346" s="120">
        <v>44529</v>
      </c>
      <c r="AC346" s="130">
        <f t="shared" si="12"/>
        <v>1.034E-3</v>
      </c>
      <c r="AD346" s="131">
        <f t="shared" si="13"/>
        <v>44529</v>
      </c>
      <c r="AE346" s="132" t="s">
        <v>403</v>
      </c>
      <c r="AF346" s="119"/>
    </row>
    <row r="347" spans="1:32" ht="12" customHeight="1">
      <c r="A347" s="148">
        <v>44526</v>
      </c>
      <c r="B347" s="149" t="s">
        <v>465</v>
      </c>
      <c r="C347" s="149"/>
      <c r="D347" s="149"/>
      <c r="E347" s="149"/>
      <c r="F347" s="149"/>
      <c r="G347" s="149"/>
      <c r="H347" s="135" t="s">
        <v>453</v>
      </c>
      <c r="I347" s="134" t="s">
        <v>469</v>
      </c>
      <c r="J347" s="135" t="s">
        <v>471</v>
      </c>
      <c r="K347" s="136">
        <v>70</v>
      </c>
      <c r="L347" s="137">
        <v>233.85714285714286</v>
      </c>
      <c r="M347" s="138">
        <f t="shared" si="38"/>
        <v>0</v>
      </c>
      <c r="N347" s="138">
        <f>L347+M347</f>
        <v>233.85714285714286</v>
      </c>
      <c r="O347" s="138"/>
      <c r="P347" s="138">
        <f t="shared" si="2"/>
        <v>16370</v>
      </c>
      <c r="Q347" s="139">
        <f t="shared" si="3"/>
        <v>0.27871428571428575</v>
      </c>
      <c r="R347" s="139">
        <f t="shared" si="74"/>
        <v>0</v>
      </c>
      <c r="S347" s="139">
        <f t="shared" si="35"/>
        <v>0.1</v>
      </c>
      <c r="T347" s="139">
        <f t="shared" si="61"/>
        <v>16.37</v>
      </c>
      <c r="U347" s="139">
        <f>ROUND(P347*K$1812,2)</f>
        <v>2.46</v>
      </c>
      <c r="V347" s="139">
        <f>ROUND(P347*M$1809,2)</f>
        <v>0.56000000000000005</v>
      </c>
      <c r="W347" s="139">
        <f t="shared" si="217"/>
        <v>0.02</v>
      </c>
      <c r="X347" s="140">
        <f t="shared" si="9"/>
        <v>19.510000000000002</v>
      </c>
      <c r="Y347" s="141">
        <f>-ROUND(P347+SUM(R347:W347),2)</f>
        <v>-16389.509999999998</v>
      </c>
      <c r="Z347" s="142">
        <f t="shared" si="230"/>
        <v>-16390</v>
      </c>
      <c r="AA347" s="143">
        <f t="shared" si="47"/>
        <v>-0.49000000000160071</v>
      </c>
      <c r="AB347" s="133">
        <v>44530</v>
      </c>
      <c r="AC347" s="144">
        <f t="shared" si="12"/>
        <v>1.1919999999999999E-3</v>
      </c>
      <c r="AD347" s="145">
        <f t="shared" si="13"/>
        <v>44530</v>
      </c>
      <c r="AE347" s="146" t="s">
        <v>403</v>
      </c>
      <c r="AF347" s="119"/>
    </row>
    <row r="348" spans="1:32" ht="12" customHeight="1">
      <c r="A348" s="150">
        <v>44529</v>
      </c>
      <c r="B348" s="151" t="s">
        <v>575</v>
      </c>
      <c r="C348" s="151"/>
      <c r="D348" s="151"/>
      <c r="E348" s="151"/>
      <c r="F348" s="151"/>
      <c r="G348" s="151"/>
      <c r="H348" s="122" t="s">
        <v>446</v>
      </c>
      <c r="I348" s="121" t="s">
        <v>469</v>
      </c>
      <c r="J348" s="122" t="s">
        <v>448</v>
      </c>
      <c r="K348" s="123">
        <v>100</v>
      </c>
      <c r="L348" s="124">
        <v>959</v>
      </c>
      <c r="M348" s="125">
        <f t="shared" si="38"/>
        <v>0</v>
      </c>
      <c r="N348" s="125">
        <f t="shared" ref="N348:N353" si="329">L348-M348</f>
        <v>959</v>
      </c>
      <c r="O348" s="125"/>
      <c r="P348" s="125">
        <f t="shared" si="2"/>
        <v>95900</v>
      </c>
      <c r="Q348" s="126">
        <f t="shared" si="3"/>
        <v>0.99120000000000008</v>
      </c>
      <c r="R348" s="126">
        <f t="shared" si="74"/>
        <v>0</v>
      </c>
      <c r="S348" s="126">
        <f t="shared" si="35"/>
        <v>0.48</v>
      </c>
      <c r="T348" s="126">
        <f t="shared" si="61"/>
        <v>95.9</v>
      </c>
      <c r="U348" s="126">
        <v>0</v>
      </c>
      <c r="V348" s="126">
        <f>ROUND(P348*L$1809,2)</f>
        <v>2.64</v>
      </c>
      <c r="W348" s="126">
        <f t="shared" si="217"/>
        <v>0.1</v>
      </c>
      <c r="X348" s="126">
        <f t="shared" si="9"/>
        <v>99.12</v>
      </c>
      <c r="Y348" s="127">
        <f t="shared" ref="Y348:Y353" si="330">ROUND(P348-SUM(R348:W348),2)</f>
        <v>95800.88</v>
      </c>
      <c r="Z348" s="128">
        <f t="shared" si="230"/>
        <v>95801</v>
      </c>
      <c r="AA348" s="129">
        <f t="shared" si="47"/>
        <v>0.11999999999534339</v>
      </c>
      <c r="AB348" s="120">
        <v>44531</v>
      </c>
      <c r="AC348" s="130">
        <f t="shared" si="12"/>
        <v>1.034E-3</v>
      </c>
      <c r="AD348" s="131">
        <f t="shared" si="13"/>
        <v>44531</v>
      </c>
      <c r="AE348" s="132" t="s">
        <v>403</v>
      </c>
      <c r="AF348" s="119"/>
    </row>
    <row r="349" spans="1:32" ht="12" customHeight="1">
      <c r="A349" s="150">
        <v>44530</v>
      </c>
      <c r="B349" s="151" t="s">
        <v>574</v>
      </c>
      <c r="C349" s="151"/>
      <c r="D349" s="151"/>
      <c r="E349" s="151"/>
      <c r="F349" s="151"/>
      <c r="G349" s="151"/>
      <c r="H349" s="122" t="s">
        <v>446</v>
      </c>
      <c r="I349" s="121" t="s">
        <v>469</v>
      </c>
      <c r="J349" s="122" t="s">
        <v>471</v>
      </c>
      <c r="K349" s="123">
        <v>2</v>
      </c>
      <c r="L349" s="124">
        <v>3550</v>
      </c>
      <c r="M349" s="125">
        <f t="shared" si="38"/>
        <v>0</v>
      </c>
      <c r="N349" s="125">
        <f t="shared" si="329"/>
        <v>3550</v>
      </c>
      <c r="O349" s="125"/>
      <c r="P349" s="125">
        <f t="shared" si="2"/>
        <v>7100</v>
      </c>
      <c r="Q349" s="126">
        <f t="shared" si="3"/>
        <v>3.6949999999999998</v>
      </c>
      <c r="R349" s="126">
        <f t="shared" si="74"/>
        <v>0</v>
      </c>
      <c r="S349" s="126">
        <f t="shared" si="35"/>
        <v>0.04</v>
      </c>
      <c r="T349" s="126">
        <f t="shared" si="61"/>
        <v>7.1</v>
      </c>
      <c r="U349" s="126">
        <v>0</v>
      </c>
      <c r="V349" s="126">
        <f t="shared" ref="V349:V351" si="331">ROUND(P349*M$1809,2)</f>
        <v>0.24</v>
      </c>
      <c r="W349" s="126">
        <f t="shared" si="217"/>
        <v>0.01</v>
      </c>
      <c r="X349" s="126">
        <f t="shared" si="9"/>
        <v>7.39</v>
      </c>
      <c r="Y349" s="127">
        <f t="shared" si="330"/>
        <v>7092.61</v>
      </c>
      <c r="Z349" s="128">
        <f t="shared" si="230"/>
        <v>7093</v>
      </c>
      <c r="AA349" s="129">
        <f t="shared" si="47"/>
        <v>0.39000000000032742</v>
      </c>
      <c r="AB349" s="120">
        <v>44532</v>
      </c>
      <c r="AC349" s="130">
        <f t="shared" si="12"/>
        <v>1.041E-3</v>
      </c>
      <c r="AD349" s="131">
        <f t="shared" si="13"/>
        <v>44532</v>
      </c>
      <c r="AE349" s="132" t="s">
        <v>403</v>
      </c>
      <c r="AF349" s="119"/>
    </row>
    <row r="350" spans="1:32" ht="12" customHeight="1">
      <c r="A350" s="150">
        <v>44531</v>
      </c>
      <c r="B350" s="151" t="s">
        <v>574</v>
      </c>
      <c r="C350" s="151"/>
      <c r="D350" s="151"/>
      <c r="E350" s="151"/>
      <c r="F350" s="151"/>
      <c r="G350" s="151"/>
      <c r="H350" s="122" t="s">
        <v>446</v>
      </c>
      <c r="I350" s="121" t="s">
        <v>469</v>
      </c>
      <c r="J350" s="122" t="s">
        <v>471</v>
      </c>
      <c r="K350" s="123">
        <v>3</v>
      </c>
      <c r="L350" s="124">
        <v>3571.0167000000001</v>
      </c>
      <c r="M350" s="125">
        <f t="shared" si="38"/>
        <v>0</v>
      </c>
      <c r="N350" s="125">
        <f t="shared" si="329"/>
        <v>3571.0167000000001</v>
      </c>
      <c r="O350" s="125"/>
      <c r="P350" s="125">
        <f t="shared" si="2"/>
        <v>10713.05</v>
      </c>
      <c r="Q350" s="126">
        <f t="shared" si="3"/>
        <v>3.72</v>
      </c>
      <c r="R350" s="126">
        <f t="shared" si="74"/>
        <v>0</v>
      </c>
      <c r="S350" s="126">
        <f t="shared" si="35"/>
        <v>7.0000000000000007E-2</v>
      </c>
      <c r="T350" s="126">
        <f t="shared" si="61"/>
        <v>10.71</v>
      </c>
      <c r="U350" s="126">
        <v>0</v>
      </c>
      <c r="V350" s="126">
        <f t="shared" si="331"/>
        <v>0.37</v>
      </c>
      <c r="W350" s="126">
        <f t="shared" si="217"/>
        <v>0.01</v>
      </c>
      <c r="X350" s="126">
        <f t="shared" si="9"/>
        <v>11.16</v>
      </c>
      <c r="Y350" s="127">
        <f t="shared" si="330"/>
        <v>10701.89</v>
      </c>
      <c r="Z350" s="128">
        <f t="shared" si="230"/>
        <v>10702</v>
      </c>
      <c r="AA350" s="129">
        <f t="shared" si="47"/>
        <v>0.11000000000058208</v>
      </c>
      <c r="AB350" s="120">
        <v>44533</v>
      </c>
      <c r="AC350" s="130">
        <f t="shared" si="12"/>
        <v>1.042E-3</v>
      </c>
      <c r="AD350" s="131">
        <f t="shared" si="13"/>
        <v>44533</v>
      </c>
      <c r="AE350" s="132" t="s">
        <v>403</v>
      </c>
      <c r="AF350" s="119"/>
    </row>
    <row r="351" spans="1:32" ht="12" customHeight="1">
      <c r="A351" s="150">
        <v>44532</v>
      </c>
      <c r="B351" s="151" t="s">
        <v>574</v>
      </c>
      <c r="C351" s="151"/>
      <c r="D351" s="151"/>
      <c r="E351" s="151"/>
      <c r="F351" s="151"/>
      <c r="G351" s="151"/>
      <c r="H351" s="122" t="s">
        <v>446</v>
      </c>
      <c r="I351" s="121" t="s">
        <v>469</v>
      </c>
      <c r="J351" s="122" t="s">
        <v>471</v>
      </c>
      <c r="K351" s="123">
        <v>1</v>
      </c>
      <c r="L351" s="124">
        <v>3630</v>
      </c>
      <c r="M351" s="125">
        <f t="shared" si="38"/>
        <v>0</v>
      </c>
      <c r="N351" s="125">
        <f t="shared" si="329"/>
        <v>3630</v>
      </c>
      <c r="O351" s="125"/>
      <c r="P351" s="125">
        <f t="shared" si="2"/>
        <v>3630</v>
      </c>
      <c r="Q351" s="126">
        <f t="shared" si="3"/>
        <v>3.78</v>
      </c>
      <c r="R351" s="126">
        <f t="shared" si="74"/>
        <v>0</v>
      </c>
      <c r="S351" s="126">
        <f t="shared" si="35"/>
        <v>0.02</v>
      </c>
      <c r="T351" s="126">
        <f t="shared" si="61"/>
        <v>3.63</v>
      </c>
      <c r="U351" s="126">
        <v>0</v>
      </c>
      <c r="V351" s="126">
        <f t="shared" si="331"/>
        <v>0.13</v>
      </c>
      <c r="W351" s="126">
        <f t="shared" si="217"/>
        <v>0</v>
      </c>
      <c r="X351" s="126">
        <f t="shared" si="9"/>
        <v>3.78</v>
      </c>
      <c r="Y351" s="127">
        <f t="shared" si="330"/>
        <v>3626.22</v>
      </c>
      <c r="Z351" s="128">
        <f t="shared" si="230"/>
        <v>3626</v>
      </c>
      <c r="AA351" s="129">
        <f t="shared" si="47"/>
        <v>-0.21999999999979991</v>
      </c>
      <c r="AB351" s="120">
        <v>44536</v>
      </c>
      <c r="AC351" s="130">
        <f t="shared" si="12"/>
        <v>1.041E-3</v>
      </c>
      <c r="AD351" s="131">
        <f t="shared" si="13"/>
        <v>44536</v>
      </c>
      <c r="AE351" s="132" t="s">
        <v>403</v>
      </c>
      <c r="AF351" s="119"/>
    </row>
    <row r="352" spans="1:32" ht="12" customHeight="1">
      <c r="A352" s="150">
        <v>44532</v>
      </c>
      <c r="B352" s="151" t="s">
        <v>582</v>
      </c>
      <c r="C352" s="151"/>
      <c r="D352" s="151"/>
      <c r="E352" s="151"/>
      <c r="F352" s="151"/>
      <c r="G352" s="151"/>
      <c r="H352" s="122" t="s">
        <v>446</v>
      </c>
      <c r="I352" s="121" t="s">
        <v>469</v>
      </c>
      <c r="J352" s="122" t="s">
        <v>471</v>
      </c>
      <c r="K352" s="123">
        <v>2</v>
      </c>
      <c r="L352" s="124">
        <v>2125</v>
      </c>
      <c r="M352" s="125">
        <f t="shared" si="38"/>
        <v>0</v>
      </c>
      <c r="N352" s="125">
        <f t="shared" si="329"/>
        <v>2125</v>
      </c>
      <c r="O352" s="125"/>
      <c r="P352" s="125">
        <f t="shared" si="2"/>
        <v>4250</v>
      </c>
      <c r="Q352" s="126">
        <f t="shared" si="3"/>
        <v>2.1949999999999998</v>
      </c>
      <c r="R352" s="126">
        <f t="shared" si="74"/>
        <v>0</v>
      </c>
      <c r="S352" s="126">
        <f t="shared" si="35"/>
        <v>0.02</v>
      </c>
      <c r="T352" s="126">
        <f t="shared" si="61"/>
        <v>4.25</v>
      </c>
      <c r="U352" s="126">
        <v>0</v>
      </c>
      <c r="V352" s="126">
        <f t="shared" ref="V352:V354" si="332">ROUND(P352*L$1809,2)</f>
        <v>0.12</v>
      </c>
      <c r="W352" s="126">
        <f t="shared" si="217"/>
        <v>0</v>
      </c>
      <c r="X352" s="126">
        <f t="shared" si="9"/>
        <v>4.3899999999999997</v>
      </c>
      <c r="Y352" s="127">
        <f t="shared" si="330"/>
        <v>4245.6099999999997</v>
      </c>
      <c r="Z352" s="128">
        <f t="shared" si="230"/>
        <v>4246</v>
      </c>
      <c r="AA352" s="129">
        <f t="shared" si="47"/>
        <v>0.39000000000032742</v>
      </c>
      <c r="AB352" s="120">
        <v>44536</v>
      </c>
      <c r="AC352" s="130">
        <f t="shared" si="12"/>
        <v>1.0330000000000001E-3</v>
      </c>
      <c r="AD352" s="131">
        <f t="shared" si="13"/>
        <v>44536</v>
      </c>
      <c r="AE352" s="132" t="s">
        <v>403</v>
      </c>
      <c r="AF352" s="119"/>
    </row>
    <row r="353" spans="1:32" ht="12" customHeight="1">
      <c r="A353" s="150">
        <v>44533</v>
      </c>
      <c r="B353" s="151" t="s">
        <v>548</v>
      </c>
      <c r="C353" s="151"/>
      <c r="D353" s="151"/>
      <c r="E353" s="151"/>
      <c r="F353" s="151"/>
      <c r="G353" s="151"/>
      <c r="H353" s="122" t="s">
        <v>446</v>
      </c>
      <c r="I353" s="121" t="s">
        <v>469</v>
      </c>
      <c r="J353" s="122" t="s">
        <v>471</v>
      </c>
      <c r="K353" s="123">
        <v>100</v>
      </c>
      <c r="L353" s="124">
        <v>13.25</v>
      </c>
      <c r="M353" s="125">
        <f t="shared" si="38"/>
        <v>0</v>
      </c>
      <c r="N353" s="125">
        <f t="shared" si="329"/>
        <v>13.25</v>
      </c>
      <c r="O353" s="125"/>
      <c r="P353" s="125">
        <f t="shared" si="2"/>
        <v>1325</v>
      </c>
      <c r="Q353" s="126">
        <f t="shared" si="3"/>
        <v>1.3800000000000002E-2</v>
      </c>
      <c r="R353" s="126">
        <f t="shared" si="74"/>
        <v>0</v>
      </c>
      <c r="S353" s="126">
        <f t="shared" si="35"/>
        <v>0.01</v>
      </c>
      <c r="T353" s="126">
        <f t="shared" si="61"/>
        <v>1.33</v>
      </c>
      <c r="U353" s="126">
        <v>0</v>
      </c>
      <c r="V353" s="126">
        <f t="shared" si="332"/>
        <v>0.04</v>
      </c>
      <c r="W353" s="126">
        <f t="shared" si="217"/>
        <v>0</v>
      </c>
      <c r="X353" s="126">
        <f t="shared" si="9"/>
        <v>1.3800000000000001</v>
      </c>
      <c r="Y353" s="127">
        <f t="shared" si="330"/>
        <v>1323.62</v>
      </c>
      <c r="Z353" s="128">
        <f t="shared" si="230"/>
        <v>1324</v>
      </c>
      <c r="AA353" s="129">
        <f t="shared" si="47"/>
        <v>0.38000000000010914</v>
      </c>
      <c r="AB353" s="120">
        <v>44537</v>
      </c>
      <c r="AC353" s="130">
        <f t="shared" si="12"/>
        <v>1.042E-3</v>
      </c>
      <c r="AD353" s="131">
        <f t="shared" si="13"/>
        <v>44537</v>
      </c>
      <c r="AE353" s="132" t="s">
        <v>403</v>
      </c>
      <c r="AF353" s="119"/>
    </row>
    <row r="354" spans="1:32" ht="12" customHeight="1">
      <c r="A354" s="148">
        <v>44536</v>
      </c>
      <c r="B354" s="149" t="s">
        <v>583</v>
      </c>
      <c r="C354" s="149"/>
      <c r="D354" s="149"/>
      <c r="E354" s="149"/>
      <c r="F354" s="149"/>
      <c r="G354" s="149"/>
      <c r="H354" s="135" t="s">
        <v>453</v>
      </c>
      <c r="I354" s="134" t="s">
        <v>469</v>
      </c>
      <c r="J354" s="135" t="s">
        <v>471</v>
      </c>
      <c r="K354" s="136">
        <v>40</v>
      </c>
      <c r="L354" s="137">
        <v>190</v>
      </c>
      <c r="M354" s="138">
        <f t="shared" si="38"/>
        <v>0</v>
      </c>
      <c r="N354" s="138">
        <f>L354+M354</f>
        <v>190</v>
      </c>
      <c r="O354" s="138"/>
      <c r="P354" s="138">
        <f t="shared" si="2"/>
        <v>7600</v>
      </c>
      <c r="Q354" s="139">
        <f t="shared" si="3"/>
        <v>0.22500000000000001</v>
      </c>
      <c r="R354" s="139">
        <f t="shared" si="74"/>
        <v>0</v>
      </c>
      <c r="S354" s="139">
        <f t="shared" si="35"/>
        <v>0.04</v>
      </c>
      <c r="T354" s="139">
        <f t="shared" si="61"/>
        <v>7.6</v>
      </c>
      <c r="U354" s="139">
        <f>ROUND(P354*K$1812,2)</f>
        <v>1.1399999999999999</v>
      </c>
      <c r="V354" s="139">
        <f t="shared" si="332"/>
        <v>0.21</v>
      </c>
      <c r="W354" s="139">
        <f t="shared" si="217"/>
        <v>0.01</v>
      </c>
      <c r="X354" s="140">
        <f t="shared" si="9"/>
        <v>9</v>
      </c>
      <c r="Y354" s="141">
        <f>-ROUND(P354+SUM(R354:W354),2)</f>
        <v>-7609</v>
      </c>
      <c r="Z354" s="142">
        <f t="shared" si="230"/>
        <v>-7609</v>
      </c>
      <c r="AA354" s="143">
        <f t="shared" si="47"/>
        <v>0</v>
      </c>
      <c r="AB354" s="133">
        <v>44538</v>
      </c>
      <c r="AC354" s="144">
        <f t="shared" si="12"/>
        <v>1.1839999999999999E-3</v>
      </c>
      <c r="AD354" s="145">
        <f t="shared" si="13"/>
        <v>44538</v>
      </c>
      <c r="AE354" s="146" t="s">
        <v>403</v>
      </c>
      <c r="AF354" s="119"/>
    </row>
    <row r="355" spans="1:32" ht="12" customHeight="1">
      <c r="A355" s="150">
        <v>44537</v>
      </c>
      <c r="B355" s="151" t="s">
        <v>583</v>
      </c>
      <c r="C355" s="151"/>
      <c r="D355" s="151"/>
      <c r="E355" s="151"/>
      <c r="F355" s="151"/>
      <c r="G355" s="151"/>
      <c r="H355" s="122" t="s">
        <v>446</v>
      </c>
      <c r="I355" s="121" t="s">
        <v>469</v>
      </c>
      <c r="J355" s="122" t="s">
        <v>471</v>
      </c>
      <c r="K355" s="123">
        <v>40</v>
      </c>
      <c r="L355" s="124">
        <v>193.75</v>
      </c>
      <c r="M355" s="125">
        <f t="shared" si="38"/>
        <v>0</v>
      </c>
      <c r="N355" s="125">
        <f t="shared" ref="N355:N358" si="333">L355-M355</f>
        <v>193.75</v>
      </c>
      <c r="O355" s="125"/>
      <c r="P355" s="125">
        <f t="shared" si="2"/>
        <v>7750</v>
      </c>
      <c r="Q355" s="126">
        <f t="shared" si="3"/>
        <v>0.20200000000000001</v>
      </c>
      <c r="R355" s="126">
        <f t="shared" si="74"/>
        <v>0</v>
      </c>
      <c r="S355" s="126">
        <f t="shared" si="35"/>
        <v>0.05</v>
      </c>
      <c r="T355" s="126">
        <f t="shared" si="61"/>
        <v>7.75</v>
      </c>
      <c r="U355" s="126">
        <v>0</v>
      </c>
      <c r="V355" s="126">
        <f t="shared" ref="V355:V357" si="334">ROUND(P355*M$1809,2)</f>
        <v>0.27</v>
      </c>
      <c r="W355" s="126">
        <f t="shared" si="217"/>
        <v>0.01</v>
      </c>
      <c r="X355" s="126">
        <f t="shared" si="9"/>
        <v>8.08</v>
      </c>
      <c r="Y355" s="127">
        <f t="shared" ref="Y355:Y358" si="335">ROUND(P355-SUM(R355:W355),2)</f>
        <v>7741.92</v>
      </c>
      <c r="Z355" s="128">
        <f t="shared" si="230"/>
        <v>7742</v>
      </c>
      <c r="AA355" s="129">
        <f t="shared" si="47"/>
        <v>7.999999999992724E-2</v>
      </c>
      <c r="AB355" s="120">
        <v>44539</v>
      </c>
      <c r="AC355" s="130">
        <f t="shared" si="12"/>
        <v>1.0430000000000001E-3</v>
      </c>
      <c r="AD355" s="131">
        <f t="shared" si="13"/>
        <v>44539</v>
      </c>
      <c r="AE355" s="132" t="s">
        <v>403</v>
      </c>
      <c r="AF355" s="119"/>
    </row>
    <row r="356" spans="1:32" ht="12" customHeight="1">
      <c r="A356" s="150">
        <v>44537</v>
      </c>
      <c r="B356" s="151" t="s">
        <v>581</v>
      </c>
      <c r="C356" s="151"/>
      <c r="D356" s="151"/>
      <c r="E356" s="151"/>
      <c r="F356" s="151"/>
      <c r="G356" s="151"/>
      <c r="H356" s="122" t="s">
        <v>446</v>
      </c>
      <c r="I356" s="121" t="s">
        <v>469</v>
      </c>
      <c r="J356" s="122" t="s">
        <v>471</v>
      </c>
      <c r="K356" s="123">
        <v>5</v>
      </c>
      <c r="L356" s="124">
        <v>1395</v>
      </c>
      <c r="M356" s="125">
        <f t="shared" si="38"/>
        <v>0</v>
      </c>
      <c r="N356" s="125">
        <f t="shared" si="333"/>
        <v>1395</v>
      </c>
      <c r="O356" s="125"/>
      <c r="P356" s="125">
        <f t="shared" si="2"/>
        <v>6975</v>
      </c>
      <c r="Q356" s="126">
        <f t="shared" si="3"/>
        <v>1.4540000000000002</v>
      </c>
      <c r="R356" s="126">
        <f t="shared" si="74"/>
        <v>0</v>
      </c>
      <c r="S356" s="126">
        <f t="shared" si="35"/>
        <v>0.04</v>
      </c>
      <c r="T356" s="126">
        <f t="shared" si="61"/>
        <v>6.98</v>
      </c>
      <c r="U356" s="126">
        <v>0</v>
      </c>
      <c r="V356" s="126">
        <f t="shared" si="334"/>
        <v>0.24</v>
      </c>
      <c r="W356" s="126">
        <f t="shared" si="217"/>
        <v>0.01</v>
      </c>
      <c r="X356" s="126">
        <f t="shared" si="9"/>
        <v>7.2700000000000005</v>
      </c>
      <c r="Y356" s="127">
        <f t="shared" si="335"/>
        <v>6967.73</v>
      </c>
      <c r="Z356" s="128">
        <f t="shared" si="230"/>
        <v>6968</v>
      </c>
      <c r="AA356" s="129">
        <f t="shared" si="47"/>
        <v>0.27000000000043656</v>
      </c>
      <c r="AB356" s="120">
        <v>44539</v>
      </c>
      <c r="AC356" s="130">
        <f t="shared" si="12"/>
        <v>1.042E-3</v>
      </c>
      <c r="AD356" s="131">
        <f t="shared" si="13"/>
        <v>44539</v>
      </c>
      <c r="AE356" s="132" t="s">
        <v>403</v>
      </c>
      <c r="AF356" s="119"/>
    </row>
    <row r="357" spans="1:32" ht="12" customHeight="1">
      <c r="A357" s="150">
        <v>44538</v>
      </c>
      <c r="B357" s="151" t="s">
        <v>580</v>
      </c>
      <c r="C357" s="151"/>
      <c r="D357" s="151"/>
      <c r="E357" s="151"/>
      <c r="F357" s="151"/>
      <c r="G357" s="151"/>
      <c r="H357" s="122" t="s">
        <v>446</v>
      </c>
      <c r="I357" s="121" t="s">
        <v>469</v>
      </c>
      <c r="J357" s="122" t="s">
        <v>471</v>
      </c>
      <c r="K357" s="123">
        <v>20</v>
      </c>
      <c r="L357" s="124">
        <v>170</v>
      </c>
      <c r="M357" s="125">
        <f t="shared" si="38"/>
        <v>0</v>
      </c>
      <c r="N357" s="125">
        <f t="shared" si="333"/>
        <v>170</v>
      </c>
      <c r="O357" s="125"/>
      <c r="P357" s="125">
        <f t="shared" si="2"/>
        <v>3400</v>
      </c>
      <c r="Q357" s="126">
        <f t="shared" si="3"/>
        <v>0.17699999999999999</v>
      </c>
      <c r="R357" s="126">
        <f t="shared" si="74"/>
        <v>0</v>
      </c>
      <c r="S357" s="126">
        <f t="shared" si="35"/>
        <v>0.02</v>
      </c>
      <c r="T357" s="126">
        <f t="shared" si="61"/>
        <v>3.4</v>
      </c>
      <c r="U357" s="126">
        <v>0</v>
      </c>
      <c r="V357" s="126">
        <f t="shared" si="334"/>
        <v>0.12</v>
      </c>
      <c r="W357" s="126">
        <f t="shared" si="217"/>
        <v>0</v>
      </c>
      <c r="X357" s="126">
        <f t="shared" si="9"/>
        <v>3.54</v>
      </c>
      <c r="Y357" s="127">
        <f t="shared" si="335"/>
        <v>3396.46</v>
      </c>
      <c r="Z357" s="128">
        <f t="shared" si="230"/>
        <v>3396</v>
      </c>
      <c r="AA357" s="129">
        <f t="shared" si="47"/>
        <v>-0.46000000000003638</v>
      </c>
      <c r="AB357" s="120">
        <v>44540</v>
      </c>
      <c r="AC357" s="130">
        <f t="shared" si="12"/>
        <v>1.041E-3</v>
      </c>
      <c r="AD357" s="131">
        <f t="shared" si="13"/>
        <v>44540</v>
      </c>
      <c r="AE357" s="132" t="s">
        <v>403</v>
      </c>
      <c r="AF357" s="119"/>
    </row>
    <row r="358" spans="1:32" ht="12" customHeight="1">
      <c r="A358" s="150">
        <v>44539</v>
      </c>
      <c r="B358" s="151" t="s">
        <v>547</v>
      </c>
      <c r="C358" s="151"/>
      <c r="D358" s="151"/>
      <c r="E358" s="151"/>
      <c r="F358" s="151"/>
      <c r="G358" s="151"/>
      <c r="H358" s="122" t="s">
        <v>446</v>
      </c>
      <c r="I358" s="121" t="s">
        <v>469</v>
      </c>
      <c r="J358" s="122" t="s">
        <v>471</v>
      </c>
      <c r="K358" s="123">
        <v>300</v>
      </c>
      <c r="L358" s="124">
        <v>30.5</v>
      </c>
      <c r="M358" s="125">
        <f t="shared" si="38"/>
        <v>0</v>
      </c>
      <c r="N358" s="125">
        <f t="shared" si="333"/>
        <v>30.5</v>
      </c>
      <c r="O358" s="125"/>
      <c r="P358" s="125">
        <f t="shared" si="2"/>
        <v>9150</v>
      </c>
      <c r="Q358" s="126">
        <f t="shared" si="3"/>
        <v>3.1533333333333337E-2</v>
      </c>
      <c r="R358" s="126">
        <f t="shared" si="74"/>
        <v>0</v>
      </c>
      <c r="S358" s="126">
        <f t="shared" si="35"/>
        <v>0.05</v>
      </c>
      <c r="T358" s="126">
        <f t="shared" si="61"/>
        <v>9.15</v>
      </c>
      <c r="U358" s="126">
        <v>0</v>
      </c>
      <c r="V358" s="126">
        <f>ROUND(P358*L$1809,2)</f>
        <v>0.25</v>
      </c>
      <c r="W358" s="126">
        <f t="shared" si="217"/>
        <v>0.01</v>
      </c>
      <c r="X358" s="126">
        <f t="shared" si="9"/>
        <v>9.4600000000000009</v>
      </c>
      <c r="Y358" s="127">
        <f t="shared" si="335"/>
        <v>9140.5400000000009</v>
      </c>
      <c r="Z358" s="128">
        <f t="shared" si="230"/>
        <v>9141</v>
      </c>
      <c r="AA358" s="129">
        <f t="shared" si="47"/>
        <v>0.45999999999912689</v>
      </c>
      <c r="AB358" s="120">
        <v>44543</v>
      </c>
      <c r="AC358" s="130">
        <f t="shared" si="12"/>
        <v>1.034E-3</v>
      </c>
      <c r="AD358" s="131">
        <f t="shared" si="13"/>
        <v>44543</v>
      </c>
      <c r="AE358" s="132" t="s">
        <v>403</v>
      </c>
      <c r="AF358" s="119"/>
    </row>
    <row r="359" spans="1:32" ht="12" customHeight="1">
      <c r="A359" s="148">
        <v>44543</v>
      </c>
      <c r="B359" s="149" t="s">
        <v>575</v>
      </c>
      <c r="C359" s="149"/>
      <c r="D359" s="149"/>
      <c r="E359" s="149"/>
      <c r="F359" s="149"/>
      <c r="G359" s="149"/>
      <c r="H359" s="135" t="s">
        <v>453</v>
      </c>
      <c r="I359" s="134" t="s">
        <v>469</v>
      </c>
      <c r="J359" s="135" t="s">
        <v>448</v>
      </c>
      <c r="K359" s="136">
        <v>100</v>
      </c>
      <c r="L359" s="137">
        <v>959</v>
      </c>
      <c r="M359" s="138">
        <f t="shared" si="38"/>
        <v>0</v>
      </c>
      <c r="N359" s="138">
        <f>L359+M359</f>
        <v>959</v>
      </c>
      <c r="O359" s="138"/>
      <c r="P359" s="138">
        <f t="shared" si="2"/>
        <v>95900</v>
      </c>
      <c r="Q359" s="139">
        <f t="shared" si="3"/>
        <v>1.143</v>
      </c>
      <c r="R359" s="139">
        <f t="shared" si="74"/>
        <v>0</v>
      </c>
      <c r="S359" s="139">
        <f t="shared" si="35"/>
        <v>0.6</v>
      </c>
      <c r="T359" s="139">
        <f t="shared" si="61"/>
        <v>95.9</v>
      </c>
      <c r="U359" s="139">
        <f>ROUND(P359*K$1812,2)</f>
        <v>14.39</v>
      </c>
      <c r="V359" s="139">
        <f>ROUND(P359*M$1809,2)</f>
        <v>3.31</v>
      </c>
      <c r="W359" s="139">
        <f t="shared" si="217"/>
        <v>0.1</v>
      </c>
      <c r="X359" s="140">
        <f t="shared" si="9"/>
        <v>114.3</v>
      </c>
      <c r="Y359" s="141">
        <f>-ROUND(P359+SUM(R359:W359),2)</f>
        <v>-96014.3</v>
      </c>
      <c r="Z359" s="142">
        <f t="shared" si="230"/>
        <v>-96014</v>
      </c>
      <c r="AA359" s="143">
        <f t="shared" si="47"/>
        <v>0.30000000000291038</v>
      </c>
      <c r="AB359" s="133">
        <v>44545</v>
      </c>
      <c r="AC359" s="144">
        <f t="shared" si="12"/>
        <v>1.1919999999999999E-3</v>
      </c>
      <c r="AD359" s="145">
        <f t="shared" si="13"/>
        <v>44545</v>
      </c>
      <c r="AE359" s="146" t="s">
        <v>403</v>
      </c>
      <c r="AF359" s="119"/>
    </row>
    <row r="360" spans="1:32" ht="12" customHeight="1">
      <c r="A360" s="150">
        <v>44544</v>
      </c>
      <c r="B360" s="151" t="s">
        <v>575</v>
      </c>
      <c r="C360" s="151"/>
      <c r="D360" s="151"/>
      <c r="E360" s="151"/>
      <c r="F360" s="151"/>
      <c r="G360" s="151"/>
      <c r="H360" s="122" t="s">
        <v>446</v>
      </c>
      <c r="I360" s="121" t="s">
        <v>469</v>
      </c>
      <c r="J360" s="122" t="s">
        <v>448</v>
      </c>
      <c r="K360" s="123">
        <v>183</v>
      </c>
      <c r="L360" s="124">
        <v>977.62840000000006</v>
      </c>
      <c r="M360" s="125">
        <f t="shared" si="38"/>
        <v>0</v>
      </c>
      <c r="N360" s="125">
        <f>L360-M360</f>
        <v>977.62840000000006</v>
      </c>
      <c r="O360" s="125"/>
      <c r="P360" s="125">
        <f t="shared" si="2"/>
        <v>178906</v>
      </c>
      <c r="Q360" s="126">
        <f t="shared" si="3"/>
        <v>1.0103825136612021</v>
      </c>
      <c r="R360" s="126">
        <f t="shared" si="74"/>
        <v>0</v>
      </c>
      <c r="S360" s="126">
        <f t="shared" si="35"/>
        <v>0.89</v>
      </c>
      <c r="T360" s="126">
        <f t="shared" si="61"/>
        <v>178.91</v>
      </c>
      <c r="U360" s="126">
        <v>0</v>
      </c>
      <c r="V360" s="126">
        <f>ROUND(P360*L$1809,2)</f>
        <v>4.92</v>
      </c>
      <c r="W360" s="126">
        <f t="shared" si="217"/>
        <v>0.18</v>
      </c>
      <c r="X360" s="126">
        <f t="shared" si="9"/>
        <v>184.89999999999998</v>
      </c>
      <c r="Y360" s="127">
        <f>ROUND(P360-SUM(R360:W360),2)</f>
        <v>178721.1</v>
      </c>
      <c r="Z360" s="128">
        <f t="shared" si="230"/>
        <v>178721</v>
      </c>
      <c r="AA360" s="129">
        <f t="shared" si="47"/>
        <v>-0.10000000000582077</v>
      </c>
      <c r="AB360" s="120">
        <v>44546</v>
      </c>
      <c r="AC360" s="130">
        <f t="shared" si="12"/>
        <v>1.034E-3</v>
      </c>
      <c r="AD360" s="131">
        <f t="shared" si="13"/>
        <v>44546</v>
      </c>
      <c r="AE360" s="132" t="s">
        <v>403</v>
      </c>
      <c r="AF360" s="119"/>
    </row>
    <row r="361" spans="1:32" ht="12" customHeight="1">
      <c r="A361" s="148">
        <v>44545</v>
      </c>
      <c r="B361" s="149" t="s">
        <v>575</v>
      </c>
      <c r="C361" s="149"/>
      <c r="D361" s="149"/>
      <c r="E361" s="149"/>
      <c r="F361" s="149"/>
      <c r="G361" s="149"/>
      <c r="H361" s="135" t="s">
        <v>453</v>
      </c>
      <c r="I361" s="134" t="s">
        <v>469</v>
      </c>
      <c r="J361" s="135" t="s">
        <v>448</v>
      </c>
      <c r="K361" s="136">
        <v>183</v>
      </c>
      <c r="L361" s="137">
        <v>971.48524999999995</v>
      </c>
      <c r="M361" s="138">
        <f t="shared" si="38"/>
        <v>0</v>
      </c>
      <c r="N361" s="138">
        <f>L361+M361</f>
        <v>971.48524999999995</v>
      </c>
      <c r="O361" s="138"/>
      <c r="P361" s="138">
        <f t="shared" si="2"/>
        <v>177781.8</v>
      </c>
      <c r="Q361" s="139">
        <f t="shared" si="3"/>
        <v>1.157704918032787</v>
      </c>
      <c r="R361" s="139">
        <f t="shared" si="74"/>
        <v>0</v>
      </c>
      <c r="S361" s="139">
        <f t="shared" si="35"/>
        <v>1.1000000000000001</v>
      </c>
      <c r="T361" s="139">
        <f t="shared" si="61"/>
        <v>177.78</v>
      </c>
      <c r="U361" s="139">
        <f>ROUND(P361*K$1812,2)</f>
        <v>26.67</v>
      </c>
      <c r="V361" s="139">
        <f t="shared" ref="V361:V364" si="336">ROUND(P361*M$1809,2)</f>
        <v>6.13</v>
      </c>
      <c r="W361" s="139">
        <f t="shared" si="217"/>
        <v>0.18</v>
      </c>
      <c r="X361" s="140">
        <f t="shared" si="9"/>
        <v>211.86</v>
      </c>
      <c r="Y361" s="141">
        <f>-ROUND(P361+SUM(R361:W361),2)</f>
        <v>-177993.66</v>
      </c>
      <c r="Z361" s="142">
        <f t="shared" si="230"/>
        <v>-177994</v>
      </c>
      <c r="AA361" s="143">
        <f t="shared" si="47"/>
        <v>-0.33999999999650754</v>
      </c>
      <c r="AB361" s="133">
        <v>44547</v>
      </c>
      <c r="AC361" s="144">
        <f t="shared" si="12"/>
        <v>1.1919999999999999E-3</v>
      </c>
      <c r="AD361" s="145">
        <f t="shared" si="13"/>
        <v>44547</v>
      </c>
      <c r="AE361" s="146" t="s">
        <v>403</v>
      </c>
      <c r="AF361" s="119"/>
    </row>
    <row r="362" spans="1:32" ht="12" customHeight="1">
      <c r="A362" s="150">
        <v>44546</v>
      </c>
      <c r="B362" s="151" t="s">
        <v>575</v>
      </c>
      <c r="C362" s="151"/>
      <c r="D362" s="151"/>
      <c r="E362" s="151"/>
      <c r="F362" s="151"/>
      <c r="G362" s="151"/>
      <c r="H362" s="122" t="s">
        <v>446</v>
      </c>
      <c r="I362" s="121" t="s">
        <v>469</v>
      </c>
      <c r="J362" s="122" t="s">
        <v>448</v>
      </c>
      <c r="K362" s="123">
        <v>100</v>
      </c>
      <c r="L362" s="124">
        <v>990</v>
      </c>
      <c r="M362" s="125">
        <f t="shared" si="38"/>
        <v>0</v>
      </c>
      <c r="N362" s="125">
        <f>L362-M362</f>
        <v>990</v>
      </c>
      <c r="O362" s="125"/>
      <c r="P362" s="125">
        <f t="shared" si="2"/>
        <v>99000</v>
      </c>
      <c r="Q362" s="126">
        <f t="shared" si="3"/>
        <v>1.0414000000000001</v>
      </c>
      <c r="R362" s="126">
        <f t="shared" si="74"/>
        <v>0</v>
      </c>
      <c r="S362" s="126">
        <f t="shared" si="35"/>
        <v>0.62</v>
      </c>
      <c r="T362" s="126">
        <f>ROUND(P362*K$1806,2)+1</f>
        <v>100</v>
      </c>
      <c r="U362" s="126">
        <v>0</v>
      </c>
      <c r="V362" s="126">
        <f t="shared" si="336"/>
        <v>3.42</v>
      </c>
      <c r="W362" s="126">
        <f t="shared" si="217"/>
        <v>0.1</v>
      </c>
      <c r="X362" s="126">
        <f t="shared" si="9"/>
        <v>104.14</v>
      </c>
      <c r="Y362" s="127">
        <f>ROUND(P362-SUM(R362:W362),2)</f>
        <v>98895.86</v>
      </c>
      <c r="Z362" s="128">
        <f t="shared" si="230"/>
        <v>98896</v>
      </c>
      <c r="AA362" s="129">
        <f t="shared" si="47"/>
        <v>0.13999999999941792</v>
      </c>
      <c r="AB362" s="120">
        <v>44550</v>
      </c>
      <c r="AC362" s="130">
        <f t="shared" si="12"/>
        <v>1.052E-3</v>
      </c>
      <c r="AD362" s="131">
        <f t="shared" si="13"/>
        <v>44550</v>
      </c>
      <c r="AE362" s="132" t="s">
        <v>403</v>
      </c>
      <c r="AF362" s="119"/>
    </row>
    <row r="363" spans="1:32" ht="12" customHeight="1">
      <c r="A363" s="148">
        <v>44547</v>
      </c>
      <c r="B363" s="149" t="s">
        <v>584</v>
      </c>
      <c r="C363" s="149"/>
      <c r="D363" s="149"/>
      <c r="E363" s="149"/>
      <c r="F363" s="149"/>
      <c r="G363" s="149"/>
      <c r="H363" s="135" t="s">
        <v>453</v>
      </c>
      <c r="I363" s="134" t="s">
        <v>469</v>
      </c>
      <c r="J363" s="135" t="s">
        <v>471</v>
      </c>
      <c r="K363" s="136">
        <v>1000</v>
      </c>
      <c r="L363" s="137">
        <v>7.65</v>
      </c>
      <c r="M363" s="138">
        <f t="shared" si="38"/>
        <v>0</v>
      </c>
      <c r="N363" s="138">
        <f t="shared" ref="N363:N365" si="337">L363+M363</f>
        <v>7.65</v>
      </c>
      <c r="O363" s="138"/>
      <c r="P363" s="138">
        <f t="shared" si="2"/>
        <v>7650</v>
      </c>
      <c r="Q363" s="139">
        <f t="shared" si="3"/>
        <v>9.1199999999999996E-3</v>
      </c>
      <c r="R363" s="139">
        <f t="shared" si="74"/>
        <v>0</v>
      </c>
      <c r="S363" s="139">
        <f t="shared" si="35"/>
        <v>0.05</v>
      </c>
      <c r="T363" s="139">
        <f t="shared" ref="T363:T365" si="338">ROUND(P363*K$1806,2)</f>
        <v>7.65</v>
      </c>
      <c r="U363" s="139">
        <f t="shared" ref="U363:U365" si="339">ROUND(P363*K$1812,2)</f>
        <v>1.1499999999999999</v>
      </c>
      <c r="V363" s="139">
        <f t="shared" si="336"/>
        <v>0.26</v>
      </c>
      <c r="W363" s="139">
        <f t="shared" si="217"/>
        <v>0.01</v>
      </c>
      <c r="X363" s="140">
        <f t="shared" si="9"/>
        <v>9.1199999999999992</v>
      </c>
      <c r="Y363" s="141">
        <f t="shared" ref="Y363:Y365" si="340">-ROUND(P363+SUM(R363:W363),2)</f>
        <v>-7659.12</v>
      </c>
      <c r="Z363" s="142">
        <f t="shared" si="230"/>
        <v>-7659</v>
      </c>
      <c r="AA363" s="143">
        <f t="shared" si="47"/>
        <v>0.11999999999989086</v>
      </c>
      <c r="AB363" s="133">
        <v>44551</v>
      </c>
      <c r="AC363" s="144">
        <f t="shared" si="12"/>
        <v>1.1919999999999999E-3</v>
      </c>
      <c r="AD363" s="145">
        <f t="shared" si="13"/>
        <v>44551</v>
      </c>
      <c r="AE363" s="146" t="s">
        <v>403</v>
      </c>
      <c r="AF363" s="119"/>
    </row>
    <row r="364" spans="1:32" ht="12" customHeight="1">
      <c r="A364" s="148">
        <v>44550</v>
      </c>
      <c r="B364" s="149" t="s">
        <v>575</v>
      </c>
      <c r="C364" s="149"/>
      <c r="D364" s="149"/>
      <c r="E364" s="149"/>
      <c r="F364" s="149"/>
      <c r="G364" s="149"/>
      <c r="H364" s="135" t="s">
        <v>453</v>
      </c>
      <c r="I364" s="134" t="s">
        <v>469</v>
      </c>
      <c r="J364" s="135" t="s">
        <v>448</v>
      </c>
      <c r="K364" s="136">
        <v>100</v>
      </c>
      <c r="L364" s="137">
        <v>972</v>
      </c>
      <c r="M364" s="138">
        <f t="shared" si="38"/>
        <v>0</v>
      </c>
      <c r="N364" s="138">
        <f t="shared" si="337"/>
        <v>972</v>
      </c>
      <c r="O364" s="138"/>
      <c r="P364" s="138">
        <f t="shared" si="2"/>
        <v>97200</v>
      </c>
      <c r="Q364" s="139">
        <f t="shared" si="3"/>
        <v>1.1582999999999999</v>
      </c>
      <c r="R364" s="139">
        <f t="shared" si="74"/>
        <v>0</v>
      </c>
      <c r="S364" s="139">
        <f t="shared" si="35"/>
        <v>0.6</v>
      </c>
      <c r="T364" s="139">
        <f t="shared" si="338"/>
        <v>97.2</v>
      </c>
      <c r="U364" s="139">
        <f t="shared" si="339"/>
        <v>14.58</v>
      </c>
      <c r="V364" s="139">
        <f t="shared" si="336"/>
        <v>3.35</v>
      </c>
      <c r="W364" s="139">
        <f t="shared" si="217"/>
        <v>0.1</v>
      </c>
      <c r="X364" s="140">
        <f t="shared" si="9"/>
        <v>115.82999999999998</v>
      </c>
      <c r="Y364" s="141">
        <f t="shared" si="340"/>
        <v>-97315.83</v>
      </c>
      <c r="Z364" s="142">
        <f t="shared" si="230"/>
        <v>-97316</v>
      </c>
      <c r="AA364" s="143">
        <f t="shared" si="47"/>
        <v>-0.16999999999825377</v>
      </c>
      <c r="AB364" s="133">
        <v>44552</v>
      </c>
      <c r="AC364" s="144">
        <f t="shared" si="12"/>
        <v>1.1919999999999999E-3</v>
      </c>
      <c r="AD364" s="145">
        <f t="shared" si="13"/>
        <v>44552</v>
      </c>
      <c r="AE364" s="146" t="s">
        <v>403</v>
      </c>
      <c r="AF364" s="119"/>
    </row>
    <row r="365" spans="1:32" ht="12" customHeight="1">
      <c r="A365" s="148">
        <v>44550</v>
      </c>
      <c r="B365" s="149" t="s">
        <v>484</v>
      </c>
      <c r="C365" s="149"/>
      <c r="D365" s="149"/>
      <c r="E365" s="149"/>
      <c r="F365" s="149"/>
      <c r="G365" s="149"/>
      <c r="H365" s="135" t="s">
        <v>453</v>
      </c>
      <c r="I365" s="134" t="s">
        <v>469</v>
      </c>
      <c r="J365" s="135" t="s">
        <v>471</v>
      </c>
      <c r="K365" s="136">
        <v>1</v>
      </c>
      <c r="L365" s="137">
        <v>6650</v>
      </c>
      <c r="M365" s="138">
        <f t="shared" si="38"/>
        <v>0</v>
      </c>
      <c r="N365" s="138">
        <f t="shared" si="337"/>
        <v>6650</v>
      </c>
      <c r="O365" s="138"/>
      <c r="P365" s="138">
        <f t="shared" si="2"/>
        <v>6650</v>
      </c>
      <c r="Q365" s="139">
        <f t="shared" si="3"/>
        <v>7.87</v>
      </c>
      <c r="R365" s="139">
        <f t="shared" si="74"/>
        <v>0</v>
      </c>
      <c r="S365" s="139">
        <f t="shared" si="35"/>
        <v>0.03</v>
      </c>
      <c r="T365" s="139">
        <f t="shared" si="338"/>
        <v>6.65</v>
      </c>
      <c r="U365" s="139">
        <f t="shared" si="339"/>
        <v>1</v>
      </c>
      <c r="V365" s="139">
        <f t="shared" ref="V365:V371" si="341">ROUND(P365*L$1809,2)</f>
        <v>0.18</v>
      </c>
      <c r="W365" s="139">
        <f t="shared" si="217"/>
        <v>0.01</v>
      </c>
      <c r="X365" s="140">
        <f t="shared" si="9"/>
        <v>7.87</v>
      </c>
      <c r="Y365" s="141">
        <f t="shared" si="340"/>
        <v>-6657.87</v>
      </c>
      <c r="Z365" s="142">
        <f t="shared" si="230"/>
        <v>-6658</v>
      </c>
      <c r="AA365" s="143">
        <f t="shared" si="47"/>
        <v>-0.13000000000010914</v>
      </c>
      <c r="AB365" s="133">
        <v>44552</v>
      </c>
      <c r="AC365" s="144">
        <f t="shared" si="12"/>
        <v>1.183E-3</v>
      </c>
      <c r="AD365" s="145">
        <f t="shared" si="13"/>
        <v>44552</v>
      </c>
      <c r="AE365" s="146" t="s">
        <v>403</v>
      </c>
      <c r="AF365" s="119"/>
    </row>
    <row r="366" spans="1:32" ht="12" customHeight="1">
      <c r="A366" s="150">
        <v>44551</v>
      </c>
      <c r="B366" s="151" t="s">
        <v>575</v>
      </c>
      <c r="C366" s="151"/>
      <c r="D366" s="151"/>
      <c r="E366" s="151"/>
      <c r="F366" s="151"/>
      <c r="G366" s="151"/>
      <c r="H366" s="122" t="s">
        <v>446</v>
      </c>
      <c r="I366" s="121" t="s">
        <v>469</v>
      </c>
      <c r="J366" s="122" t="s">
        <v>448</v>
      </c>
      <c r="K366" s="123">
        <v>200</v>
      </c>
      <c r="L366" s="124">
        <v>986</v>
      </c>
      <c r="M366" s="125">
        <f t="shared" si="38"/>
        <v>0</v>
      </c>
      <c r="N366" s="125">
        <f>L366-M366</f>
        <v>986</v>
      </c>
      <c r="O366" s="125"/>
      <c r="P366" s="125">
        <f t="shared" si="2"/>
        <v>197200</v>
      </c>
      <c r="Q366" s="126">
        <f t="shared" si="3"/>
        <v>1.0239999999999998</v>
      </c>
      <c r="R366" s="126">
        <f t="shared" si="74"/>
        <v>0</v>
      </c>
      <c r="S366" s="126">
        <f t="shared" si="35"/>
        <v>0.98</v>
      </c>
      <c r="T366" s="126">
        <f>ROUND(P366*K$1806,2)+1</f>
        <v>198.2</v>
      </c>
      <c r="U366" s="126">
        <v>0</v>
      </c>
      <c r="V366" s="126">
        <f t="shared" si="341"/>
        <v>5.42</v>
      </c>
      <c r="W366" s="126">
        <f t="shared" si="217"/>
        <v>0.2</v>
      </c>
      <c r="X366" s="126">
        <f t="shared" si="9"/>
        <v>204.79999999999995</v>
      </c>
      <c r="Y366" s="127">
        <f>ROUND(P366-SUM(R366:W366),2)</f>
        <v>196995.20000000001</v>
      </c>
      <c r="Z366" s="128">
        <f t="shared" si="230"/>
        <v>196995</v>
      </c>
      <c r="AA366" s="129">
        <f t="shared" si="47"/>
        <v>-0.20000000001164153</v>
      </c>
      <c r="AB366" s="120">
        <v>44553</v>
      </c>
      <c r="AC366" s="130">
        <f t="shared" si="12"/>
        <v>1.039E-3</v>
      </c>
      <c r="AD366" s="131">
        <f t="shared" si="13"/>
        <v>44553</v>
      </c>
      <c r="AE366" s="132" t="s">
        <v>403</v>
      </c>
      <c r="AF366" s="119"/>
    </row>
    <row r="367" spans="1:32" ht="12" customHeight="1">
      <c r="A367" s="148">
        <v>44552</v>
      </c>
      <c r="B367" s="149" t="s">
        <v>575</v>
      </c>
      <c r="C367" s="149"/>
      <c r="D367" s="149"/>
      <c r="E367" s="149"/>
      <c r="F367" s="149"/>
      <c r="G367" s="149"/>
      <c r="H367" s="135" t="s">
        <v>453</v>
      </c>
      <c r="I367" s="134" t="s">
        <v>469</v>
      </c>
      <c r="J367" s="135" t="s">
        <v>448</v>
      </c>
      <c r="K367" s="136">
        <v>135</v>
      </c>
      <c r="L367" s="137">
        <v>980.96294999999998</v>
      </c>
      <c r="M367" s="138">
        <f t="shared" si="38"/>
        <v>0</v>
      </c>
      <c r="N367" s="138">
        <f t="shared" ref="N367:N370" si="342">L367+M367</f>
        <v>980.96294999999998</v>
      </c>
      <c r="O367" s="138"/>
      <c r="P367" s="138">
        <f t="shared" si="2"/>
        <v>132430</v>
      </c>
      <c r="Q367" s="139">
        <f t="shared" si="3"/>
        <v>1.1608888888888886</v>
      </c>
      <c r="R367" s="139">
        <f t="shared" si="74"/>
        <v>0</v>
      </c>
      <c r="S367" s="139">
        <f t="shared" si="35"/>
        <v>0.66</v>
      </c>
      <c r="T367" s="139">
        <f>ROUND(P367*K$1806,2)</f>
        <v>132.43</v>
      </c>
      <c r="U367" s="139">
        <f t="shared" ref="U367:U370" si="343">ROUND(P367*K$1812,2)</f>
        <v>19.86</v>
      </c>
      <c r="V367" s="139">
        <f t="shared" si="341"/>
        <v>3.64</v>
      </c>
      <c r="W367" s="139">
        <f t="shared" si="217"/>
        <v>0.13</v>
      </c>
      <c r="X367" s="140">
        <f t="shared" si="9"/>
        <v>156.71999999999997</v>
      </c>
      <c r="Y367" s="141">
        <f t="shared" ref="Y367:Y370" si="344">-ROUND(P367+SUM(R367:W367),2)</f>
        <v>-132586.72</v>
      </c>
      <c r="Z367" s="142">
        <f t="shared" si="230"/>
        <v>-132587</v>
      </c>
      <c r="AA367" s="143">
        <f t="shared" si="47"/>
        <v>-0.27999999999883585</v>
      </c>
      <c r="AB367" s="133">
        <v>44554</v>
      </c>
      <c r="AC367" s="144">
        <f t="shared" si="12"/>
        <v>1.183E-3</v>
      </c>
      <c r="AD367" s="145">
        <f t="shared" si="13"/>
        <v>44554</v>
      </c>
      <c r="AE367" s="146" t="s">
        <v>403</v>
      </c>
      <c r="AF367" s="119"/>
    </row>
    <row r="368" spans="1:32" ht="12" customHeight="1">
      <c r="A368" s="148">
        <v>44553</v>
      </c>
      <c r="B368" s="149" t="s">
        <v>575</v>
      </c>
      <c r="C368" s="149"/>
      <c r="D368" s="149"/>
      <c r="E368" s="149"/>
      <c r="F368" s="149"/>
      <c r="G368" s="149"/>
      <c r="H368" s="135" t="s">
        <v>453</v>
      </c>
      <c r="I368" s="134" t="s">
        <v>469</v>
      </c>
      <c r="J368" s="135" t="s">
        <v>448</v>
      </c>
      <c r="K368" s="136">
        <v>65</v>
      </c>
      <c r="L368" s="137">
        <v>978</v>
      </c>
      <c r="M368" s="138">
        <f t="shared" si="38"/>
        <v>0</v>
      </c>
      <c r="N368" s="138">
        <f t="shared" si="342"/>
        <v>978</v>
      </c>
      <c r="O368" s="138"/>
      <c r="P368" s="138">
        <f t="shared" si="2"/>
        <v>63570</v>
      </c>
      <c r="Q368" s="139">
        <f t="shared" si="3"/>
        <v>1.1729230769230767</v>
      </c>
      <c r="R368" s="139">
        <f t="shared" si="74"/>
        <v>0</v>
      </c>
      <c r="S368" s="139">
        <f t="shared" si="35"/>
        <v>0.32</v>
      </c>
      <c r="T368" s="139">
        <f>ROUND(P368*K$1806,2)+1</f>
        <v>64.569999999999993</v>
      </c>
      <c r="U368" s="139">
        <f t="shared" si="343"/>
        <v>9.5399999999999991</v>
      </c>
      <c r="V368" s="139">
        <f t="shared" si="341"/>
        <v>1.75</v>
      </c>
      <c r="W368" s="139">
        <f t="shared" si="217"/>
        <v>0.06</v>
      </c>
      <c r="X368" s="140">
        <f t="shared" si="9"/>
        <v>76.239999999999981</v>
      </c>
      <c r="Y368" s="141">
        <f t="shared" si="344"/>
        <v>-63646.239999999998</v>
      </c>
      <c r="Z368" s="142">
        <f t="shared" si="230"/>
        <v>-63646</v>
      </c>
      <c r="AA368" s="143">
        <f t="shared" si="47"/>
        <v>0.23999999999796273</v>
      </c>
      <c r="AB368" s="133">
        <v>44557</v>
      </c>
      <c r="AC368" s="144">
        <f t="shared" si="12"/>
        <v>1.199E-3</v>
      </c>
      <c r="AD368" s="145">
        <f t="shared" si="13"/>
        <v>44557</v>
      </c>
      <c r="AE368" s="146" t="s">
        <v>403</v>
      </c>
      <c r="AF368" s="119"/>
    </row>
    <row r="369" spans="1:32" ht="12" customHeight="1">
      <c r="A369" s="148">
        <v>44554</v>
      </c>
      <c r="B369" s="149" t="s">
        <v>575</v>
      </c>
      <c r="C369" s="149"/>
      <c r="D369" s="149"/>
      <c r="E369" s="149"/>
      <c r="F369" s="149"/>
      <c r="G369" s="149"/>
      <c r="H369" s="135" t="s">
        <v>453</v>
      </c>
      <c r="I369" s="134" t="s">
        <v>469</v>
      </c>
      <c r="J369" s="135" t="s">
        <v>448</v>
      </c>
      <c r="K369" s="136">
        <v>50</v>
      </c>
      <c r="L369" s="137">
        <v>963</v>
      </c>
      <c r="M369" s="138">
        <f t="shared" si="38"/>
        <v>0</v>
      </c>
      <c r="N369" s="138">
        <f t="shared" si="342"/>
        <v>963</v>
      </c>
      <c r="O369" s="138"/>
      <c r="P369" s="138">
        <f t="shared" si="2"/>
        <v>48150</v>
      </c>
      <c r="Q369" s="139">
        <f t="shared" si="3"/>
        <v>1.1395999999999999</v>
      </c>
      <c r="R369" s="139">
        <f t="shared" si="74"/>
        <v>0</v>
      </c>
      <c r="S369" s="139">
        <f t="shared" si="35"/>
        <v>0.24</v>
      </c>
      <c r="T369" s="139">
        <f t="shared" ref="T369:T370" si="345">ROUND(P369*K$1806,2)</f>
        <v>48.15</v>
      </c>
      <c r="U369" s="139">
        <f t="shared" si="343"/>
        <v>7.22</v>
      </c>
      <c r="V369" s="139">
        <f t="shared" si="341"/>
        <v>1.32</v>
      </c>
      <c r="W369" s="139">
        <f t="shared" si="217"/>
        <v>0.05</v>
      </c>
      <c r="X369" s="140">
        <f t="shared" si="9"/>
        <v>56.98</v>
      </c>
      <c r="Y369" s="141">
        <f t="shared" si="344"/>
        <v>-48206.98</v>
      </c>
      <c r="Z369" s="142">
        <f t="shared" si="230"/>
        <v>-48207</v>
      </c>
      <c r="AA369" s="143">
        <f t="shared" si="47"/>
        <v>-1.9999999996798579E-2</v>
      </c>
      <c r="AB369" s="133">
        <v>44558</v>
      </c>
      <c r="AC369" s="144">
        <f t="shared" si="12"/>
        <v>1.183E-3</v>
      </c>
      <c r="AD369" s="145">
        <f t="shared" si="13"/>
        <v>44558</v>
      </c>
      <c r="AE369" s="146" t="s">
        <v>403</v>
      </c>
      <c r="AF369" s="119"/>
    </row>
    <row r="370" spans="1:32" ht="12" customHeight="1">
      <c r="A370" s="148">
        <v>44554</v>
      </c>
      <c r="B370" s="149" t="s">
        <v>548</v>
      </c>
      <c r="C370" s="149"/>
      <c r="D370" s="149"/>
      <c r="E370" s="149"/>
      <c r="F370" s="149"/>
      <c r="G370" s="149"/>
      <c r="H370" s="135" t="s">
        <v>453</v>
      </c>
      <c r="I370" s="134" t="s">
        <v>469</v>
      </c>
      <c r="J370" s="135" t="s">
        <v>471</v>
      </c>
      <c r="K370" s="136">
        <v>100</v>
      </c>
      <c r="L370" s="137">
        <v>13.5</v>
      </c>
      <c r="M370" s="138">
        <f t="shared" si="38"/>
        <v>0</v>
      </c>
      <c r="N370" s="138">
        <f t="shared" si="342"/>
        <v>13.5</v>
      </c>
      <c r="O370" s="138"/>
      <c r="P370" s="138">
        <f t="shared" si="2"/>
        <v>1350</v>
      </c>
      <c r="Q370" s="139">
        <f t="shared" si="3"/>
        <v>1.6E-2</v>
      </c>
      <c r="R370" s="139">
        <f t="shared" si="74"/>
        <v>0</v>
      </c>
      <c r="S370" s="139">
        <f t="shared" si="35"/>
        <v>0.01</v>
      </c>
      <c r="T370" s="139">
        <f t="shared" si="345"/>
        <v>1.35</v>
      </c>
      <c r="U370" s="139">
        <f t="shared" si="343"/>
        <v>0.2</v>
      </c>
      <c r="V370" s="139">
        <f t="shared" si="341"/>
        <v>0.04</v>
      </c>
      <c r="W370" s="139">
        <f t="shared" si="217"/>
        <v>0</v>
      </c>
      <c r="X370" s="140">
        <f t="shared" si="9"/>
        <v>1.6</v>
      </c>
      <c r="Y370" s="141">
        <f t="shared" si="344"/>
        <v>-1351.6</v>
      </c>
      <c r="Z370" s="142">
        <f t="shared" si="230"/>
        <v>-1352</v>
      </c>
      <c r="AA370" s="143">
        <f t="shared" si="47"/>
        <v>-0.40000000000009095</v>
      </c>
      <c r="AB370" s="133">
        <v>44558</v>
      </c>
      <c r="AC370" s="144">
        <f t="shared" si="12"/>
        <v>1.1850000000000001E-3</v>
      </c>
      <c r="AD370" s="145">
        <f t="shared" si="13"/>
        <v>44558</v>
      </c>
      <c r="AE370" s="146" t="s">
        <v>403</v>
      </c>
      <c r="AF370" s="119"/>
    </row>
    <row r="371" spans="1:32" ht="12" customHeight="1">
      <c r="A371" s="150">
        <v>44557</v>
      </c>
      <c r="B371" s="151" t="s">
        <v>548</v>
      </c>
      <c r="C371" s="151"/>
      <c r="D371" s="151"/>
      <c r="E371" s="151"/>
      <c r="F371" s="151"/>
      <c r="G371" s="151"/>
      <c r="H371" s="122" t="s">
        <v>446</v>
      </c>
      <c r="I371" s="121" t="s">
        <v>469</v>
      </c>
      <c r="J371" s="122" t="s">
        <v>471</v>
      </c>
      <c r="K371" s="123">
        <v>100</v>
      </c>
      <c r="L371" s="124">
        <v>14.25</v>
      </c>
      <c r="M371" s="125">
        <f t="shared" si="38"/>
        <v>0</v>
      </c>
      <c r="N371" s="125">
        <f t="shared" ref="N371:N376" si="346">L371-M371</f>
        <v>14.25</v>
      </c>
      <c r="O371" s="125"/>
      <c r="P371" s="125">
        <f t="shared" si="2"/>
        <v>1425</v>
      </c>
      <c r="Q371" s="126">
        <f t="shared" si="3"/>
        <v>1.55E-2</v>
      </c>
      <c r="R371" s="126">
        <f t="shared" si="74"/>
        <v>0</v>
      </c>
      <c r="S371" s="126">
        <f t="shared" si="35"/>
        <v>0.01</v>
      </c>
      <c r="T371" s="126">
        <f>ROUND(P371*K$1806,2)+0.07</f>
        <v>1.5</v>
      </c>
      <c r="U371" s="126">
        <v>0</v>
      </c>
      <c r="V371" s="126">
        <f t="shared" si="341"/>
        <v>0.04</v>
      </c>
      <c r="W371" s="126">
        <f t="shared" si="217"/>
        <v>0</v>
      </c>
      <c r="X371" s="126">
        <f t="shared" si="9"/>
        <v>1.55</v>
      </c>
      <c r="Y371" s="127">
        <f t="shared" ref="Y371:Y376" si="347">ROUND(P371-SUM(R371:W371),2)</f>
        <v>1423.45</v>
      </c>
      <c r="Z371" s="128">
        <f t="shared" si="230"/>
        <v>1423</v>
      </c>
      <c r="AA371" s="129">
        <f t="shared" si="47"/>
        <v>-0.45000000000004547</v>
      </c>
      <c r="AB371" s="120">
        <v>44559</v>
      </c>
      <c r="AC371" s="130">
        <f t="shared" si="12"/>
        <v>1.088E-3</v>
      </c>
      <c r="AD371" s="131">
        <f t="shared" si="13"/>
        <v>44559</v>
      </c>
      <c r="AE371" s="132" t="s">
        <v>403</v>
      </c>
      <c r="AF371" s="119"/>
    </row>
    <row r="372" spans="1:32" ht="12" customHeight="1">
      <c r="A372" s="150">
        <v>44557</v>
      </c>
      <c r="B372" s="151" t="s">
        <v>484</v>
      </c>
      <c r="C372" s="151"/>
      <c r="D372" s="151"/>
      <c r="E372" s="151"/>
      <c r="F372" s="151"/>
      <c r="G372" s="151"/>
      <c r="H372" s="122" t="s">
        <v>446</v>
      </c>
      <c r="I372" s="121" t="s">
        <v>469</v>
      </c>
      <c r="J372" s="122" t="s">
        <v>471</v>
      </c>
      <c r="K372" s="123">
        <v>1</v>
      </c>
      <c r="L372" s="124">
        <v>6895</v>
      </c>
      <c r="M372" s="125">
        <f t="shared" si="38"/>
        <v>0</v>
      </c>
      <c r="N372" s="125">
        <f t="shared" si="346"/>
        <v>6895</v>
      </c>
      <c r="O372" s="125"/>
      <c r="P372" s="125">
        <f t="shared" si="2"/>
        <v>6895</v>
      </c>
      <c r="Q372" s="126">
        <f t="shared" si="3"/>
        <v>7.19</v>
      </c>
      <c r="R372" s="126">
        <f t="shared" si="74"/>
        <v>0</v>
      </c>
      <c r="S372" s="126">
        <f t="shared" si="35"/>
        <v>0.04</v>
      </c>
      <c r="T372" s="126">
        <f t="shared" ref="T372:T410" si="348">ROUND(P372*K$1806,2)</f>
        <v>6.9</v>
      </c>
      <c r="U372" s="126">
        <v>0</v>
      </c>
      <c r="V372" s="126">
        <f>ROUND(P372*M$1809,2)</f>
        <v>0.24</v>
      </c>
      <c r="W372" s="126">
        <f t="shared" si="217"/>
        <v>0.01</v>
      </c>
      <c r="X372" s="126">
        <f t="shared" si="9"/>
        <v>7.19</v>
      </c>
      <c r="Y372" s="127">
        <f t="shared" si="347"/>
        <v>6887.81</v>
      </c>
      <c r="Z372" s="128">
        <f t="shared" si="230"/>
        <v>6888</v>
      </c>
      <c r="AA372" s="129">
        <f t="shared" si="47"/>
        <v>0.18999999999959982</v>
      </c>
      <c r="AB372" s="120">
        <v>44559</v>
      </c>
      <c r="AC372" s="130">
        <f t="shared" si="12"/>
        <v>1.0430000000000001E-3</v>
      </c>
      <c r="AD372" s="131">
        <f t="shared" si="13"/>
        <v>44559</v>
      </c>
      <c r="AE372" s="132" t="s">
        <v>403</v>
      </c>
      <c r="AF372" s="119"/>
    </row>
    <row r="373" spans="1:32" ht="12" customHeight="1">
      <c r="A373" s="150">
        <v>44557</v>
      </c>
      <c r="B373" s="151" t="s">
        <v>512</v>
      </c>
      <c r="C373" s="151"/>
      <c r="D373" s="151"/>
      <c r="E373" s="151"/>
      <c r="F373" s="151"/>
      <c r="G373" s="151"/>
      <c r="H373" s="122" t="s">
        <v>446</v>
      </c>
      <c r="I373" s="121" t="s">
        <v>469</v>
      </c>
      <c r="J373" s="122" t="s">
        <v>471</v>
      </c>
      <c r="K373" s="123">
        <v>100</v>
      </c>
      <c r="L373" s="124">
        <v>111</v>
      </c>
      <c r="M373" s="125">
        <f t="shared" si="38"/>
        <v>0</v>
      </c>
      <c r="N373" s="125">
        <f t="shared" si="346"/>
        <v>111</v>
      </c>
      <c r="O373" s="125"/>
      <c r="P373" s="125">
        <f t="shared" si="2"/>
        <v>11100</v>
      </c>
      <c r="Q373" s="126">
        <f t="shared" si="3"/>
        <v>0.1148</v>
      </c>
      <c r="R373" s="126">
        <f t="shared" si="74"/>
        <v>0</v>
      </c>
      <c r="S373" s="126">
        <f t="shared" si="35"/>
        <v>0.06</v>
      </c>
      <c r="T373" s="126">
        <f t="shared" si="348"/>
        <v>11.1</v>
      </c>
      <c r="U373" s="126">
        <v>0</v>
      </c>
      <c r="V373" s="126">
        <f t="shared" ref="V373:V378" si="349">ROUND(P373*L$1809,2)</f>
        <v>0.31</v>
      </c>
      <c r="W373" s="126">
        <f t="shared" si="217"/>
        <v>0.01</v>
      </c>
      <c r="X373" s="126">
        <f t="shared" si="9"/>
        <v>11.48</v>
      </c>
      <c r="Y373" s="127">
        <f t="shared" si="347"/>
        <v>11088.52</v>
      </c>
      <c r="Z373" s="128">
        <f t="shared" si="230"/>
        <v>11089</v>
      </c>
      <c r="AA373" s="129">
        <f t="shared" si="47"/>
        <v>0.47999999999956344</v>
      </c>
      <c r="AB373" s="120">
        <v>44559</v>
      </c>
      <c r="AC373" s="130">
        <f t="shared" si="12"/>
        <v>1.034E-3</v>
      </c>
      <c r="AD373" s="131">
        <f t="shared" si="13"/>
        <v>44559</v>
      </c>
      <c r="AE373" s="132" t="s">
        <v>403</v>
      </c>
      <c r="AF373" s="119"/>
    </row>
    <row r="374" spans="1:32" ht="12" customHeight="1">
      <c r="A374" s="150">
        <v>44557</v>
      </c>
      <c r="B374" s="151" t="s">
        <v>577</v>
      </c>
      <c r="C374" s="151"/>
      <c r="D374" s="151"/>
      <c r="E374" s="151"/>
      <c r="F374" s="151"/>
      <c r="G374" s="151"/>
      <c r="H374" s="122" t="s">
        <v>446</v>
      </c>
      <c r="I374" s="121" t="s">
        <v>469</v>
      </c>
      <c r="J374" s="122" t="s">
        <v>471</v>
      </c>
      <c r="K374" s="123">
        <v>35</v>
      </c>
      <c r="L374" s="124">
        <v>237</v>
      </c>
      <c r="M374" s="125">
        <f t="shared" si="38"/>
        <v>0</v>
      </c>
      <c r="N374" s="125">
        <f t="shared" si="346"/>
        <v>237</v>
      </c>
      <c r="O374" s="125"/>
      <c r="P374" s="125">
        <f t="shared" si="2"/>
        <v>8295</v>
      </c>
      <c r="Q374" s="126">
        <f t="shared" si="3"/>
        <v>0.24514285714285713</v>
      </c>
      <c r="R374" s="126">
        <f t="shared" si="74"/>
        <v>0</v>
      </c>
      <c r="S374" s="126">
        <f t="shared" si="35"/>
        <v>0.04</v>
      </c>
      <c r="T374" s="126">
        <f t="shared" si="348"/>
        <v>8.3000000000000007</v>
      </c>
      <c r="U374" s="126">
        <v>0</v>
      </c>
      <c r="V374" s="126">
        <f t="shared" si="349"/>
        <v>0.23</v>
      </c>
      <c r="W374" s="126">
        <f t="shared" si="217"/>
        <v>0.01</v>
      </c>
      <c r="X374" s="126">
        <f t="shared" si="9"/>
        <v>8.58</v>
      </c>
      <c r="Y374" s="127">
        <f t="shared" si="347"/>
        <v>8286.42</v>
      </c>
      <c r="Z374" s="128">
        <f t="shared" si="230"/>
        <v>8286</v>
      </c>
      <c r="AA374" s="129">
        <f t="shared" si="47"/>
        <v>-0.42000000000007276</v>
      </c>
      <c r="AB374" s="120">
        <v>44559</v>
      </c>
      <c r="AC374" s="130">
        <f t="shared" si="12"/>
        <v>1.034E-3</v>
      </c>
      <c r="AD374" s="131">
        <f t="shared" si="13"/>
        <v>44559</v>
      </c>
      <c r="AE374" s="132" t="s">
        <v>403</v>
      </c>
      <c r="AF374" s="119"/>
    </row>
    <row r="375" spans="1:32" ht="12" customHeight="1">
      <c r="A375" s="150">
        <v>44558</v>
      </c>
      <c r="B375" s="151" t="s">
        <v>579</v>
      </c>
      <c r="C375" s="151"/>
      <c r="D375" s="151"/>
      <c r="E375" s="151"/>
      <c r="F375" s="151"/>
      <c r="G375" s="151"/>
      <c r="H375" s="122" t="s">
        <v>446</v>
      </c>
      <c r="I375" s="121" t="s">
        <v>469</v>
      </c>
      <c r="J375" s="122" t="s">
        <v>471</v>
      </c>
      <c r="K375" s="123">
        <v>10</v>
      </c>
      <c r="L375" s="124">
        <v>470</v>
      </c>
      <c r="M375" s="125">
        <f t="shared" si="38"/>
        <v>0</v>
      </c>
      <c r="N375" s="125">
        <f t="shared" si="346"/>
        <v>470</v>
      </c>
      <c r="O375" s="125"/>
      <c r="P375" s="125">
        <f t="shared" si="2"/>
        <v>4700</v>
      </c>
      <c r="Q375" s="126">
        <f t="shared" si="3"/>
        <v>0.48499999999999999</v>
      </c>
      <c r="R375" s="126">
        <f t="shared" si="74"/>
        <v>0</v>
      </c>
      <c r="S375" s="126">
        <f t="shared" si="35"/>
        <v>0.02</v>
      </c>
      <c r="T375" s="126">
        <f t="shared" si="348"/>
        <v>4.7</v>
      </c>
      <c r="U375" s="126">
        <v>0</v>
      </c>
      <c r="V375" s="126">
        <f t="shared" si="349"/>
        <v>0.13</v>
      </c>
      <c r="W375" s="126">
        <f t="shared" si="217"/>
        <v>0</v>
      </c>
      <c r="X375" s="126">
        <f t="shared" si="9"/>
        <v>4.8499999999999996</v>
      </c>
      <c r="Y375" s="127">
        <f t="shared" si="347"/>
        <v>4695.1499999999996</v>
      </c>
      <c r="Z375" s="128">
        <f t="shared" si="230"/>
        <v>4695</v>
      </c>
      <c r="AA375" s="129">
        <f t="shared" si="47"/>
        <v>-0.1499999999996362</v>
      </c>
      <c r="AB375" s="120">
        <v>44560</v>
      </c>
      <c r="AC375" s="130">
        <f t="shared" si="12"/>
        <v>1.0319999999999999E-3</v>
      </c>
      <c r="AD375" s="131">
        <f t="shared" si="13"/>
        <v>44560</v>
      </c>
      <c r="AE375" s="132" t="s">
        <v>403</v>
      </c>
      <c r="AF375" s="119"/>
    </row>
    <row r="376" spans="1:32" ht="12" customHeight="1">
      <c r="A376" s="150">
        <v>44558</v>
      </c>
      <c r="B376" s="151" t="s">
        <v>548</v>
      </c>
      <c r="C376" s="151"/>
      <c r="D376" s="151"/>
      <c r="E376" s="151"/>
      <c r="F376" s="151"/>
      <c r="G376" s="151"/>
      <c r="H376" s="122" t="s">
        <v>446</v>
      </c>
      <c r="I376" s="121" t="s">
        <v>469</v>
      </c>
      <c r="J376" s="122" t="s">
        <v>471</v>
      </c>
      <c r="K376" s="123">
        <v>100</v>
      </c>
      <c r="L376" s="124">
        <v>14.75</v>
      </c>
      <c r="M376" s="125">
        <f t="shared" si="38"/>
        <v>0</v>
      </c>
      <c r="N376" s="125">
        <f t="shared" si="346"/>
        <v>14.75</v>
      </c>
      <c r="O376" s="125"/>
      <c r="P376" s="125">
        <f t="shared" si="2"/>
        <v>1475</v>
      </c>
      <c r="Q376" s="126">
        <f t="shared" si="3"/>
        <v>1.5300000000000001E-2</v>
      </c>
      <c r="R376" s="126">
        <f t="shared" si="74"/>
        <v>0</v>
      </c>
      <c r="S376" s="126">
        <f t="shared" si="35"/>
        <v>0.01</v>
      </c>
      <c r="T376" s="126">
        <f t="shared" si="348"/>
        <v>1.48</v>
      </c>
      <c r="U376" s="126">
        <v>0</v>
      </c>
      <c r="V376" s="126">
        <f t="shared" si="349"/>
        <v>0.04</v>
      </c>
      <c r="W376" s="126">
        <f t="shared" si="217"/>
        <v>0</v>
      </c>
      <c r="X376" s="126">
        <f t="shared" si="9"/>
        <v>1.53</v>
      </c>
      <c r="Y376" s="127">
        <f t="shared" si="347"/>
        <v>1473.47</v>
      </c>
      <c r="Z376" s="128">
        <f t="shared" si="230"/>
        <v>1473</v>
      </c>
      <c r="AA376" s="129">
        <f t="shared" si="47"/>
        <v>-0.47000000000002728</v>
      </c>
      <c r="AB376" s="120">
        <v>44560</v>
      </c>
      <c r="AC376" s="130">
        <f t="shared" si="12"/>
        <v>1.0369999999999999E-3</v>
      </c>
      <c r="AD376" s="131">
        <f t="shared" si="13"/>
        <v>44560</v>
      </c>
      <c r="AE376" s="132" t="s">
        <v>403</v>
      </c>
      <c r="AF376" s="119"/>
    </row>
    <row r="377" spans="1:32" ht="12" customHeight="1">
      <c r="A377" s="148">
        <v>44558</v>
      </c>
      <c r="B377" s="149" t="s">
        <v>512</v>
      </c>
      <c r="C377" s="149"/>
      <c r="D377" s="149"/>
      <c r="E377" s="149"/>
      <c r="F377" s="149"/>
      <c r="G377" s="149"/>
      <c r="H377" s="135" t="s">
        <v>453</v>
      </c>
      <c r="I377" s="134" t="s">
        <v>469</v>
      </c>
      <c r="J377" s="135" t="s">
        <v>471</v>
      </c>
      <c r="K377" s="136">
        <v>100</v>
      </c>
      <c r="L377" s="137">
        <v>113</v>
      </c>
      <c r="M377" s="138">
        <f t="shared" si="38"/>
        <v>0</v>
      </c>
      <c r="N377" s="138">
        <f t="shared" ref="N377:N378" si="350">L377+M377</f>
        <v>113</v>
      </c>
      <c r="O377" s="138"/>
      <c r="P377" s="138">
        <f t="shared" si="2"/>
        <v>11300</v>
      </c>
      <c r="Q377" s="139">
        <f t="shared" si="3"/>
        <v>0.1338</v>
      </c>
      <c r="R377" s="139">
        <f t="shared" si="74"/>
        <v>0</v>
      </c>
      <c r="S377" s="139">
        <f t="shared" si="35"/>
        <v>0.06</v>
      </c>
      <c r="T377" s="139">
        <f t="shared" si="348"/>
        <v>11.3</v>
      </c>
      <c r="U377" s="139">
        <f t="shared" ref="U377:U378" si="351">ROUND(P377*K$1812,2)</f>
        <v>1.7</v>
      </c>
      <c r="V377" s="139">
        <f t="shared" si="349"/>
        <v>0.31</v>
      </c>
      <c r="W377" s="139">
        <f t="shared" si="217"/>
        <v>0.01</v>
      </c>
      <c r="X377" s="140">
        <f t="shared" si="9"/>
        <v>13.38</v>
      </c>
      <c r="Y377" s="141">
        <f t="shared" ref="Y377:Y378" si="352">-ROUND(P377+SUM(R377:W377),2)</f>
        <v>-11313.38</v>
      </c>
      <c r="Z377" s="142">
        <f t="shared" si="230"/>
        <v>-11313</v>
      </c>
      <c r="AA377" s="143">
        <f t="shared" si="47"/>
        <v>0.37999999999919964</v>
      </c>
      <c r="AB377" s="133">
        <v>44560</v>
      </c>
      <c r="AC377" s="144">
        <f t="shared" si="12"/>
        <v>1.1839999999999999E-3</v>
      </c>
      <c r="AD377" s="145">
        <f t="shared" si="13"/>
        <v>44560</v>
      </c>
      <c r="AE377" s="146" t="s">
        <v>403</v>
      </c>
      <c r="AF377" s="119"/>
    </row>
    <row r="378" spans="1:32" ht="12" customHeight="1">
      <c r="A378" s="148">
        <v>44558</v>
      </c>
      <c r="B378" s="149" t="s">
        <v>577</v>
      </c>
      <c r="C378" s="149"/>
      <c r="D378" s="149"/>
      <c r="E378" s="149"/>
      <c r="F378" s="149"/>
      <c r="G378" s="149"/>
      <c r="H378" s="135" t="s">
        <v>453</v>
      </c>
      <c r="I378" s="134" t="s">
        <v>469</v>
      </c>
      <c r="J378" s="135" t="s">
        <v>471</v>
      </c>
      <c r="K378" s="136">
        <v>50</v>
      </c>
      <c r="L378" s="137">
        <v>252.5</v>
      </c>
      <c r="M378" s="138">
        <f t="shared" si="38"/>
        <v>0</v>
      </c>
      <c r="N378" s="138">
        <f t="shared" si="350"/>
        <v>252.5</v>
      </c>
      <c r="O378" s="138"/>
      <c r="P378" s="138">
        <f t="shared" si="2"/>
        <v>12625</v>
      </c>
      <c r="Q378" s="139">
        <f t="shared" si="3"/>
        <v>0.29880000000000001</v>
      </c>
      <c r="R378" s="139">
        <f t="shared" si="74"/>
        <v>0</v>
      </c>
      <c r="S378" s="139">
        <f t="shared" si="35"/>
        <v>0.06</v>
      </c>
      <c r="T378" s="139">
        <f t="shared" si="348"/>
        <v>12.63</v>
      </c>
      <c r="U378" s="139">
        <f t="shared" si="351"/>
        <v>1.89</v>
      </c>
      <c r="V378" s="139">
        <f t="shared" si="349"/>
        <v>0.35</v>
      </c>
      <c r="W378" s="139">
        <f t="shared" si="217"/>
        <v>0.01</v>
      </c>
      <c r="X378" s="140">
        <f t="shared" si="9"/>
        <v>14.940000000000001</v>
      </c>
      <c r="Y378" s="141">
        <f t="shared" si="352"/>
        <v>-12639.94</v>
      </c>
      <c r="Z378" s="142">
        <f t="shared" si="230"/>
        <v>-12640</v>
      </c>
      <c r="AA378" s="143">
        <f t="shared" si="47"/>
        <v>-5.9999999999490683E-2</v>
      </c>
      <c r="AB378" s="133">
        <v>44560</v>
      </c>
      <c r="AC378" s="144">
        <f t="shared" si="12"/>
        <v>1.183E-3</v>
      </c>
      <c r="AD378" s="145">
        <f t="shared" si="13"/>
        <v>44560</v>
      </c>
      <c r="AE378" s="146" t="s">
        <v>403</v>
      </c>
      <c r="AF378" s="119"/>
    </row>
    <row r="379" spans="1:32" ht="12" customHeight="1">
      <c r="A379" s="150">
        <v>44559</v>
      </c>
      <c r="B379" s="151" t="s">
        <v>584</v>
      </c>
      <c r="C379" s="151"/>
      <c r="D379" s="151"/>
      <c r="E379" s="151"/>
      <c r="F379" s="151"/>
      <c r="G379" s="151"/>
      <c r="H379" s="122" t="s">
        <v>446</v>
      </c>
      <c r="I379" s="121" t="s">
        <v>469</v>
      </c>
      <c r="J379" s="122" t="s">
        <v>471</v>
      </c>
      <c r="K379" s="123">
        <v>1000</v>
      </c>
      <c r="L379" s="124">
        <v>8.66</v>
      </c>
      <c r="M379" s="125">
        <f t="shared" si="38"/>
        <v>0</v>
      </c>
      <c r="N379" s="125">
        <f>L379-M379</f>
        <v>8.66</v>
      </c>
      <c r="O379" s="125"/>
      <c r="P379" s="125">
        <f t="shared" si="2"/>
        <v>8660</v>
      </c>
      <c r="Q379" s="126">
        <f t="shared" si="3"/>
        <v>9.020000000000002E-3</v>
      </c>
      <c r="R379" s="126">
        <f t="shared" si="74"/>
        <v>0</v>
      </c>
      <c r="S379" s="126">
        <f t="shared" si="35"/>
        <v>0.05</v>
      </c>
      <c r="T379" s="126">
        <f t="shared" si="348"/>
        <v>8.66</v>
      </c>
      <c r="U379" s="126">
        <v>0</v>
      </c>
      <c r="V379" s="126">
        <f t="shared" ref="V379:V380" si="353">ROUND(P379*M$1809,2)</f>
        <v>0.3</v>
      </c>
      <c r="W379" s="126">
        <f t="shared" si="217"/>
        <v>0.01</v>
      </c>
      <c r="X379" s="126">
        <f t="shared" si="9"/>
        <v>9.0200000000000014</v>
      </c>
      <c r="Y379" s="127">
        <f>ROUND(P379-SUM(R379:W379),2)</f>
        <v>8650.98</v>
      </c>
      <c r="Z379" s="128">
        <f t="shared" si="230"/>
        <v>8651</v>
      </c>
      <c r="AA379" s="129">
        <f t="shared" si="47"/>
        <v>2.0000000000436557E-2</v>
      </c>
      <c r="AB379" s="120">
        <v>44561</v>
      </c>
      <c r="AC379" s="130">
        <f t="shared" si="12"/>
        <v>1.042E-3</v>
      </c>
      <c r="AD379" s="131">
        <f t="shared" si="13"/>
        <v>44561</v>
      </c>
      <c r="AE379" s="132" t="s">
        <v>403</v>
      </c>
      <c r="AF379" s="119"/>
    </row>
    <row r="380" spans="1:32" ht="12" customHeight="1">
      <c r="A380" s="148">
        <v>44559</v>
      </c>
      <c r="B380" s="149" t="s">
        <v>548</v>
      </c>
      <c r="C380" s="149"/>
      <c r="D380" s="149"/>
      <c r="E380" s="149"/>
      <c r="F380" s="149"/>
      <c r="G380" s="149"/>
      <c r="H380" s="135" t="s">
        <v>453</v>
      </c>
      <c r="I380" s="134" t="s">
        <v>469</v>
      </c>
      <c r="J380" s="135" t="s">
        <v>471</v>
      </c>
      <c r="K380" s="136">
        <v>200</v>
      </c>
      <c r="L380" s="137">
        <v>15</v>
      </c>
      <c r="M380" s="138">
        <f t="shared" si="38"/>
        <v>0</v>
      </c>
      <c r="N380" s="138">
        <f t="shared" ref="N380:N381" si="354">L380+M380</f>
        <v>15</v>
      </c>
      <c r="O380" s="138"/>
      <c r="P380" s="138">
        <f t="shared" si="2"/>
        <v>3000</v>
      </c>
      <c r="Q380" s="139">
        <f t="shared" si="3"/>
        <v>1.7850000000000001E-2</v>
      </c>
      <c r="R380" s="139">
        <f t="shared" si="74"/>
        <v>0</v>
      </c>
      <c r="S380" s="139">
        <f t="shared" si="35"/>
        <v>0.02</v>
      </c>
      <c r="T380" s="139">
        <f t="shared" si="348"/>
        <v>3</v>
      </c>
      <c r="U380" s="139">
        <f t="shared" ref="U380:U381" si="355">ROUND(P380*K$1812,2)</f>
        <v>0.45</v>
      </c>
      <c r="V380" s="139">
        <f t="shared" si="353"/>
        <v>0.1</v>
      </c>
      <c r="W380" s="139">
        <f t="shared" si="217"/>
        <v>0</v>
      </c>
      <c r="X380" s="140">
        <f t="shared" si="9"/>
        <v>3.5700000000000003</v>
      </c>
      <c r="Y380" s="141">
        <f t="shared" ref="Y380:Y381" si="356">-ROUND(P380+SUM(R380:W380),2)</f>
        <v>-3003.57</v>
      </c>
      <c r="Z380" s="142">
        <f t="shared" si="230"/>
        <v>-3004</v>
      </c>
      <c r="AA380" s="143">
        <f t="shared" si="47"/>
        <v>-0.42999999999983629</v>
      </c>
      <c r="AB380" s="133">
        <v>44561</v>
      </c>
      <c r="AC380" s="144">
        <f t="shared" si="12"/>
        <v>1.1900000000000001E-3</v>
      </c>
      <c r="AD380" s="145">
        <f t="shared" si="13"/>
        <v>44561</v>
      </c>
      <c r="AE380" s="146" t="s">
        <v>403</v>
      </c>
      <c r="AF380" s="119"/>
    </row>
    <row r="381" spans="1:32" ht="12" customHeight="1">
      <c r="A381" s="148">
        <v>44560</v>
      </c>
      <c r="B381" s="149" t="s">
        <v>512</v>
      </c>
      <c r="C381" s="149"/>
      <c r="D381" s="149"/>
      <c r="E381" s="149"/>
      <c r="F381" s="149"/>
      <c r="G381" s="149"/>
      <c r="H381" s="135" t="s">
        <v>453</v>
      </c>
      <c r="I381" s="134" t="s">
        <v>469</v>
      </c>
      <c r="J381" s="135" t="s">
        <v>471</v>
      </c>
      <c r="K381" s="136">
        <v>100</v>
      </c>
      <c r="L381" s="137">
        <v>109</v>
      </c>
      <c r="M381" s="138">
        <f t="shared" si="38"/>
        <v>0</v>
      </c>
      <c r="N381" s="138">
        <f t="shared" si="354"/>
        <v>109</v>
      </c>
      <c r="O381" s="138"/>
      <c r="P381" s="138">
        <f t="shared" si="2"/>
        <v>10900</v>
      </c>
      <c r="Q381" s="139">
        <f t="shared" si="3"/>
        <v>0.12900000000000003</v>
      </c>
      <c r="R381" s="139">
        <f t="shared" si="74"/>
        <v>0</v>
      </c>
      <c r="S381" s="139">
        <f t="shared" si="35"/>
        <v>0.05</v>
      </c>
      <c r="T381" s="139">
        <f t="shared" si="348"/>
        <v>10.9</v>
      </c>
      <c r="U381" s="139">
        <f t="shared" si="355"/>
        <v>1.64</v>
      </c>
      <c r="V381" s="139">
        <f>ROUND(P381*L$1809,2)</f>
        <v>0.3</v>
      </c>
      <c r="W381" s="139">
        <f t="shared" si="217"/>
        <v>0.01</v>
      </c>
      <c r="X381" s="140">
        <f t="shared" si="9"/>
        <v>12.900000000000002</v>
      </c>
      <c r="Y381" s="141">
        <f t="shared" si="356"/>
        <v>-10912.9</v>
      </c>
      <c r="Z381" s="142">
        <f t="shared" si="230"/>
        <v>-10913</v>
      </c>
      <c r="AA381" s="143">
        <f t="shared" si="47"/>
        <v>-0.1000000000003638</v>
      </c>
      <c r="AB381" s="133">
        <v>44564</v>
      </c>
      <c r="AC381" s="144">
        <f t="shared" si="12"/>
        <v>1.183E-3</v>
      </c>
      <c r="AD381" s="145">
        <f t="shared" si="13"/>
        <v>44564</v>
      </c>
      <c r="AE381" s="146" t="s">
        <v>403</v>
      </c>
      <c r="AF381" s="119"/>
    </row>
    <row r="382" spans="1:32" ht="12" customHeight="1">
      <c r="A382" s="150">
        <v>44561</v>
      </c>
      <c r="B382" s="151" t="s">
        <v>482</v>
      </c>
      <c r="C382" s="151"/>
      <c r="D382" s="151"/>
      <c r="E382" s="151"/>
      <c r="F382" s="151"/>
      <c r="G382" s="151"/>
      <c r="H382" s="122" t="s">
        <v>446</v>
      </c>
      <c r="I382" s="121" t="s">
        <v>469</v>
      </c>
      <c r="J382" s="122" t="s">
        <v>471</v>
      </c>
      <c r="K382" s="123">
        <v>50</v>
      </c>
      <c r="L382" s="124">
        <v>101.25</v>
      </c>
      <c r="M382" s="125">
        <f t="shared" si="38"/>
        <v>0</v>
      </c>
      <c r="N382" s="125">
        <f t="shared" ref="N382:N383" si="357">L382-M382</f>
        <v>101.25</v>
      </c>
      <c r="O382" s="125"/>
      <c r="P382" s="125">
        <f t="shared" si="2"/>
        <v>5062.5</v>
      </c>
      <c r="Q382" s="126">
        <f t="shared" si="3"/>
        <v>0.10539999999999999</v>
      </c>
      <c r="R382" s="126">
        <f t="shared" si="74"/>
        <v>0</v>
      </c>
      <c r="S382" s="126">
        <f t="shared" si="35"/>
        <v>0.03</v>
      </c>
      <c r="T382" s="126">
        <f t="shared" si="348"/>
        <v>5.0599999999999996</v>
      </c>
      <c r="U382" s="126">
        <v>0</v>
      </c>
      <c r="V382" s="126">
        <f>ROUND(P382*M$1809,2)</f>
        <v>0.17</v>
      </c>
      <c r="W382" s="126">
        <f t="shared" si="217"/>
        <v>0.01</v>
      </c>
      <c r="X382" s="126">
        <f t="shared" si="9"/>
        <v>5.27</v>
      </c>
      <c r="Y382" s="127">
        <f t="shared" ref="Y382:Y383" si="358">ROUND(P382-SUM(R382:W382),2)</f>
        <v>5057.2299999999996</v>
      </c>
      <c r="Z382" s="128">
        <f t="shared" si="230"/>
        <v>5057</v>
      </c>
      <c r="AA382" s="129">
        <f t="shared" si="47"/>
        <v>-0.22999999999956344</v>
      </c>
      <c r="AB382" s="120">
        <v>44565</v>
      </c>
      <c r="AC382" s="130">
        <f t="shared" si="12"/>
        <v>1.041E-3</v>
      </c>
      <c r="AD382" s="131">
        <f t="shared" si="13"/>
        <v>44565</v>
      </c>
      <c r="AE382" s="132" t="s">
        <v>403</v>
      </c>
      <c r="AF382" s="119"/>
    </row>
    <row r="383" spans="1:32" ht="12" customHeight="1">
      <c r="A383" s="150">
        <v>44561</v>
      </c>
      <c r="B383" s="151" t="s">
        <v>512</v>
      </c>
      <c r="C383" s="151"/>
      <c r="D383" s="151"/>
      <c r="E383" s="151"/>
      <c r="F383" s="151"/>
      <c r="G383" s="151"/>
      <c r="H383" s="122" t="s">
        <v>446</v>
      </c>
      <c r="I383" s="121" t="s">
        <v>469</v>
      </c>
      <c r="J383" s="122" t="s">
        <v>471</v>
      </c>
      <c r="K383" s="123">
        <v>200</v>
      </c>
      <c r="L383" s="124">
        <v>113.22499999999999</v>
      </c>
      <c r="M383" s="125">
        <f t="shared" si="38"/>
        <v>0</v>
      </c>
      <c r="N383" s="125">
        <f t="shared" si="357"/>
        <v>113.22499999999999</v>
      </c>
      <c r="O383" s="125"/>
      <c r="P383" s="125">
        <f t="shared" si="2"/>
        <v>22645</v>
      </c>
      <c r="Q383" s="126">
        <f t="shared" si="3"/>
        <v>0.11699999999999999</v>
      </c>
      <c r="R383" s="126">
        <f t="shared" si="74"/>
        <v>0</v>
      </c>
      <c r="S383" s="126">
        <f t="shared" si="35"/>
        <v>0.11</v>
      </c>
      <c r="T383" s="126">
        <f t="shared" si="348"/>
        <v>22.65</v>
      </c>
      <c r="U383" s="126">
        <v>0</v>
      </c>
      <c r="V383" s="126">
        <f>ROUND(P383*L$1809,2)</f>
        <v>0.62</v>
      </c>
      <c r="W383" s="126">
        <f t="shared" si="217"/>
        <v>0.02</v>
      </c>
      <c r="X383" s="126">
        <f t="shared" si="9"/>
        <v>23.4</v>
      </c>
      <c r="Y383" s="127">
        <f t="shared" si="358"/>
        <v>22621.599999999999</v>
      </c>
      <c r="Z383" s="128">
        <f t="shared" si="230"/>
        <v>22622</v>
      </c>
      <c r="AA383" s="129">
        <f t="shared" si="47"/>
        <v>0.40000000000145519</v>
      </c>
      <c r="AB383" s="120">
        <v>44565</v>
      </c>
      <c r="AC383" s="130">
        <f t="shared" si="12"/>
        <v>1.0330000000000001E-3</v>
      </c>
      <c r="AD383" s="131">
        <f t="shared" si="13"/>
        <v>44565</v>
      </c>
      <c r="AE383" s="132" t="s">
        <v>403</v>
      </c>
      <c r="AF383" s="119"/>
    </row>
    <row r="384" spans="1:32" ht="12" customHeight="1">
      <c r="A384" s="148">
        <v>44561</v>
      </c>
      <c r="B384" s="149" t="s">
        <v>562</v>
      </c>
      <c r="C384" s="149"/>
      <c r="D384" s="149"/>
      <c r="E384" s="149"/>
      <c r="F384" s="149"/>
      <c r="G384" s="149"/>
      <c r="H384" s="135" t="s">
        <v>453</v>
      </c>
      <c r="I384" s="134" t="s">
        <v>469</v>
      </c>
      <c r="J384" s="135" t="s">
        <v>471</v>
      </c>
      <c r="K384" s="136">
        <v>2</v>
      </c>
      <c r="L384" s="137">
        <v>1495</v>
      </c>
      <c r="M384" s="138">
        <f t="shared" si="38"/>
        <v>0</v>
      </c>
      <c r="N384" s="138">
        <f>L384+M384</f>
        <v>1495</v>
      </c>
      <c r="O384" s="138"/>
      <c r="P384" s="138">
        <f t="shared" si="2"/>
        <v>2990</v>
      </c>
      <c r="Q384" s="139">
        <f t="shared" si="3"/>
        <v>1.7800000000000002</v>
      </c>
      <c r="R384" s="139">
        <f t="shared" si="74"/>
        <v>0</v>
      </c>
      <c r="S384" s="139">
        <f t="shared" si="35"/>
        <v>0.02</v>
      </c>
      <c r="T384" s="139">
        <f t="shared" si="348"/>
        <v>2.99</v>
      </c>
      <c r="U384" s="139">
        <f>ROUND(P384*K$1812,2)</f>
        <v>0.45</v>
      </c>
      <c r="V384" s="139">
        <f>ROUND(P384*M$1809,2)</f>
        <v>0.1</v>
      </c>
      <c r="W384" s="139">
        <f t="shared" si="217"/>
        <v>0</v>
      </c>
      <c r="X384" s="140">
        <f t="shared" si="9"/>
        <v>3.5600000000000005</v>
      </c>
      <c r="Y384" s="141">
        <f>-ROUND(P384+SUM(R384:W384),2)</f>
        <v>-2993.56</v>
      </c>
      <c r="Z384" s="142">
        <f t="shared" si="230"/>
        <v>-2994</v>
      </c>
      <c r="AA384" s="143">
        <f t="shared" si="47"/>
        <v>-0.44000000000005457</v>
      </c>
      <c r="AB384" s="133">
        <v>44565</v>
      </c>
      <c r="AC384" s="144">
        <f t="shared" si="12"/>
        <v>1.191E-3</v>
      </c>
      <c r="AD384" s="145">
        <f t="shared" si="13"/>
        <v>44565</v>
      </c>
      <c r="AE384" s="146" t="s">
        <v>403</v>
      </c>
      <c r="AF384" s="119"/>
    </row>
    <row r="385" spans="1:32" ht="12" customHeight="1">
      <c r="A385" s="150">
        <v>44564</v>
      </c>
      <c r="B385" s="151" t="s">
        <v>575</v>
      </c>
      <c r="C385" s="151"/>
      <c r="D385" s="151"/>
      <c r="E385" s="151"/>
      <c r="F385" s="151"/>
      <c r="G385" s="151"/>
      <c r="H385" s="122" t="s">
        <v>446</v>
      </c>
      <c r="I385" s="121" t="s">
        <v>469</v>
      </c>
      <c r="J385" s="122" t="s">
        <v>448</v>
      </c>
      <c r="K385" s="123">
        <v>50</v>
      </c>
      <c r="L385" s="124">
        <v>967</v>
      </c>
      <c r="M385" s="125">
        <f t="shared" si="38"/>
        <v>0</v>
      </c>
      <c r="N385" s="125">
        <f>L385-M385</f>
        <v>967</v>
      </c>
      <c r="O385" s="125"/>
      <c r="P385" s="125">
        <f t="shared" si="2"/>
        <v>48350</v>
      </c>
      <c r="Q385" s="126">
        <f t="shared" si="3"/>
        <v>0.99939999999999996</v>
      </c>
      <c r="R385" s="126">
        <f t="shared" si="74"/>
        <v>0</v>
      </c>
      <c r="S385" s="126">
        <f t="shared" si="35"/>
        <v>0.24</v>
      </c>
      <c r="T385" s="126">
        <f t="shared" si="348"/>
        <v>48.35</v>
      </c>
      <c r="U385" s="126">
        <v>0</v>
      </c>
      <c r="V385" s="126">
        <f t="shared" ref="V385:V387" si="359">ROUND(P385*L$1809,2)</f>
        <v>1.33</v>
      </c>
      <c r="W385" s="126">
        <f t="shared" si="217"/>
        <v>0.05</v>
      </c>
      <c r="X385" s="126">
        <f t="shared" si="9"/>
        <v>49.97</v>
      </c>
      <c r="Y385" s="127">
        <f>ROUND(P385-SUM(R385:W385),2)</f>
        <v>48300.03</v>
      </c>
      <c r="Z385" s="128">
        <f t="shared" si="230"/>
        <v>48300</v>
      </c>
      <c r="AA385" s="129">
        <f t="shared" si="47"/>
        <v>-2.9999999998835847E-2</v>
      </c>
      <c r="AB385" s="120">
        <v>44566</v>
      </c>
      <c r="AC385" s="130">
        <f t="shared" si="12"/>
        <v>1.034E-3</v>
      </c>
      <c r="AD385" s="131">
        <f t="shared" si="13"/>
        <v>44566</v>
      </c>
      <c r="AE385" s="132" t="s">
        <v>403</v>
      </c>
      <c r="AF385" s="119"/>
    </row>
    <row r="386" spans="1:32" ht="12" customHeight="1">
      <c r="A386" s="148">
        <v>44564</v>
      </c>
      <c r="B386" s="149" t="s">
        <v>585</v>
      </c>
      <c r="C386" s="149"/>
      <c r="D386" s="149"/>
      <c r="E386" s="149"/>
      <c r="F386" s="149"/>
      <c r="G386" s="149"/>
      <c r="H386" s="135" t="s">
        <v>453</v>
      </c>
      <c r="I386" s="134" t="s">
        <v>469</v>
      </c>
      <c r="J386" s="135" t="s">
        <v>471</v>
      </c>
      <c r="K386" s="136">
        <v>100</v>
      </c>
      <c r="L386" s="137">
        <v>102.75</v>
      </c>
      <c r="M386" s="138">
        <f t="shared" si="38"/>
        <v>0</v>
      </c>
      <c r="N386" s="138">
        <f>L386+M386</f>
        <v>102.75</v>
      </c>
      <c r="O386" s="138"/>
      <c r="P386" s="138">
        <f t="shared" si="2"/>
        <v>10275</v>
      </c>
      <c r="Q386" s="139">
        <f t="shared" si="3"/>
        <v>0.1216</v>
      </c>
      <c r="R386" s="139">
        <f t="shared" si="74"/>
        <v>0</v>
      </c>
      <c r="S386" s="139">
        <f t="shared" si="35"/>
        <v>0.05</v>
      </c>
      <c r="T386" s="139">
        <f t="shared" si="348"/>
        <v>10.28</v>
      </c>
      <c r="U386" s="139">
        <f>ROUND(P386*K$1812,2)</f>
        <v>1.54</v>
      </c>
      <c r="V386" s="139">
        <f t="shared" si="359"/>
        <v>0.28000000000000003</v>
      </c>
      <c r="W386" s="139">
        <f t="shared" si="217"/>
        <v>0.01</v>
      </c>
      <c r="X386" s="140">
        <f t="shared" si="9"/>
        <v>12.16</v>
      </c>
      <c r="Y386" s="141">
        <f>-ROUND(P386+SUM(R386:W386),2)</f>
        <v>-10287.16</v>
      </c>
      <c r="Z386" s="142">
        <f t="shared" si="230"/>
        <v>-10287</v>
      </c>
      <c r="AA386" s="143">
        <f t="shared" si="47"/>
        <v>0.15999999999985448</v>
      </c>
      <c r="AB386" s="133">
        <v>44566</v>
      </c>
      <c r="AC386" s="144">
        <f t="shared" si="12"/>
        <v>1.183E-3</v>
      </c>
      <c r="AD386" s="145">
        <f t="shared" si="13"/>
        <v>44566</v>
      </c>
      <c r="AE386" s="146" t="s">
        <v>403</v>
      </c>
      <c r="AF386" s="119"/>
    </row>
    <row r="387" spans="1:32" ht="12" customHeight="1">
      <c r="A387" s="150">
        <v>44564</v>
      </c>
      <c r="B387" s="151" t="s">
        <v>527</v>
      </c>
      <c r="C387" s="151"/>
      <c r="D387" s="151"/>
      <c r="E387" s="151"/>
      <c r="F387" s="151"/>
      <c r="G387" s="151"/>
      <c r="H387" s="122" t="s">
        <v>446</v>
      </c>
      <c r="I387" s="121" t="s">
        <v>469</v>
      </c>
      <c r="J387" s="122" t="s">
        <v>471</v>
      </c>
      <c r="K387" s="123">
        <v>50</v>
      </c>
      <c r="L387" s="124">
        <v>156</v>
      </c>
      <c r="M387" s="125">
        <f t="shared" si="38"/>
        <v>0</v>
      </c>
      <c r="N387" s="125">
        <f t="shared" ref="N387:N389" si="360">L387-M387</f>
        <v>156</v>
      </c>
      <c r="O387" s="125"/>
      <c r="P387" s="125">
        <f t="shared" si="2"/>
        <v>7800</v>
      </c>
      <c r="Q387" s="126">
        <f t="shared" si="3"/>
        <v>0.16120000000000001</v>
      </c>
      <c r="R387" s="126">
        <f t="shared" si="74"/>
        <v>0</v>
      </c>
      <c r="S387" s="126">
        <f t="shared" si="35"/>
        <v>0.04</v>
      </c>
      <c r="T387" s="126">
        <f t="shared" si="348"/>
        <v>7.8</v>
      </c>
      <c r="U387" s="126">
        <v>0</v>
      </c>
      <c r="V387" s="126">
        <f t="shared" si="359"/>
        <v>0.21</v>
      </c>
      <c r="W387" s="126">
        <f t="shared" si="217"/>
        <v>0.01</v>
      </c>
      <c r="X387" s="126">
        <f t="shared" si="9"/>
        <v>8.06</v>
      </c>
      <c r="Y387" s="127">
        <f t="shared" ref="Y387:Y389" si="361">ROUND(P387-SUM(R387:W387),2)</f>
        <v>7791.94</v>
      </c>
      <c r="Z387" s="128">
        <f t="shared" si="230"/>
        <v>7792</v>
      </c>
      <c r="AA387" s="129">
        <f t="shared" si="47"/>
        <v>6.0000000000400178E-2</v>
      </c>
      <c r="AB387" s="120">
        <v>44566</v>
      </c>
      <c r="AC387" s="130">
        <f t="shared" si="12"/>
        <v>1.0330000000000001E-3</v>
      </c>
      <c r="AD387" s="131">
        <f t="shared" si="13"/>
        <v>44566</v>
      </c>
      <c r="AE387" s="132" t="s">
        <v>403</v>
      </c>
      <c r="AF387" s="119"/>
    </row>
    <row r="388" spans="1:32" ht="12" customHeight="1">
      <c r="A388" s="150">
        <v>44565</v>
      </c>
      <c r="B388" s="151" t="s">
        <v>548</v>
      </c>
      <c r="C388" s="151"/>
      <c r="D388" s="151"/>
      <c r="E388" s="151"/>
      <c r="F388" s="151"/>
      <c r="G388" s="151"/>
      <c r="H388" s="122" t="s">
        <v>446</v>
      </c>
      <c r="I388" s="121" t="s">
        <v>469</v>
      </c>
      <c r="J388" s="122" t="s">
        <v>471</v>
      </c>
      <c r="K388" s="123">
        <v>200</v>
      </c>
      <c r="L388" s="124">
        <v>15.85</v>
      </c>
      <c r="M388" s="125">
        <f t="shared" si="38"/>
        <v>0</v>
      </c>
      <c r="N388" s="125">
        <f t="shared" si="360"/>
        <v>15.85</v>
      </c>
      <c r="O388" s="125"/>
      <c r="P388" s="125">
        <f t="shared" si="2"/>
        <v>3170</v>
      </c>
      <c r="Q388" s="126">
        <f t="shared" si="3"/>
        <v>1.6500000000000001E-2</v>
      </c>
      <c r="R388" s="126">
        <f t="shared" si="74"/>
        <v>0</v>
      </c>
      <c r="S388" s="126">
        <f t="shared" si="35"/>
        <v>0.02</v>
      </c>
      <c r="T388" s="126">
        <f t="shared" si="348"/>
        <v>3.17</v>
      </c>
      <c r="U388" s="126">
        <v>0</v>
      </c>
      <c r="V388" s="126">
        <f>ROUND(P388*M$1809,2)</f>
        <v>0.11</v>
      </c>
      <c r="W388" s="126">
        <f t="shared" si="217"/>
        <v>0</v>
      </c>
      <c r="X388" s="126">
        <f t="shared" si="9"/>
        <v>3.3</v>
      </c>
      <c r="Y388" s="127">
        <f t="shared" si="361"/>
        <v>3166.7</v>
      </c>
      <c r="Z388" s="128">
        <f t="shared" si="230"/>
        <v>3167</v>
      </c>
      <c r="AA388" s="129">
        <f t="shared" si="47"/>
        <v>0.3000000000001819</v>
      </c>
      <c r="AB388" s="120">
        <v>44567</v>
      </c>
      <c r="AC388" s="130">
        <f t="shared" si="12"/>
        <v>1.041E-3</v>
      </c>
      <c r="AD388" s="131">
        <f t="shared" si="13"/>
        <v>44567</v>
      </c>
      <c r="AE388" s="132" t="s">
        <v>403</v>
      </c>
      <c r="AF388" s="119"/>
    </row>
    <row r="389" spans="1:32" ht="12" customHeight="1">
      <c r="A389" s="150">
        <v>44565</v>
      </c>
      <c r="B389" s="151" t="s">
        <v>559</v>
      </c>
      <c r="C389" s="151"/>
      <c r="D389" s="151"/>
      <c r="E389" s="151"/>
      <c r="F389" s="151"/>
      <c r="G389" s="151"/>
      <c r="H389" s="122" t="s">
        <v>446</v>
      </c>
      <c r="I389" s="121" t="s">
        <v>469</v>
      </c>
      <c r="J389" s="122" t="s">
        <v>471</v>
      </c>
      <c r="K389" s="123">
        <v>50</v>
      </c>
      <c r="L389" s="124">
        <v>48.4</v>
      </c>
      <c r="M389" s="125">
        <f t="shared" si="38"/>
        <v>0</v>
      </c>
      <c r="N389" s="125">
        <f t="shared" si="360"/>
        <v>48.4</v>
      </c>
      <c r="O389" s="125"/>
      <c r="P389" s="125">
        <f t="shared" si="2"/>
        <v>2420</v>
      </c>
      <c r="Q389" s="126">
        <f t="shared" si="3"/>
        <v>0.10559999999999999</v>
      </c>
      <c r="R389" s="126">
        <f t="shared" si="74"/>
        <v>0</v>
      </c>
      <c r="S389" s="126">
        <f t="shared" si="35"/>
        <v>0.44</v>
      </c>
      <c r="T389" s="126">
        <f t="shared" si="348"/>
        <v>2.42</v>
      </c>
      <c r="U389" s="126">
        <v>0</v>
      </c>
      <c r="V389" s="126">
        <f>ROUND(P389*0.001,2)</f>
        <v>2.42</v>
      </c>
      <c r="W389" s="126">
        <f t="shared" si="217"/>
        <v>0</v>
      </c>
      <c r="X389" s="126">
        <f t="shared" si="9"/>
        <v>5.2799999999999994</v>
      </c>
      <c r="Y389" s="127">
        <f t="shared" si="361"/>
        <v>2414.7199999999998</v>
      </c>
      <c r="Z389" s="128">
        <f t="shared" si="230"/>
        <v>2415</v>
      </c>
      <c r="AA389" s="129">
        <f t="shared" si="47"/>
        <v>0.28000000000020009</v>
      </c>
      <c r="AB389" s="120">
        <v>44567</v>
      </c>
      <c r="AC389" s="130">
        <f t="shared" si="12"/>
        <v>2.1819999999999999E-3</v>
      </c>
      <c r="AD389" s="131">
        <f t="shared" si="13"/>
        <v>44567</v>
      </c>
      <c r="AE389" s="132" t="s">
        <v>403</v>
      </c>
      <c r="AF389" s="119"/>
    </row>
    <row r="390" spans="1:32" ht="12" customHeight="1">
      <c r="A390" s="148">
        <v>44565</v>
      </c>
      <c r="B390" s="149" t="s">
        <v>584</v>
      </c>
      <c r="C390" s="149"/>
      <c r="D390" s="149"/>
      <c r="E390" s="149"/>
      <c r="F390" s="149"/>
      <c r="G390" s="149"/>
      <c r="H390" s="135" t="s">
        <v>453</v>
      </c>
      <c r="I390" s="134" t="s">
        <v>469</v>
      </c>
      <c r="J390" s="135" t="s">
        <v>471</v>
      </c>
      <c r="K390" s="136">
        <v>1000</v>
      </c>
      <c r="L390" s="137">
        <v>10.4</v>
      </c>
      <c r="M390" s="138">
        <f t="shared" si="38"/>
        <v>0</v>
      </c>
      <c r="N390" s="138">
        <f>L390+M390</f>
        <v>10.4</v>
      </c>
      <c r="O390" s="138"/>
      <c r="P390" s="138">
        <f t="shared" si="2"/>
        <v>10400</v>
      </c>
      <c r="Q390" s="139">
        <f t="shared" si="3"/>
        <v>1.239E-2</v>
      </c>
      <c r="R390" s="139">
        <f t="shared" si="74"/>
        <v>0</v>
      </c>
      <c r="S390" s="139">
        <f t="shared" si="35"/>
        <v>0.06</v>
      </c>
      <c r="T390" s="139">
        <f t="shared" si="348"/>
        <v>10.4</v>
      </c>
      <c r="U390" s="139">
        <f>ROUND(P390*K$1812,2)</f>
        <v>1.56</v>
      </c>
      <c r="V390" s="139">
        <f>ROUND(P390*M$1809,2)</f>
        <v>0.36</v>
      </c>
      <c r="W390" s="139">
        <f t="shared" si="217"/>
        <v>0.01</v>
      </c>
      <c r="X390" s="140">
        <f t="shared" si="9"/>
        <v>12.39</v>
      </c>
      <c r="Y390" s="141">
        <f>-ROUND(P390+SUM(R390:W390),2)</f>
        <v>-10412.39</v>
      </c>
      <c r="Z390" s="142">
        <f t="shared" si="230"/>
        <v>-10412</v>
      </c>
      <c r="AA390" s="143">
        <f t="shared" si="47"/>
        <v>0.38999999999941792</v>
      </c>
      <c r="AB390" s="133">
        <v>44567</v>
      </c>
      <c r="AC390" s="144">
        <f t="shared" si="12"/>
        <v>1.191E-3</v>
      </c>
      <c r="AD390" s="145">
        <f t="shared" si="13"/>
        <v>44567</v>
      </c>
      <c r="AE390" s="146" t="s">
        <v>403</v>
      </c>
      <c r="AF390" s="119"/>
    </row>
    <row r="391" spans="1:32" ht="12" customHeight="1">
      <c r="A391" s="150">
        <v>44565</v>
      </c>
      <c r="B391" s="151" t="s">
        <v>575</v>
      </c>
      <c r="C391" s="151"/>
      <c r="D391" s="151"/>
      <c r="E391" s="151"/>
      <c r="F391" s="151"/>
      <c r="G391" s="151"/>
      <c r="H391" s="122" t="s">
        <v>446</v>
      </c>
      <c r="I391" s="121" t="s">
        <v>469</v>
      </c>
      <c r="J391" s="122" t="s">
        <v>448</v>
      </c>
      <c r="K391" s="123">
        <v>360</v>
      </c>
      <c r="L391" s="124">
        <v>1008.2056</v>
      </c>
      <c r="M391" s="125">
        <f t="shared" si="38"/>
        <v>0</v>
      </c>
      <c r="N391" s="125">
        <f>L391-M391</f>
        <v>1008.2056</v>
      </c>
      <c r="O391" s="125"/>
      <c r="P391" s="125">
        <f t="shared" si="2"/>
        <v>362954.02</v>
      </c>
      <c r="Q391" s="126">
        <f t="shared" si="3"/>
        <v>1.0419166666666668</v>
      </c>
      <c r="R391" s="126">
        <f t="shared" si="74"/>
        <v>0</v>
      </c>
      <c r="S391" s="126">
        <f t="shared" si="35"/>
        <v>1.8</v>
      </c>
      <c r="T391" s="126">
        <f t="shared" si="348"/>
        <v>362.95</v>
      </c>
      <c r="U391" s="126">
        <v>0</v>
      </c>
      <c r="V391" s="126">
        <f t="shared" ref="V391:V392" si="362">ROUND(P391*L$1809,2)</f>
        <v>9.98</v>
      </c>
      <c r="W391" s="126">
        <f t="shared" si="217"/>
        <v>0.36</v>
      </c>
      <c r="X391" s="126">
        <f t="shared" si="9"/>
        <v>375.09000000000003</v>
      </c>
      <c r="Y391" s="127">
        <f>ROUND(P391-SUM(R391:W391),2)</f>
        <v>362578.93</v>
      </c>
      <c r="Z391" s="128">
        <f t="shared" si="230"/>
        <v>362579</v>
      </c>
      <c r="AA391" s="129">
        <f t="shared" si="47"/>
        <v>7.0000000006984919E-2</v>
      </c>
      <c r="AB391" s="120">
        <v>44567</v>
      </c>
      <c r="AC391" s="130">
        <f t="shared" si="12"/>
        <v>1.0330000000000001E-3</v>
      </c>
      <c r="AD391" s="131">
        <f t="shared" si="13"/>
        <v>44567</v>
      </c>
      <c r="AE391" s="132" t="s">
        <v>403</v>
      </c>
      <c r="AF391" s="119"/>
    </row>
    <row r="392" spans="1:32" ht="12" customHeight="1">
      <c r="A392" s="148">
        <v>44566</v>
      </c>
      <c r="B392" s="149" t="s">
        <v>575</v>
      </c>
      <c r="C392" s="149"/>
      <c r="D392" s="149"/>
      <c r="E392" s="149"/>
      <c r="F392" s="149"/>
      <c r="G392" s="149"/>
      <c r="H392" s="135" t="s">
        <v>453</v>
      </c>
      <c r="I392" s="134" t="s">
        <v>469</v>
      </c>
      <c r="J392" s="135" t="s">
        <v>448</v>
      </c>
      <c r="K392" s="136">
        <v>100</v>
      </c>
      <c r="L392" s="137">
        <v>1030</v>
      </c>
      <c r="M392" s="138">
        <f t="shared" si="38"/>
        <v>0</v>
      </c>
      <c r="N392" s="138">
        <f>L392+M392</f>
        <v>1030</v>
      </c>
      <c r="O392" s="138"/>
      <c r="P392" s="138">
        <f t="shared" si="2"/>
        <v>103000</v>
      </c>
      <c r="Q392" s="139">
        <f t="shared" si="3"/>
        <v>1.2189000000000001</v>
      </c>
      <c r="R392" s="139">
        <f t="shared" si="74"/>
        <v>0</v>
      </c>
      <c r="S392" s="139">
        <f t="shared" si="35"/>
        <v>0.51</v>
      </c>
      <c r="T392" s="139">
        <f t="shared" si="348"/>
        <v>103</v>
      </c>
      <c r="U392" s="139">
        <f>ROUND(P392*K$1812,2)</f>
        <v>15.45</v>
      </c>
      <c r="V392" s="139">
        <f t="shared" si="362"/>
        <v>2.83</v>
      </c>
      <c r="W392" s="139">
        <f t="shared" si="217"/>
        <v>0.1</v>
      </c>
      <c r="X392" s="140">
        <f t="shared" si="9"/>
        <v>121.89</v>
      </c>
      <c r="Y392" s="141">
        <f>-ROUND(P392+SUM(R392:W392),2)</f>
        <v>-103121.89</v>
      </c>
      <c r="Z392" s="142">
        <f t="shared" si="230"/>
        <v>-103122</v>
      </c>
      <c r="AA392" s="143">
        <f t="shared" si="47"/>
        <v>-0.11000000000058208</v>
      </c>
      <c r="AB392" s="133">
        <v>44568</v>
      </c>
      <c r="AC392" s="144">
        <f t="shared" si="12"/>
        <v>1.183E-3</v>
      </c>
      <c r="AD392" s="145">
        <f t="shared" si="13"/>
        <v>44568</v>
      </c>
      <c r="AE392" s="146" t="s">
        <v>403</v>
      </c>
      <c r="AF392" s="119"/>
    </row>
    <row r="393" spans="1:32" ht="12" customHeight="1">
      <c r="A393" s="150">
        <v>44566</v>
      </c>
      <c r="B393" s="151" t="s">
        <v>577</v>
      </c>
      <c r="C393" s="151"/>
      <c r="D393" s="151"/>
      <c r="E393" s="151"/>
      <c r="F393" s="151"/>
      <c r="G393" s="151"/>
      <c r="H393" s="122" t="s">
        <v>446</v>
      </c>
      <c r="I393" s="121" t="s">
        <v>469</v>
      </c>
      <c r="J393" s="122" t="s">
        <v>471</v>
      </c>
      <c r="K393" s="123">
        <v>50</v>
      </c>
      <c r="L393" s="124">
        <v>263</v>
      </c>
      <c r="M393" s="125">
        <f t="shared" si="38"/>
        <v>0</v>
      </c>
      <c r="N393" s="125">
        <f t="shared" ref="N393:N394" si="363">L393-M393</f>
        <v>263</v>
      </c>
      <c r="O393" s="125"/>
      <c r="P393" s="125">
        <f t="shared" si="2"/>
        <v>13150</v>
      </c>
      <c r="Q393" s="126">
        <f t="shared" si="3"/>
        <v>0.27379999999999999</v>
      </c>
      <c r="R393" s="126">
        <f t="shared" si="74"/>
        <v>0</v>
      </c>
      <c r="S393" s="126">
        <f t="shared" si="35"/>
        <v>0.08</v>
      </c>
      <c r="T393" s="126">
        <f t="shared" si="348"/>
        <v>13.15</v>
      </c>
      <c r="U393" s="126">
        <v>0</v>
      </c>
      <c r="V393" s="126">
        <f t="shared" ref="V393:V394" si="364">ROUND(P393*M$1809,2)</f>
        <v>0.45</v>
      </c>
      <c r="W393" s="126">
        <f t="shared" si="217"/>
        <v>0.01</v>
      </c>
      <c r="X393" s="126">
        <f t="shared" si="9"/>
        <v>13.69</v>
      </c>
      <c r="Y393" s="127">
        <f t="shared" ref="Y393:Y394" si="365">ROUND(P393-SUM(R393:W393),2)</f>
        <v>13136.31</v>
      </c>
      <c r="Z393" s="128">
        <f t="shared" si="230"/>
        <v>13136</v>
      </c>
      <c r="AA393" s="129">
        <f t="shared" si="47"/>
        <v>-0.30999999999949068</v>
      </c>
      <c r="AB393" s="120">
        <v>44568</v>
      </c>
      <c r="AC393" s="130">
        <f t="shared" si="12"/>
        <v>1.041E-3</v>
      </c>
      <c r="AD393" s="131">
        <f t="shared" si="13"/>
        <v>44568</v>
      </c>
      <c r="AE393" s="132" t="s">
        <v>403</v>
      </c>
      <c r="AF393" s="119"/>
    </row>
    <row r="394" spans="1:32" ht="12" customHeight="1">
      <c r="A394" s="150">
        <v>44566</v>
      </c>
      <c r="B394" s="151" t="s">
        <v>484</v>
      </c>
      <c r="C394" s="151"/>
      <c r="D394" s="151"/>
      <c r="E394" s="151"/>
      <c r="F394" s="151"/>
      <c r="G394" s="151"/>
      <c r="H394" s="122" t="s">
        <v>446</v>
      </c>
      <c r="I394" s="121" t="s">
        <v>469</v>
      </c>
      <c r="J394" s="122" t="s">
        <v>471</v>
      </c>
      <c r="K394" s="123">
        <v>3</v>
      </c>
      <c r="L394" s="124">
        <v>7566</v>
      </c>
      <c r="M394" s="125">
        <f t="shared" si="38"/>
        <v>0</v>
      </c>
      <c r="N394" s="125">
        <f t="shared" si="363"/>
        <v>7566</v>
      </c>
      <c r="O394" s="125"/>
      <c r="P394" s="125">
        <f t="shared" si="2"/>
        <v>22698</v>
      </c>
      <c r="Q394" s="126">
        <f t="shared" si="3"/>
        <v>7.88</v>
      </c>
      <c r="R394" s="126">
        <f t="shared" si="74"/>
        <v>0</v>
      </c>
      <c r="S394" s="126">
        <f t="shared" si="35"/>
        <v>0.14000000000000001</v>
      </c>
      <c r="T394" s="126">
        <f t="shared" si="348"/>
        <v>22.7</v>
      </c>
      <c r="U394" s="126">
        <v>0</v>
      </c>
      <c r="V394" s="126">
        <f t="shared" si="364"/>
        <v>0.78</v>
      </c>
      <c r="W394" s="126">
        <f t="shared" si="217"/>
        <v>0.02</v>
      </c>
      <c r="X394" s="126">
        <f t="shared" si="9"/>
        <v>23.64</v>
      </c>
      <c r="Y394" s="127">
        <f t="shared" si="365"/>
        <v>22674.36</v>
      </c>
      <c r="Z394" s="128">
        <f t="shared" si="230"/>
        <v>22674</v>
      </c>
      <c r="AA394" s="129">
        <f t="shared" si="47"/>
        <v>-0.36000000000058208</v>
      </c>
      <c r="AB394" s="120">
        <v>44568</v>
      </c>
      <c r="AC394" s="130">
        <f t="shared" si="12"/>
        <v>1.042E-3</v>
      </c>
      <c r="AD394" s="131">
        <f t="shared" si="13"/>
        <v>44568</v>
      </c>
      <c r="AE394" s="132" t="s">
        <v>403</v>
      </c>
      <c r="AF394" s="119"/>
    </row>
    <row r="395" spans="1:32" ht="12" customHeight="1">
      <c r="A395" s="148">
        <v>44567</v>
      </c>
      <c r="B395" s="149" t="s">
        <v>575</v>
      </c>
      <c r="C395" s="149"/>
      <c r="D395" s="149"/>
      <c r="E395" s="149"/>
      <c r="F395" s="149"/>
      <c r="G395" s="149"/>
      <c r="H395" s="135" t="s">
        <v>453</v>
      </c>
      <c r="I395" s="134" t="s">
        <v>469</v>
      </c>
      <c r="J395" s="135" t="s">
        <v>448</v>
      </c>
      <c r="K395" s="136">
        <v>160</v>
      </c>
      <c r="L395" s="137">
        <v>999.46029999999996</v>
      </c>
      <c r="M395" s="138">
        <f t="shared" si="38"/>
        <v>0</v>
      </c>
      <c r="N395" s="138">
        <f t="shared" ref="N395:N396" si="366">L395+M395</f>
        <v>999.46029999999996</v>
      </c>
      <c r="O395" s="138"/>
      <c r="P395" s="138">
        <f t="shared" si="2"/>
        <v>159913.65</v>
      </c>
      <c r="Q395" s="139">
        <f t="shared" si="3"/>
        <v>1.1828125</v>
      </c>
      <c r="R395" s="139">
        <f t="shared" si="74"/>
        <v>0</v>
      </c>
      <c r="S395" s="139">
        <f t="shared" si="35"/>
        <v>0.79</v>
      </c>
      <c r="T395" s="139">
        <f t="shared" si="348"/>
        <v>159.91</v>
      </c>
      <c r="U395" s="139">
        <f t="shared" ref="U395:U396" si="367">ROUND(P395*K$1812,2)</f>
        <v>23.99</v>
      </c>
      <c r="V395" s="139">
        <f t="shared" ref="V395:V400" si="368">ROUND(P395*L$1809,2)</f>
        <v>4.4000000000000004</v>
      </c>
      <c r="W395" s="139">
        <f t="shared" si="217"/>
        <v>0.16</v>
      </c>
      <c r="X395" s="140">
        <f t="shared" si="9"/>
        <v>189.25</v>
      </c>
      <c r="Y395" s="141">
        <f t="shared" ref="Y395:Y396" si="369">-ROUND(P395+SUM(R395:W395),2)</f>
        <v>-160102.9</v>
      </c>
      <c r="Z395" s="142">
        <f t="shared" si="230"/>
        <v>-160103</v>
      </c>
      <c r="AA395" s="143">
        <f t="shared" si="47"/>
        <v>-0.10000000000582077</v>
      </c>
      <c r="AB395" s="133">
        <v>44571</v>
      </c>
      <c r="AC395" s="144">
        <f t="shared" si="12"/>
        <v>1.183E-3</v>
      </c>
      <c r="AD395" s="145">
        <f t="shared" si="13"/>
        <v>44571</v>
      </c>
      <c r="AE395" s="146" t="s">
        <v>403</v>
      </c>
      <c r="AF395" s="119"/>
    </row>
    <row r="396" spans="1:32" ht="12" customHeight="1">
      <c r="A396" s="148">
        <v>44568</v>
      </c>
      <c r="B396" s="149" t="s">
        <v>547</v>
      </c>
      <c r="C396" s="149"/>
      <c r="D396" s="149"/>
      <c r="E396" s="149"/>
      <c r="F396" s="149"/>
      <c r="G396" s="149"/>
      <c r="H396" s="135" t="s">
        <v>453</v>
      </c>
      <c r="I396" s="134" t="s">
        <v>469</v>
      </c>
      <c r="J396" s="135" t="s">
        <v>471</v>
      </c>
      <c r="K396" s="136">
        <v>100</v>
      </c>
      <c r="L396" s="137">
        <v>34.200000000000003</v>
      </c>
      <c r="M396" s="138">
        <f t="shared" si="38"/>
        <v>0</v>
      </c>
      <c r="N396" s="138">
        <f t="shared" si="366"/>
        <v>34.200000000000003</v>
      </c>
      <c r="O396" s="138"/>
      <c r="P396" s="138">
        <f t="shared" si="2"/>
        <v>3420</v>
      </c>
      <c r="Q396" s="139">
        <f t="shared" si="3"/>
        <v>4.0399999999999998E-2</v>
      </c>
      <c r="R396" s="139">
        <f t="shared" si="74"/>
        <v>0</v>
      </c>
      <c r="S396" s="139">
        <f t="shared" si="35"/>
        <v>0.02</v>
      </c>
      <c r="T396" s="139">
        <f t="shared" si="348"/>
        <v>3.42</v>
      </c>
      <c r="U396" s="139">
        <f t="shared" si="367"/>
        <v>0.51</v>
      </c>
      <c r="V396" s="139">
        <f t="shared" si="368"/>
        <v>0.09</v>
      </c>
      <c r="W396" s="139">
        <f t="shared" si="217"/>
        <v>0</v>
      </c>
      <c r="X396" s="140">
        <f t="shared" si="9"/>
        <v>4.04</v>
      </c>
      <c r="Y396" s="141">
        <f t="shared" si="369"/>
        <v>-3424.04</v>
      </c>
      <c r="Z396" s="142">
        <f t="shared" si="230"/>
        <v>-3424</v>
      </c>
      <c r="AA396" s="143">
        <f t="shared" si="47"/>
        <v>3.999999999996362E-2</v>
      </c>
      <c r="AB396" s="133">
        <v>44572</v>
      </c>
      <c r="AC396" s="144">
        <f t="shared" si="12"/>
        <v>1.181E-3</v>
      </c>
      <c r="AD396" s="145">
        <f t="shared" si="13"/>
        <v>44572</v>
      </c>
      <c r="AE396" s="146" t="s">
        <v>403</v>
      </c>
      <c r="AF396" s="119"/>
    </row>
    <row r="397" spans="1:32" ht="12" customHeight="1">
      <c r="A397" s="150">
        <v>44568</v>
      </c>
      <c r="B397" s="151" t="s">
        <v>482</v>
      </c>
      <c r="C397" s="151"/>
      <c r="D397" s="151"/>
      <c r="E397" s="151"/>
      <c r="F397" s="151"/>
      <c r="G397" s="151"/>
      <c r="H397" s="122" t="s">
        <v>446</v>
      </c>
      <c r="I397" s="121" t="s">
        <v>469</v>
      </c>
      <c r="J397" s="122" t="s">
        <v>471</v>
      </c>
      <c r="K397" s="123">
        <v>50</v>
      </c>
      <c r="L397" s="124">
        <v>109.6</v>
      </c>
      <c r="M397" s="125">
        <f t="shared" si="38"/>
        <v>0</v>
      </c>
      <c r="N397" s="125">
        <f t="shared" ref="N397:N398" si="370">L397-M397</f>
        <v>109.6</v>
      </c>
      <c r="O397" s="125"/>
      <c r="P397" s="125">
        <f t="shared" si="2"/>
        <v>5480</v>
      </c>
      <c r="Q397" s="126">
        <f t="shared" si="3"/>
        <v>0.11340000000000001</v>
      </c>
      <c r="R397" s="126">
        <f t="shared" si="74"/>
        <v>0</v>
      </c>
      <c r="S397" s="126">
        <f t="shared" si="35"/>
        <v>0.03</v>
      </c>
      <c r="T397" s="126">
        <f t="shared" si="348"/>
        <v>5.48</v>
      </c>
      <c r="U397" s="126">
        <v>0</v>
      </c>
      <c r="V397" s="126">
        <f t="shared" si="368"/>
        <v>0.15</v>
      </c>
      <c r="W397" s="126">
        <f t="shared" si="217"/>
        <v>0.01</v>
      </c>
      <c r="X397" s="126">
        <f t="shared" si="9"/>
        <v>5.6700000000000008</v>
      </c>
      <c r="Y397" s="127">
        <f t="shared" ref="Y397:Y398" si="371">ROUND(P397-SUM(R397:W397),2)</f>
        <v>5474.33</v>
      </c>
      <c r="Z397" s="128">
        <f t="shared" si="230"/>
        <v>5474</v>
      </c>
      <c r="AA397" s="129">
        <f t="shared" si="47"/>
        <v>-0.32999999999992724</v>
      </c>
      <c r="AB397" s="120">
        <v>44572</v>
      </c>
      <c r="AC397" s="130">
        <f t="shared" si="12"/>
        <v>1.0349999999999999E-3</v>
      </c>
      <c r="AD397" s="131">
        <f t="shared" si="13"/>
        <v>44572</v>
      </c>
      <c r="AE397" s="132" t="s">
        <v>403</v>
      </c>
      <c r="AF397" s="119"/>
    </row>
    <row r="398" spans="1:32" ht="12" customHeight="1">
      <c r="A398" s="150">
        <v>44568</v>
      </c>
      <c r="B398" s="151" t="s">
        <v>575</v>
      </c>
      <c r="C398" s="151"/>
      <c r="D398" s="151"/>
      <c r="E398" s="151"/>
      <c r="F398" s="151"/>
      <c r="G398" s="151"/>
      <c r="H398" s="122" t="s">
        <v>446</v>
      </c>
      <c r="I398" s="121" t="s">
        <v>469</v>
      </c>
      <c r="J398" s="122" t="s">
        <v>448</v>
      </c>
      <c r="K398" s="123">
        <v>50</v>
      </c>
      <c r="L398" s="124">
        <v>1010</v>
      </c>
      <c r="M398" s="125">
        <f t="shared" si="38"/>
        <v>0</v>
      </c>
      <c r="N398" s="125">
        <f t="shared" si="370"/>
        <v>1010</v>
      </c>
      <c r="O398" s="125"/>
      <c r="P398" s="125">
        <f t="shared" si="2"/>
        <v>50500</v>
      </c>
      <c r="Q398" s="126">
        <f t="shared" si="3"/>
        <v>1.0438000000000001</v>
      </c>
      <c r="R398" s="126">
        <f t="shared" si="74"/>
        <v>0</v>
      </c>
      <c r="S398" s="126">
        <f t="shared" si="35"/>
        <v>0.25</v>
      </c>
      <c r="T398" s="126">
        <f t="shared" si="348"/>
        <v>50.5</v>
      </c>
      <c r="U398" s="126">
        <v>0</v>
      </c>
      <c r="V398" s="126">
        <f t="shared" si="368"/>
        <v>1.39</v>
      </c>
      <c r="W398" s="126">
        <f t="shared" si="217"/>
        <v>0.05</v>
      </c>
      <c r="X398" s="126">
        <f t="shared" si="9"/>
        <v>52.19</v>
      </c>
      <c r="Y398" s="127">
        <f t="shared" si="371"/>
        <v>50447.81</v>
      </c>
      <c r="Z398" s="128">
        <f t="shared" si="230"/>
        <v>50448</v>
      </c>
      <c r="AA398" s="129">
        <f t="shared" si="47"/>
        <v>0.19000000000232831</v>
      </c>
      <c r="AB398" s="120">
        <v>44572</v>
      </c>
      <c r="AC398" s="130">
        <f t="shared" si="12"/>
        <v>1.0330000000000001E-3</v>
      </c>
      <c r="AD398" s="131">
        <f t="shared" si="13"/>
        <v>44572</v>
      </c>
      <c r="AE398" s="132" t="s">
        <v>403</v>
      </c>
      <c r="AF398" s="119"/>
    </row>
    <row r="399" spans="1:32" ht="12" customHeight="1">
      <c r="A399" s="148">
        <v>44571</v>
      </c>
      <c r="B399" s="149" t="s">
        <v>575</v>
      </c>
      <c r="C399" s="149"/>
      <c r="D399" s="149"/>
      <c r="E399" s="149"/>
      <c r="F399" s="149"/>
      <c r="G399" s="149"/>
      <c r="H399" s="135" t="s">
        <v>453</v>
      </c>
      <c r="I399" s="134" t="s">
        <v>469</v>
      </c>
      <c r="J399" s="135" t="s">
        <v>448</v>
      </c>
      <c r="K399" s="136">
        <v>50</v>
      </c>
      <c r="L399" s="137">
        <v>1004</v>
      </c>
      <c r="M399" s="138">
        <f t="shared" si="38"/>
        <v>0</v>
      </c>
      <c r="N399" s="138">
        <f t="shared" ref="N399:N406" si="372">L399+M399</f>
        <v>1004</v>
      </c>
      <c r="O399" s="138"/>
      <c r="P399" s="138">
        <f t="shared" si="2"/>
        <v>50200</v>
      </c>
      <c r="Q399" s="139">
        <f t="shared" si="3"/>
        <v>1.1882000000000001</v>
      </c>
      <c r="R399" s="139">
        <f t="shared" si="74"/>
        <v>0</v>
      </c>
      <c r="S399" s="139">
        <f t="shared" si="35"/>
        <v>0.25</v>
      </c>
      <c r="T399" s="139">
        <f t="shared" si="348"/>
        <v>50.2</v>
      </c>
      <c r="U399" s="139">
        <f t="shared" ref="U399:U406" si="373">ROUND(P399*K$1812,2)</f>
        <v>7.53</v>
      </c>
      <c r="V399" s="139">
        <f t="shared" si="368"/>
        <v>1.38</v>
      </c>
      <c r="W399" s="139">
        <f t="shared" si="217"/>
        <v>0.05</v>
      </c>
      <c r="X399" s="140">
        <f t="shared" si="9"/>
        <v>59.410000000000004</v>
      </c>
      <c r="Y399" s="141">
        <f t="shared" ref="Y399:Y406" si="374">-ROUND(P399+SUM(R399:W399),2)</f>
        <v>-50259.41</v>
      </c>
      <c r="Z399" s="142">
        <f t="shared" si="230"/>
        <v>-50259</v>
      </c>
      <c r="AA399" s="143">
        <f t="shared" si="47"/>
        <v>0.41000000000349246</v>
      </c>
      <c r="AB399" s="133">
        <v>44573</v>
      </c>
      <c r="AC399" s="144">
        <f t="shared" si="12"/>
        <v>1.183E-3</v>
      </c>
      <c r="AD399" s="145">
        <f t="shared" si="13"/>
        <v>44573</v>
      </c>
      <c r="AE399" s="146" t="s">
        <v>403</v>
      </c>
      <c r="AF399" s="119"/>
    </row>
    <row r="400" spans="1:32" ht="12" customHeight="1">
      <c r="A400" s="148">
        <v>44572</v>
      </c>
      <c r="B400" s="149" t="s">
        <v>481</v>
      </c>
      <c r="C400" s="149"/>
      <c r="D400" s="149"/>
      <c r="E400" s="149"/>
      <c r="F400" s="149"/>
      <c r="G400" s="149"/>
      <c r="H400" s="135" t="s">
        <v>453</v>
      </c>
      <c r="I400" s="134" t="s">
        <v>469</v>
      </c>
      <c r="J400" s="135" t="s">
        <v>471</v>
      </c>
      <c r="K400" s="136">
        <v>100</v>
      </c>
      <c r="L400" s="137">
        <v>106</v>
      </c>
      <c r="M400" s="138">
        <f t="shared" si="38"/>
        <v>0</v>
      </c>
      <c r="N400" s="138">
        <f t="shared" si="372"/>
        <v>106</v>
      </c>
      <c r="O400" s="138"/>
      <c r="P400" s="138">
        <f t="shared" si="2"/>
        <v>10600</v>
      </c>
      <c r="Q400" s="139">
        <f t="shared" si="3"/>
        <v>0.12539999999999998</v>
      </c>
      <c r="R400" s="139">
        <f t="shared" si="74"/>
        <v>0</v>
      </c>
      <c r="S400" s="139">
        <f t="shared" si="35"/>
        <v>0.05</v>
      </c>
      <c r="T400" s="139">
        <f t="shared" si="348"/>
        <v>10.6</v>
      </c>
      <c r="U400" s="139">
        <f t="shared" si="373"/>
        <v>1.59</v>
      </c>
      <c r="V400" s="139">
        <f t="shared" si="368"/>
        <v>0.28999999999999998</v>
      </c>
      <c r="W400" s="139">
        <f t="shared" si="217"/>
        <v>0.01</v>
      </c>
      <c r="X400" s="140">
        <f t="shared" si="9"/>
        <v>12.54</v>
      </c>
      <c r="Y400" s="141">
        <f t="shared" si="374"/>
        <v>-10612.54</v>
      </c>
      <c r="Z400" s="142">
        <f t="shared" si="230"/>
        <v>-10613</v>
      </c>
      <c r="AA400" s="143">
        <f t="shared" si="47"/>
        <v>-0.45999999999912689</v>
      </c>
      <c r="AB400" s="133">
        <v>44574</v>
      </c>
      <c r="AC400" s="144">
        <f t="shared" si="12"/>
        <v>1.183E-3</v>
      </c>
      <c r="AD400" s="145">
        <f t="shared" si="13"/>
        <v>44574</v>
      </c>
      <c r="AE400" s="146" t="s">
        <v>403</v>
      </c>
      <c r="AF400" s="119"/>
    </row>
    <row r="401" spans="1:32" ht="12" customHeight="1">
      <c r="A401" s="148">
        <v>44572</v>
      </c>
      <c r="B401" s="149" t="s">
        <v>586</v>
      </c>
      <c r="C401" s="149"/>
      <c r="D401" s="149"/>
      <c r="E401" s="149"/>
      <c r="F401" s="149"/>
      <c r="G401" s="149"/>
      <c r="H401" s="135" t="s">
        <v>453</v>
      </c>
      <c r="I401" s="134" t="s">
        <v>469</v>
      </c>
      <c r="J401" s="135" t="s">
        <v>471</v>
      </c>
      <c r="K401" s="136">
        <v>2000</v>
      </c>
      <c r="L401" s="137">
        <v>5.27</v>
      </c>
      <c r="M401" s="138">
        <f t="shared" si="38"/>
        <v>0</v>
      </c>
      <c r="N401" s="138">
        <f t="shared" si="372"/>
        <v>5.27</v>
      </c>
      <c r="O401" s="138"/>
      <c r="P401" s="138">
        <f t="shared" si="2"/>
        <v>10540</v>
      </c>
      <c r="Q401" s="139">
        <f t="shared" si="3"/>
        <v>6.2749999999999993E-3</v>
      </c>
      <c r="R401" s="139">
        <f t="shared" si="74"/>
        <v>0</v>
      </c>
      <c r="S401" s="139">
        <f t="shared" si="35"/>
        <v>0.06</v>
      </c>
      <c r="T401" s="139">
        <f t="shared" si="348"/>
        <v>10.54</v>
      </c>
      <c r="U401" s="139">
        <f t="shared" si="373"/>
        <v>1.58</v>
      </c>
      <c r="V401" s="139">
        <f t="shared" ref="V401:V408" si="375">ROUND(P401*M$1809,2)</f>
        <v>0.36</v>
      </c>
      <c r="W401" s="139">
        <f t="shared" si="217"/>
        <v>0.01</v>
      </c>
      <c r="X401" s="140">
        <f t="shared" si="9"/>
        <v>12.549999999999999</v>
      </c>
      <c r="Y401" s="141">
        <f t="shared" si="374"/>
        <v>-10552.55</v>
      </c>
      <c r="Z401" s="142">
        <f t="shared" si="230"/>
        <v>-10553</v>
      </c>
      <c r="AA401" s="143">
        <f t="shared" si="47"/>
        <v>-0.4500000000007276</v>
      </c>
      <c r="AB401" s="133">
        <v>44574</v>
      </c>
      <c r="AC401" s="144">
        <f t="shared" si="12"/>
        <v>1.191E-3</v>
      </c>
      <c r="AD401" s="145">
        <f t="shared" si="13"/>
        <v>44574</v>
      </c>
      <c r="AE401" s="146" t="s">
        <v>403</v>
      </c>
      <c r="AF401" s="119"/>
    </row>
    <row r="402" spans="1:32" ht="12" customHeight="1">
      <c r="A402" s="148">
        <v>44572</v>
      </c>
      <c r="B402" s="149" t="s">
        <v>587</v>
      </c>
      <c r="C402" s="149"/>
      <c r="D402" s="149"/>
      <c r="E402" s="149"/>
      <c r="F402" s="149"/>
      <c r="G402" s="149"/>
      <c r="H402" s="135" t="s">
        <v>453</v>
      </c>
      <c r="I402" s="134" t="s">
        <v>469</v>
      </c>
      <c r="J402" s="135" t="s">
        <v>471</v>
      </c>
      <c r="K402" s="136">
        <v>100</v>
      </c>
      <c r="L402" s="137">
        <v>95</v>
      </c>
      <c r="M402" s="138">
        <f t="shared" si="38"/>
        <v>0</v>
      </c>
      <c r="N402" s="138">
        <f t="shared" si="372"/>
        <v>95</v>
      </c>
      <c r="O402" s="138"/>
      <c r="P402" s="138">
        <f t="shared" si="2"/>
        <v>9500</v>
      </c>
      <c r="Q402" s="139">
        <f t="shared" si="3"/>
        <v>0.1133</v>
      </c>
      <c r="R402" s="139">
        <f t="shared" si="74"/>
        <v>0</v>
      </c>
      <c r="S402" s="139">
        <f t="shared" si="35"/>
        <v>0.06</v>
      </c>
      <c r="T402" s="139">
        <f t="shared" si="348"/>
        <v>9.5</v>
      </c>
      <c r="U402" s="139">
        <f t="shared" si="373"/>
        <v>1.43</v>
      </c>
      <c r="V402" s="139">
        <f t="shared" si="375"/>
        <v>0.33</v>
      </c>
      <c r="W402" s="139">
        <f t="shared" si="217"/>
        <v>0.01</v>
      </c>
      <c r="X402" s="140">
        <f t="shared" si="9"/>
        <v>11.33</v>
      </c>
      <c r="Y402" s="141">
        <f t="shared" si="374"/>
        <v>-9511.33</v>
      </c>
      <c r="Z402" s="142">
        <f t="shared" si="230"/>
        <v>-9511</v>
      </c>
      <c r="AA402" s="143">
        <f t="shared" si="47"/>
        <v>0.32999999999992724</v>
      </c>
      <c r="AB402" s="133">
        <v>44574</v>
      </c>
      <c r="AC402" s="144">
        <f t="shared" si="12"/>
        <v>1.193E-3</v>
      </c>
      <c r="AD402" s="145">
        <f t="shared" si="13"/>
        <v>44574</v>
      </c>
      <c r="AE402" s="146" t="s">
        <v>403</v>
      </c>
      <c r="AF402" s="119"/>
    </row>
    <row r="403" spans="1:32" ht="12" customHeight="1">
      <c r="A403" s="148">
        <v>44572</v>
      </c>
      <c r="B403" s="149" t="s">
        <v>467</v>
      </c>
      <c r="C403" s="149"/>
      <c r="D403" s="149"/>
      <c r="E403" s="149"/>
      <c r="F403" s="149"/>
      <c r="G403" s="149"/>
      <c r="H403" s="135" t="s">
        <v>453</v>
      </c>
      <c r="I403" s="134" t="s">
        <v>469</v>
      </c>
      <c r="J403" s="135" t="s">
        <v>471</v>
      </c>
      <c r="K403" s="136">
        <v>50</v>
      </c>
      <c r="L403" s="137">
        <v>489.2</v>
      </c>
      <c r="M403" s="138">
        <f t="shared" si="38"/>
        <v>0</v>
      </c>
      <c r="N403" s="138">
        <f t="shared" si="372"/>
        <v>489.2</v>
      </c>
      <c r="O403" s="138"/>
      <c r="P403" s="138">
        <f t="shared" si="2"/>
        <v>24460</v>
      </c>
      <c r="Q403" s="139">
        <f t="shared" si="3"/>
        <v>0.58279999999999998</v>
      </c>
      <c r="R403" s="139">
        <f t="shared" si="74"/>
        <v>0</v>
      </c>
      <c r="S403" s="139">
        <f t="shared" si="35"/>
        <v>0.15</v>
      </c>
      <c r="T403" s="139">
        <f t="shared" si="348"/>
        <v>24.46</v>
      </c>
      <c r="U403" s="139">
        <f t="shared" si="373"/>
        <v>3.67</v>
      </c>
      <c r="V403" s="139">
        <f t="shared" si="375"/>
        <v>0.84</v>
      </c>
      <c r="W403" s="139">
        <f t="shared" si="217"/>
        <v>0.02</v>
      </c>
      <c r="X403" s="140">
        <f t="shared" si="9"/>
        <v>29.14</v>
      </c>
      <c r="Y403" s="141">
        <f t="shared" si="374"/>
        <v>-24489.14</v>
      </c>
      <c r="Z403" s="142">
        <f t="shared" si="230"/>
        <v>-24489</v>
      </c>
      <c r="AA403" s="143">
        <f t="shared" si="47"/>
        <v>0.13999999999941792</v>
      </c>
      <c r="AB403" s="133">
        <v>44574</v>
      </c>
      <c r="AC403" s="144">
        <f t="shared" si="12"/>
        <v>1.191E-3</v>
      </c>
      <c r="AD403" s="145">
        <f t="shared" si="13"/>
        <v>44574</v>
      </c>
      <c r="AE403" s="146" t="s">
        <v>403</v>
      </c>
      <c r="AF403" s="119"/>
    </row>
    <row r="404" spans="1:32" ht="12" customHeight="1">
      <c r="A404" s="148">
        <v>44572</v>
      </c>
      <c r="B404" s="149" t="s">
        <v>507</v>
      </c>
      <c r="C404" s="149"/>
      <c r="D404" s="149"/>
      <c r="E404" s="149"/>
      <c r="F404" s="149"/>
      <c r="G404" s="149"/>
      <c r="H404" s="135" t="s">
        <v>453</v>
      </c>
      <c r="I404" s="134" t="s">
        <v>469</v>
      </c>
      <c r="J404" s="135" t="s">
        <v>471</v>
      </c>
      <c r="K404" s="136">
        <v>5000</v>
      </c>
      <c r="L404" s="137">
        <v>12.79</v>
      </c>
      <c r="M404" s="138">
        <f t="shared" si="38"/>
        <v>0</v>
      </c>
      <c r="N404" s="138">
        <f t="shared" si="372"/>
        <v>12.79</v>
      </c>
      <c r="O404" s="138"/>
      <c r="P404" s="138">
        <f t="shared" si="2"/>
        <v>63950</v>
      </c>
      <c r="Q404" s="139">
        <f t="shared" si="3"/>
        <v>1.5242000000000002E-2</v>
      </c>
      <c r="R404" s="139">
        <f t="shared" si="74"/>
        <v>0</v>
      </c>
      <c r="S404" s="139">
        <f t="shared" si="35"/>
        <v>0.4</v>
      </c>
      <c r="T404" s="139">
        <f t="shared" si="348"/>
        <v>63.95</v>
      </c>
      <c r="U404" s="139">
        <f t="shared" si="373"/>
        <v>9.59</v>
      </c>
      <c r="V404" s="139">
        <f t="shared" si="375"/>
        <v>2.21</v>
      </c>
      <c r="W404" s="139">
        <f t="shared" si="217"/>
        <v>0.06</v>
      </c>
      <c r="X404" s="140">
        <f t="shared" si="9"/>
        <v>76.210000000000008</v>
      </c>
      <c r="Y404" s="141">
        <f t="shared" si="374"/>
        <v>-64026.21</v>
      </c>
      <c r="Z404" s="142">
        <f t="shared" si="230"/>
        <v>-64026</v>
      </c>
      <c r="AA404" s="143">
        <f t="shared" si="47"/>
        <v>0.20999999999912689</v>
      </c>
      <c r="AB404" s="133">
        <v>44574</v>
      </c>
      <c r="AC404" s="144">
        <f t="shared" si="12"/>
        <v>1.1919999999999999E-3</v>
      </c>
      <c r="AD404" s="145">
        <f t="shared" si="13"/>
        <v>44574</v>
      </c>
      <c r="AE404" s="146" t="s">
        <v>403</v>
      </c>
      <c r="AF404" s="119"/>
    </row>
    <row r="405" spans="1:32" ht="12" customHeight="1">
      <c r="A405" s="148">
        <v>44572</v>
      </c>
      <c r="B405" s="149" t="s">
        <v>588</v>
      </c>
      <c r="C405" s="149"/>
      <c r="D405" s="149"/>
      <c r="E405" s="149"/>
      <c r="F405" s="149"/>
      <c r="G405" s="149"/>
      <c r="H405" s="135" t="s">
        <v>453</v>
      </c>
      <c r="I405" s="134" t="s">
        <v>469</v>
      </c>
      <c r="J405" s="135" t="s">
        <v>471</v>
      </c>
      <c r="K405" s="136">
        <v>1000</v>
      </c>
      <c r="L405" s="137">
        <v>10.15</v>
      </c>
      <c r="M405" s="138">
        <f t="shared" si="38"/>
        <v>0</v>
      </c>
      <c r="N405" s="138">
        <f t="shared" si="372"/>
        <v>10.15</v>
      </c>
      <c r="O405" s="138"/>
      <c r="P405" s="138">
        <f t="shared" si="2"/>
        <v>10150</v>
      </c>
      <c r="Q405" s="139">
        <f t="shared" si="3"/>
        <v>1.209E-2</v>
      </c>
      <c r="R405" s="139">
        <f t="shared" si="74"/>
        <v>0</v>
      </c>
      <c r="S405" s="139">
        <f t="shared" si="35"/>
        <v>0.06</v>
      </c>
      <c r="T405" s="139">
        <f t="shared" si="348"/>
        <v>10.15</v>
      </c>
      <c r="U405" s="139">
        <f t="shared" si="373"/>
        <v>1.52</v>
      </c>
      <c r="V405" s="139">
        <f t="shared" si="375"/>
        <v>0.35</v>
      </c>
      <c r="W405" s="139">
        <f t="shared" si="217"/>
        <v>0.01</v>
      </c>
      <c r="X405" s="140">
        <f t="shared" si="9"/>
        <v>12.09</v>
      </c>
      <c r="Y405" s="141">
        <f t="shared" si="374"/>
        <v>-10162.09</v>
      </c>
      <c r="Z405" s="142">
        <f t="shared" si="230"/>
        <v>-10162</v>
      </c>
      <c r="AA405" s="143">
        <f t="shared" si="47"/>
        <v>9.0000000000145519E-2</v>
      </c>
      <c r="AB405" s="133">
        <v>44574</v>
      </c>
      <c r="AC405" s="144">
        <f t="shared" si="12"/>
        <v>1.191E-3</v>
      </c>
      <c r="AD405" s="145">
        <f t="shared" si="13"/>
        <v>44574</v>
      </c>
      <c r="AE405" s="146" t="s">
        <v>403</v>
      </c>
      <c r="AF405" s="119"/>
    </row>
    <row r="406" spans="1:32" ht="12" customHeight="1">
      <c r="A406" s="148">
        <v>44572</v>
      </c>
      <c r="B406" s="149" t="s">
        <v>577</v>
      </c>
      <c r="C406" s="149"/>
      <c r="D406" s="149"/>
      <c r="E406" s="149"/>
      <c r="F406" s="149"/>
      <c r="G406" s="149"/>
      <c r="H406" s="135" t="s">
        <v>453</v>
      </c>
      <c r="I406" s="134" t="s">
        <v>469</v>
      </c>
      <c r="J406" s="135" t="s">
        <v>471</v>
      </c>
      <c r="K406" s="136">
        <v>50</v>
      </c>
      <c r="L406" s="137">
        <v>265</v>
      </c>
      <c r="M406" s="138">
        <f t="shared" si="38"/>
        <v>0</v>
      </c>
      <c r="N406" s="138">
        <f t="shared" si="372"/>
        <v>265</v>
      </c>
      <c r="O406" s="138"/>
      <c r="P406" s="138">
        <f t="shared" si="2"/>
        <v>13250</v>
      </c>
      <c r="Q406" s="139">
        <f t="shared" si="3"/>
        <v>0.31580000000000003</v>
      </c>
      <c r="R406" s="139">
        <f t="shared" si="74"/>
        <v>0</v>
      </c>
      <c r="S406" s="139">
        <f t="shared" si="35"/>
        <v>0.08</v>
      </c>
      <c r="T406" s="139">
        <f t="shared" si="348"/>
        <v>13.25</v>
      </c>
      <c r="U406" s="139">
        <f t="shared" si="373"/>
        <v>1.99</v>
      </c>
      <c r="V406" s="139">
        <f t="shared" si="375"/>
        <v>0.46</v>
      </c>
      <c r="W406" s="139">
        <f t="shared" si="217"/>
        <v>0.01</v>
      </c>
      <c r="X406" s="140">
        <f t="shared" si="9"/>
        <v>15.790000000000001</v>
      </c>
      <c r="Y406" s="141">
        <f t="shared" si="374"/>
        <v>-13265.79</v>
      </c>
      <c r="Z406" s="142">
        <f t="shared" si="230"/>
        <v>-13266</v>
      </c>
      <c r="AA406" s="143">
        <f t="shared" si="47"/>
        <v>-0.20999999999912689</v>
      </c>
      <c r="AB406" s="133">
        <v>44574</v>
      </c>
      <c r="AC406" s="144">
        <f t="shared" si="12"/>
        <v>1.1919999999999999E-3</v>
      </c>
      <c r="AD406" s="145">
        <f t="shared" si="13"/>
        <v>44574</v>
      </c>
      <c r="AE406" s="146" t="s">
        <v>403</v>
      </c>
      <c r="AF406" s="119"/>
    </row>
    <row r="407" spans="1:32" ht="12" customHeight="1">
      <c r="A407" s="150">
        <v>44573</v>
      </c>
      <c r="B407" s="151" t="s">
        <v>507</v>
      </c>
      <c r="C407" s="151"/>
      <c r="D407" s="151"/>
      <c r="E407" s="151"/>
      <c r="F407" s="151"/>
      <c r="G407" s="151"/>
      <c r="H407" s="122" t="s">
        <v>446</v>
      </c>
      <c r="I407" s="121" t="s">
        <v>469</v>
      </c>
      <c r="J407" s="122" t="s">
        <v>471</v>
      </c>
      <c r="K407" s="123">
        <v>5000</v>
      </c>
      <c r="L407" s="124">
        <v>12.7</v>
      </c>
      <c r="M407" s="125">
        <f t="shared" si="38"/>
        <v>0</v>
      </c>
      <c r="N407" s="125">
        <f t="shared" ref="N407:N408" si="376">L407-M407</f>
        <v>12.7</v>
      </c>
      <c r="O407" s="125"/>
      <c r="P407" s="125">
        <f t="shared" si="2"/>
        <v>63500</v>
      </c>
      <c r="Q407" s="126">
        <f t="shared" si="3"/>
        <v>1.3228E-2</v>
      </c>
      <c r="R407" s="126">
        <f t="shared" si="74"/>
        <v>0</v>
      </c>
      <c r="S407" s="126">
        <f t="shared" si="35"/>
        <v>0.39</v>
      </c>
      <c r="T407" s="126">
        <f t="shared" si="348"/>
        <v>63.5</v>
      </c>
      <c r="U407" s="126">
        <v>0</v>
      </c>
      <c r="V407" s="126">
        <f t="shared" si="375"/>
        <v>2.19</v>
      </c>
      <c r="W407" s="126">
        <f t="shared" si="217"/>
        <v>0.06</v>
      </c>
      <c r="X407" s="126">
        <f t="shared" si="9"/>
        <v>66.14</v>
      </c>
      <c r="Y407" s="127">
        <f t="shared" ref="Y407:Y408" si="377">ROUND(P407-SUM(R407:W407),2)</f>
        <v>63433.86</v>
      </c>
      <c r="Z407" s="128">
        <f t="shared" si="230"/>
        <v>63434</v>
      </c>
      <c r="AA407" s="129">
        <f t="shared" si="47"/>
        <v>0.13999999999941792</v>
      </c>
      <c r="AB407" s="120">
        <v>44575</v>
      </c>
      <c r="AC407" s="130">
        <f t="shared" si="12"/>
        <v>1.042E-3</v>
      </c>
      <c r="AD407" s="131">
        <f t="shared" si="13"/>
        <v>44575</v>
      </c>
      <c r="AE407" s="132" t="s">
        <v>403</v>
      </c>
      <c r="AF407" s="119"/>
    </row>
    <row r="408" spans="1:32" ht="12" customHeight="1">
      <c r="A408" s="150">
        <v>44573</v>
      </c>
      <c r="B408" s="151" t="s">
        <v>467</v>
      </c>
      <c r="C408" s="151"/>
      <c r="D408" s="151"/>
      <c r="E408" s="151"/>
      <c r="F408" s="151"/>
      <c r="G408" s="151"/>
      <c r="H408" s="122" t="s">
        <v>446</v>
      </c>
      <c r="I408" s="121" t="s">
        <v>469</v>
      </c>
      <c r="J408" s="122" t="s">
        <v>471</v>
      </c>
      <c r="K408" s="123">
        <v>50</v>
      </c>
      <c r="L408" s="124">
        <v>498.5</v>
      </c>
      <c r="M408" s="125">
        <f t="shared" si="38"/>
        <v>0</v>
      </c>
      <c r="N408" s="125">
        <f t="shared" si="376"/>
        <v>498.5</v>
      </c>
      <c r="O408" s="125"/>
      <c r="P408" s="125">
        <f t="shared" si="2"/>
        <v>24925</v>
      </c>
      <c r="Q408" s="126">
        <f t="shared" si="3"/>
        <v>0.51919999999999999</v>
      </c>
      <c r="R408" s="126">
        <f t="shared" si="74"/>
        <v>0</v>
      </c>
      <c r="S408" s="126">
        <f t="shared" si="35"/>
        <v>0.15</v>
      </c>
      <c r="T408" s="126">
        <f t="shared" si="348"/>
        <v>24.93</v>
      </c>
      <c r="U408" s="126">
        <v>0</v>
      </c>
      <c r="V408" s="126">
        <f t="shared" si="375"/>
        <v>0.86</v>
      </c>
      <c r="W408" s="126">
        <f t="shared" si="217"/>
        <v>0.02</v>
      </c>
      <c r="X408" s="126">
        <f t="shared" si="9"/>
        <v>25.959999999999997</v>
      </c>
      <c r="Y408" s="127">
        <f t="shared" si="377"/>
        <v>24899.040000000001</v>
      </c>
      <c r="Z408" s="128">
        <f t="shared" si="230"/>
        <v>24899</v>
      </c>
      <c r="AA408" s="129">
        <f t="shared" si="47"/>
        <v>-4.0000000000873115E-2</v>
      </c>
      <c r="AB408" s="120">
        <v>44575</v>
      </c>
      <c r="AC408" s="130">
        <f t="shared" si="12"/>
        <v>1.042E-3</v>
      </c>
      <c r="AD408" s="131">
        <f t="shared" si="13"/>
        <v>44575</v>
      </c>
      <c r="AE408" s="132" t="s">
        <v>403</v>
      </c>
      <c r="AF408" s="119"/>
    </row>
    <row r="409" spans="1:32" ht="12" customHeight="1">
      <c r="A409" s="148">
        <v>44574</v>
      </c>
      <c r="B409" s="149" t="s">
        <v>459</v>
      </c>
      <c r="C409" s="149"/>
      <c r="D409" s="149"/>
      <c r="E409" s="149"/>
      <c r="F409" s="149"/>
      <c r="G409" s="149"/>
      <c r="H409" s="135" t="s">
        <v>453</v>
      </c>
      <c r="I409" s="134" t="s">
        <v>469</v>
      </c>
      <c r="J409" s="135" t="s">
        <v>471</v>
      </c>
      <c r="K409" s="136">
        <v>70</v>
      </c>
      <c r="L409" s="137">
        <v>927.78571428571433</v>
      </c>
      <c r="M409" s="138">
        <f t="shared" si="38"/>
        <v>0</v>
      </c>
      <c r="N409" s="138">
        <f>L409+M409</f>
        <v>927.78571428571433</v>
      </c>
      <c r="O409" s="138"/>
      <c r="P409" s="138">
        <f t="shared" si="2"/>
        <v>64945</v>
      </c>
      <c r="Q409" s="139">
        <f t="shared" si="3"/>
        <v>1.0980000000000001</v>
      </c>
      <c r="R409" s="139">
        <f t="shared" si="74"/>
        <v>0</v>
      </c>
      <c r="S409" s="139">
        <f t="shared" si="35"/>
        <v>0.32</v>
      </c>
      <c r="T409" s="139">
        <f t="shared" si="348"/>
        <v>64.95</v>
      </c>
      <c r="U409" s="139">
        <f>ROUND(P409*K$1812,2)</f>
        <v>9.74</v>
      </c>
      <c r="V409" s="139">
        <f t="shared" ref="V409:V413" si="378">ROUND(P409*L$1809,2)</f>
        <v>1.79</v>
      </c>
      <c r="W409" s="139">
        <f t="shared" si="217"/>
        <v>0.06</v>
      </c>
      <c r="X409" s="140">
        <f t="shared" si="9"/>
        <v>76.86</v>
      </c>
      <c r="Y409" s="141">
        <f>-ROUND(P409+SUM(R409:W409),2)</f>
        <v>-65021.86</v>
      </c>
      <c r="Z409" s="142">
        <f t="shared" si="230"/>
        <v>-65022</v>
      </c>
      <c r="AA409" s="143">
        <f t="shared" si="47"/>
        <v>-0.13999999999941792</v>
      </c>
      <c r="AB409" s="133">
        <v>44578</v>
      </c>
      <c r="AC409" s="144">
        <f t="shared" si="12"/>
        <v>1.183E-3</v>
      </c>
      <c r="AD409" s="145">
        <f t="shared" si="13"/>
        <v>44578</v>
      </c>
      <c r="AE409" s="146" t="s">
        <v>403</v>
      </c>
      <c r="AF409" s="119"/>
    </row>
    <row r="410" spans="1:32" ht="12" customHeight="1">
      <c r="A410" s="150">
        <v>44574</v>
      </c>
      <c r="B410" s="151" t="s">
        <v>575</v>
      </c>
      <c r="C410" s="151"/>
      <c r="D410" s="151"/>
      <c r="E410" s="151"/>
      <c r="F410" s="151"/>
      <c r="G410" s="151"/>
      <c r="H410" s="122" t="s">
        <v>446</v>
      </c>
      <c r="I410" s="121" t="s">
        <v>469</v>
      </c>
      <c r="J410" s="122" t="s">
        <v>448</v>
      </c>
      <c r="K410" s="123">
        <v>175</v>
      </c>
      <c r="L410" s="124">
        <v>1007.6</v>
      </c>
      <c r="M410" s="125">
        <f t="shared" si="38"/>
        <v>0</v>
      </c>
      <c r="N410" s="125">
        <f>L410-M410</f>
        <v>1007.6</v>
      </c>
      <c r="O410" s="125"/>
      <c r="P410" s="125">
        <f t="shared" si="2"/>
        <v>176330</v>
      </c>
      <c r="Q410" s="126">
        <f t="shared" si="3"/>
        <v>1.0413142857142859</v>
      </c>
      <c r="R410" s="126">
        <f t="shared" si="74"/>
        <v>0</v>
      </c>
      <c r="S410" s="126">
        <f t="shared" si="35"/>
        <v>0.87</v>
      </c>
      <c r="T410" s="126">
        <f t="shared" si="348"/>
        <v>176.33</v>
      </c>
      <c r="U410" s="126">
        <v>0</v>
      </c>
      <c r="V410" s="126">
        <f t="shared" si="378"/>
        <v>4.8499999999999996</v>
      </c>
      <c r="W410" s="126">
        <f t="shared" si="217"/>
        <v>0.18</v>
      </c>
      <c r="X410" s="126">
        <f t="shared" si="9"/>
        <v>182.23000000000002</v>
      </c>
      <c r="Y410" s="127">
        <f>ROUND(P410-SUM(R410:W410),2)</f>
        <v>176147.77</v>
      </c>
      <c r="Z410" s="128">
        <f t="shared" si="230"/>
        <v>176148</v>
      </c>
      <c r="AA410" s="129">
        <f t="shared" si="47"/>
        <v>0.23000000001047738</v>
      </c>
      <c r="AB410" s="120">
        <v>44578</v>
      </c>
      <c r="AC410" s="130">
        <f t="shared" si="12"/>
        <v>1.0330000000000001E-3</v>
      </c>
      <c r="AD410" s="131">
        <f t="shared" si="13"/>
        <v>44578</v>
      </c>
      <c r="AE410" s="132" t="s">
        <v>403</v>
      </c>
      <c r="AF410" s="119"/>
    </row>
    <row r="411" spans="1:32" ht="12" customHeight="1">
      <c r="A411" s="148">
        <v>44575</v>
      </c>
      <c r="B411" s="149" t="s">
        <v>575</v>
      </c>
      <c r="C411" s="149"/>
      <c r="D411" s="149"/>
      <c r="E411" s="149"/>
      <c r="F411" s="149"/>
      <c r="G411" s="149"/>
      <c r="H411" s="135" t="s">
        <v>453</v>
      </c>
      <c r="I411" s="134" t="s">
        <v>469</v>
      </c>
      <c r="J411" s="135" t="s">
        <v>448</v>
      </c>
      <c r="K411" s="136">
        <v>175</v>
      </c>
      <c r="L411" s="137">
        <v>1002</v>
      </c>
      <c r="M411" s="138">
        <f t="shared" si="38"/>
        <v>0</v>
      </c>
      <c r="N411" s="138">
        <f>L411+M411</f>
        <v>1002</v>
      </c>
      <c r="O411" s="138"/>
      <c r="P411" s="138">
        <f t="shared" si="2"/>
        <v>175350</v>
      </c>
      <c r="Q411" s="139">
        <f t="shared" si="3"/>
        <v>0.11725714285714284</v>
      </c>
      <c r="R411" s="139">
        <f t="shared" si="74"/>
        <v>0</v>
      </c>
      <c r="S411" s="139">
        <f t="shared" si="35"/>
        <v>0.87</v>
      </c>
      <c r="T411" s="139">
        <f>ROUND(P411*K$1806,2)-175</f>
        <v>0.34999999999999432</v>
      </c>
      <c r="U411" s="139">
        <f>ROUND(P411*K$1812,2)-12</f>
        <v>14.3</v>
      </c>
      <c r="V411" s="139">
        <f t="shared" si="378"/>
        <v>4.82</v>
      </c>
      <c r="W411" s="139">
        <f t="shared" si="217"/>
        <v>0.18</v>
      </c>
      <c r="X411" s="140">
        <f t="shared" si="9"/>
        <v>20.519999999999996</v>
      </c>
      <c r="Y411" s="141">
        <f>-ROUND(P411+SUM(R411:W411),2)</f>
        <v>-175370.52</v>
      </c>
      <c r="Z411" s="142">
        <f t="shared" si="230"/>
        <v>-175371</v>
      </c>
      <c r="AA411" s="143">
        <f t="shared" si="47"/>
        <v>-0.48000000001047738</v>
      </c>
      <c r="AB411" s="133">
        <v>44579</v>
      </c>
      <c r="AC411" s="144">
        <f t="shared" si="12"/>
        <v>1.17E-4</v>
      </c>
      <c r="AD411" s="145">
        <f t="shared" si="13"/>
        <v>44579</v>
      </c>
      <c r="AE411" s="146" t="s">
        <v>403</v>
      </c>
      <c r="AF411" s="119"/>
    </row>
    <row r="412" spans="1:32" ht="12" customHeight="1">
      <c r="A412" s="150">
        <v>44575</v>
      </c>
      <c r="B412" s="151" t="s">
        <v>575</v>
      </c>
      <c r="C412" s="151"/>
      <c r="D412" s="151"/>
      <c r="E412" s="151"/>
      <c r="F412" s="151"/>
      <c r="G412" s="151"/>
      <c r="H412" s="122" t="s">
        <v>446</v>
      </c>
      <c r="I412" s="121" t="s">
        <v>469</v>
      </c>
      <c r="J412" s="122" t="s">
        <v>448</v>
      </c>
      <c r="K412" s="123">
        <v>100</v>
      </c>
      <c r="L412" s="124">
        <v>1008</v>
      </c>
      <c r="M412" s="125">
        <f t="shared" si="38"/>
        <v>0</v>
      </c>
      <c r="N412" s="125">
        <f>L412-M412</f>
        <v>1008</v>
      </c>
      <c r="O412" s="125"/>
      <c r="P412" s="125">
        <f t="shared" si="2"/>
        <v>100800</v>
      </c>
      <c r="Q412" s="126">
        <f t="shared" si="3"/>
        <v>1.0416999999999998</v>
      </c>
      <c r="R412" s="126">
        <f t="shared" si="74"/>
        <v>0</v>
      </c>
      <c r="S412" s="126">
        <f t="shared" si="35"/>
        <v>0.5</v>
      </c>
      <c r="T412" s="126">
        <f t="shared" ref="T412:T416" si="379">ROUND(P412*K$1806,2)</f>
        <v>100.8</v>
      </c>
      <c r="U412" s="126">
        <v>0</v>
      </c>
      <c r="V412" s="126">
        <f t="shared" si="378"/>
        <v>2.77</v>
      </c>
      <c r="W412" s="126">
        <f t="shared" si="217"/>
        <v>0.1</v>
      </c>
      <c r="X412" s="126">
        <f t="shared" si="9"/>
        <v>104.16999999999999</v>
      </c>
      <c r="Y412" s="127">
        <f>ROUND(P412-SUM(R412:W412),2)</f>
        <v>100695.83</v>
      </c>
      <c r="Z412" s="128">
        <f t="shared" si="230"/>
        <v>100696</v>
      </c>
      <c r="AA412" s="129">
        <f t="shared" si="47"/>
        <v>0.16999999999825377</v>
      </c>
      <c r="AB412" s="120">
        <v>44579</v>
      </c>
      <c r="AC412" s="130">
        <f t="shared" si="12"/>
        <v>1.0330000000000001E-3</v>
      </c>
      <c r="AD412" s="131">
        <f t="shared" si="13"/>
        <v>44579</v>
      </c>
      <c r="AE412" s="132" t="s">
        <v>403</v>
      </c>
      <c r="AF412" s="119"/>
    </row>
    <row r="413" spans="1:32" ht="12" customHeight="1">
      <c r="A413" s="148">
        <v>44575</v>
      </c>
      <c r="B413" s="149" t="s">
        <v>589</v>
      </c>
      <c r="C413" s="149"/>
      <c r="D413" s="149"/>
      <c r="E413" s="149"/>
      <c r="F413" s="149"/>
      <c r="G413" s="149"/>
      <c r="H413" s="135" t="s">
        <v>453</v>
      </c>
      <c r="I413" s="134" t="s">
        <v>469</v>
      </c>
      <c r="J413" s="135" t="s">
        <v>471</v>
      </c>
      <c r="K413" s="136">
        <v>40</v>
      </c>
      <c r="L413" s="137">
        <v>1636.875</v>
      </c>
      <c r="M413" s="138">
        <f t="shared" si="38"/>
        <v>0</v>
      </c>
      <c r="N413" s="138">
        <f>L413+M413</f>
        <v>1636.875</v>
      </c>
      <c r="O413" s="138"/>
      <c r="P413" s="138">
        <f t="shared" si="2"/>
        <v>65475</v>
      </c>
      <c r="Q413" s="139">
        <f t="shared" si="3"/>
        <v>1.9372499999999999</v>
      </c>
      <c r="R413" s="139">
        <f t="shared" si="74"/>
        <v>0</v>
      </c>
      <c r="S413" s="139">
        <f t="shared" si="35"/>
        <v>0.32</v>
      </c>
      <c r="T413" s="139">
        <f t="shared" si="379"/>
        <v>65.48</v>
      </c>
      <c r="U413" s="139">
        <f>ROUND(P413*K$1812,2)</f>
        <v>9.82</v>
      </c>
      <c r="V413" s="139">
        <f t="shared" si="378"/>
        <v>1.8</v>
      </c>
      <c r="W413" s="139">
        <f t="shared" si="217"/>
        <v>7.0000000000000007E-2</v>
      </c>
      <c r="X413" s="140">
        <f t="shared" si="9"/>
        <v>77.489999999999995</v>
      </c>
      <c r="Y413" s="141">
        <f>-ROUND(P413+SUM(R413:W413),2)</f>
        <v>-65552.490000000005</v>
      </c>
      <c r="Z413" s="142">
        <f t="shared" si="230"/>
        <v>-65552</v>
      </c>
      <c r="AA413" s="143">
        <f t="shared" si="47"/>
        <v>0.49000000000523869</v>
      </c>
      <c r="AB413" s="133">
        <v>44579</v>
      </c>
      <c r="AC413" s="144">
        <f t="shared" si="12"/>
        <v>1.1839999999999999E-3</v>
      </c>
      <c r="AD413" s="145">
        <f t="shared" si="13"/>
        <v>44579</v>
      </c>
      <c r="AE413" s="146" t="s">
        <v>403</v>
      </c>
      <c r="AF413" s="119"/>
    </row>
    <row r="414" spans="1:32" ht="12" customHeight="1">
      <c r="A414" s="150">
        <v>44578</v>
      </c>
      <c r="B414" s="151" t="s">
        <v>575</v>
      </c>
      <c r="C414" s="151"/>
      <c r="D414" s="151"/>
      <c r="E414" s="151"/>
      <c r="F414" s="151"/>
      <c r="G414" s="151"/>
      <c r="H414" s="122" t="s">
        <v>446</v>
      </c>
      <c r="I414" s="121" t="s">
        <v>469</v>
      </c>
      <c r="J414" s="122" t="s">
        <v>448</v>
      </c>
      <c r="K414" s="123">
        <v>150</v>
      </c>
      <c r="L414" s="124">
        <v>1043.3603000000001</v>
      </c>
      <c r="M414" s="125">
        <f t="shared" si="38"/>
        <v>0</v>
      </c>
      <c r="N414" s="125">
        <f t="shared" ref="N414:N418" si="380">L414-M414</f>
        <v>1043.3603000000001</v>
      </c>
      <c r="O414" s="125"/>
      <c r="P414" s="125">
        <f t="shared" si="2"/>
        <v>156504.04999999999</v>
      </c>
      <c r="Q414" s="126">
        <f t="shared" si="3"/>
        <v>1.0868666666666666</v>
      </c>
      <c r="R414" s="126">
        <f t="shared" si="74"/>
        <v>0</v>
      </c>
      <c r="S414" s="126">
        <f t="shared" si="35"/>
        <v>0.97</v>
      </c>
      <c r="T414" s="126">
        <f t="shared" si="379"/>
        <v>156.5</v>
      </c>
      <c r="U414" s="126">
        <v>0</v>
      </c>
      <c r="V414" s="126">
        <f t="shared" ref="V414:V416" si="381">ROUND(P414*M$1809,2)</f>
        <v>5.4</v>
      </c>
      <c r="W414" s="126">
        <f t="shared" si="217"/>
        <v>0.16</v>
      </c>
      <c r="X414" s="126">
        <f t="shared" si="9"/>
        <v>163.03</v>
      </c>
      <c r="Y414" s="127">
        <f t="shared" ref="Y414:Y418" si="382">ROUND(P414-SUM(R414:W414),2)</f>
        <v>156341.01999999999</v>
      </c>
      <c r="Z414" s="128">
        <f t="shared" si="230"/>
        <v>156341</v>
      </c>
      <c r="AA414" s="129">
        <f t="shared" si="47"/>
        <v>-1.9999999989522621E-2</v>
      </c>
      <c r="AB414" s="120">
        <v>44580</v>
      </c>
      <c r="AC414" s="130">
        <f t="shared" si="12"/>
        <v>1.042E-3</v>
      </c>
      <c r="AD414" s="131">
        <f t="shared" si="13"/>
        <v>44580</v>
      </c>
      <c r="AE414" s="132" t="s">
        <v>403</v>
      </c>
      <c r="AF414" s="119"/>
    </row>
    <row r="415" spans="1:32" ht="12" customHeight="1">
      <c r="A415" s="150">
        <v>44578</v>
      </c>
      <c r="B415" s="151" t="s">
        <v>551</v>
      </c>
      <c r="C415" s="151"/>
      <c r="D415" s="151"/>
      <c r="E415" s="151"/>
      <c r="F415" s="151"/>
      <c r="G415" s="151"/>
      <c r="H415" s="122" t="s">
        <v>446</v>
      </c>
      <c r="I415" s="121" t="s">
        <v>469</v>
      </c>
      <c r="J415" s="122" t="s">
        <v>471</v>
      </c>
      <c r="K415" s="123">
        <v>100</v>
      </c>
      <c r="L415" s="124">
        <v>34.799999999999997</v>
      </c>
      <c r="M415" s="125">
        <f t="shared" si="38"/>
        <v>0</v>
      </c>
      <c r="N415" s="125">
        <f t="shared" si="380"/>
        <v>34.799999999999997</v>
      </c>
      <c r="O415" s="125"/>
      <c r="P415" s="125">
        <f t="shared" si="2"/>
        <v>3480</v>
      </c>
      <c r="Q415" s="126">
        <f t="shared" si="3"/>
        <v>3.6200000000000003E-2</v>
      </c>
      <c r="R415" s="126">
        <f t="shared" si="74"/>
        <v>0</v>
      </c>
      <c r="S415" s="126">
        <f t="shared" si="35"/>
        <v>0.02</v>
      </c>
      <c r="T415" s="126">
        <f t="shared" si="379"/>
        <v>3.48</v>
      </c>
      <c r="U415" s="126">
        <v>0</v>
      </c>
      <c r="V415" s="126">
        <f t="shared" si="381"/>
        <v>0.12</v>
      </c>
      <c r="W415" s="126">
        <f t="shared" si="217"/>
        <v>0</v>
      </c>
      <c r="X415" s="126">
        <f t="shared" si="9"/>
        <v>3.62</v>
      </c>
      <c r="Y415" s="127">
        <f t="shared" si="382"/>
        <v>3476.38</v>
      </c>
      <c r="Z415" s="128">
        <f t="shared" si="230"/>
        <v>3476</v>
      </c>
      <c r="AA415" s="129">
        <f t="shared" si="47"/>
        <v>-0.38000000000010914</v>
      </c>
      <c r="AB415" s="120">
        <v>44580</v>
      </c>
      <c r="AC415" s="130">
        <f t="shared" si="12"/>
        <v>1.0399999999999999E-3</v>
      </c>
      <c r="AD415" s="131">
        <f t="shared" si="13"/>
        <v>44580</v>
      </c>
      <c r="AE415" s="132" t="s">
        <v>403</v>
      </c>
      <c r="AF415" s="119"/>
    </row>
    <row r="416" spans="1:32" ht="12" customHeight="1">
      <c r="A416" s="150">
        <v>44578</v>
      </c>
      <c r="B416" s="151" t="s">
        <v>547</v>
      </c>
      <c r="C416" s="151"/>
      <c r="D416" s="151"/>
      <c r="E416" s="151"/>
      <c r="F416" s="151"/>
      <c r="G416" s="151"/>
      <c r="H416" s="122" t="s">
        <v>446</v>
      </c>
      <c r="I416" s="121" t="s">
        <v>469</v>
      </c>
      <c r="J416" s="122" t="s">
        <v>471</v>
      </c>
      <c r="K416" s="123">
        <v>100</v>
      </c>
      <c r="L416" s="124">
        <v>34.5</v>
      </c>
      <c r="M416" s="125">
        <f t="shared" si="38"/>
        <v>0</v>
      </c>
      <c r="N416" s="125">
        <f t="shared" si="380"/>
        <v>34.5</v>
      </c>
      <c r="O416" s="125"/>
      <c r="P416" s="125">
        <f t="shared" si="2"/>
        <v>3450</v>
      </c>
      <c r="Q416" s="126">
        <f t="shared" si="3"/>
        <v>3.5900000000000001E-2</v>
      </c>
      <c r="R416" s="126">
        <f t="shared" si="74"/>
        <v>0</v>
      </c>
      <c r="S416" s="126">
        <f t="shared" si="35"/>
        <v>0.02</v>
      </c>
      <c r="T416" s="126">
        <f t="shared" si="379"/>
        <v>3.45</v>
      </c>
      <c r="U416" s="126">
        <v>0</v>
      </c>
      <c r="V416" s="126">
        <f t="shared" si="381"/>
        <v>0.12</v>
      </c>
      <c r="W416" s="126">
        <f t="shared" si="217"/>
        <v>0</v>
      </c>
      <c r="X416" s="126">
        <f t="shared" si="9"/>
        <v>3.5900000000000003</v>
      </c>
      <c r="Y416" s="127">
        <f t="shared" si="382"/>
        <v>3446.41</v>
      </c>
      <c r="Z416" s="128">
        <f t="shared" si="230"/>
        <v>3446</v>
      </c>
      <c r="AA416" s="129">
        <f t="shared" si="47"/>
        <v>-0.40999999999985448</v>
      </c>
      <c r="AB416" s="120">
        <v>44580</v>
      </c>
      <c r="AC416" s="130">
        <f t="shared" si="12"/>
        <v>1.041E-3</v>
      </c>
      <c r="AD416" s="131">
        <f t="shared" si="13"/>
        <v>44580</v>
      </c>
      <c r="AE416" s="132" t="s">
        <v>403</v>
      </c>
      <c r="AF416" s="119"/>
    </row>
    <row r="417" spans="1:32" ht="12" customHeight="1">
      <c r="A417" s="150">
        <v>44578</v>
      </c>
      <c r="B417" s="151" t="s">
        <v>586</v>
      </c>
      <c r="C417" s="151"/>
      <c r="D417" s="151"/>
      <c r="E417" s="151"/>
      <c r="F417" s="151"/>
      <c r="G417" s="151"/>
      <c r="H417" s="122" t="s">
        <v>446</v>
      </c>
      <c r="I417" s="121" t="s">
        <v>469</v>
      </c>
      <c r="J417" s="122" t="s">
        <v>471</v>
      </c>
      <c r="K417" s="123">
        <v>2000</v>
      </c>
      <c r="L417" s="124">
        <v>6.35</v>
      </c>
      <c r="M417" s="125">
        <f t="shared" si="38"/>
        <v>0</v>
      </c>
      <c r="N417" s="125">
        <f t="shared" si="380"/>
        <v>6.35</v>
      </c>
      <c r="O417" s="125"/>
      <c r="P417" s="125">
        <f t="shared" si="2"/>
        <v>12700</v>
      </c>
      <c r="Q417" s="126">
        <f t="shared" si="3"/>
        <v>1.3349999999999999E-2</v>
      </c>
      <c r="R417" s="126">
        <f t="shared" si="74"/>
        <v>0</v>
      </c>
      <c r="S417" s="126">
        <f t="shared" si="35"/>
        <v>2.29</v>
      </c>
      <c r="T417" s="126">
        <f>ROUND(P417*K$1806,2)-1</f>
        <v>11.7</v>
      </c>
      <c r="U417" s="126">
        <v>0</v>
      </c>
      <c r="V417" s="126">
        <f>ROUND(P417*0.1%,2)</f>
        <v>12.7</v>
      </c>
      <c r="W417" s="126">
        <f t="shared" si="217"/>
        <v>0.01</v>
      </c>
      <c r="X417" s="126">
        <f t="shared" si="9"/>
        <v>26.7</v>
      </c>
      <c r="Y417" s="127">
        <f t="shared" si="382"/>
        <v>12673.3</v>
      </c>
      <c r="Z417" s="128">
        <f t="shared" si="230"/>
        <v>12673</v>
      </c>
      <c r="AA417" s="129">
        <f t="shared" si="47"/>
        <v>-0.2999999999992724</v>
      </c>
      <c r="AB417" s="120">
        <v>44580</v>
      </c>
      <c r="AC417" s="130">
        <f t="shared" si="12"/>
        <v>2.1020000000000001E-3</v>
      </c>
      <c r="AD417" s="131">
        <f t="shared" si="13"/>
        <v>44580</v>
      </c>
      <c r="AE417" s="132" t="s">
        <v>403</v>
      </c>
      <c r="AF417" s="119"/>
    </row>
    <row r="418" spans="1:32" ht="12" customHeight="1">
      <c r="A418" s="150">
        <v>44578</v>
      </c>
      <c r="B418" s="151" t="s">
        <v>465</v>
      </c>
      <c r="C418" s="151"/>
      <c r="D418" s="151"/>
      <c r="E418" s="151"/>
      <c r="F418" s="151"/>
      <c r="G418" s="151"/>
      <c r="H418" s="122" t="s">
        <v>446</v>
      </c>
      <c r="I418" s="121" t="s">
        <v>469</v>
      </c>
      <c r="J418" s="122" t="s">
        <v>471</v>
      </c>
      <c r="K418" s="123">
        <v>35</v>
      </c>
      <c r="L418" s="124">
        <v>248</v>
      </c>
      <c r="M418" s="125">
        <f t="shared" si="38"/>
        <v>0</v>
      </c>
      <c r="N418" s="125">
        <f t="shared" si="380"/>
        <v>248</v>
      </c>
      <c r="O418" s="125"/>
      <c r="P418" s="125">
        <f t="shared" si="2"/>
        <v>8680</v>
      </c>
      <c r="Q418" s="126">
        <f t="shared" si="3"/>
        <v>0.25628571428571423</v>
      </c>
      <c r="R418" s="126">
        <f t="shared" si="74"/>
        <v>0</v>
      </c>
      <c r="S418" s="126">
        <f t="shared" si="35"/>
        <v>0.04</v>
      </c>
      <c r="T418" s="126">
        <f t="shared" ref="T418:T452" si="383">ROUND(P418*K$1806,2)</f>
        <v>8.68</v>
      </c>
      <c r="U418" s="126">
        <v>0</v>
      </c>
      <c r="V418" s="126">
        <f t="shared" ref="V418:V421" si="384">ROUND(P418*L$1809,2)</f>
        <v>0.24</v>
      </c>
      <c r="W418" s="126">
        <f t="shared" si="217"/>
        <v>0.01</v>
      </c>
      <c r="X418" s="126">
        <f t="shared" si="9"/>
        <v>8.9699999999999989</v>
      </c>
      <c r="Y418" s="127">
        <f t="shared" si="382"/>
        <v>8671.0300000000007</v>
      </c>
      <c r="Z418" s="128">
        <f t="shared" si="230"/>
        <v>8671</v>
      </c>
      <c r="AA418" s="129">
        <f t="shared" si="47"/>
        <v>-3.0000000000654836E-2</v>
      </c>
      <c r="AB418" s="120">
        <v>44580</v>
      </c>
      <c r="AC418" s="130">
        <f t="shared" si="12"/>
        <v>1.0330000000000001E-3</v>
      </c>
      <c r="AD418" s="131">
        <f t="shared" si="13"/>
        <v>44580</v>
      </c>
      <c r="AE418" s="132" t="s">
        <v>403</v>
      </c>
      <c r="AF418" s="119"/>
    </row>
    <row r="419" spans="1:32" ht="12" customHeight="1">
      <c r="A419" s="148">
        <v>44579</v>
      </c>
      <c r="B419" s="149" t="s">
        <v>575</v>
      </c>
      <c r="C419" s="149"/>
      <c r="D419" s="149"/>
      <c r="E419" s="149"/>
      <c r="F419" s="149"/>
      <c r="G419" s="149"/>
      <c r="H419" s="135" t="s">
        <v>453</v>
      </c>
      <c r="I419" s="134" t="s">
        <v>469</v>
      </c>
      <c r="J419" s="135" t="s">
        <v>448</v>
      </c>
      <c r="K419" s="136">
        <v>100</v>
      </c>
      <c r="L419" s="137">
        <v>1000</v>
      </c>
      <c r="M419" s="138">
        <f t="shared" si="38"/>
        <v>0</v>
      </c>
      <c r="N419" s="138">
        <f t="shared" ref="N419:N423" si="385">L419+M419</f>
        <v>1000</v>
      </c>
      <c r="O419" s="138"/>
      <c r="P419" s="138">
        <f t="shared" si="2"/>
        <v>100000</v>
      </c>
      <c r="Q419" s="139">
        <f t="shared" si="3"/>
        <v>1.1835</v>
      </c>
      <c r="R419" s="139">
        <f t="shared" si="74"/>
        <v>0</v>
      </c>
      <c r="S419" s="139">
        <f t="shared" si="35"/>
        <v>0.5</v>
      </c>
      <c r="T419" s="139">
        <f t="shared" si="383"/>
        <v>100</v>
      </c>
      <c r="U419" s="139">
        <f t="shared" ref="U419:U423" si="386">ROUND(P419*K$1812,2)</f>
        <v>15</v>
      </c>
      <c r="V419" s="139">
        <f t="shared" si="384"/>
        <v>2.75</v>
      </c>
      <c r="W419" s="139">
        <f t="shared" si="217"/>
        <v>0.1</v>
      </c>
      <c r="X419" s="140">
        <f t="shared" si="9"/>
        <v>118.35</v>
      </c>
      <c r="Y419" s="141">
        <f t="shared" ref="Y419:Y423" si="387">-ROUND(P419+SUM(R419:W419),2)</f>
        <v>-100118.35</v>
      </c>
      <c r="Z419" s="142">
        <f t="shared" si="230"/>
        <v>-100118</v>
      </c>
      <c r="AA419" s="143">
        <f t="shared" si="47"/>
        <v>0.35000000000582077</v>
      </c>
      <c r="AB419" s="133">
        <v>44581</v>
      </c>
      <c r="AC419" s="144">
        <f t="shared" si="12"/>
        <v>1.1839999999999999E-3</v>
      </c>
      <c r="AD419" s="145">
        <f t="shared" si="13"/>
        <v>44581</v>
      </c>
      <c r="AE419" s="146" t="s">
        <v>403</v>
      </c>
      <c r="AF419" s="119"/>
    </row>
    <row r="420" spans="1:32" ht="12" customHeight="1">
      <c r="A420" s="148">
        <v>44579</v>
      </c>
      <c r="B420" s="149" t="s">
        <v>575</v>
      </c>
      <c r="C420" s="149"/>
      <c r="D420" s="149"/>
      <c r="E420" s="149"/>
      <c r="F420" s="149"/>
      <c r="G420" s="149"/>
      <c r="H420" s="135" t="s">
        <v>453</v>
      </c>
      <c r="I420" s="134" t="s">
        <v>469</v>
      </c>
      <c r="J420" s="135" t="s">
        <v>448</v>
      </c>
      <c r="K420" s="136">
        <v>150</v>
      </c>
      <c r="L420" s="137">
        <v>1040</v>
      </c>
      <c r="M420" s="138">
        <f t="shared" si="38"/>
        <v>0</v>
      </c>
      <c r="N420" s="138">
        <f t="shared" si="385"/>
        <v>1040</v>
      </c>
      <c r="O420" s="138"/>
      <c r="P420" s="138">
        <f t="shared" si="2"/>
        <v>156000</v>
      </c>
      <c r="Q420" s="139">
        <f t="shared" si="3"/>
        <v>1.2308000000000001</v>
      </c>
      <c r="R420" s="139">
        <f t="shared" si="74"/>
        <v>0</v>
      </c>
      <c r="S420" s="139">
        <f t="shared" si="35"/>
        <v>0.77</v>
      </c>
      <c r="T420" s="139">
        <f t="shared" si="383"/>
        <v>156</v>
      </c>
      <c r="U420" s="139">
        <f t="shared" si="386"/>
        <v>23.4</v>
      </c>
      <c r="V420" s="139">
        <f t="shared" si="384"/>
        <v>4.29</v>
      </c>
      <c r="W420" s="139">
        <f t="shared" si="217"/>
        <v>0.16</v>
      </c>
      <c r="X420" s="140">
        <f t="shared" si="9"/>
        <v>184.62</v>
      </c>
      <c r="Y420" s="141">
        <f t="shared" si="387"/>
        <v>-156184.62</v>
      </c>
      <c r="Z420" s="142">
        <f t="shared" si="230"/>
        <v>-156185</v>
      </c>
      <c r="AA420" s="143">
        <f t="shared" si="47"/>
        <v>-0.38000000000465661</v>
      </c>
      <c r="AB420" s="133">
        <v>44581</v>
      </c>
      <c r="AC420" s="144">
        <f t="shared" si="12"/>
        <v>1.183E-3</v>
      </c>
      <c r="AD420" s="145">
        <f t="shared" si="13"/>
        <v>44581</v>
      </c>
      <c r="AE420" s="146" t="s">
        <v>403</v>
      </c>
      <c r="AF420" s="119"/>
    </row>
    <row r="421" spans="1:32" ht="12" customHeight="1">
      <c r="A421" s="148">
        <v>44579</v>
      </c>
      <c r="B421" s="149" t="s">
        <v>575</v>
      </c>
      <c r="C421" s="149"/>
      <c r="D421" s="149"/>
      <c r="E421" s="149"/>
      <c r="F421" s="149"/>
      <c r="G421" s="149"/>
      <c r="H421" s="135" t="s">
        <v>453</v>
      </c>
      <c r="I421" s="134" t="s">
        <v>469</v>
      </c>
      <c r="J421" s="135" t="s">
        <v>448</v>
      </c>
      <c r="K421" s="136">
        <v>47</v>
      </c>
      <c r="L421" s="137">
        <v>1030</v>
      </c>
      <c r="M421" s="138">
        <f t="shared" si="38"/>
        <v>0</v>
      </c>
      <c r="N421" s="138">
        <f t="shared" si="385"/>
        <v>1030</v>
      </c>
      <c r="O421" s="138"/>
      <c r="P421" s="138">
        <f t="shared" si="2"/>
        <v>48410</v>
      </c>
      <c r="Q421" s="139">
        <f t="shared" si="3"/>
        <v>1.2189361702127657</v>
      </c>
      <c r="R421" s="139">
        <f t="shared" si="74"/>
        <v>0</v>
      </c>
      <c r="S421" s="139">
        <f t="shared" si="35"/>
        <v>0.24</v>
      </c>
      <c r="T421" s="139">
        <f t="shared" si="383"/>
        <v>48.41</v>
      </c>
      <c r="U421" s="139">
        <f t="shared" si="386"/>
        <v>7.26</v>
      </c>
      <c r="V421" s="139">
        <f t="shared" si="384"/>
        <v>1.33</v>
      </c>
      <c r="W421" s="139">
        <f t="shared" si="217"/>
        <v>0.05</v>
      </c>
      <c r="X421" s="140">
        <f t="shared" si="9"/>
        <v>57.289999999999992</v>
      </c>
      <c r="Y421" s="141">
        <f t="shared" si="387"/>
        <v>-48467.29</v>
      </c>
      <c r="Z421" s="142">
        <f t="shared" si="230"/>
        <v>-48467</v>
      </c>
      <c r="AA421" s="143">
        <f t="shared" si="47"/>
        <v>0.29000000000087311</v>
      </c>
      <c r="AB421" s="133">
        <v>44581</v>
      </c>
      <c r="AC421" s="144">
        <f t="shared" si="12"/>
        <v>1.183E-3</v>
      </c>
      <c r="AD421" s="145">
        <f t="shared" si="13"/>
        <v>44581</v>
      </c>
      <c r="AE421" s="146" t="s">
        <v>403</v>
      </c>
      <c r="AF421" s="119"/>
    </row>
    <row r="422" spans="1:32" ht="12" customHeight="1">
      <c r="A422" s="148">
        <v>44579</v>
      </c>
      <c r="B422" s="149" t="s">
        <v>465</v>
      </c>
      <c r="C422" s="149"/>
      <c r="D422" s="149"/>
      <c r="E422" s="149"/>
      <c r="F422" s="149"/>
      <c r="G422" s="149"/>
      <c r="H422" s="135" t="s">
        <v>453</v>
      </c>
      <c r="I422" s="134" t="s">
        <v>469</v>
      </c>
      <c r="J422" s="135" t="s">
        <v>471</v>
      </c>
      <c r="K422" s="136">
        <v>30</v>
      </c>
      <c r="L422" s="137">
        <v>245.5</v>
      </c>
      <c r="M422" s="138">
        <f t="shared" si="38"/>
        <v>0</v>
      </c>
      <c r="N422" s="138">
        <f t="shared" si="385"/>
        <v>245.5</v>
      </c>
      <c r="O422" s="138"/>
      <c r="P422" s="138">
        <f t="shared" si="2"/>
        <v>7365</v>
      </c>
      <c r="Q422" s="139">
        <f t="shared" si="3"/>
        <v>0.29266666666666663</v>
      </c>
      <c r="R422" s="139">
        <f t="shared" si="74"/>
        <v>0</v>
      </c>
      <c r="S422" s="139">
        <f t="shared" si="35"/>
        <v>0.05</v>
      </c>
      <c r="T422" s="139">
        <f t="shared" si="383"/>
        <v>7.37</v>
      </c>
      <c r="U422" s="139">
        <f t="shared" si="386"/>
        <v>1.1000000000000001</v>
      </c>
      <c r="V422" s="139">
        <f t="shared" ref="V422:V425" si="388">ROUND(P422*M$1809,2)</f>
        <v>0.25</v>
      </c>
      <c r="W422" s="139">
        <f t="shared" si="217"/>
        <v>0.01</v>
      </c>
      <c r="X422" s="140">
        <f t="shared" si="9"/>
        <v>8.7799999999999994</v>
      </c>
      <c r="Y422" s="141">
        <f t="shared" si="387"/>
        <v>-7373.78</v>
      </c>
      <c r="Z422" s="142">
        <f t="shared" si="230"/>
        <v>-7374</v>
      </c>
      <c r="AA422" s="143">
        <f t="shared" si="47"/>
        <v>-0.22000000000025466</v>
      </c>
      <c r="AB422" s="133">
        <v>44581</v>
      </c>
      <c r="AC422" s="144">
        <f t="shared" si="12"/>
        <v>1.1919999999999999E-3</v>
      </c>
      <c r="AD422" s="145">
        <f t="shared" si="13"/>
        <v>44581</v>
      </c>
      <c r="AE422" s="146" t="s">
        <v>403</v>
      </c>
      <c r="AF422" s="119"/>
    </row>
    <row r="423" spans="1:32" ht="12" customHeight="1">
      <c r="A423" s="148">
        <v>44579</v>
      </c>
      <c r="B423" s="149" t="s">
        <v>590</v>
      </c>
      <c r="C423" s="149"/>
      <c r="D423" s="149"/>
      <c r="E423" s="149"/>
      <c r="F423" s="149"/>
      <c r="G423" s="149"/>
      <c r="H423" s="135" t="s">
        <v>453</v>
      </c>
      <c r="I423" s="134" t="s">
        <v>469</v>
      </c>
      <c r="J423" s="135" t="s">
        <v>471</v>
      </c>
      <c r="K423" s="136">
        <v>4</v>
      </c>
      <c r="L423" s="137">
        <v>1205</v>
      </c>
      <c r="M423" s="138">
        <f t="shared" si="38"/>
        <v>0</v>
      </c>
      <c r="N423" s="138">
        <f t="shared" si="385"/>
        <v>1205</v>
      </c>
      <c r="O423" s="138"/>
      <c r="P423" s="138">
        <f t="shared" si="2"/>
        <v>4820</v>
      </c>
      <c r="Q423" s="139">
        <f t="shared" si="3"/>
        <v>1.4350000000000001</v>
      </c>
      <c r="R423" s="139">
        <f t="shared" si="74"/>
        <v>0</v>
      </c>
      <c r="S423" s="139">
        <f t="shared" si="35"/>
        <v>0.03</v>
      </c>
      <c r="T423" s="139">
        <f t="shared" si="383"/>
        <v>4.82</v>
      </c>
      <c r="U423" s="139">
        <f t="shared" si="386"/>
        <v>0.72</v>
      </c>
      <c r="V423" s="139">
        <f t="shared" si="388"/>
        <v>0.17</v>
      </c>
      <c r="W423" s="139">
        <f t="shared" si="217"/>
        <v>0</v>
      </c>
      <c r="X423" s="140">
        <f t="shared" si="9"/>
        <v>5.74</v>
      </c>
      <c r="Y423" s="141">
        <f t="shared" si="387"/>
        <v>-4825.74</v>
      </c>
      <c r="Z423" s="142">
        <f t="shared" si="230"/>
        <v>-4826</v>
      </c>
      <c r="AA423" s="143">
        <f t="shared" si="47"/>
        <v>-0.26000000000021828</v>
      </c>
      <c r="AB423" s="133">
        <v>44581</v>
      </c>
      <c r="AC423" s="144">
        <f t="shared" si="12"/>
        <v>1.191E-3</v>
      </c>
      <c r="AD423" s="145">
        <f t="shared" si="13"/>
        <v>44581</v>
      </c>
      <c r="AE423" s="146" t="s">
        <v>403</v>
      </c>
      <c r="AF423" s="119"/>
    </row>
    <row r="424" spans="1:32" ht="12" customHeight="1">
      <c r="A424" s="150">
        <v>44580</v>
      </c>
      <c r="B424" s="151" t="s">
        <v>575</v>
      </c>
      <c r="C424" s="151"/>
      <c r="D424" s="151"/>
      <c r="E424" s="151"/>
      <c r="F424" s="151"/>
      <c r="G424" s="151"/>
      <c r="H424" s="122" t="s">
        <v>446</v>
      </c>
      <c r="I424" s="121" t="s">
        <v>469</v>
      </c>
      <c r="J424" s="122" t="s">
        <v>448</v>
      </c>
      <c r="K424" s="123">
        <v>47</v>
      </c>
      <c r="L424" s="124">
        <v>1101</v>
      </c>
      <c r="M424" s="125">
        <f t="shared" si="38"/>
        <v>0</v>
      </c>
      <c r="N424" s="125">
        <f>L424-M424</f>
        <v>1101</v>
      </c>
      <c r="O424" s="125"/>
      <c r="P424" s="125">
        <f t="shared" si="2"/>
        <v>51747</v>
      </c>
      <c r="Q424" s="126">
        <f t="shared" si="3"/>
        <v>1.1470212765957446</v>
      </c>
      <c r="R424" s="126">
        <f t="shared" si="74"/>
        <v>0</v>
      </c>
      <c r="S424" s="126">
        <f t="shared" si="35"/>
        <v>0.32</v>
      </c>
      <c r="T424" s="126">
        <f t="shared" si="383"/>
        <v>51.75</v>
      </c>
      <c r="U424" s="126">
        <v>0</v>
      </c>
      <c r="V424" s="126">
        <f t="shared" si="388"/>
        <v>1.79</v>
      </c>
      <c r="W424" s="126">
        <f t="shared" si="217"/>
        <v>0.05</v>
      </c>
      <c r="X424" s="126">
        <f t="shared" si="9"/>
        <v>53.91</v>
      </c>
      <c r="Y424" s="127">
        <f>ROUND(P424-SUM(R424:W424),2)</f>
        <v>51693.09</v>
      </c>
      <c r="Z424" s="128">
        <f t="shared" si="230"/>
        <v>51693</v>
      </c>
      <c r="AA424" s="129">
        <f t="shared" si="47"/>
        <v>-8.999999999650754E-2</v>
      </c>
      <c r="AB424" s="120">
        <v>44582</v>
      </c>
      <c r="AC424" s="130">
        <f t="shared" si="12"/>
        <v>1.042E-3</v>
      </c>
      <c r="AD424" s="131">
        <f t="shared" si="13"/>
        <v>44582</v>
      </c>
      <c r="AE424" s="132" t="s">
        <v>403</v>
      </c>
      <c r="AF424" s="119"/>
    </row>
    <row r="425" spans="1:32" ht="12" customHeight="1">
      <c r="A425" s="148">
        <v>44580</v>
      </c>
      <c r="B425" s="149" t="s">
        <v>484</v>
      </c>
      <c r="C425" s="149"/>
      <c r="D425" s="149"/>
      <c r="E425" s="149"/>
      <c r="F425" s="149"/>
      <c r="G425" s="149"/>
      <c r="H425" s="135" t="s">
        <v>453</v>
      </c>
      <c r="I425" s="134" t="s">
        <v>469</v>
      </c>
      <c r="J425" s="135" t="s">
        <v>471</v>
      </c>
      <c r="K425" s="136">
        <v>1</v>
      </c>
      <c r="L425" s="137">
        <v>7575</v>
      </c>
      <c r="M425" s="138">
        <f t="shared" si="38"/>
        <v>0</v>
      </c>
      <c r="N425" s="138">
        <f>L425+M425</f>
        <v>7575</v>
      </c>
      <c r="O425" s="138"/>
      <c r="P425" s="138">
        <f t="shared" si="2"/>
        <v>7575</v>
      </c>
      <c r="Q425" s="139">
        <f t="shared" si="3"/>
        <v>9.0399999999999991</v>
      </c>
      <c r="R425" s="139">
        <f t="shared" si="74"/>
        <v>0</v>
      </c>
      <c r="S425" s="139">
        <f t="shared" si="35"/>
        <v>0.05</v>
      </c>
      <c r="T425" s="139">
        <f t="shared" si="383"/>
        <v>7.58</v>
      </c>
      <c r="U425" s="139">
        <f>ROUND(P425*K$1812,2)</f>
        <v>1.1399999999999999</v>
      </c>
      <c r="V425" s="139">
        <f t="shared" si="388"/>
        <v>0.26</v>
      </c>
      <c r="W425" s="139">
        <f t="shared" si="217"/>
        <v>0.01</v>
      </c>
      <c r="X425" s="140">
        <f t="shared" si="9"/>
        <v>9.0399999999999991</v>
      </c>
      <c r="Y425" s="141">
        <f>-ROUND(P425+SUM(R425:W425),2)</f>
        <v>-7584.04</v>
      </c>
      <c r="Z425" s="142">
        <f t="shared" si="230"/>
        <v>-7584</v>
      </c>
      <c r="AA425" s="143">
        <f t="shared" si="47"/>
        <v>3.999999999996362E-2</v>
      </c>
      <c r="AB425" s="133">
        <v>44582</v>
      </c>
      <c r="AC425" s="144">
        <f t="shared" si="12"/>
        <v>1.193E-3</v>
      </c>
      <c r="AD425" s="145">
        <f t="shared" si="13"/>
        <v>44582</v>
      </c>
      <c r="AE425" s="146" t="s">
        <v>403</v>
      </c>
      <c r="AF425" s="119"/>
    </row>
    <row r="426" spans="1:32" ht="12" customHeight="1">
      <c r="A426" s="150">
        <v>44580</v>
      </c>
      <c r="B426" s="151" t="s">
        <v>465</v>
      </c>
      <c r="C426" s="151"/>
      <c r="D426" s="151"/>
      <c r="E426" s="151"/>
      <c r="F426" s="151"/>
      <c r="G426" s="151"/>
      <c r="H426" s="122" t="s">
        <v>446</v>
      </c>
      <c r="I426" s="121" t="s">
        <v>469</v>
      </c>
      <c r="J426" s="122" t="s">
        <v>471</v>
      </c>
      <c r="K426" s="123">
        <v>35</v>
      </c>
      <c r="L426" s="124">
        <v>240.5</v>
      </c>
      <c r="M426" s="125">
        <f t="shared" si="38"/>
        <v>0</v>
      </c>
      <c r="N426" s="125">
        <f t="shared" ref="N426:N428" si="389">L426-M426</f>
        <v>240.5</v>
      </c>
      <c r="O426" s="125"/>
      <c r="P426" s="125">
        <f t="shared" si="2"/>
        <v>8417.5</v>
      </c>
      <c r="Q426" s="126">
        <f t="shared" si="3"/>
        <v>0.24857142857142855</v>
      </c>
      <c r="R426" s="126">
        <f t="shared" si="74"/>
        <v>0</v>
      </c>
      <c r="S426" s="126">
        <f t="shared" si="35"/>
        <v>0.04</v>
      </c>
      <c r="T426" s="126">
        <f t="shared" si="383"/>
        <v>8.42</v>
      </c>
      <c r="U426" s="126">
        <v>0</v>
      </c>
      <c r="V426" s="126">
        <f t="shared" ref="V426:V433" si="390">ROUND(P426*L$1809,2)</f>
        <v>0.23</v>
      </c>
      <c r="W426" s="126">
        <f t="shared" si="217"/>
        <v>0.01</v>
      </c>
      <c r="X426" s="126">
        <f t="shared" si="9"/>
        <v>8.6999999999999993</v>
      </c>
      <c r="Y426" s="127">
        <f t="shared" ref="Y426:Y428" si="391">ROUND(P426-SUM(R426:W426),2)</f>
        <v>8408.7999999999993</v>
      </c>
      <c r="Z426" s="128">
        <f t="shared" si="230"/>
        <v>8409</v>
      </c>
      <c r="AA426" s="129">
        <f t="shared" si="47"/>
        <v>0.2000000000007276</v>
      </c>
      <c r="AB426" s="120">
        <v>44582</v>
      </c>
      <c r="AC426" s="130">
        <f t="shared" si="12"/>
        <v>1.034E-3</v>
      </c>
      <c r="AD426" s="131">
        <f t="shared" si="13"/>
        <v>44582</v>
      </c>
      <c r="AE426" s="132" t="s">
        <v>403</v>
      </c>
      <c r="AF426" s="119"/>
    </row>
    <row r="427" spans="1:32" ht="12" customHeight="1">
      <c r="A427" s="150">
        <v>44581</v>
      </c>
      <c r="B427" s="151" t="s">
        <v>584</v>
      </c>
      <c r="C427" s="151"/>
      <c r="D427" s="151"/>
      <c r="E427" s="151"/>
      <c r="F427" s="151"/>
      <c r="G427" s="151"/>
      <c r="H427" s="122" t="s">
        <v>446</v>
      </c>
      <c r="I427" s="121" t="s">
        <v>469</v>
      </c>
      <c r="J427" s="122" t="s">
        <v>471</v>
      </c>
      <c r="K427" s="123">
        <v>1000</v>
      </c>
      <c r="L427" s="124">
        <v>11.4</v>
      </c>
      <c r="M427" s="125">
        <f t="shared" si="38"/>
        <v>0</v>
      </c>
      <c r="N427" s="125">
        <f t="shared" si="389"/>
        <v>11.4</v>
      </c>
      <c r="O427" s="125"/>
      <c r="P427" s="125">
        <f t="shared" si="2"/>
        <v>11400</v>
      </c>
      <c r="Q427" s="126">
        <f t="shared" si="3"/>
        <v>1.1780000000000001E-2</v>
      </c>
      <c r="R427" s="126">
        <f t="shared" si="74"/>
        <v>0</v>
      </c>
      <c r="S427" s="126">
        <f t="shared" si="35"/>
        <v>0.06</v>
      </c>
      <c r="T427" s="126">
        <f t="shared" si="383"/>
        <v>11.4</v>
      </c>
      <c r="U427" s="126">
        <v>0</v>
      </c>
      <c r="V427" s="126">
        <f t="shared" si="390"/>
        <v>0.31</v>
      </c>
      <c r="W427" s="126">
        <f t="shared" si="217"/>
        <v>0.01</v>
      </c>
      <c r="X427" s="126">
        <f t="shared" si="9"/>
        <v>11.780000000000001</v>
      </c>
      <c r="Y427" s="127">
        <f t="shared" si="391"/>
        <v>11388.22</v>
      </c>
      <c r="Z427" s="128">
        <f t="shared" si="230"/>
        <v>11388</v>
      </c>
      <c r="AA427" s="129">
        <f t="shared" si="47"/>
        <v>-0.21999999999934516</v>
      </c>
      <c r="AB427" s="120">
        <v>44585</v>
      </c>
      <c r="AC427" s="130">
        <f t="shared" si="12"/>
        <v>1.0330000000000001E-3</v>
      </c>
      <c r="AD427" s="131">
        <f t="shared" si="13"/>
        <v>44585</v>
      </c>
      <c r="AE427" s="132" t="s">
        <v>403</v>
      </c>
      <c r="AF427" s="119"/>
    </row>
    <row r="428" spans="1:32" ht="12" customHeight="1">
      <c r="A428" s="150">
        <v>44581</v>
      </c>
      <c r="B428" s="151" t="s">
        <v>577</v>
      </c>
      <c r="C428" s="151"/>
      <c r="D428" s="151"/>
      <c r="E428" s="151"/>
      <c r="F428" s="151"/>
      <c r="G428" s="151"/>
      <c r="H428" s="122" t="s">
        <v>446</v>
      </c>
      <c r="I428" s="121" t="s">
        <v>469</v>
      </c>
      <c r="J428" s="122" t="s">
        <v>471</v>
      </c>
      <c r="K428" s="123">
        <v>50</v>
      </c>
      <c r="L428" s="124">
        <v>272.32499999999999</v>
      </c>
      <c r="M428" s="125">
        <f t="shared" si="38"/>
        <v>0</v>
      </c>
      <c r="N428" s="125">
        <f t="shared" si="389"/>
        <v>272.32499999999999</v>
      </c>
      <c r="O428" s="125"/>
      <c r="P428" s="125">
        <f t="shared" si="2"/>
        <v>13616.25</v>
      </c>
      <c r="Q428" s="126">
        <f t="shared" si="3"/>
        <v>0.28139999999999998</v>
      </c>
      <c r="R428" s="126">
        <f t="shared" si="74"/>
        <v>0</v>
      </c>
      <c r="S428" s="126">
        <f t="shared" si="35"/>
        <v>7.0000000000000007E-2</v>
      </c>
      <c r="T428" s="126">
        <f t="shared" si="383"/>
        <v>13.62</v>
      </c>
      <c r="U428" s="126">
        <v>0</v>
      </c>
      <c r="V428" s="126">
        <f t="shared" si="390"/>
        <v>0.37</v>
      </c>
      <c r="W428" s="126">
        <f t="shared" si="217"/>
        <v>0.01</v>
      </c>
      <c r="X428" s="126">
        <f t="shared" si="9"/>
        <v>14.069999999999999</v>
      </c>
      <c r="Y428" s="127">
        <f t="shared" si="391"/>
        <v>13602.18</v>
      </c>
      <c r="Z428" s="128">
        <f t="shared" si="230"/>
        <v>13602</v>
      </c>
      <c r="AA428" s="129">
        <f t="shared" si="47"/>
        <v>-0.18000000000029104</v>
      </c>
      <c r="AB428" s="120">
        <v>44585</v>
      </c>
      <c r="AC428" s="130">
        <f t="shared" si="12"/>
        <v>1.0330000000000001E-3</v>
      </c>
      <c r="AD428" s="131">
        <f t="shared" si="13"/>
        <v>44585</v>
      </c>
      <c r="AE428" s="132" t="s">
        <v>403</v>
      </c>
      <c r="AF428" s="119"/>
    </row>
    <row r="429" spans="1:32" ht="12" customHeight="1">
      <c r="A429" s="148">
        <v>44581</v>
      </c>
      <c r="B429" s="149" t="s">
        <v>591</v>
      </c>
      <c r="C429" s="149"/>
      <c r="D429" s="149"/>
      <c r="E429" s="149"/>
      <c r="F429" s="149"/>
      <c r="G429" s="149"/>
      <c r="H429" s="135" t="s">
        <v>453</v>
      </c>
      <c r="I429" s="134" t="s">
        <v>469</v>
      </c>
      <c r="J429" s="135" t="s">
        <v>471</v>
      </c>
      <c r="K429" s="136">
        <v>50</v>
      </c>
      <c r="L429" s="137">
        <v>365</v>
      </c>
      <c r="M429" s="138">
        <f t="shared" si="38"/>
        <v>0</v>
      </c>
      <c r="N429" s="138">
        <f t="shared" ref="N429:N435" si="392">L429+M429</f>
        <v>365</v>
      </c>
      <c r="O429" s="138"/>
      <c r="P429" s="138">
        <f t="shared" si="2"/>
        <v>18250</v>
      </c>
      <c r="Q429" s="139">
        <f t="shared" si="3"/>
        <v>0.43199999999999994</v>
      </c>
      <c r="R429" s="139">
        <f t="shared" si="74"/>
        <v>0</v>
      </c>
      <c r="S429" s="139">
        <f t="shared" si="35"/>
        <v>0.09</v>
      </c>
      <c r="T429" s="139">
        <f t="shared" si="383"/>
        <v>18.25</v>
      </c>
      <c r="U429" s="139">
        <f t="shared" ref="U429:U435" si="393">ROUND(P429*K$1812,2)</f>
        <v>2.74</v>
      </c>
      <c r="V429" s="139">
        <f t="shared" si="390"/>
        <v>0.5</v>
      </c>
      <c r="W429" s="139">
        <f t="shared" si="217"/>
        <v>0.02</v>
      </c>
      <c r="X429" s="140">
        <f t="shared" si="9"/>
        <v>21.599999999999998</v>
      </c>
      <c r="Y429" s="141">
        <f t="shared" ref="Y429:Y435" si="394">-ROUND(P429+SUM(R429:W429),2)</f>
        <v>-18271.599999999999</v>
      </c>
      <c r="Z429" s="142">
        <f t="shared" si="230"/>
        <v>-18272</v>
      </c>
      <c r="AA429" s="143">
        <f t="shared" si="47"/>
        <v>-0.40000000000145519</v>
      </c>
      <c r="AB429" s="133">
        <v>44585</v>
      </c>
      <c r="AC429" s="144">
        <f t="shared" si="12"/>
        <v>1.1839999999999999E-3</v>
      </c>
      <c r="AD429" s="145">
        <f t="shared" si="13"/>
        <v>44585</v>
      </c>
      <c r="AE429" s="146" t="s">
        <v>403</v>
      </c>
      <c r="AF429" s="119"/>
    </row>
    <row r="430" spans="1:32" ht="12" customHeight="1">
      <c r="A430" s="148">
        <v>44582</v>
      </c>
      <c r="B430" s="149" t="s">
        <v>585</v>
      </c>
      <c r="C430" s="149"/>
      <c r="D430" s="149"/>
      <c r="E430" s="149"/>
      <c r="F430" s="149"/>
      <c r="G430" s="149"/>
      <c r="H430" s="135" t="s">
        <v>453</v>
      </c>
      <c r="I430" s="134" t="s">
        <v>469</v>
      </c>
      <c r="J430" s="135" t="s">
        <v>471</v>
      </c>
      <c r="K430" s="136">
        <v>50</v>
      </c>
      <c r="L430" s="137">
        <v>99</v>
      </c>
      <c r="M430" s="138">
        <f t="shared" si="38"/>
        <v>0</v>
      </c>
      <c r="N430" s="138">
        <f t="shared" si="392"/>
        <v>99</v>
      </c>
      <c r="O430" s="138"/>
      <c r="P430" s="138">
        <f t="shared" si="2"/>
        <v>4950</v>
      </c>
      <c r="Q430" s="139">
        <f t="shared" si="3"/>
        <v>0.11720000000000001</v>
      </c>
      <c r="R430" s="139">
        <f t="shared" si="74"/>
        <v>0</v>
      </c>
      <c r="S430" s="139">
        <f t="shared" si="35"/>
        <v>0.03</v>
      </c>
      <c r="T430" s="139">
        <f t="shared" si="383"/>
        <v>4.95</v>
      </c>
      <c r="U430" s="139">
        <f t="shared" si="393"/>
        <v>0.74</v>
      </c>
      <c r="V430" s="139">
        <f t="shared" si="390"/>
        <v>0.14000000000000001</v>
      </c>
      <c r="W430" s="139">
        <f t="shared" si="217"/>
        <v>0</v>
      </c>
      <c r="X430" s="140">
        <f t="shared" si="9"/>
        <v>5.86</v>
      </c>
      <c r="Y430" s="141">
        <f t="shared" si="394"/>
        <v>-4955.8599999999997</v>
      </c>
      <c r="Z430" s="142">
        <f t="shared" si="230"/>
        <v>-4956</v>
      </c>
      <c r="AA430" s="143">
        <f t="shared" si="47"/>
        <v>-0.14000000000032742</v>
      </c>
      <c r="AB430" s="133">
        <v>44586</v>
      </c>
      <c r="AC430" s="144">
        <f t="shared" si="12"/>
        <v>1.1839999999999999E-3</v>
      </c>
      <c r="AD430" s="145">
        <f t="shared" si="13"/>
        <v>44586</v>
      </c>
      <c r="AE430" s="146" t="s">
        <v>403</v>
      </c>
      <c r="AF430" s="119"/>
    </row>
    <row r="431" spans="1:32" ht="12" customHeight="1">
      <c r="A431" s="148">
        <v>44582</v>
      </c>
      <c r="B431" s="149" t="s">
        <v>484</v>
      </c>
      <c r="C431" s="149"/>
      <c r="D431" s="149"/>
      <c r="E431" s="149"/>
      <c r="F431" s="149"/>
      <c r="G431" s="149"/>
      <c r="H431" s="135" t="s">
        <v>453</v>
      </c>
      <c r="I431" s="134" t="s">
        <v>469</v>
      </c>
      <c r="J431" s="135" t="s">
        <v>471</v>
      </c>
      <c r="K431" s="136">
        <v>2</v>
      </c>
      <c r="L431" s="137">
        <v>7400</v>
      </c>
      <c r="M431" s="138">
        <f t="shared" si="38"/>
        <v>0</v>
      </c>
      <c r="N431" s="138">
        <f t="shared" si="392"/>
        <v>7400</v>
      </c>
      <c r="O431" s="138"/>
      <c r="P431" s="138">
        <f t="shared" si="2"/>
        <v>14800</v>
      </c>
      <c r="Q431" s="139">
        <f t="shared" si="3"/>
        <v>8.7550000000000008</v>
      </c>
      <c r="R431" s="139">
        <f t="shared" si="74"/>
        <v>0</v>
      </c>
      <c r="S431" s="139">
        <f t="shared" si="35"/>
        <v>7.0000000000000007E-2</v>
      </c>
      <c r="T431" s="139">
        <f t="shared" si="383"/>
        <v>14.8</v>
      </c>
      <c r="U431" s="139">
        <f t="shared" si="393"/>
        <v>2.2200000000000002</v>
      </c>
      <c r="V431" s="139">
        <f t="shared" si="390"/>
        <v>0.41</v>
      </c>
      <c r="W431" s="139">
        <f t="shared" si="217"/>
        <v>0.01</v>
      </c>
      <c r="X431" s="140">
        <f t="shared" si="9"/>
        <v>17.510000000000002</v>
      </c>
      <c r="Y431" s="141">
        <f t="shared" si="394"/>
        <v>-14817.51</v>
      </c>
      <c r="Z431" s="142">
        <f t="shared" si="230"/>
        <v>-14818</v>
      </c>
      <c r="AA431" s="143">
        <f t="shared" si="47"/>
        <v>-0.48999999999978172</v>
      </c>
      <c r="AB431" s="133">
        <v>44586</v>
      </c>
      <c r="AC431" s="144">
        <f t="shared" si="12"/>
        <v>1.183E-3</v>
      </c>
      <c r="AD431" s="145">
        <f t="shared" si="13"/>
        <v>44586</v>
      </c>
      <c r="AE431" s="146" t="s">
        <v>403</v>
      </c>
      <c r="AF431" s="119"/>
    </row>
    <row r="432" spans="1:32" ht="12" customHeight="1">
      <c r="A432" s="148">
        <v>44582</v>
      </c>
      <c r="B432" s="149" t="s">
        <v>592</v>
      </c>
      <c r="C432" s="149"/>
      <c r="D432" s="149"/>
      <c r="E432" s="149"/>
      <c r="F432" s="149"/>
      <c r="G432" s="149"/>
      <c r="H432" s="135" t="s">
        <v>453</v>
      </c>
      <c r="I432" s="134" t="s">
        <v>469</v>
      </c>
      <c r="J432" s="135" t="s">
        <v>471</v>
      </c>
      <c r="K432" s="136">
        <v>300</v>
      </c>
      <c r="L432" s="137">
        <v>32.833333333333336</v>
      </c>
      <c r="M432" s="138">
        <f t="shared" si="38"/>
        <v>0</v>
      </c>
      <c r="N432" s="138">
        <f t="shared" si="392"/>
        <v>32.833333333333336</v>
      </c>
      <c r="O432" s="138"/>
      <c r="P432" s="138">
        <f t="shared" si="2"/>
        <v>9850</v>
      </c>
      <c r="Q432" s="139">
        <f t="shared" si="3"/>
        <v>3.8866666666666667E-2</v>
      </c>
      <c r="R432" s="139">
        <f t="shared" si="74"/>
        <v>0</v>
      </c>
      <c r="S432" s="139">
        <f t="shared" si="35"/>
        <v>0.05</v>
      </c>
      <c r="T432" s="139">
        <f t="shared" si="383"/>
        <v>9.85</v>
      </c>
      <c r="U432" s="139">
        <f t="shared" si="393"/>
        <v>1.48</v>
      </c>
      <c r="V432" s="139">
        <f t="shared" si="390"/>
        <v>0.27</v>
      </c>
      <c r="W432" s="139">
        <f t="shared" si="217"/>
        <v>0.01</v>
      </c>
      <c r="X432" s="140">
        <f t="shared" si="9"/>
        <v>11.66</v>
      </c>
      <c r="Y432" s="141">
        <f t="shared" si="394"/>
        <v>-9861.66</v>
      </c>
      <c r="Z432" s="142">
        <f t="shared" si="230"/>
        <v>-9862</v>
      </c>
      <c r="AA432" s="143">
        <f t="shared" si="47"/>
        <v>-0.34000000000014552</v>
      </c>
      <c r="AB432" s="133">
        <v>44586</v>
      </c>
      <c r="AC432" s="144">
        <f t="shared" si="12"/>
        <v>1.1839999999999999E-3</v>
      </c>
      <c r="AD432" s="145">
        <f t="shared" si="13"/>
        <v>44586</v>
      </c>
      <c r="AE432" s="146" t="s">
        <v>403</v>
      </c>
      <c r="AF432" s="119"/>
    </row>
    <row r="433" spans="1:32" ht="12" customHeight="1">
      <c r="A433" s="148">
        <v>44585</v>
      </c>
      <c r="B433" s="149" t="s">
        <v>484</v>
      </c>
      <c r="C433" s="149"/>
      <c r="D433" s="149"/>
      <c r="E433" s="149"/>
      <c r="F433" s="149"/>
      <c r="G433" s="149"/>
      <c r="H433" s="135" t="s">
        <v>453</v>
      </c>
      <c r="I433" s="134" t="s">
        <v>469</v>
      </c>
      <c r="J433" s="135" t="s">
        <v>448</v>
      </c>
      <c r="K433" s="136">
        <v>5</v>
      </c>
      <c r="L433" s="137">
        <v>7002</v>
      </c>
      <c r="M433" s="138">
        <f t="shared" si="38"/>
        <v>0</v>
      </c>
      <c r="N433" s="138">
        <f t="shared" si="392"/>
        <v>7002</v>
      </c>
      <c r="O433" s="138"/>
      <c r="P433" s="138">
        <f t="shared" si="2"/>
        <v>35010</v>
      </c>
      <c r="Q433" s="139">
        <f t="shared" si="3"/>
        <v>8.2859999999999996</v>
      </c>
      <c r="R433" s="139">
        <f t="shared" si="74"/>
        <v>0</v>
      </c>
      <c r="S433" s="139">
        <f t="shared" si="35"/>
        <v>0.17</v>
      </c>
      <c r="T433" s="139">
        <f t="shared" si="383"/>
        <v>35.01</v>
      </c>
      <c r="U433" s="139">
        <f t="shared" si="393"/>
        <v>5.25</v>
      </c>
      <c r="V433" s="139">
        <f t="shared" si="390"/>
        <v>0.96</v>
      </c>
      <c r="W433" s="139">
        <f t="shared" si="217"/>
        <v>0.04</v>
      </c>
      <c r="X433" s="140">
        <f t="shared" si="9"/>
        <v>41.43</v>
      </c>
      <c r="Y433" s="141">
        <f t="shared" si="394"/>
        <v>-35051.43</v>
      </c>
      <c r="Z433" s="142">
        <f t="shared" si="230"/>
        <v>-35051</v>
      </c>
      <c r="AA433" s="143">
        <f t="shared" si="47"/>
        <v>0.43000000000029104</v>
      </c>
      <c r="AB433" s="133">
        <v>44588</v>
      </c>
      <c r="AC433" s="144">
        <f t="shared" si="12"/>
        <v>1.183E-3</v>
      </c>
      <c r="AD433" s="145">
        <f t="shared" si="13"/>
        <v>44588</v>
      </c>
      <c r="AE433" s="146" t="s">
        <v>403</v>
      </c>
      <c r="AF433" s="119"/>
    </row>
    <row r="434" spans="1:32" ht="12" customHeight="1">
      <c r="A434" s="148">
        <v>44585</v>
      </c>
      <c r="B434" s="149" t="s">
        <v>586</v>
      </c>
      <c r="C434" s="149"/>
      <c r="D434" s="149"/>
      <c r="E434" s="149"/>
      <c r="F434" s="149"/>
      <c r="G434" s="149"/>
      <c r="H434" s="135" t="s">
        <v>453</v>
      </c>
      <c r="I434" s="134" t="s">
        <v>469</v>
      </c>
      <c r="J434" s="135" t="s">
        <v>471</v>
      </c>
      <c r="K434" s="136">
        <v>1000</v>
      </c>
      <c r="L434" s="137">
        <v>7.6050000000000004</v>
      </c>
      <c r="M434" s="138">
        <f t="shared" si="38"/>
        <v>0</v>
      </c>
      <c r="N434" s="138">
        <f t="shared" si="392"/>
        <v>7.6050000000000004</v>
      </c>
      <c r="O434" s="138"/>
      <c r="P434" s="138">
        <f t="shared" si="2"/>
        <v>7605</v>
      </c>
      <c r="Q434" s="139">
        <f t="shared" si="3"/>
        <v>1.7740000000000002E-2</v>
      </c>
      <c r="R434" s="139">
        <f t="shared" si="74"/>
        <v>0</v>
      </c>
      <c r="S434" s="139">
        <f t="shared" si="35"/>
        <v>1.37</v>
      </c>
      <c r="T434" s="139">
        <f t="shared" si="383"/>
        <v>7.61</v>
      </c>
      <c r="U434" s="139">
        <f t="shared" si="393"/>
        <v>1.1399999999999999</v>
      </c>
      <c r="V434" s="139">
        <f>ROUND(P434*0.1%,2)</f>
        <v>7.61</v>
      </c>
      <c r="W434" s="139">
        <f t="shared" si="217"/>
        <v>0.01</v>
      </c>
      <c r="X434" s="140">
        <f t="shared" si="9"/>
        <v>17.740000000000002</v>
      </c>
      <c r="Y434" s="141">
        <f t="shared" si="394"/>
        <v>-7622.74</v>
      </c>
      <c r="Z434" s="142">
        <f t="shared" si="230"/>
        <v>-7623</v>
      </c>
      <c r="AA434" s="143">
        <f t="shared" si="47"/>
        <v>-0.26000000000021828</v>
      </c>
      <c r="AB434" s="133">
        <v>44588</v>
      </c>
      <c r="AC434" s="144">
        <f t="shared" si="12"/>
        <v>2.333E-3</v>
      </c>
      <c r="AD434" s="145">
        <f t="shared" si="13"/>
        <v>44588</v>
      </c>
      <c r="AE434" s="146" t="s">
        <v>403</v>
      </c>
      <c r="AF434" s="119"/>
    </row>
    <row r="435" spans="1:32" ht="12" customHeight="1">
      <c r="A435" s="148">
        <v>44585</v>
      </c>
      <c r="B435" s="149" t="s">
        <v>584</v>
      </c>
      <c r="C435" s="149"/>
      <c r="D435" s="149"/>
      <c r="E435" s="149"/>
      <c r="F435" s="149"/>
      <c r="G435" s="149"/>
      <c r="H435" s="135" t="s">
        <v>453</v>
      </c>
      <c r="I435" s="134" t="s">
        <v>469</v>
      </c>
      <c r="J435" s="135" t="s">
        <v>471</v>
      </c>
      <c r="K435" s="136">
        <v>1000</v>
      </c>
      <c r="L435" s="137">
        <v>12.05</v>
      </c>
      <c r="M435" s="138">
        <f t="shared" si="38"/>
        <v>0</v>
      </c>
      <c r="N435" s="138">
        <f t="shared" si="392"/>
        <v>12.05</v>
      </c>
      <c r="O435" s="138"/>
      <c r="P435" s="138">
        <f t="shared" si="2"/>
        <v>12050</v>
      </c>
      <c r="Q435" s="139">
        <f t="shared" si="3"/>
        <v>1.4260000000000002E-2</v>
      </c>
      <c r="R435" s="139">
        <f t="shared" si="74"/>
        <v>0</v>
      </c>
      <c r="S435" s="139">
        <f t="shared" si="35"/>
        <v>0.06</v>
      </c>
      <c r="T435" s="139">
        <f t="shared" si="383"/>
        <v>12.05</v>
      </c>
      <c r="U435" s="139">
        <f t="shared" si="393"/>
        <v>1.81</v>
      </c>
      <c r="V435" s="139">
        <f t="shared" ref="V435:V436" si="395">ROUND(P435*L$1809,2)</f>
        <v>0.33</v>
      </c>
      <c r="W435" s="139">
        <f t="shared" si="217"/>
        <v>0.01</v>
      </c>
      <c r="X435" s="140">
        <f t="shared" si="9"/>
        <v>14.260000000000002</v>
      </c>
      <c r="Y435" s="141">
        <f t="shared" si="394"/>
        <v>-12064.26</v>
      </c>
      <c r="Z435" s="142">
        <f t="shared" si="230"/>
        <v>-12064</v>
      </c>
      <c r="AA435" s="143">
        <f t="shared" si="47"/>
        <v>0.26000000000021828</v>
      </c>
      <c r="AB435" s="133">
        <v>44588</v>
      </c>
      <c r="AC435" s="144">
        <f t="shared" si="12"/>
        <v>1.183E-3</v>
      </c>
      <c r="AD435" s="145">
        <f t="shared" si="13"/>
        <v>44588</v>
      </c>
      <c r="AE435" s="146" t="s">
        <v>403</v>
      </c>
      <c r="AF435" s="119"/>
    </row>
    <row r="436" spans="1:32" ht="12" customHeight="1">
      <c r="A436" s="150">
        <v>44586</v>
      </c>
      <c r="B436" s="151" t="s">
        <v>575</v>
      </c>
      <c r="C436" s="151"/>
      <c r="D436" s="151"/>
      <c r="E436" s="151"/>
      <c r="F436" s="151"/>
      <c r="G436" s="151"/>
      <c r="H436" s="122" t="s">
        <v>446</v>
      </c>
      <c r="I436" s="121" t="s">
        <v>469</v>
      </c>
      <c r="J436" s="122" t="s">
        <v>448</v>
      </c>
      <c r="K436" s="123">
        <v>115</v>
      </c>
      <c r="L436" s="124">
        <v>1027</v>
      </c>
      <c r="M436" s="125">
        <f t="shared" si="38"/>
        <v>0</v>
      </c>
      <c r="N436" s="125">
        <f>L436-M436</f>
        <v>1027</v>
      </c>
      <c r="O436" s="125"/>
      <c r="P436" s="125">
        <f t="shared" si="2"/>
        <v>118105</v>
      </c>
      <c r="Q436" s="126">
        <f t="shared" si="3"/>
        <v>1.0614782608695652</v>
      </c>
      <c r="R436" s="126">
        <f t="shared" si="74"/>
        <v>0</v>
      </c>
      <c r="S436" s="126">
        <f t="shared" si="35"/>
        <v>0.59</v>
      </c>
      <c r="T436" s="126">
        <f t="shared" si="383"/>
        <v>118.11</v>
      </c>
      <c r="U436" s="126">
        <v>0</v>
      </c>
      <c r="V436" s="126">
        <f t="shared" si="395"/>
        <v>3.25</v>
      </c>
      <c r="W436" s="126">
        <f t="shared" si="217"/>
        <v>0.12</v>
      </c>
      <c r="X436" s="126">
        <f t="shared" si="9"/>
        <v>122.07000000000001</v>
      </c>
      <c r="Y436" s="127">
        <f>ROUND(P436-SUM(R436:W436),2)</f>
        <v>117982.93</v>
      </c>
      <c r="Z436" s="128">
        <f t="shared" si="230"/>
        <v>117983</v>
      </c>
      <c r="AA436" s="129">
        <f t="shared" si="47"/>
        <v>7.0000000006984919E-2</v>
      </c>
      <c r="AB436" s="120">
        <v>44589</v>
      </c>
      <c r="AC436" s="130">
        <f t="shared" si="12"/>
        <v>1.034E-3</v>
      </c>
      <c r="AD436" s="131">
        <f t="shared" si="13"/>
        <v>44589</v>
      </c>
      <c r="AE436" s="132" t="s">
        <v>403</v>
      </c>
      <c r="AF436" s="119"/>
    </row>
    <row r="437" spans="1:32" ht="12" customHeight="1">
      <c r="A437" s="148">
        <v>44586</v>
      </c>
      <c r="B437" s="149" t="s">
        <v>586</v>
      </c>
      <c r="C437" s="149"/>
      <c r="D437" s="149"/>
      <c r="E437" s="149"/>
      <c r="F437" s="149"/>
      <c r="G437" s="149"/>
      <c r="H437" s="135" t="s">
        <v>453</v>
      </c>
      <c r="I437" s="134" t="s">
        <v>469</v>
      </c>
      <c r="J437" s="135" t="s">
        <v>471</v>
      </c>
      <c r="K437" s="136">
        <v>500</v>
      </c>
      <c r="L437" s="137">
        <v>7.45</v>
      </c>
      <c r="M437" s="138">
        <f t="shared" si="38"/>
        <v>0</v>
      </c>
      <c r="N437" s="138">
        <f t="shared" ref="N437:N438" si="396">L437+M437</f>
        <v>7.45</v>
      </c>
      <c r="O437" s="138"/>
      <c r="P437" s="138">
        <f t="shared" si="2"/>
        <v>3725</v>
      </c>
      <c r="Q437" s="139">
        <f t="shared" si="3"/>
        <v>1.7380000000000003E-2</v>
      </c>
      <c r="R437" s="139">
        <f t="shared" si="74"/>
        <v>0</v>
      </c>
      <c r="S437" s="139">
        <f t="shared" si="35"/>
        <v>0.67</v>
      </c>
      <c r="T437" s="139">
        <f t="shared" si="383"/>
        <v>3.73</v>
      </c>
      <c r="U437" s="139">
        <f t="shared" ref="U437:U438" si="397">ROUND(P437*K$1812,2)</f>
        <v>0.56000000000000005</v>
      </c>
      <c r="V437" s="139">
        <f>ROUND(P437*0.1%,2)</f>
        <v>3.73</v>
      </c>
      <c r="W437" s="139">
        <f t="shared" si="217"/>
        <v>0</v>
      </c>
      <c r="X437" s="140">
        <f t="shared" si="9"/>
        <v>8.6900000000000013</v>
      </c>
      <c r="Y437" s="141">
        <f t="shared" ref="Y437:Y438" si="398">-ROUND(P437+SUM(R437:W437),2)</f>
        <v>-3733.69</v>
      </c>
      <c r="Z437" s="142">
        <f t="shared" si="230"/>
        <v>-3734</v>
      </c>
      <c r="AA437" s="143">
        <f t="shared" si="47"/>
        <v>-0.30999999999994543</v>
      </c>
      <c r="AB437" s="133">
        <v>44589</v>
      </c>
      <c r="AC437" s="144">
        <f t="shared" si="12"/>
        <v>2.333E-3</v>
      </c>
      <c r="AD437" s="145">
        <f t="shared" si="13"/>
        <v>44589</v>
      </c>
      <c r="AE437" s="146" t="s">
        <v>403</v>
      </c>
      <c r="AF437" s="119"/>
    </row>
    <row r="438" spans="1:32" ht="12" customHeight="1">
      <c r="A438" s="148">
        <v>44586</v>
      </c>
      <c r="B438" s="149" t="s">
        <v>593</v>
      </c>
      <c r="C438" s="149"/>
      <c r="D438" s="149"/>
      <c r="E438" s="149"/>
      <c r="F438" s="149"/>
      <c r="G438" s="149"/>
      <c r="H438" s="135" t="s">
        <v>453</v>
      </c>
      <c r="I438" s="134" t="s">
        <v>469</v>
      </c>
      <c r="J438" s="135" t="s">
        <v>471</v>
      </c>
      <c r="K438" s="136">
        <v>20</v>
      </c>
      <c r="L438" s="137">
        <v>609</v>
      </c>
      <c r="M438" s="138">
        <f t="shared" si="38"/>
        <v>0</v>
      </c>
      <c r="N438" s="138">
        <f t="shared" si="396"/>
        <v>609</v>
      </c>
      <c r="O438" s="138"/>
      <c r="P438" s="138">
        <f t="shared" si="2"/>
        <v>12180</v>
      </c>
      <c r="Q438" s="139">
        <f t="shared" si="3"/>
        <v>0.72599999999999998</v>
      </c>
      <c r="R438" s="139">
        <f t="shared" si="74"/>
        <v>0</v>
      </c>
      <c r="S438" s="139">
        <f t="shared" si="35"/>
        <v>0.08</v>
      </c>
      <c r="T438" s="139">
        <f t="shared" si="383"/>
        <v>12.18</v>
      </c>
      <c r="U438" s="139">
        <f t="shared" si="397"/>
        <v>1.83</v>
      </c>
      <c r="V438" s="139">
        <f t="shared" ref="V438:V440" si="399">ROUND(P438*M$1809,2)</f>
        <v>0.42</v>
      </c>
      <c r="W438" s="139">
        <f t="shared" si="217"/>
        <v>0.01</v>
      </c>
      <c r="X438" s="140">
        <f t="shared" si="9"/>
        <v>14.52</v>
      </c>
      <c r="Y438" s="141">
        <f t="shared" si="398"/>
        <v>-12194.52</v>
      </c>
      <c r="Z438" s="142">
        <f>ROUND(Y438,0)+1</f>
        <v>-12194</v>
      </c>
      <c r="AA438" s="143">
        <f t="shared" si="47"/>
        <v>0.52000000000043656</v>
      </c>
      <c r="AB438" s="133">
        <v>44589</v>
      </c>
      <c r="AC438" s="144">
        <f t="shared" si="12"/>
        <v>1.1919999999999999E-3</v>
      </c>
      <c r="AD438" s="145">
        <f t="shared" si="13"/>
        <v>44589</v>
      </c>
      <c r="AE438" s="146" t="s">
        <v>403</v>
      </c>
      <c r="AF438" s="119"/>
    </row>
    <row r="439" spans="1:32" ht="12" customHeight="1">
      <c r="A439" s="150">
        <v>44588</v>
      </c>
      <c r="B439" s="151" t="s">
        <v>479</v>
      </c>
      <c r="C439" s="151"/>
      <c r="D439" s="151"/>
      <c r="E439" s="151"/>
      <c r="F439" s="151"/>
      <c r="G439" s="151"/>
      <c r="H439" s="122" t="s">
        <v>446</v>
      </c>
      <c r="I439" s="121" t="s">
        <v>469</v>
      </c>
      <c r="J439" s="122" t="s">
        <v>471</v>
      </c>
      <c r="K439" s="123">
        <v>25</v>
      </c>
      <c r="L439" s="124">
        <v>526.5</v>
      </c>
      <c r="M439" s="125">
        <f t="shared" si="38"/>
        <v>0</v>
      </c>
      <c r="N439" s="125">
        <f t="shared" ref="N439:N441" si="400">L439-M439</f>
        <v>526.5</v>
      </c>
      <c r="O439" s="125"/>
      <c r="P439" s="125">
        <f t="shared" si="2"/>
        <v>13162.5</v>
      </c>
      <c r="Q439" s="126">
        <f t="shared" si="3"/>
        <v>0.54799999999999993</v>
      </c>
      <c r="R439" s="126">
        <f t="shared" si="74"/>
        <v>0</v>
      </c>
      <c r="S439" s="126">
        <f t="shared" si="35"/>
        <v>0.08</v>
      </c>
      <c r="T439" s="126">
        <f t="shared" si="383"/>
        <v>13.16</v>
      </c>
      <c r="U439" s="126">
        <v>0</v>
      </c>
      <c r="V439" s="126">
        <f t="shared" si="399"/>
        <v>0.45</v>
      </c>
      <c r="W439" s="126">
        <f t="shared" si="217"/>
        <v>0.01</v>
      </c>
      <c r="X439" s="126">
        <f t="shared" si="9"/>
        <v>13.7</v>
      </c>
      <c r="Y439" s="127">
        <f t="shared" ref="Y439:Y441" si="401">ROUND(P439-SUM(R439:W439),2)</f>
        <v>13148.8</v>
      </c>
      <c r="Z439" s="128">
        <f t="shared" ref="Z439:Z827" si="402">ROUND(Y439,0)</f>
        <v>13149</v>
      </c>
      <c r="AA439" s="129">
        <f t="shared" si="47"/>
        <v>0.2000000000007276</v>
      </c>
      <c r="AB439" s="120">
        <v>44592</v>
      </c>
      <c r="AC439" s="130">
        <f t="shared" si="12"/>
        <v>1.041E-3</v>
      </c>
      <c r="AD439" s="131">
        <f t="shared" si="13"/>
        <v>44592</v>
      </c>
      <c r="AE439" s="132" t="s">
        <v>403</v>
      </c>
      <c r="AF439" s="119"/>
    </row>
    <row r="440" spans="1:32" ht="12" customHeight="1">
      <c r="A440" s="150">
        <v>44589</v>
      </c>
      <c r="B440" s="151" t="s">
        <v>584</v>
      </c>
      <c r="C440" s="151"/>
      <c r="D440" s="151"/>
      <c r="E440" s="151"/>
      <c r="F440" s="151"/>
      <c r="G440" s="151"/>
      <c r="H440" s="122" t="s">
        <v>446</v>
      </c>
      <c r="I440" s="121" t="s">
        <v>469</v>
      </c>
      <c r="J440" s="122" t="s">
        <v>471</v>
      </c>
      <c r="K440" s="123">
        <v>1000</v>
      </c>
      <c r="L440" s="124">
        <v>12.86</v>
      </c>
      <c r="M440" s="125">
        <f t="shared" si="38"/>
        <v>0</v>
      </c>
      <c r="N440" s="125">
        <f t="shared" si="400"/>
        <v>12.86</v>
      </c>
      <c r="O440" s="125"/>
      <c r="P440" s="125">
        <f t="shared" si="2"/>
        <v>12860</v>
      </c>
      <c r="Q440" s="126">
        <f t="shared" si="3"/>
        <v>1.3389999999999999E-2</v>
      </c>
      <c r="R440" s="126">
        <f t="shared" si="74"/>
        <v>0</v>
      </c>
      <c r="S440" s="126">
        <f t="shared" si="35"/>
        <v>0.08</v>
      </c>
      <c r="T440" s="126">
        <f t="shared" si="383"/>
        <v>12.86</v>
      </c>
      <c r="U440" s="126">
        <v>0</v>
      </c>
      <c r="V440" s="126">
        <f t="shared" si="399"/>
        <v>0.44</v>
      </c>
      <c r="W440" s="126">
        <f t="shared" si="217"/>
        <v>0.01</v>
      </c>
      <c r="X440" s="126">
        <f t="shared" si="9"/>
        <v>13.389999999999999</v>
      </c>
      <c r="Y440" s="127">
        <f t="shared" si="401"/>
        <v>12846.61</v>
      </c>
      <c r="Z440" s="128">
        <f t="shared" si="402"/>
        <v>12847</v>
      </c>
      <c r="AA440" s="129">
        <f t="shared" si="47"/>
        <v>0.38999999999941792</v>
      </c>
      <c r="AB440" s="120">
        <v>44593</v>
      </c>
      <c r="AC440" s="130">
        <f t="shared" si="12"/>
        <v>1.041E-3</v>
      </c>
      <c r="AD440" s="131">
        <f t="shared" si="13"/>
        <v>44593</v>
      </c>
      <c r="AE440" s="132" t="s">
        <v>403</v>
      </c>
      <c r="AF440" s="119"/>
    </row>
    <row r="441" spans="1:32" ht="12" customHeight="1">
      <c r="A441" s="150">
        <v>44589</v>
      </c>
      <c r="B441" s="151" t="s">
        <v>459</v>
      </c>
      <c r="C441" s="151"/>
      <c r="D441" s="151"/>
      <c r="E441" s="151"/>
      <c r="F441" s="151"/>
      <c r="G441" s="151"/>
      <c r="H441" s="122" t="s">
        <v>446</v>
      </c>
      <c r="I441" s="121" t="s">
        <v>469</v>
      </c>
      <c r="J441" s="122" t="s">
        <v>471</v>
      </c>
      <c r="K441" s="123">
        <v>70</v>
      </c>
      <c r="L441" s="124">
        <v>938</v>
      </c>
      <c r="M441" s="125">
        <f t="shared" si="38"/>
        <v>0</v>
      </c>
      <c r="N441" s="125">
        <f t="shared" si="400"/>
        <v>938</v>
      </c>
      <c r="O441" s="125"/>
      <c r="P441" s="125">
        <f t="shared" si="2"/>
        <v>65660</v>
      </c>
      <c r="Q441" s="126">
        <f t="shared" si="3"/>
        <v>0.96957142857142842</v>
      </c>
      <c r="R441" s="126">
        <f t="shared" si="74"/>
        <v>0</v>
      </c>
      <c r="S441" s="126">
        <f t="shared" si="35"/>
        <v>0.33</v>
      </c>
      <c r="T441" s="126">
        <f t="shared" si="383"/>
        <v>65.66</v>
      </c>
      <c r="U441" s="126">
        <v>0</v>
      </c>
      <c r="V441" s="126">
        <f>ROUND(P441*L$1809,2)</f>
        <v>1.81</v>
      </c>
      <c r="W441" s="126">
        <f t="shared" si="217"/>
        <v>7.0000000000000007E-2</v>
      </c>
      <c r="X441" s="126">
        <f t="shared" si="9"/>
        <v>67.86999999999999</v>
      </c>
      <c r="Y441" s="127">
        <f t="shared" si="401"/>
        <v>65592.13</v>
      </c>
      <c r="Z441" s="128">
        <f t="shared" si="402"/>
        <v>65592</v>
      </c>
      <c r="AA441" s="129">
        <f t="shared" si="47"/>
        <v>-0.13000000000465661</v>
      </c>
      <c r="AB441" s="120">
        <v>44593</v>
      </c>
      <c r="AC441" s="130">
        <f t="shared" si="12"/>
        <v>1.034E-3</v>
      </c>
      <c r="AD441" s="131">
        <f t="shared" si="13"/>
        <v>44593</v>
      </c>
      <c r="AE441" s="132" t="s">
        <v>403</v>
      </c>
      <c r="AF441" s="119"/>
    </row>
    <row r="442" spans="1:32" ht="12" customHeight="1">
      <c r="A442" s="148">
        <v>44589</v>
      </c>
      <c r="B442" s="149" t="s">
        <v>481</v>
      </c>
      <c r="C442" s="149"/>
      <c r="D442" s="149"/>
      <c r="E442" s="149"/>
      <c r="F442" s="149"/>
      <c r="G442" s="149"/>
      <c r="H442" s="135" t="s">
        <v>453</v>
      </c>
      <c r="I442" s="134" t="s">
        <v>469</v>
      </c>
      <c r="J442" s="135" t="s">
        <v>471</v>
      </c>
      <c r="K442" s="136">
        <v>700</v>
      </c>
      <c r="L442" s="137">
        <v>99</v>
      </c>
      <c r="M442" s="138">
        <f t="shared" si="38"/>
        <v>0</v>
      </c>
      <c r="N442" s="138">
        <f t="shared" ref="N442:N445" si="403">L442+M442</f>
        <v>99</v>
      </c>
      <c r="O442" s="138"/>
      <c r="P442" s="138">
        <f t="shared" si="2"/>
        <v>69300</v>
      </c>
      <c r="Q442" s="139">
        <f t="shared" si="3"/>
        <v>0.11798571428571429</v>
      </c>
      <c r="R442" s="139">
        <f t="shared" si="74"/>
        <v>0</v>
      </c>
      <c r="S442" s="139">
        <f t="shared" si="35"/>
        <v>0.43</v>
      </c>
      <c r="T442" s="139">
        <f t="shared" si="383"/>
        <v>69.3</v>
      </c>
      <c r="U442" s="139">
        <f t="shared" ref="U442:U445" si="404">ROUND(P442*K$1812,2)</f>
        <v>10.4</v>
      </c>
      <c r="V442" s="139">
        <f>ROUND(P442*M$1809,2)</f>
        <v>2.39</v>
      </c>
      <c r="W442" s="139">
        <f t="shared" si="217"/>
        <v>7.0000000000000007E-2</v>
      </c>
      <c r="X442" s="140">
        <f t="shared" si="9"/>
        <v>82.59</v>
      </c>
      <c r="Y442" s="141">
        <f t="shared" ref="Y442:Y445" si="405">-ROUND(P442+SUM(R442:W442),2)</f>
        <v>-69382.59</v>
      </c>
      <c r="Z442" s="142">
        <f t="shared" si="402"/>
        <v>-69383</v>
      </c>
      <c r="AA442" s="143">
        <f t="shared" si="47"/>
        <v>-0.41000000000349246</v>
      </c>
      <c r="AB442" s="133">
        <v>44593</v>
      </c>
      <c r="AC442" s="144">
        <f t="shared" si="12"/>
        <v>1.1919999999999999E-3</v>
      </c>
      <c r="AD442" s="145">
        <f t="shared" si="13"/>
        <v>44593</v>
      </c>
      <c r="AE442" s="146" t="s">
        <v>403</v>
      </c>
      <c r="AF442" s="119"/>
    </row>
    <row r="443" spans="1:32" ht="12" customHeight="1">
      <c r="A443" s="148">
        <v>44589</v>
      </c>
      <c r="B443" s="149" t="s">
        <v>481</v>
      </c>
      <c r="C443" s="149"/>
      <c r="D443" s="149"/>
      <c r="E443" s="149"/>
      <c r="F443" s="149"/>
      <c r="G443" s="149"/>
      <c r="H443" s="135" t="s">
        <v>453</v>
      </c>
      <c r="I443" s="134" t="s">
        <v>469</v>
      </c>
      <c r="J443" s="135" t="s">
        <v>471</v>
      </c>
      <c r="K443" s="136">
        <v>200</v>
      </c>
      <c r="L443" s="137">
        <v>98</v>
      </c>
      <c r="M443" s="138">
        <f t="shared" si="38"/>
        <v>0</v>
      </c>
      <c r="N443" s="138">
        <f t="shared" si="403"/>
        <v>98</v>
      </c>
      <c r="O443" s="138"/>
      <c r="P443" s="138">
        <f t="shared" si="2"/>
        <v>19600</v>
      </c>
      <c r="Q443" s="139">
        <f t="shared" si="3"/>
        <v>0.11600000000000002</v>
      </c>
      <c r="R443" s="139">
        <f t="shared" si="74"/>
        <v>0</v>
      </c>
      <c r="S443" s="139">
        <f t="shared" si="35"/>
        <v>0.1</v>
      </c>
      <c r="T443" s="139">
        <f t="shared" si="383"/>
        <v>19.600000000000001</v>
      </c>
      <c r="U443" s="139">
        <f t="shared" si="404"/>
        <v>2.94</v>
      </c>
      <c r="V443" s="139">
        <f t="shared" ref="V443:V445" si="406">ROUND(P443*L$1809,2)</f>
        <v>0.54</v>
      </c>
      <c r="W443" s="139">
        <f t="shared" si="217"/>
        <v>0.02</v>
      </c>
      <c r="X443" s="140">
        <f t="shared" si="9"/>
        <v>23.200000000000003</v>
      </c>
      <c r="Y443" s="141">
        <f t="shared" si="405"/>
        <v>-19623.2</v>
      </c>
      <c r="Z443" s="142">
        <f t="shared" si="402"/>
        <v>-19623</v>
      </c>
      <c r="AA443" s="143">
        <f t="shared" si="47"/>
        <v>0.2000000000007276</v>
      </c>
      <c r="AB443" s="133">
        <v>44593</v>
      </c>
      <c r="AC443" s="144">
        <f t="shared" si="12"/>
        <v>1.1839999999999999E-3</v>
      </c>
      <c r="AD443" s="145">
        <f t="shared" si="13"/>
        <v>44593</v>
      </c>
      <c r="AE443" s="146" t="s">
        <v>403</v>
      </c>
      <c r="AF443" s="119"/>
    </row>
    <row r="444" spans="1:32" ht="12" customHeight="1">
      <c r="A444" s="148">
        <v>44589</v>
      </c>
      <c r="B444" s="149" t="s">
        <v>481</v>
      </c>
      <c r="C444" s="149"/>
      <c r="D444" s="149"/>
      <c r="E444" s="149"/>
      <c r="F444" s="149"/>
      <c r="G444" s="149"/>
      <c r="H444" s="135" t="s">
        <v>453</v>
      </c>
      <c r="I444" s="134" t="s">
        <v>469</v>
      </c>
      <c r="J444" s="135" t="s">
        <v>471</v>
      </c>
      <c r="K444" s="136">
        <v>25</v>
      </c>
      <c r="L444" s="137">
        <v>97.5</v>
      </c>
      <c r="M444" s="138">
        <f t="shared" si="38"/>
        <v>0</v>
      </c>
      <c r="N444" s="138">
        <f t="shared" si="403"/>
        <v>97.5</v>
      </c>
      <c r="O444" s="138"/>
      <c r="P444" s="138">
        <f t="shared" si="2"/>
        <v>2437.5</v>
      </c>
      <c r="Q444" s="139">
        <f t="shared" si="3"/>
        <v>0.11559999999999998</v>
      </c>
      <c r="R444" s="139">
        <f t="shared" si="74"/>
        <v>0</v>
      </c>
      <c r="S444" s="139">
        <f t="shared" si="35"/>
        <v>0.01</v>
      </c>
      <c r="T444" s="139">
        <f t="shared" si="383"/>
        <v>2.44</v>
      </c>
      <c r="U444" s="139">
        <f t="shared" si="404"/>
        <v>0.37</v>
      </c>
      <c r="V444" s="139">
        <f t="shared" si="406"/>
        <v>7.0000000000000007E-2</v>
      </c>
      <c r="W444" s="139">
        <f t="shared" si="217"/>
        <v>0</v>
      </c>
      <c r="X444" s="140">
        <f t="shared" si="9"/>
        <v>2.8899999999999997</v>
      </c>
      <c r="Y444" s="141">
        <f t="shared" si="405"/>
        <v>-2440.39</v>
      </c>
      <c r="Z444" s="142">
        <f t="shared" si="402"/>
        <v>-2440</v>
      </c>
      <c r="AA444" s="143">
        <f t="shared" si="47"/>
        <v>0.38999999999987267</v>
      </c>
      <c r="AB444" s="133">
        <v>44593</v>
      </c>
      <c r="AC444" s="144">
        <f t="shared" si="12"/>
        <v>1.186E-3</v>
      </c>
      <c r="AD444" s="145">
        <f t="shared" si="13"/>
        <v>44593</v>
      </c>
      <c r="AE444" s="146" t="s">
        <v>403</v>
      </c>
      <c r="AF444" s="119"/>
    </row>
    <row r="445" spans="1:32" ht="12" customHeight="1">
      <c r="A445" s="148">
        <v>44592</v>
      </c>
      <c r="B445" s="149" t="s">
        <v>584</v>
      </c>
      <c r="C445" s="149"/>
      <c r="D445" s="149"/>
      <c r="E445" s="149"/>
      <c r="F445" s="149"/>
      <c r="G445" s="149"/>
      <c r="H445" s="135" t="s">
        <v>453</v>
      </c>
      <c r="I445" s="134" t="s">
        <v>469</v>
      </c>
      <c r="J445" s="135" t="s">
        <v>471</v>
      </c>
      <c r="K445" s="136">
        <v>2250</v>
      </c>
      <c r="L445" s="137">
        <v>12.62222</v>
      </c>
      <c r="M445" s="138">
        <f t="shared" si="38"/>
        <v>0</v>
      </c>
      <c r="N445" s="138">
        <f t="shared" si="403"/>
        <v>12.62222</v>
      </c>
      <c r="O445" s="138"/>
      <c r="P445" s="138">
        <f t="shared" si="2"/>
        <v>28400</v>
      </c>
      <c r="Q445" s="139">
        <f t="shared" si="3"/>
        <v>1.4937777777777777E-2</v>
      </c>
      <c r="R445" s="139">
        <f t="shared" si="74"/>
        <v>0</v>
      </c>
      <c r="S445" s="139">
        <f t="shared" si="35"/>
        <v>0.14000000000000001</v>
      </c>
      <c r="T445" s="139">
        <f t="shared" si="383"/>
        <v>28.4</v>
      </c>
      <c r="U445" s="139">
        <f t="shared" si="404"/>
        <v>4.26</v>
      </c>
      <c r="V445" s="139">
        <f t="shared" si="406"/>
        <v>0.78</v>
      </c>
      <c r="W445" s="139">
        <f t="shared" si="217"/>
        <v>0.03</v>
      </c>
      <c r="X445" s="140">
        <f t="shared" si="9"/>
        <v>33.61</v>
      </c>
      <c r="Y445" s="141">
        <f t="shared" si="405"/>
        <v>-28433.61</v>
      </c>
      <c r="Z445" s="142">
        <f t="shared" si="402"/>
        <v>-28434</v>
      </c>
      <c r="AA445" s="143">
        <f t="shared" si="47"/>
        <v>-0.38999999999941792</v>
      </c>
      <c r="AB445" s="133">
        <v>44594</v>
      </c>
      <c r="AC445" s="144">
        <f t="shared" si="12"/>
        <v>1.183E-3</v>
      </c>
      <c r="AD445" s="145">
        <f t="shared" si="13"/>
        <v>44594</v>
      </c>
      <c r="AE445" s="146" t="s">
        <v>403</v>
      </c>
      <c r="AF445" s="119"/>
    </row>
    <row r="446" spans="1:32" ht="12" customHeight="1">
      <c r="A446" s="150">
        <v>44592</v>
      </c>
      <c r="B446" s="151" t="s">
        <v>586</v>
      </c>
      <c r="C446" s="151"/>
      <c r="D446" s="151"/>
      <c r="E446" s="151"/>
      <c r="F446" s="151"/>
      <c r="G446" s="151"/>
      <c r="H446" s="122" t="s">
        <v>446</v>
      </c>
      <c r="I446" s="121" t="s">
        <v>469</v>
      </c>
      <c r="J446" s="122" t="s">
        <v>471</v>
      </c>
      <c r="K446" s="123">
        <v>500</v>
      </c>
      <c r="L446" s="124">
        <v>8.9700000000000006</v>
      </c>
      <c r="M446" s="125">
        <f t="shared" si="38"/>
        <v>0</v>
      </c>
      <c r="N446" s="125">
        <f t="shared" ref="N446:N447" si="407">L446-M446</f>
        <v>8.9700000000000006</v>
      </c>
      <c r="O446" s="125"/>
      <c r="P446" s="125">
        <f t="shared" si="2"/>
        <v>4485</v>
      </c>
      <c r="Q446" s="126">
        <f t="shared" si="3"/>
        <v>1.958E-2</v>
      </c>
      <c r="R446" s="126">
        <f t="shared" si="74"/>
        <v>0</v>
      </c>
      <c r="S446" s="126">
        <f t="shared" si="35"/>
        <v>0.81</v>
      </c>
      <c r="T446" s="126">
        <f t="shared" si="383"/>
        <v>4.49</v>
      </c>
      <c r="U446" s="126">
        <v>0</v>
      </c>
      <c r="V446" s="126">
        <f>ROUND(P446*0.1%,2)</f>
        <v>4.49</v>
      </c>
      <c r="W446" s="126">
        <f t="shared" si="217"/>
        <v>0</v>
      </c>
      <c r="X446" s="126">
        <f t="shared" si="9"/>
        <v>9.7900000000000009</v>
      </c>
      <c r="Y446" s="127">
        <f t="shared" ref="Y446:Y447" si="408">ROUND(P446-SUM(R446:W446),2)</f>
        <v>4475.21</v>
      </c>
      <c r="Z446" s="128">
        <f t="shared" si="402"/>
        <v>4475</v>
      </c>
      <c r="AA446" s="129">
        <f t="shared" si="47"/>
        <v>-0.21000000000003638</v>
      </c>
      <c r="AB446" s="120">
        <v>44594</v>
      </c>
      <c r="AC446" s="130">
        <f t="shared" si="12"/>
        <v>2.183E-3</v>
      </c>
      <c r="AD446" s="131">
        <f t="shared" si="13"/>
        <v>44594</v>
      </c>
      <c r="AE446" s="132" t="s">
        <v>403</v>
      </c>
      <c r="AF446" s="119"/>
    </row>
    <row r="447" spans="1:32" ht="12" customHeight="1">
      <c r="A447" s="150">
        <v>44592</v>
      </c>
      <c r="B447" s="151" t="s">
        <v>481</v>
      </c>
      <c r="C447" s="151"/>
      <c r="D447" s="151"/>
      <c r="E447" s="151"/>
      <c r="F447" s="151"/>
      <c r="G447" s="151"/>
      <c r="H447" s="122" t="s">
        <v>446</v>
      </c>
      <c r="I447" s="121" t="s">
        <v>469</v>
      </c>
      <c r="J447" s="122" t="s">
        <v>471</v>
      </c>
      <c r="K447" s="123">
        <v>25</v>
      </c>
      <c r="L447" s="124">
        <v>98.5</v>
      </c>
      <c r="M447" s="125">
        <f t="shared" si="38"/>
        <v>0</v>
      </c>
      <c r="N447" s="125">
        <f t="shared" si="407"/>
        <v>98.5</v>
      </c>
      <c r="O447" s="125"/>
      <c r="P447" s="125">
        <f t="shared" si="2"/>
        <v>2462.5</v>
      </c>
      <c r="Q447" s="126">
        <f t="shared" si="3"/>
        <v>0.10159999999999998</v>
      </c>
      <c r="R447" s="126">
        <f t="shared" si="74"/>
        <v>0</v>
      </c>
      <c r="S447" s="126">
        <f t="shared" si="35"/>
        <v>0.01</v>
      </c>
      <c r="T447" s="126">
        <f t="shared" si="383"/>
        <v>2.46</v>
      </c>
      <c r="U447" s="126">
        <v>0</v>
      </c>
      <c r="V447" s="126">
        <f>ROUND(P447*L$1809,2)</f>
        <v>7.0000000000000007E-2</v>
      </c>
      <c r="W447" s="126">
        <f t="shared" si="217"/>
        <v>0</v>
      </c>
      <c r="X447" s="126">
        <f t="shared" si="9"/>
        <v>2.5399999999999996</v>
      </c>
      <c r="Y447" s="127">
        <f t="shared" si="408"/>
        <v>2459.96</v>
      </c>
      <c r="Z447" s="128">
        <f t="shared" si="402"/>
        <v>2460</v>
      </c>
      <c r="AA447" s="129">
        <f t="shared" si="47"/>
        <v>3.999999999996362E-2</v>
      </c>
      <c r="AB447" s="120">
        <v>44594</v>
      </c>
      <c r="AC447" s="130">
        <f t="shared" si="12"/>
        <v>1.031E-3</v>
      </c>
      <c r="AD447" s="131">
        <f t="shared" si="13"/>
        <v>44594</v>
      </c>
      <c r="AE447" s="132" t="s">
        <v>403</v>
      </c>
      <c r="AF447" s="119"/>
    </row>
    <row r="448" spans="1:32" ht="12" customHeight="1">
      <c r="A448" s="148">
        <v>44593</v>
      </c>
      <c r="B448" s="149" t="s">
        <v>584</v>
      </c>
      <c r="C448" s="149"/>
      <c r="D448" s="149"/>
      <c r="E448" s="149"/>
      <c r="F448" s="149"/>
      <c r="G448" s="149"/>
      <c r="H448" s="135" t="s">
        <v>453</v>
      </c>
      <c r="I448" s="134" t="s">
        <v>469</v>
      </c>
      <c r="J448" s="135" t="s">
        <v>471</v>
      </c>
      <c r="K448" s="136">
        <v>100</v>
      </c>
      <c r="L448" s="137">
        <v>11.84</v>
      </c>
      <c r="M448" s="138">
        <f t="shared" si="38"/>
        <v>0</v>
      </c>
      <c r="N448" s="138">
        <f t="shared" ref="N448:N450" si="409">L448+M448</f>
        <v>11.84</v>
      </c>
      <c r="O448" s="138"/>
      <c r="P448" s="138">
        <f t="shared" si="2"/>
        <v>1184</v>
      </c>
      <c r="Q448" s="139">
        <f t="shared" si="3"/>
        <v>1.41E-2</v>
      </c>
      <c r="R448" s="139">
        <f t="shared" si="74"/>
        <v>0</v>
      </c>
      <c r="S448" s="139">
        <f t="shared" si="35"/>
        <v>0.01</v>
      </c>
      <c r="T448" s="139">
        <f t="shared" si="383"/>
        <v>1.18</v>
      </c>
      <c r="U448" s="139">
        <f t="shared" ref="U448:U450" si="410">ROUND(P448*K$1812,2)</f>
        <v>0.18</v>
      </c>
      <c r="V448" s="139">
        <f t="shared" ref="V448:V449" si="411">ROUND(P448*M$1809,2)</f>
        <v>0.04</v>
      </c>
      <c r="W448" s="139">
        <f t="shared" si="217"/>
        <v>0</v>
      </c>
      <c r="X448" s="140">
        <f t="shared" si="9"/>
        <v>1.41</v>
      </c>
      <c r="Y448" s="141">
        <f t="shared" ref="Y448:Y450" si="412">-ROUND(P448+SUM(R448:W448),2)</f>
        <v>-1185.4100000000001</v>
      </c>
      <c r="Z448" s="142">
        <f t="shared" si="402"/>
        <v>-1185</v>
      </c>
      <c r="AA448" s="143">
        <f t="shared" si="47"/>
        <v>0.41000000000008185</v>
      </c>
      <c r="AB448" s="133">
        <v>44595</v>
      </c>
      <c r="AC448" s="144">
        <f t="shared" si="12"/>
        <v>1.191E-3</v>
      </c>
      <c r="AD448" s="145">
        <f t="shared" si="13"/>
        <v>44595</v>
      </c>
      <c r="AE448" s="146" t="s">
        <v>403</v>
      </c>
      <c r="AF448" s="119"/>
    </row>
    <row r="449" spans="1:32" ht="12" customHeight="1">
      <c r="A449" s="148">
        <v>44593</v>
      </c>
      <c r="B449" s="149" t="s">
        <v>513</v>
      </c>
      <c r="C449" s="149"/>
      <c r="D449" s="149"/>
      <c r="E449" s="149"/>
      <c r="F449" s="149"/>
      <c r="G449" s="149"/>
      <c r="H449" s="135" t="s">
        <v>453</v>
      </c>
      <c r="I449" s="134" t="s">
        <v>469</v>
      </c>
      <c r="J449" s="135" t="s">
        <v>471</v>
      </c>
      <c r="K449" s="136">
        <v>40</v>
      </c>
      <c r="L449" s="137">
        <v>384.25</v>
      </c>
      <c r="M449" s="138">
        <f t="shared" si="38"/>
        <v>0</v>
      </c>
      <c r="N449" s="138">
        <f t="shared" si="409"/>
        <v>384.25</v>
      </c>
      <c r="O449" s="138"/>
      <c r="P449" s="138">
        <f t="shared" si="2"/>
        <v>15370</v>
      </c>
      <c r="Q449" s="139">
        <f t="shared" si="3"/>
        <v>0.45824999999999994</v>
      </c>
      <c r="R449" s="139">
        <f t="shared" si="74"/>
        <v>0</v>
      </c>
      <c r="S449" s="139">
        <f t="shared" si="35"/>
        <v>0.1</v>
      </c>
      <c r="T449" s="139">
        <f t="shared" si="383"/>
        <v>15.37</v>
      </c>
      <c r="U449" s="139">
        <f t="shared" si="410"/>
        <v>2.31</v>
      </c>
      <c r="V449" s="139">
        <f t="shared" si="411"/>
        <v>0.53</v>
      </c>
      <c r="W449" s="139">
        <f t="shared" si="217"/>
        <v>0.02</v>
      </c>
      <c r="X449" s="140">
        <f t="shared" si="9"/>
        <v>18.329999999999998</v>
      </c>
      <c r="Y449" s="141">
        <f t="shared" si="412"/>
        <v>-15388.33</v>
      </c>
      <c r="Z449" s="142">
        <f t="shared" si="402"/>
        <v>-15388</v>
      </c>
      <c r="AA449" s="143">
        <f t="shared" si="47"/>
        <v>0.32999999999992724</v>
      </c>
      <c r="AB449" s="133">
        <v>44595</v>
      </c>
      <c r="AC449" s="144">
        <f t="shared" si="12"/>
        <v>1.193E-3</v>
      </c>
      <c r="AD449" s="145">
        <f t="shared" si="13"/>
        <v>44595</v>
      </c>
      <c r="AE449" s="146" t="s">
        <v>403</v>
      </c>
      <c r="AF449" s="119"/>
    </row>
    <row r="450" spans="1:32" ht="12" customHeight="1">
      <c r="A450" s="148">
        <v>44593</v>
      </c>
      <c r="B450" s="149" t="s">
        <v>586</v>
      </c>
      <c r="C450" s="149"/>
      <c r="D450" s="149"/>
      <c r="E450" s="149"/>
      <c r="F450" s="149"/>
      <c r="G450" s="149"/>
      <c r="H450" s="135" t="s">
        <v>453</v>
      </c>
      <c r="I450" s="134" t="s">
        <v>469</v>
      </c>
      <c r="J450" s="135" t="s">
        <v>471</v>
      </c>
      <c r="K450" s="136">
        <v>1000</v>
      </c>
      <c r="L450" s="137">
        <v>9.16</v>
      </c>
      <c r="M450" s="138">
        <f t="shared" si="38"/>
        <v>0</v>
      </c>
      <c r="N450" s="138">
        <f t="shared" si="409"/>
        <v>9.16</v>
      </c>
      <c r="O450" s="138"/>
      <c r="P450" s="138">
        <f t="shared" si="2"/>
        <v>9160</v>
      </c>
      <c r="Q450" s="139">
        <f t="shared" si="3"/>
        <v>2.1350000000000001E-2</v>
      </c>
      <c r="R450" s="139">
        <f t="shared" si="74"/>
        <v>0</v>
      </c>
      <c r="S450" s="139">
        <f t="shared" si="35"/>
        <v>1.65</v>
      </c>
      <c r="T450" s="139">
        <f t="shared" si="383"/>
        <v>9.16</v>
      </c>
      <c r="U450" s="139">
        <f t="shared" si="410"/>
        <v>1.37</v>
      </c>
      <c r="V450" s="139">
        <f t="shared" ref="V450:V451" si="413">ROUND(P450*0.1%,2)</f>
        <v>9.16</v>
      </c>
      <c r="W450" s="139">
        <f t="shared" si="217"/>
        <v>0.01</v>
      </c>
      <c r="X450" s="140">
        <f t="shared" si="9"/>
        <v>21.35</v>
      </c>
      <c r="Y450" s="141">
        <f t="shared" si="412"/>
        <v>-9181.35</v>
      </c>
      <c r="Z450" s="142">
        <f t="shared" si="402"/>
        <v>-9181</v>
      </c>
      <c r="AA450" s="143">
        <f t="shared" si="47"/>
        <v>0.3500000000003638</v>
      </c>
      <c r="AB450" s="133">
        <v>44595</v>
      </c>
      <c r="AC450" s="144">
        <f t="shared" si="12"/>
        <v>2.3310000000000002E-3</v>
      </c>
      <c r="AD450" s="145">
        <f t="shared" si="13"/>
        <v>44595</v>
      </c>
      <c r="AE450" s="146" t="s">
        <v>403</v>
      </c>
      <c r="AF450" s="119"/>
    </row>
    <row r="451" spans="1:32" ht="12" customHeight="1">
      <c r="A451" s="150">
        <v>44593</v>
      </c>
      <c r="B451" s="151" t="s">
        <v>586</v>
      </c>
      <c r="C451" s="151"/>
      <c r="D451" s="151"/>
      <c r="E451" s="151"/>
      <c r="F451" s="151"/>
      <c r="G451" s="151"/>
      <c r="H451" s="122" t="s">
        <v>446</v>
      </c>
      <c r="I451" s="121" t="s">
        <v>469</v>
      </c>
      <c r="J451" s="122" t="s">
        <v>471</v>
      </c>
      <c r="K451" s="123">
        <v>1000</v>
      </c>
      <c r="L451" s="124">
        <v>9.3149999999999995</v>
      </c>
      <c r="M451" s="125">
        <f t="shared" si="38"/>
        <v>0</v>
      </c>
      <c r="N451" s="125">
        <f>L451-M451</f>
        <v>9.3149999999999995</v>
      </c>
      <c r="O451" s="125"/>
      <c r="P451" s="125">
        <f t="shared" si="2"/>
        <v>9315</v>
      </c>
      <c r="Q451" s="126">
        <f t="shared" si="3"/>
        <v>2.0330000000000001E-2</v>
      </c>
      <c r="R451" s="126">
        <f t="shared" si="74"/>
        <v>0</v>
      </c>
      <c r="S451" s="126">
        <f t="shared" si="35"/>
        <v>1.68</v>
      </c>
      <c r="T451" s="126">
        <f t="shared" si="383"/>
        <v>9.32</v>
      </c>
      <c r="U451" s="126">
        <v>0</v>
      </c>
      <c r="V451" s="126">
        <f t="shared" si="413"/>
        <v>9.32</v>
      </c>
      <c r="W451" s="126">
        <f t="shared" si="217"/>
        <v>0.01</v>
      </c>
      <c r="X451" s="126">
        <f t="shared" si="9"/>
        <v>20.330000000000002</v>
      </c>
      <c r="Y451" s="127">
        <f>ROUND(P451-SUM(R451:W451),2)</f>
        <v>9294.67</v>
      </c>
      <c r="Z451" s="128">
        <f t="shared" si="402"/>
        <v>9295</v>
      </c>
      <c r="AA451" s="129">
        <f t="shared" si="47"/>
        <v>0.32999999999992724</v>
      </c>
      <c r="AB451" s="120">
        <v>44595</v>
      </c>
      <c r="AC451" s="130">
        <f t="shared" si="12"/>
        <v>2.183E-3</v>
      </c>
      <c r="AD451" s="131">
        <f t="shared" si="13"/>
        <v>44595</v>
      </c>
      <c r="AE451" s="132" t="s">
        <v>403</v>
      </c>
      <c r="AF451" s="119"/>
    </row>
    <row r="452" spans="1:32" ht="12" customHeight="1">
      <c r="A452" s="148">
        <v>44596</v>
      </c>
      <c r="B452" s="149" t="s">
        <v>594</v>
      </c>
      <c r="C452" s="149"/>
      <c r="D452" s="149"/>
      <c r="E452" s="149"/>
      <c r="F452" s="149"/>
      <c r="G452" s="149"/>
      <c r="H452" s="135" t="s">
        <v>453</v>
      </c>
      <c r="I452" s="134" t="s">
        <v>469</v>
      </c>
      <c r="J452" s="135" t="s">
        <v>471</v>
      </c>
      <c r="K452" s="136">
        <v>1</v>
      </c>
      <c r="L452" s="137">
        <v>1355</v>
      </c>
      <c r="M452" s="138">
        <f t="shared" si="38"/>
        <v>0</v>
      </c>
      <c r="N452" s="138">
        <f>L452+M452</f>
        <v>1355</v>
      </c>
      <c r="O452" s="138"/>
      <c r="P452" s="138">
        <f t="shared" si="2"/>
        <v>1355</v>
      </c>
      <c r="Q452" s="139">
        <f t="shared" si="3"/>
        <v>1.61</v>
      </c>
      <c r="R452" s="139">
        <f t="shared" si="74"/>
        <v>0</v>
      </c>
      <c r="S452" s="139">
        <f t="shared" si="35"/>
        <v>0.01</v>
      </c>
      <c r="T452" s="139">
        <f t="shared" si="383"/>
        <v>1.36</v>
      </c>
      <c r="U452" s="139">
        <f>ROUND(P452*K$1812,2)</f>
        <v>0.2</v>
      </c>
      <c r="V452" s="139">
        <f t="shared" ref="V452:V462" si="414">ROUND(P452*L$1809,2)</f>
        <v>0.04</v>
      </c>
      <c r="W452" s="139">
        <f t="shared" si="217"/>
        <v>0</v>
      </c>
      <c r="X452" s="140">
        <f t="shared" si="9"/>
        <v>1.61</v>
      </c>
      <c r="Y452" s="141">
        <f>-ROUND(P452+SUM(R452:W452),2)</f>
        <v>-1356.61</v>
      </c>
      <c r="Z452" s="142">
        <f t="shared" si="402"/>
        <v>-1357</v>
      </c>
      <c r="AA452" s="143">
        <f t="shared" si="47"/>
        <v>-0.39000000000010004</v>
      </c>
      <c r="AB452" s="133">
        <v>44596</v>
      </c>
      <c r="AC452" s="144">
        <f t="shared" si="12"/>
        <v>1.188E-3</v>
      </c>
      <c r="AD452" s="145">
        <f t="shared" si="13"/>
        <v>44596</v>
      </c>
      <c r="AE452" s="146" t="s">
        <v>403</v>
      </c>
      <c r="AF452" s="119"/>
    </row>
    <row r="453" spans="1:32" ht="12" customHeight="1">
      <c r="A453" s="150">
        <v>44596</v>
      </c>
      <c r="B453" s="151" t="s">
        <v>575</v>
      </c>
      <c r="C453" s="151"/>
      <c r="D453" s="151"/>
      <c r="E453" s="151"/>
      <c r="F453" s="151"/>
      <c r="G453" s="151"/>
      <c r="H453" s="122" t="s">
        <v>446</v>
      </c>
      <c r="I453" s="121" t="s">
        <v>469</v>
      </c>
      <c r="J453" s="122" t="s">
        <v>448</v>
      </c>
      <c r="K453" s="123">
        <v>190</v>
      </c>
      <c r="L453" s="124">
        <v>1162.5684000000001</v>
      </c>
      <c r="M453" s="125">
        <f t="shared" si="38"/>
        <v>0</v>
      </c>
      <c r="N453" s="125">
        <f>L453-M453</f>
        <v>1162.5684000000001</v>
      </c>
      <c r="O453" s="125"/>
      <c r="P453" s="125">
        <f t="shared" si="2"/>
        <v>220888</v>
      </c>
      <c r="Q453" s="126">
        <f t="shared" si="3"/>
        <v>1.2098421052631578</v>
      </c>
      <c r="R453" s="126">
        <f t="shared" si="74"/>
        <v>0</v>
      </c>
      <c r="S453" s="126">
        <f t="shared" si="35"/>
        <v>1.0900000000000001</v>
      </c>
      <c r="T453" s="126">
        <f>ROUND(P453*K$1806,2)+1.6</f>
        <v>222.48999999999998</v>
      </c>
      <c r="U453" s="126">
        <v>0</v>
      </c>
      <c r="V453" s="126">
        <f t="shared" si="414"/>
        <v>6.07</v>
      </c>
      <c r="W453" s="126">
        <f t="shared" si="217"/>
        <v>0.22</v>
      </c>
      <c r="X453" s="126">
        <f t="shared" si="9"/>
        <v>229.86999999999998</v>
      </c>
      <c r="Y453" s="127">
        <f>ROUND(P453-SUM(R453:W453),2)</f>
        <v>220658.13</v>
      </c>
      <c r="Z453" s="128">
        <f t="shared" si="402"/>
        <v>220658</v>
      </c>
      <c r="AA453" s="129">
        <f t="shared" si="47"/>
        <v>-0.13000000000465661</v>
      </c>
      <c r="AB453" s="120">
        <v>44600</v>
      </c>
      <c r="AC453" s="130">
        <f t="shared" si="12"/>
        <v>1.041E-3</v>
      </c>
      <c r="AD453" s="131">
        <f t="shared" si="13"/>
        <v>44600</v>
      </c>
      <c r="AE453" s="132" t="s">
        <v>403</v>
      </c>
      <c r="AF453" s="119"/>
    </row>
    <row r="454" spans="1:32" ht="12" customHeight="1">
      <c r="A454" s="148">
        <v>44599</v>
      </c>
      <c r="B454" s="149" t="s">
        <v>575</v>
      </c>
      <c r="C454" s="149"/>
      <c r="D454" s="149"/>
      <c r="E454" s="149"/>
      <c r="F454" s="149"/>
      <c r="G454" s="149"/>
      <c r="H454" s="135" t="s">
        <v>453</v>
      </c>
      <c r="I454" s="134" t="s">
        <v>469</v>
      </c>
      <c r="J454" s="135" t="s">
        <v>448</v>
      </c>
      <c r="K454" s="136">
        <v>50</v>
      </c>
      <c r="L454" s="137">
        <v>1187.07</v>
      </c>
      <c r="M454" s="138">
        <f t="shared" si="38"/>
        <v>0</v>
      </c>
      <c r="N454" s="138">
        <f t="shared" ref="N454:N457" si="415">L454+M454</f>
        <v>1187.07</v>
      </c>
      <c r="O454" s="138"/>
      <c r="P454" s="138">
        <f t="shared" si="2"/>
        <v>59353.5</v>
      </c>
      <c r="Q454" s="139">
        <f t="shared" si="3"/>
        <v>1.4046000000000001</v>
      </c>
      <c r="R454" s="139">
        <f t="shared" si="74"/>
        <v>0</v>
      </c>
      <c r="S454" s="139">
        <f t="shared" si="35"/>
        <v>0.28999999999999998</v>
      </c>
      <c r="T454" s="139">
        <f t="shared" ref="T454:T456" si="416">ROUND(P454*K$1806,2)</f>
        <v>59.35</v>
      </c>
      <c r="U454" s="139">
        <f t="shared" ref="U454:U456" si="417">ROUND(P454*K$1812,2)</f>
        <v>8.9</v>
      </c>
      <c r="V454" s="139">
        <f t="shared" si="414"/>
        <v>1.63</v>
      </c>
      <c r="W454" s="139">
        <f t="shared" si="217"/>
        <v>0.06</v>
      </c>
      <c r="X454" s="140">
        <f t="shared" si="9"/>
        <v>70.23</v>
      </c>
      <c r="Y454" s="141">
        <f t="shared" ref="Y454:Y457" si="418">-ROUND(P454+SUM(R454:W454),2)</f>
        <v>-59423.73</v>
      </c>
      <c r="Z454" s="142">
        <f t="shared" si="402"/>
        <v>-59424</v>
      </c>
      <c r="AA454" s="143">
        <f t="shared" si="47"/>
        <v>-0.26999999999679858</v>
      </c>
      <c r="AB454" s="133">
        <v>44601</v>
      </c>
      <c r="AC454" s="144">
        <f t="shared" si="12"/>
        <v>1.183E-3</v>
      </c>
      <c r="AD454" s="145">
        <f t="shared" si="13"/>
        <v>44601</v>
      </c>
      <c r="AE454" s="146" t="s">
        <v>403</v>
      </c>
      <c r="AF454" s="119"/>
    </row>
    <row r="455" spans="1:32" ht="12" customHeight="1">
      <c r="A455" s="148">
        <v>44599</v>
      </c>
      <c r="B455" s="149" t="s">
        <v>594</v>
      </c>
      <c r="C455" s="149"/>
      <c r="D455" s="149"/>
      <c r="E455" s="149"/>
      <c r="F455" s="149"/>
      <c r="G455" s="149"/>
      <c r="H455" s="135" t="s">
        <v>453</v>
      </c>
      <c r="I455" s="134" t="s">
        <v>469</v>
      </c>
      <c r="J455" s="135" t="s">
        <v>471</v>
      </c>
      <c r="K455" s="136">
        <v>1</v>
      </c>
      <c r="L455" s="137">
        <v>1335</v>
      </c>
      <c r="M455" s="138">
        <f t="shared" si="38"/>
        <v>0</v>
      </c>
      <c r="N455" s="138">
        <f t="shared" si="415"/>
        <v>1335</v>
      </c>
      <c r="O455" s="138"/>
      <c r="P455" s="138">
        <f t="shared" si="2"/>
        <v>1335</v>
      </c>
      <c r="Q455" s="139">
        <f t="shared" si="3"/>
        <v>1.59</v>
      </c>
      <c r="R455" s="139">
        <f t="shared" si="74"/>
        <v>0</v>
      </c>
      <c r="S455" s="139">
        <f t="shared" si="35"/>
        <v>0.01</v>
      </c>
      <c r="T455" s="139">
        <f t="shared" si="416"/>
        <v>1.34</v>
      </c>
      <c r="U455" s="139">
        <f t="shared" si="417"/>
        <v>0.2</v>
      </c>
      <c r="V455" s="139">
        <f t="shared" si="414"/>
        <v>0.04</v>
      </c>
      <c r="W455" s="139">
        <f t="shared" si="217"/>
        <v>0</v>
      </c>
      <c r="X455" s="140">
        <f t="shared" si="9"/>
        <v>1.59</v>
      </c>
      <c r="Y455" s="141">
        <f t="shared" si="418"/>
        <v>-1336.59</v>
      </c>
      <c r="Z455" s="142">
        <f t="shared" si="402"/>
        <v>-1337</v>
      </c>
      <c r="AA455" s="143">
        <f t="shared" si="47"/>
        <v>-0.41000000000008185</v>
      </c>
      <c r="AB455" s="133">
        <v>44601</v>
      </c>
      <c r="AC455" s="144">
        <f t="shared" si="12"/>
        <v>1.191E-3</v>
      </c>
      <c r="AD455" s="145">
        <f t="shared" si="13"/>
        <v>44601</v>
      </c>
      <c r="AE455" s="146" t="s">
        <v>403</v>
      </c>
      <c r="AF455" s="119"/>
    </row>
    <row r="456" spans="1:32" ht="12" customHeight="1">
      <c r="A456" s="148">
        <v>44599</v>
      </c>
      <c r="B456" s="149" t="s">
        <v>513</v>
      </c>
      <c r="C456" s="149"/>
      <c r="D456" s="149"/>
      <c r="E456" s="149"/>
      <c r="F456" s="149"/>
      <c r="G456" s="149"/>
      <c r="H456" s="135" t="s">
        <v>453</v>
      </c>
      <c r="I456" s="134" t="s">
        <v>469</v>
      </c>
      <c r="J456" s="135" t="s">
        <v>471</v>
      </c>
      <c r="K456" s="136">
        <v>20</v>
      </c>
      <c r="L456" s="137">
        <v>370.75</v>
      </c>
      <c r="M456" s="138">
        <f t="shared" si="38"/>
        <v>0</v>
      </c>
      <c r="N456" s="138">
        <f t="shared" si="415"/>
        <v>370.75</v>
      </c>
      <c r="O456" s="138"/>
      <c r="P456" s="138">
        <f t="shared" si="2"/>
        <v>7415</v>
      </c>
      <c r="Q456" s="139">
        <f t="shared" si="3"/>
        <v>0.43899999999999995</v>
      </c>
      <c r="R456" s="139">
        <f t="shared" si="74"/>
        <v>0</v>
      </c>
      <c r="S456" s="139">
        <f t="shared" si="35"/>
        <v>0.04</v>
      </c>
      <c r="T456" s="139">
        <f t="shared" si="416"/>
        <v>7.42</v>
      </c>
      <c r="U456" s="139">
        <f t="shared" si="417"/>
        <v>1.1100000000000001</v>
      </c>
      <c r="V456" s="139">
        <f t="shared" si="414"/>
        <v>0.2</v>
      </c>
      <c r="W456" s="139">
        <f t="shared" si="217"/>
        <v>0.01</v>
      </c>
      <c r="X456" s="140">
        <f t="shared" si="9"/>
        <v>8.7799999999999994</v>
      </c>
      <c r="Y456" s="141">
        <f t="shared" si="418"/>
        <v>-7423.78</v>
      </c>
      <c r="Z456" s="142">
        <f t="shared" si="402"/>
        <v>-7424</v>
      </c>
      <c r="AA456" s="143">
        <f t="shared" si="47"/>
        <v>-0.22000000000025466</v>
      </c>
      <c r="AB456" s="133">
        <v>44601</v>
      </c>
      <c r="AC456" s="144">
        <f t="shared" si="12"/>
        <v>1.1839999999999999E-3</v>
      </c>
      <c r="AD456" s="145">
        <f t="shared" si="13"/>
        <v>44601</v>
      </c>
      <c r="AE456" s="146" t="s">
        <v>403</v>
      </c>
      <c r="AF456" s="119"/>
    </row>
    <row r="457" spans="1:32" ht="12" customHeight="1">
      <c r="A457" s="148">
        <v>44600</v>
      </c>
      <c r="B457" s="149" t="s">
        <v>575</v>
      </c>
      <c r="C457" s="149"/>
      <c r="D457" s="149"/>
      <c r="E457" s="149"/>
      <c r="F457" s="149"/>
      <c r="G457" s="149"/>
      <c r="H457" s="135" t="s">
        <v>453</v>
      </c>
      <c r="I457" s="134" t="s">
        <v>469</v>
      </c>
      <c r="J457" s="135" t="s">
        <v>448</v>
      </c>
      <c r="K457" s="136">
        <v>190</v>
      </c>
      <c r="L457" s="137">
        <v>1161</v>
      </c>
      <c r="M457" s="138">
        <f t="shared" si="38"/>
        <v>0</v>
      </c>
      <c r="N457" s="138">
        <f t="shared" si="415"/>
        <v>1161</v>
      </c>
      <c r="O457" s="138"/>
      <c r="P457" s="138">
        <f t="shared" si="2"/>
        <v>220590</v>
      </c>
      <c r="Q457" s="139">
        <f t="shared" si="3"/>
        <v>0.69505263157894737</v>
      </c>
      <c r="R457" s="139">
        <f t="shared" si="74"/>
        <v>0</v>
      </c>
      <c r="S457" s="139">
        <f t="shared" si="35"/>
        <v>1.0900000000000001</v>
      </c>
      <c r="T457" s="139">
        <f>ROUND(P457*K$1806,2)-121</f>
        <v>99.59</v>
      </c>
      <c r="U457" s="139">
        <f>ROUND(P457*K$1812,2)-8</f>
        <v>25.090000000000003</v>
      </c>
      <c r="V457" s="139">
        <f t="shared" si="414"/>
        <v>6.07</v>
      </c>
      <c r="W457" s="139">
        <f t="shared" si="217"/>
        <v>0.22</v>
      </c>
      <c r="X457" s="140">
        <f t="shared" si="9"/>
        <v>132.06</v>
      </c>
      <c r="Y457" s="141">
        <f t="shared" si="418"/>
        <v>-220722.06</v>
      </c>
      <c r="Z457" s="142">
        <f t="shared" si="402"/>
        <v>-220722</v>
      </c>
      <c r="AA457" s="143">
        <f t="shared" si="47"/>
        <v>5.9999999997671694E-2</v>
      </c>
      <c r="AB457" s="133">
        <v>44602</v>
      </c>
      <c r="AC457" s="144">
        <f t="shared" si="12"/>
        <v>5.9900000000000003E-4</v>
      </c>
      <c r="AD457" s="145">
        <f t="shared" si="13"/>
        <v>44602</v>
      </c>
      <c r="AE457" s="146" t="s">
        <v>403</v>
      </c>
      <c r="AF457" s="119"/>
    </row>
    <row r="458" spans="1:32" ht="12" customHeight="1">
      <c r="A458" s="150">
        <v>44600</v>
      </c>
      <c r="B458" s="151" t="s">
        <v>575</v>
      </c>
      <c r="C458" s="151"/>
      <c r="D458" s="151"/>
      <c r="E458" s="151"/>
      <c r="F458" s="151"/>
      <c r="G458" s="151"/>
      <c r="H458" s="122" t="s">
        <v>446</v>
      </c>
      <c r="I458" s="121" t="s">
        <v>469</v>
      </c>
      <c r="J458" s="122" t="s">
        <v>448</v>
      </c>
      <c r="K458" s="123">
        <v>60</v>
      </c>
      <c r="L458" s="124">
        <v>1143.75</v>
      </c>
      <c r="M458" s="125">
        <f t="shared" si="38"/>
        <v>0</v>
      </c>
      <c r="N458" s="125">
        <f>L458-M458</f>
        <v>1143.75</v>
      </c>
      <c r="O458" s="125"/>
      <c r="P458" s="125">
        <f t="shared" si="2"/>
        <v>68625</v>
      </c>
      <c r="Q458" s="126">
        <f t="shared" si="3"/>
        <v>1.1821666666666666</v>
      </c>
      <c r="R458" s="126">
        <f t="shared" si="74"/>
        <v>0</v>
      </c>
      <c r="S458" s="126">
        <f t="shared" si="35"/>
        <v>0.34</v>
      </c>
      <c r="T458" s="126">
        <f t="shared" ref="T458:T477" si="419">ROUND(P458*K$1806,2)</f>
        <v>68.63</v>
      </c>
      <c r="U458" s="126">
        <v>0</v>
      </c>
      <c r="V458" s="126">
        <f t="shared" si="414"/>
        <v>1.89</v>
      </c>
      <c r="W458" s="126">
        <f t="shared" si="217"/>
        <v>7.0000000000000007E-2</v>
      </c>
      <c r="X458" s="126">
        <f t="shared" si="9"/>
        <v>70.929999999999993</v>
      </c>
      <c r="Y458" s="127">
        <f>ROUND(P458-SUM(R458:W458),2)</f>
        <v>68554.070000000007</v>
      </c>
      <c r="Z458" s="128">
        <f t="shared" si="402"/>
        <v>68554</v>
      </c>
      <c r="AA458" s="129">
        <f t="shared" si="47"/>
        <v>-7.0000000006984919E-2</v>
      </c>
      <c r="AB458" s="120">
        <v>44602</v>
      </c>
      <c r="AC458" s="130">
        <f t="shared" si="12"/>
        <v>1.034E-3</v>
      </c>
      <c r="AD458" s="131">
        <f t="shared" si="13"/>
        <v>44602</v>
      </c>
      <c r="AE458" s="132" t="s">
        <v>403</v>
      </c>
      <c r="AF458" s="119"/>
    </row>
    <row r="459" spans="1:32" ht="12" customHeight="1">
      <c r="A459" s="148">
        <v>44601</v>
      </c>
      <c r="B459" s="149" t="s">
        <v>575</v>
      </c>
      <c r="C459" s="149"/>
      <c r="D459" s="149"/>
      <c r="E459" s="149"/>
      <c r="F459" s="149"/>
      <c r="G459" s="149"/>
      <c r="H459" s="135" t="s">
        <v>453</v>
      </c>
      <c r="I459" s="134" t="s">
        <v>469</v>
      </c>
      <c r="J459" s="135" t="s">
        <v>448</v>
      </c>
      <c r="K459" s="136">
        <v>60</v>
      </c>
      <c r="L459" s="137">
        <v>1135</v>
      </c>
      <c r="M459" s="138">
        <f t="shared" si="38"/>
        <v>0</v>
      </c>
      <c r="N459" s="138">
        <f>L459+M459</f>
        <v>1135</v>
      </c>
      <c r="O459" s="138"/>
      <c r="P459" s="138">
        <f t="shared" si="2"/>
        <v>68100</v>
      </c>
      <c r="Q459" s="139">
        <f t="shared" si="3"/>
        <v>1.3433333333333333</v>
      </c>
      <c r="R459" s="139">
        <f t="shared" si="74"/>
        <v>0</v>
      </c>
      <c r="S459" s="139">
        <f t="shared" si="35"/>
        <v>0.34</v>
      </c>
      <c r="T459" s="139">
        <f t="shared" si="419"/>
        <v>68.099999999999994</v>
      </c>
      <c r="U459" s="139">
        <f>ROUND(P459*K$1812,2)</f>
        <v>10.220000000000001</v>
      </c>
      <c r="V459" s="139">
        <f t="shared" si="414"/>
        <v>1.87</v>
      </c>
      <c r="W459" s="139">
        <f t="shared" si="217"/>
        <v>7.0000000000000007E-2</v>
      </c>
      <c r="X459" s="140">
        <f t="shared" si="9"/>
        <v>80.599999999999994</v>
      </c>
      <c r="Y459" s="141">
        <f>-ROUND(P459+SUM(R459:W459),2)</f>
        <v>-68180.600000000006</v>
      </c>
      <c r="Z459" s="142">
        <f t="shared" si="402"/>
        <v>-68181</v>
      </c>
      <c r="AA459" s="143">
        <f t="shared" si="47"/>
        <v>-0.39999999999417923</v>
      </c>
      <c r="AB459" s="133">
        <v>44603</v>
      </c>
      <c r="AC459" s="144">
        <f t="shared" si="12"/>
        <v>1.1839999999999999E-3</v>
      </c>
      <c r="AD459" s="145">
        <f t="shared" si="13"/>
        <v>44603</v>
      </c>
      <c r="AE459" s="146" t="s">
        <v>403</v>
      </c>
      <c r="AF459" s="119"/>
    </row>
    <row r="460" spans="1:32" ht="12" customHeight="1">
      <c r="A460" s="150">
        <v>44602</v>
      </c>
      <c r="B460" s="151" t="s">
        <v>575</v>
      </c>
      <c r="C460" s="151"/>
      <c r="D460" s="151"/>
      <c r="E460" s="151"/>
      <c r="F460" s="151"/>
      <c r="G460" s="151"/>
      <c r="H460" s="122" t="s">
        <v>446</v>
      </c>
      <c r="I460" s="121" t="s">
        <v>469</v>
      </c>
      <c r="J460" s="122" t="s">
        <v>448</v>
      </c>
      <c r="K460" s="123">
        <v>50</v>
      </c>
      <c r="L460" s="124">
        <v>1142</v>
      </c>
      <c r="M460" s="125">
        <f t="shared" si="38"/>
        <v>0</v>
      </c>
      <c r="N460" s="125">
        <f>L460-M460</f>
        <v>1142</v>
      </c>
      <c r="O460" s="125"/>
      <c r="P460" s="125">
        <f t="shared" si="2"/>
        <v>57100</v>
      </c>
      <c r="Q460" s="126">
        <f t="shared" si="3"/>
        <v>1.1802000000000001</v>
      </c>
      <c r="R460" s="126">
        <f t="shared" si="74"/>
        <v>0</v>
      </c>
      <c r="S460" s="126">
        <f t="shared" si="35"/>
        <v>0.28000000000000003</v>
      </c>
      <c r="T460" s="126">
        <f t="shared" si="419"/>
        <v>57.1</v>
      </c>
      <c r="U460" s="126">
        <v>0</v>
      </c>
      <c r="V460" s="126">
        <f t="shared" si="414"/>
        <v>1.57</v>
      </c>
      <c r="W460" s="126">
        <f t="shared" si="217"/>
        <v>0.06</v>
      </c>
      <c r="X460" s="126">
        <f t="shared" si="9"/>
        <v>59.010000000000005</v>
      </c>
      <c r="Y460" s="127">
        <f>ROUND(P460-SUM(R460:W460),2)</f>
        <v>57040.99</v>
      </c>
      <c r="Z460" s="128">
        <f t="shared" si="402"/>
        <v>57041</v>
      </c>
      <c r="AA460" s="129">
        <f t="shared" si="47"/>
        <v>1.0000000002037268E-2</v>
      </c>
      <c r="AB460" s="120">
        <v>44606</v>
      </c>
      <c r="AC460" s="130">
        <f t="shared" si="12"/>
        <v>1.0330000000000001E-3</v>
      </c>
      <c r="AD460" s="131">
        <f t="shared" si="13"/>
        <v>44606</v>
      </c>
      <c r="AE460" s="132" t="s">
        <v>403</v>
      </c>
      <c r="AF460" s="119"/>
    </row>
    <row r="461" spans="1:32" ht="12" customHeight="1">
      <c r="A461" s="148">
        <v>44603</v>
      </c>
      <c r="B461" s="149" t="s">
        <v>575</v>
      </c>
      <c r="C461" s="149"/>
      <c r="D461" s="149"/>
      <c r="E461" s="149"/>
      <c r="F461" s="149"/>
      <c r="G461" s="149"/>
      <c r="H461" s="135" t="s">
        <v>453</v>
      </c>
      <c r="I461" s="134" t="s">
        <v>469</v>
      </c>
      <c r="J461" s="135" t="s">
        <v>448</v>
      </c>
      <c r="K461" s="136">
        <v>164</v>
      </c>
      <c r="L461" s="137">
        <v>1126.3973000000001</v>
      </c>
      <c r="M461" s="138">
        <f t="shared" si="38"/>
        <v>0</v>
      </c>
      <c r="N461" s="138">
        <f t="shared" ref="N461:N464" si="420">L461+M461</f>
        <v>1126.3973000000001</v>
      </c>
      <c r="O461" s="138"/>
      <c r="P461" s="138">
        <f t="shared" si="2"/>
        <v>184729.16</v>
      </c>
      <c r="Q461" s="139">
        <f t="shared" si="3"/>
        <v>1.3329878048780488</v>
      </c>
      <c r="R461" s="139">
        <f t="shared" si="74"/>
        <v>0</v>
      </c>
      <c r="S461" s="139">
        <f t="shared" si="35"/>
        <v>0.91</v>
      </c>
      <c r="T461" s="139">
        <f t="shared" si="419"/>
        <v>184.73</v>
      </c>
      <c r="U461" s="139">
        <f t="shared" ref="U461:U464" si="421">ROUND(P461*K$1812,2)</f>
        <v>27.71</v>
      </c>
      <c r="V461" s="139">
        <f t="shared" si="414"/>
        <v>5.08</v>
      </c>
      <c r="W461" s="139">
        <f t="shared" si="217"/>
        <v>0.18</v>
      </c>
      <c r="X461" s="140">
        <f t="shared" si="9"/>
        <v>218.61</v>
      </c>
      <c r="Y461" s="141">
        <f t="shared" ref="Y461:Y464" si="422">-ROUND(P461+SUM(R461:W461),2)</f>
        <v>-184947.77</v>
      </c>
      <c r="Z461" s="142">
        <f t="shared" si="402"/>
        <v>-184948</v>
      </c>
      <c r="AA461" s="143">
        <f t="shared" si="47"/>
        <v>-0.23000000001047738</v>
      </c>
      <c r="AB461" s="133">
        <v>44607</v>
      </c>
      <c r="AC461" s="144">
        <f t="shared" si="12"/>
        <v>1.183E-3</v>
      </c>
      <c r="AD461" s="145">
        <f t="shared" si="13"/>
        <v>44607</v>
      </c>
      <c r="AE461" s="146" t="s">
        <v>403</v>
      </c>
      <c r="AF461" s="119"/>
    </row>
    <row r="462" spans="1:32" ht="12" customHeight="1">
      <c r="A462" s="148">
        <v>44603</v>
      </c>
      <c r="B462" s="149" t="s">
        <v>513</v>
      </c>
      <c r="C462" s="149"/>
      <c r="D462" s="149"/>
      <c r="E462" s="149"/>
      <c r="F462" s="149"/>
      <c r="G462" s="149"/>
      <c r="H462" s="135" t="s">
        <v>453</v>
      </c>
      <c r="I462" s="134" t="s">
        <v>469</v>
      </c>
      <c r="J462" s="135" t="s">
        <v>471</v>
      </c>
      <c r="K462" s="136">
        <v>20</v>
      </c>
      <c r="L462" s="137">
        <v>370.75</v>
      </c>
      <c r="M462" s="138">
        <f t="shared" si="38"/>
        <v>0</v>
      </c>
      <c r="N462" s="138">
        <f t="shared" si="420"/>
        <v>370.75</v>
      </c>
      <c r="O462" s="138"/>
      <c r="P462" s="138">
        <f t="shared" si="2"/>
        <v>7415</v>
      </c>
      <c r="Q462" s="139">
        <f t="shared" si="3"/>
        <v>0.43899999999999995</v>
      </c>
      <c r="R462" s="139">
        <f t="shared" si="74"/>
        <v>0</v>
      </c>
      <c r="S462" s="139">
        <f t="shared" si="35"/>
        <v>0.04</v>
      </c>
      <c r="T462" s="139">
        <f t="shared" si="419"/>
        <v>7.42</v>
      </c>
      <c r="U462" s="139">
        <f t="shared" si="421"/>
        <v>1.1100000000000001</v>
      </c>
      <c r="V462" s="139">
        <f t="shared" si="414"/>
        <v>0.2</v>
      </c>
      <c r="W462" s="139">
        <f t="shared" si="217"/>
        <v>0.01</v>
      </c>
      <c r="X462" s="140">
        <f t="shared" si="9"/>
        <v>8.7799999999999994</v>
      </c>
      <c r="Y462" s="141">
        <f t="shared" si="422"/>
        <v>-7423.78</v>
      </c>
      <c r="Z462" s="142">
        <f t="shared" si="402"/>
        <v>-7424</v>
      </c>
      <c r="AA462" s="143">
        <f t="shared" si="47"/>
        <v>-0.22000000000025466</v>
      </c>
      <c r="AB462" s="133">
        <v>44607</v>
      </c>
      <c r="AC462" s="144">
        <f t="shared" si="12"/>
        <v>1.1839999999999999E-3</v>
      </c>
      <c r="AD462" s="145">
        <f t="shared" si="13"/>
        <v>44607</v>
      </c>
      <c r="AE462" s="146" t="s">
        <v>403</v>
      </c>
      <c r="AF462" s="119"/>
    </row>
    <row r="463" spans="1:32" ht="12" customHeight="1">
      <c r="A463" s="148">
        <v>44603</v>
      </c>
      <c r="B463" s="149" t="s">
        <v>586</v>
      </c>
      <c r="C463" s="149"/>
      <c r="D463" s="149"/>
      <c r="E463" s="149"/>
      <c r="F463" s="149"/>
      <c r="G463" s="149"/>
      <c r="H463" s="135" t="s">
        <v>453</v>
      </c>
      <c r="I463" s="134" t="s">
        <v>469</v>
      </c>
      <c r="J463" s="135" t="s">
        <v>471</v>
      </c>
      <c r="K463" s="136">
        <v>500</v>
      </c>
      <c r="L463" s="137">
        <v>8.31</v>
      </c>
      <c r="M463" s="138">
        <f t="shared" si="38"/>
        <v>0</v>
      </c>
      <c r="N463" s="138">
        <f t="shared" si="420"/>
        <v>8.31</v>
      </c>
      <c r="O463" s="138"/>
      <c r="P463" s="138">
        <f t="shared" si="2"/>
        <v>4155</v>
      </c>
      <c r="Q463" s="139">
        <f t="shared" si="3"/>
        <v>1.9380000000000001E-2</v>
      </c>
      <c r="R463" s="139">
        <f t="shared" si="74"/>
        <v>0</v>
      </c>
      <c r="S463" s="139">
        <f t="shared" si="35"/>
        <v>0.75</v>
      </c>
      <c r="T463" s="139">
        <f t="shared" si="419"/>
        <v>4.16</v>
      </c>
      <c r="U463" s="139">
        <f t="shared" si="421"/>
        <v>0.62</v>
      </c>
      <c r="V463" s="139">
        <f t="shared" ref="V463:V464" si="423">ROUND(P463*0.1%,2)</f>
        <v>4.16</v>
      </c>
      <c r="W463" s="139">
        <f t="shared" si="217"/>
        <v>0</v>
      </c>
      <c r="X463" s="140">
        <f t="shared" si="9"/>
        <v>9.6900000000000013</v>
      </c>
      <c r="Y463" s="141">
        <f t="shared" si="422"/>
        <v>-4164.6899999999996</v>
      </c>
      <c r="Z463" s="142">
        <f t="shared" si="402"/>
        <v>-4165</v>
      </c>
      <c r="AA463" s="143">
        <f t="shared" si="47"/>
        <v>-0.31000000000040018</v>
      </c>
      <c r="AB463" s="133">
        <v>44607</v>
      </c>
      <c r="AC463" s="144">
        <f t="shared" si="12"/>
        <v>2.3319999999999999E-3</v>
      </c>
      <c r="AD463" s="145">
        <f t="shared" si="13"/>
        <v>44607</v>
      </c>
      <c r="AE463" s="146" t="s">
        <v>403</v>
      </c>
      <c r="AF463" s="119"/>
    </row>
    <row r="464" spans="1:32" ht="12" customHeight="1">
      <c r="A464" s="148">
        <v>44606</v>
      </c>
      <c r="B464" s="149" t="s">
        <v>586</v>
      </c>
      <c r="C464" s="149"/>
      <c r="D464" s="149"/>
      <c r="E464" s="149"/>
      <c r="F464" s="149"/>
      <c r="G464" s="149"/>
      <c r="H464" s="135" t="s">
        <v>453</v>
      </c>
      <c r="I464" s="134" t="s">
        <v>469</v>
      </c>
      <c r="J464" s="135" t="s">
        <v>471</v>
      </c>
      <c r="K464" s="136">
        <v>300</v>
      </c>
      <c r="L464" s="137">
        <v>7.9</v>
      </c>
      <c r="M464" s="138">
        <f t="shared" si="38"/>
        <v>0</v>
      </c>
      <c r="N464" s="138">
        <f t="shared" si="420"/>
        <v>7.9</v>
      </c>
      <c r="O464" s="138"/>
      <c r="P464" s="138">
        <f t="shared" si="2"/>
        <v>2370</v>
      </c>
      <c r="Q464" s="139">
        <f t="shared" si="3"/>
        <v>1.8433333333333333E-2</v>
      </c>
      <c r="R464" s="139">
        <f t="shared" si="74"/>
        <v>0</v>
      </c>
      <c r="S464" s="139">
        <f t="shared" si="35"/>
        <v>0.43</v>
      </c>
      <c r="T464" s="139">
        <f t="shared" si="419"/>
        <v>2.37</v>
      </c>
      <c r="U464" s="139">
        <f t="shared" si="421"/>
        <v>0.36</v>
      </c>
      <c r="V464" s="139">
        <f t="shared" si="423"/>
        <v>2.37</v>
      </c>
      <c r="W464" s="139">
        <f t="shared" si="217"/>
        <v>0</v>
      </c>
      <c r="X464" s="140">
        <f t="shared" si="9"/>
        <v>5.53</v>
      </c>
      <c r="Y464" s="141">
        <f t="shared" si="422"/>
        <v>-2375.5300000000002</v>
      </c>
      <c r="Z464" s="142">
        <f t="shared" si="402"/>
        <v>-2376</v>
      </c>
      <c r="AA464" s="143">
        <f t="shared" si="47"/>
        <v>-0.46999999999979991</v>
      </c>
      <c r="AB464" s="133">
        <v>44608</v>
      </c>
      <c r="AC464" s="144">
        <f t="shared" si="12"/>
        <v>2.333E-3</v>
      </c>
      <c r="AD464" s="145">
        <f t="shared" si="13"/>
        <v>44608</v>
      </c>
      <c r="AE464" s="146" t="s">
        <v>403</v>
      </c>
      <c r="AF464" s="119"/>
    </row>
    <row r="465" spans="1:32" ht="12" customHeight="1">
      <c r="A465" s="150">
        <v>44607</v>
      </c>
      <c r="B465" s="151" t="s">
        <v>575</v>
      </c>
      <c r="C465" s="151"/>
      <c r="D465" s="151"/>
      <c r="E465" s="151"/>
      <c r="F465" s="151"/>
      <c r="G465" s="151"/>
      <c r="H465" s="122" t="s">
        <v>446</v>
      </c>
      <c r="I465" s="121" t="s">
        <v>469</v>
      </c>
      <c r="J465" s="122" t="s">
        <v>448</v>
      </c>
      <c r="K465" s="123">
        <v>70</v>
      </c>
      <c r="L465" s="124">
        <v>1061.8499999999999</v>
      </c>
      <c r="M465" s="125">
        <f t="shared" si="38"/>
        <v>0</v>
      </c>
      <c r="N465" s="125">
        <f>L465-M465</f>
        <v>1061.8499999999999</v>
      </c>
      <c r="O465" s="125"/>
      <c r="P465" s="125">
        <f t="shared" si="2"/>
        <v>74329.5</v>
      </c>
      <c r="Q465" s="126">
        <f t="shared" si="3"/>
        <v>1.0972857142857144</v>
      </c>
      <c r="R465" s="126">
        <f t="shared" si="74"/>
        <v>0</v>
      </c>
      <c r="S465" s="126">
        <f t="shared" si="35"/>
        <v>0.37</v>
      </c>
      <c r="T465" s="126">
        <f t="shared" si="419"/>
        <v>74.33</v>
      </c>
      <c r="U465" s="126">
        <v>0</v>
      </c>
      <c r="V465" s="126">
        <f>ROUND(P465*L$1809,2)</f>
        <v>2.04</v>
      </c>
      <c r="W465" s="126">
        <f t="shared" si="217"/>
        <v>7.0000000000000007E-2</v>
      </c>
      <c r="X465" s="126">
        <f t="shared" si="9"/>
        <v>76.81</v>
      </c>
      <c r="Y465" s="127">
        <f>ROUND(P465-SUM(R465:W465),2)</f>
        <v>74252.69</v>
      </c>
      <c r="Z465" s="128">
        <f t="shared" si="402"/>
        <v>74253</v>
      </c>
      <c r="AA465" s="129">
        <f t="shared" si="47"/>
        <v>0.30999999999767169</v>
      </c>
      <c r="AB465" s="120">
        <v>44609</v>
      </c>
      <c r="AC465" s="130">
        <f t="shared" si="12"/>
        <v>1.0330000000000001E-3</v>
      </c>
      <c r="AD465" s="131">
        <f t="shared" si="13"/>
        <v>44609</v>
      </c>
      <c r="AE465" s="132" t="s">
        <v>403</v>
      </c>
      <c r="AF465" s="119"/>
    </row>
    <row r="466" spans="1:32" ht="12" customHeight="1">
      <c r="A466" s="148">
        <v>44607</v>
      </c>
      <c r="B466" s="149" t="s">
        <v>586</v>
      </c>
      <c r="C466" s="149"/>
      <c r="D466" s="149"/>
      <c r="E466" s="149"/>
      <c r="F466" s="149"/>
      <c r="G466" s="149"/>
      <c r="H466" s="135" t="s">
        <v>453</v>
      </c>
      <c r="I466" s="134" t="s">
        <v>469</v>
      </c>
      <c r="J466" s="135" t="s">
        <v>471</v>
      </c>
      <c r="K466" s="136">
        <v>200</v>
      </c>
      <c r="L466" s="137">
        <v>7.51</v>
      </c>
      <c r="M466" s="138">
        <f t="shared" si="38"/>
        <v>0</v>
      </c>
      <c r="N466" s="138">
        <f t="shared" ref="N466:N468" si="424">L466+M466</f>
        <v>7.51</v>
      </c>
      <c r="O466" s="138"/>
      <c r="P466" s="138">
        <f t="shared" si="2"/>
        <v>1502</v>
      </c>
      <c r="Q466" s="139">
        <f t="shared" si="3"/>
        <v>1.7500000000000002E-2</v>
      </c>
      <c r="R466" s="139">
        <f t="shared" si="74"/>
        <v>0</v>
      </c>
      <c r="S466" s="139">
        <f t="shared" si="35"/>
        <v>0.27</v>
      </c>
      <c r="T466" s="139">
        <f t="shared" si="419"/>
        <v>1.5</v>
      </c>
      <c r="U466" s="139">
        <f t="shared" ref="U466:U468" si="425">ROUND(P466*K$1812,2)</f>
        <v>0.23</v>
      </c>
      <c r="V466" s="139">
        <f>ROUND(P466*0.1%,2)</f>
        <v>1.5</v>
      </c>
      <c r="W466" s="139">
        <f t="shared" si="217"/>
        <v>0</v>
      </c>
      <c r="X466" s="140">
        <f t="shared" si="9"/>
        <v>3.5</v>
      </c>
      <c r="Y466" s="141">
        <f t="shared" ref="Y466:Y468" si="426">-ROUND(P466+SUM(R466:W466),2)</f>
        <v>-1505.5</v>
      </c>
      <c r="Z466" s="142">
        <f t="shared" si="402"/>
        <v>-1506</v>
      </c>
      <c r="AA466" s="143">
        <f t="shared" si="47"/>
        <v>-0.5</v>
      </c>
      <c r="AB466" s="133">
        <v>44609</v>
      </c>
      <c r="AC466" s="144">
        <f t="shared" si="12"/>
        <v>2.33E-3</v>
      </c>
      <c r="AD466" s="145">
        <f t="shared" si="13"/>
        <v>44609</v>
      </c>
      <c r="AE466" s="146" t="s">
        <v>403</v>
      </c>
      <c r="AF466" s="119"/>
    </row>
    <row r="467" spans="1:32" ht="12" customHeight="1">
      <c r="A467" s="148">
        <v>44610</v>
      </c>
      <c r="B467" s="149" t="s">
        <v>575</v>
      </c>
      <c r="C467" s="149"/>
      <c r="D467" s="149"/>
      <c r="E467" s="149"/>
      <c r="F467" s="149"/>
      <c r="G467" s="149"/>
      <c r="H467" s="135" t="s">
        <v>453</v>
      </c>
      <c r="I467" s="134" t="s">
        <v>469</v>
      </c>
      <c r="J467" s="135" t="s">
        <v>448</v>
      </c>
      <c r="K467" s="136">
        <v>90</v>
      </c>
      <c r="L467" s="137">
        <v>1047.8888999999999</v>
      </c>
      <c r="M467" s="138">
        <f t="shared" si="38"/>
        <v>0</v>
      </c>
      <c r="N467" s="138">
        <f t="shared" si="424"/>
        <v>1047.8888999999999</v>
      </c>
      <c r="O467" s="138"/>
      <c r="P467" s="138">
        <f t="shared" si="2"/>
        <v>94310</v>
      </c>
      <c r="Q467" s="139">
        <f t="shared" si="3"/>
        <v>1.2401111111111112</v>
      </c>
      <c r="R467" s="139">
        <f t="shared" si="74"/>
        <v>0</v>
      </c>
      <c r="S467" s="139">
        <f t="shared" si="35"/>
        <v>0.47</v>
      </c>
      <c r="T467" s="139">
        <f t="shared" si="419"/>
        <v>94.31</v>
      </c>
      <c r="U467" s="139">
        <f t="shared" si="425"/>
        <v>14.15</v>
      </c>
      <c r="V467" s="139">
        <f t="shared" ref="V467:V469" si="427">ROUND(P467*L$1809,2)</f>
        <v>2.59</v>
      </c>
      <c r="W467" s="139">
        <f t="shared" si="217"/>
        <v>0.09</v>
      </c>
      <c r="X467" s="140">
        <f t="shared" si="9"/>
        <v>111.61000000000001</v>
      </c>
      <c r="Y467" s="141">
        <f t="shared" si="426"/>
        <v>-94421.61</v>
      </c>
      <c r="Z467" s="142">
        <f t="shared" si="402"/>
        <v>-94422</v>
      </c>
      <c r="AA467" s="143">
        <f t="shared" si="47"/>
        <v>-0.38999999999941792</v>
      </c>
      <c r="AB467" s="133">
        <v>44614</v>
      </c>
      <c r="AC467" s="144">
        <f t="shared" si="12"/>
        <v>1.183E-3</v>
      </c>
      <c r="AD467" s="145">
        <f t="shared" si="13"/>
        <v>44614</v>
      </c>
      <c r="AE467" s="146" t="s">
        <v>403</v>
      </c>
      <c r="AF467" s="119"/>
    </row>
    <row r="468" spans="1:32" ht="12" customHeight="1">
      <c r="A468" s="148">
        <v>44613</v>
      </c>
      <c r="B468" s="149" t="s">
        <v>575</v>
      </c>
      <c r="C468" s="149"/>
      <c r="D468" s="149"/>
      <c r="E468" s="149"/>
      <c r="F468" s="149"/>
      <c r="G468" s="149"/>
      <c r="H468" s="135" t="s">
        <v>453</v>
      </c>
      <c r="I468" s="134" t="s">
        <v>469</v>
      </c>
      <c r="J468" s="135" t="s">
        <v>448</v>
      </c>
      <c r="K468" s="136">
        <v>115</v>
      </c>
      <c r="L468" s="137">
        <v>1011.2417</v>
      </c>
      <c r="M468" s="138">
        <f t="shared" si="38"/>
        <v>0</v>
      </c>
      <c r="N468" s="138">
        <f t="shared" si="424"/>
        <v>1011.2417</v>
      </c>
      <c r="O468" s="138"/>
      <c r="P468" s="138">
        <f t="shared" si="2"/>
        <v>116292.8</v>
      </c>
      <c r="Q468" s="139">
        <f t="shared" si="3"/>
        <v>1.1967826086956521</v>
      </c>
      <c r="R468" s="139">
        <f t="shared" si="74"/>
        <v>0</v>
      </c>
      <c r="S468" s="139">
        <f t="shared" si="35"/>
        <v>0.57999999999999996</v>
      </c>
      <c r="T468" s="139">
        <f t="shared" si="419"/>
        <v>116.29</v>
      </c>
      <c r="U468" s="139">
        <f t="shared" si="425"/>
        <v>17.440000000000001</v>
      </c>
      <c r="V468" s="139">
        <f t="shared" si="427"/>
        <v>3.2</v>
      </c>
      <c r="W468" s="139">
        <f t="shared" si="217"/>
        <v>0.12</v>
      </c>
      <c r="X468" s="140">
        <f t="shared" si="9"/>
        <v>137.63</v>
      </c>
      <c r="Y468" s="141">
        <f t="shared" si="426"/>
        <v>-116430.43</v>
      </c>
      <c r="Z468" s="142">
        <f t="shared" si="402"/>
        <v>-116430</v>
      </c>
      <c r="AA468" s="143">
        <f t="shared" si="47"/>
        <v>0.42999999999301508</v>
      </c>
      <c r="AB468" s="133">
        <v>44615</v>
      </c>
      <c r="AC468" s="144">
        <f t="shared" si="12"/>
        <v>1.183E-3</v>
      </c>
      <c r="AD468" s="145">
        <f t="shared" si="13"/>
        <v>44615</v>
      </c>
      <c r="AE468" s="146" t="s">
        <v>403</v>
      </c>
      <c r="AF468" s="119"/>
    </row>
    <row r="469" spans="1:32" ht="12" customHeight="1">
      <c r="A469" s="150">
        <v>44613</v>
      </c>
      <c r="B469" s="151" t="s">
        <v>484</v>
      </c>
      <c r="C469" s="151"/>
      <c r="D469" s="151"/>
      <c r="E469" s="151"/>
      <c r="F469" s="151"/>
      <c r="G469" s="151"/>
      <c r="H469" s="122" t="s">
        <v>446</v>
      </c>
      <c r="I469" s="121" t="s">
        <v>469</v>
      </c>
      <c r="J469" s="122" t="s">
        <v>448</v>
      </c>
      <c r="K469" s="123">
        <v>3</v>
      </c>
      <c r="L469" s="124">
        <v>7007</v>
      </c>
      <c r="M469" s="125">
        <f t="shared" si="38"/>
        <v>0</v>
      </c>
      <c r="N469" s="125">
        <f t="shared" ref="N469:N470" si="428">L469-M469</f>
        <v>7007</v>
      </c>
      <c r="O469" s="125"/>
      <c r="P469" s="125">
        <f t="shared" si="2"/>
        <v>21021</v>
      </c>
      <c r="Q469" s="126">
        <f t="shared" si="3"/>
        <v>7.2399999999999993</v>
      </c>
      <c r="R469" s="126">
        <f t="shared" si="74"/>
        <v>0</v>
      </c>
      <c r="S469" s="126">
        <f t="shared" si="35"/>
        <v>0.1</v>
      </c>
      <c r="T469" s="126">
        <f t="shared" si="419"/>
        <v>21.02</v>
      </c>
      <c r="U469" s="126">
        <v>0</v>
      </c>
      <c r="V469" s="126">
        <f t="shared" si="427"/>
        <v>0.57999999999999996</v>
      </c>
      <c r="W469" s="126">
        <f t="shared" si="217"/>
        <v>0.02</v>
      </c>
      <c r="X469" s="126">
        <f t="shared" si="9"/>
        <v>21.72</v>
      </c>
      <c r="Y469" s="127">
        <f t="shared" ref="Y469:Y470" si="429">ROUND(P469-SUM(R469:W469),2)</f>
        <v>20999.279999999999</v>
      </c>
      <c r="Z469" s="128">
        <f t="shared" si="402"/>
        <v>20999</v>
      </c>
      <c r="AA469" s="129">
        <f t="shared" si="47"/>
        <v>-0.27999999999883585</v>
      </c>
      <c r="AB469" s="120">
        <v>44615</v>
      </c>
      <c r="AC469" s="130">
        <f t="shared" si="12"/>
        <v>1.0330000000000001E-3</v>
      </c>
      <c r="AD469" s="131">
        <f t="shared" si="13"/>
        <v>44615</v>
      </c>
      <c r="AE469" s="132" t="s">
        <v>403</v>
      </c>
      <c r="AF469" s="119"/>
    </row>
    <row r="470" spans="1:32" ht="12" customHeight="1">
      <c r="A470" s="150">
        <v>44614</v>
      </c>
      <c r="B470" s="151" t="s">
        <v>484</v>
      </c>
      <c r="C470" s="151"/>
      <c r="D470" s="151"/>
      <c r="E470" s="151"/>
      <c r="F470" s="151"/>
      <c r="G470" s="151"/>
      <c r="H470" s="122" t="s">
        <v>446</v>
      </c>
      <c r="I470" s="121" t="s">
        <v>469</v>
      </c>
      <c r="J470" s="122" t="s">
        <v>448</v>
      </c>
      <c r="K470" s="123">
        <v>2</v>
      </c>
      <c r="L470" s="124">
        <v>6900</v>
      </c>
      <c r="M470" s="125">
        <f t="shared" si="38"/>
        <v>0</v>
      </c>
      <c r="N470" s="125">
        <f t="shared" si="428"/>
        <v>6900</v>
      </c>
      <c r="O470" s="125"/>
      <c r="P470" s="125">
        <f t="shared" si="2"/>
        <v>13800</v>
      </c>
      <c r="Q470" s="126">
        <f t="shared" si="3"/>
        <v>7.19</v>
      </c>
      <c r="R470" s="126">
        <f t="shared" si="74"/>
        <v>0</v>
      </c>
      <c r="S470" s="126">
        <f t="shared" si="35"/>
        <v>0.09</v>
      </c>
      <c r="T470" s="126">
        <f t="shared" si="419"/>
        <v>13.8</v>
      </c>
      <c r="U470" s="126">
        <v>0</v>
      </c>
      <c r="V470" s="126">
        <f>ROUND(P470*M$1809,2)</f>
        <v>0.48</v>
      </c>
      <c r="W470" s="126">
        <f t="shared" si="217"/>
        <v>0.01</v>
      </c>
      <c r="X470" s="126">
        <f t="shared" si="9"/>
        <v>14.38</v>
      </c>
      <c r="Y470" s="127">
        <f t="shared" si="429"/>
        <v>13785.62</v>
      </c>
      <c r="Z470" s="128">
        <f t="shared" si="402"/>
        <v>13786</v>
      </c>
      <c r="AA470" s="129">
        <f t="shared" si="47"/>
        <v>0.37999999999919964</v>
      </c>
      <c r="AB470" s="120">
        <v>44616</v>
      </c>
      <c r="AC470" s="130">
        <f t="shared" si="12"/>
        <v>1.042E-3</v>
      </c>
      <c r="AD470" s="131">
        <f t="shared" si="13"/>
        <v>44616</v>
      </c>
      <c r="AE470" s="132" t="s">
        <v>403</v>
      </c>
      <c r="AF470" s="119"/>
    </row>
    <row r="471" spans="1:32" ht="12" customHeight="1">
      <c r="A471" s="148">
        <v>44614</v>
      </c>
      <c r="B471" s="149" t="s">
        <v>575</v>
      </c>
      <c r="C471" s="149"/>
      <c r="D471" s="149"/>
      <c r="E471" s="149"/>
      <c r="F471" s="149"/>
      <c r="G471" s="149"/>
      <c r="H471" s="135" t="s">
        <v>453</v>
      </c>
      <c r="I471" s="134" t="s">
        <v>469</v>
      </c>
      <c r="J471" s="135" t="s">
        <v>448</v>
      </c>
      <c r="K471" s="136">
        <v>100</v>
      </c>
      <c r="L471" s="137">
        <v>954.8</v>
      </c>
      <c r="M471" s="138">
        <f t="shared" si="38"/>
        <v>0</v>
      </c>
      <c r="N471" s="138">
        <f>L471+M471</f>
        <v>954.8</v>
      </c>
      <c r="O471" s="138"/>
      <c r="P471" s="138">
        <f t="shared" si="2"/>
        <v>95480</v>
      </c>
      <c r="Q471" s="139">
        <f t="shared" si="3"/>
        <v>1.1299999999999999</v>
      </c>
      <c r="R471" s="139">
        <f t="shared" si="74"/>
        <v>0</v>
      </c>
      <c r="S471" s="139">
        <f t="shared" si="35"/>
        <v>0.47</v>
      </c>
      <c r="T471" s="139">
        <f t="shared" si="419"/>
        <v>95.48</v>
      </c>
      <c r="U471" s="139">
        <f>ROUND(P471*K$1812,2)</f>
        <v>14.32</v>
      </c>
      <c r="V471" s="139">
        <f t="shared" ref="V471:V476" si="430">ROUND(P471*L$1809,2)</f>
        <v>2.63</v>
      </c>
      <c r="W471" s="139">
        <f t="shared" si="217"/>
        <v>0.1</v>
      </c>
      <c r="X471" s="140">
        <f t="shared" si="9"/>
        <v>113</v>
      </c>
      <c r="Y471" s="141">
        <f>-ROUND(P471+SUM(R471:W471),2)</f>
        <v>-95593</v>
      </c>
      <c r="Z471" s="142">
        <f t="shared" si="402"/>
        <v>-95593</v>
      </c>
      <c r="AA471" s="143">
        <f t="shared" si="47"/>
        <v>0</v>
      </c>
      <c r="AB471" s="133">
        <v>44616</v>
      </c>
      <c r="AC471" s="144">
        <f t="shared" si="12"/>
        <v>1.183E-3</v>
      </c>
      <c r="AD471" s="145">
        <f t="shared" si="13"/>
        <v>44616</v>
      </c>
      <c r="AE471" s="146" t="s">
        <v>403</v>
      </c>
      <c r="AF471" s="119"/>
    </row>
    <row r="472" spans="1:32" ht="12" customHeight="1">
      <c r="A472" s="150">
        <v>44614</v>
      </c>
      <c r="B472" s="151" t="s">
        <v>587</v>
      </c>
      <c r="C472" s="151"/>
      <c r="D472" s="151"/>
      <c r="E472" s="151"/>
      <c r="F472" s="151"/>
      <c r="G472" s="151"/>
      <c r="H472" s="122" t="s">
        <v>446</v>
      </c>
      <c r="I472" s="121" t="s">
        <v>469</v>
      </c>
      <c r="J472" s="122" t="s">
        <v>471</v>
      </c>
      <c r="K472" s="123">
        <v>100</v>
      </c>
      <c r="L472" s="124">
        <v>97.2</v>
      </c>
      <c r="M472" s="125">
        <f t="shared" si="38"/>
        <v>0</v>
      </c>
      <c r="N472" s="125">
        <f t="shared" ref="N472:N475" si="431">L472-M472</f>
        <v>97.2</v>
      </c>
      <c r="O472" s="125"/>
      <c r="P472" s="125">
        <f t="shared" si="2"/>
        <v>9720</v>
      </c>
      <c r="Q472" s="126">
        <f t="shared" si="3"/>
        <v>0.10050000000000001</v>
      </c>
      <c r="R472" s="126">
        <f t="shared" si="74"/>
        <v>0</v>
      </c>
      <c r="S472" s="126">
        <f t="shared" si="35"/>
        <v>0.05</v>
      </c>
      <c r="T472" s="126">
        <f t="shared" si="419"/>
        <v>9.7200000000000006</v>
      </c>
      <c r="U472" s="126">
        <v>0</v>
      </c>
      <c r="V472" s="126">
        <f t="shared" si="430"/>
        <v>0.27</v>
      </c>
      <c r="W472" s="126">
        <f t="shared" si="217"/>
        <v>0.01</v>
      </c>
      <c r="X472" s="126">
        <f t="shared" si="9"/>
        <v>10.050000000000001</v>
      </c>
      <c r="Y472" s="127">
        <f t="shared" ref="Y472:Y475" si="432">ROUND(P472-SUM(R472:W472),2)</f>
        <v>9709.9500000000007</v>
      </c>
      <c r="Z472" s="128">
        <f t="shared" si="402"/>
        <v>9710</v>
      </c>
      <c r="AA472" s="129">
        <f t="shared" si="47"/>
        <v>4.9999999999272404E-2</v>
      </c>
      <c r="AB472" s="120">
        <v>44616</v>
      </c>
      <c r="AC472" s="130">
        <f t="shared" si="12"/>
        <v>1.034E-3</v>
      </c>
      <c r="AD472" s="131">
        <f t="shared" si="13"/>
        <v>44616</v>
      </c>
      <c r="AE472" s="132" t="s">
        <v>403</v>
      </c>
      <c r="AF472" s="119"/>
    </row>
    <row r="473" spans="1:32" ht="12" customHeight="1">
      <c r="A473" s="150">
        <v>44614</v>
      </c>
      <c r="B473" s="151" t="s">
        <v>593</v>
      </c>
      <c r="C473" s="151"/>
      <c r="D473" s="151"/>
      <c r="E473" s="151"/>
      <c r="F473" s="151"/>
      <c r="G473" s="151"/>
      <c r="H473" s="122" t="s">
        <v>446</v>
      </c>
      <c r="I473" s="121" t="s">
        <v>469</v>
      </c>
      <c r="J473" s="122" t="s">
        <v>471</v>
      </c>
      <c r="K473" s="123">
        <v>20</v>
      </c>
      <c r="L473" s="124">
        <v>634</v>
      </c>
      <c r="M473" s="125">
        <f t="shared" si="38"/>
        <v>0</v>
      </c>
      <c r="N473" s="125">
        <f t="shared" si="431"/>
        <v>634</v>
      </c>
      <c r="O473" s="125"/>
      <c r="P473" s="125">
        <f t="shared" si="2"/>
        <v>12680</v>
      </c>
      <c r="Q473" s="126">
        <f t="shared" si="3"/>
        <v>0.65500000000000003</v>
      </c>
      <c r="R473" s="126">
        <f t="shared" si="74"/>
        <v>0</v>
      </c>
      <c r="S473" s="126">
        <f t="shared" si="35"/>
        <v>0.06</v>
      </c>
      <c r="T473" s="126">
        <f t="shared" si="419"/>
        <v>12.68</v>
      </c>
      <c r="U473" s="126">
        <v>0</v>
      </c>
      <c r="V473" s="126">
        <f t="shared" si="430"/>
        <v>0.35</v>
      </c>
      <c r="W473" s="126">
        <f t="shared" si="217"/>
        <v>0.01</v>
      </c>
      <c r="X473" s="126">
        <f t="shared" si="9"/>
        <v>13.1</v>
      </c>
      <c r="Y473" s="127">
        <f t="shared" si="432"/>
        <v>12666.9</v>
      </c>
      <c r="Z473" s="128">
        <f t="shared" si="402"/>
        <v>12667</v>
      </c>
      <c r="AA473" s="129">
        <f t="shared" si="47"/>
        <v>0.1000000000003638</v>
      </c>
      <c r="AB473" s="120">
        <v>44616</v>
      </c>
      <c r="AC473" s="130">
        <f t="shared" si="12"/>
        <v>1.0330000000000001E-3</v>
      </c>
      <c r="AD473" s="131">
        <f t="shared" si="13"/>
        <v>44616</v>
      </c>
      <c r="AE473" s="132" t="s">
        <v>403</v>
      </c>
      <c r="AF473" s="119"/>
    </row>
    <row r="474" spans="1:32" ht="12" customHeight="1">
      <c r="A474" s="150">
        <v>44614</v>
      </c>
      <c r="B474" s="151" t="s">
        <v>591</v>
      </c>
      <c r="C474" s="151"/>
      <c r="D474" s="151"/>
      <c r="E474" s="151"/>
      <c r="F474" s="151"/>
      <c r="G474" s="151"/>
      <c r="H474" s="122" t="s">
        <v>446</v>
      </c>
      <c r="I474" s="121" t="s">
        <v>469</v>
      </c>
      <c r="J474" s="122" t="s">
        <v>471</v>
      </c>
      <c r="K474" s="123">
        <v>50</v>
      </c>
      <c r="L474" s="124">
        <v>367</v>
      </c>
      <c r="M474" s="125">
        <f t="shared" si="38"/>
        <v>0</v>
      </c>
      <c r="N474" s="125">
        <f t="shared" si="431"/>
        <v>367</v>
      </c>
      <c r="O474" s="125"/>
      <c r="P474" s="125">
        <f t="shared" si="2"/>
        <v>18350</v>
      </c>
      <c r="Q474" s="126">
        <f t="shared" si="3"/>
        <v>0.37920000000000004</v>
      </c>
      <c r="R474" s="126">
        <f t="shared" si="74"/>
        <v>0</v>
      </c>
      <c r="S474" s="126">
        <f t="shared" si="35"/>
        <v>0.09</v>
      </c>
      <c r="T474" s="126">
        <f t="shared" si="419"/>
        <v>18.350000000000001</v>
      </c>
      <c r="U474" s="126">
        <v>0</v>
      </c>
      <c r="V474" s="126">
        <f t="shared" si="430"/>
        <v>0.5</v>
      </c>
      <c r="W474" s="126">
        <f t="shared" si="217"/>
        <v>0.02</v>
      </c>
      <c r="X474" s="126">
        <f t="shared" si="9"/>
        <v>18.96</v>
      </c>
      <c r="Y474" s="127">
        <f t="shared" si="432"/>
        <v>18331.04</v>
      </c>
      <c r="Z474" s="128">
        <f t="shared" si="402"/>
        <v>18331</v>
      </c>
      <c r="AA474" s="129">
        <f t="shared" si="47"/>
        <v>-4.0000000000873115E-2</v>
      </c>
      <c r="AB474" s="120">
        <v>44616</v>
      </c>
      <c r="AC474" s="130">
        <f t="shared" si="12"/>
        <v>1.0330000000000001E-3</v>
      </c>
      <c r="AD474" s="131">
        <f t="shared" si="13"/>
        <v>44616</v>
      </c>
      <c r="AE474" s="132" t="s">
        <v>403</v>
      </c>
      <c r="AF474" s="119"/>
    </row>
    <row r="475" spans="1:32" ht="12" customHeight="1">
      <c r="A475" s="150">
        <v>44615</v>
      </c>
      <c r="B475" s="151" t="s">
        <v>575</v>
      </c>
      <c r="C475" s="151"/>
      <c r="D475" s="151"/>
      <c r="E475" s="151"/>
      <c r="F475" s="151"/>
      <c r="G475" s="151"/>
      <c r="H475" s="122" t="s">
        <v>446</v>
      </c>
      <c r="I475" s="121" t="s">
        <v>469</v>
      </c>
      <c r="J475" s="122" t="s">
        <v>448</v>
      </c>
      <c r="K475" s="123">
        <v>10</v>
      </c>
      <c r="L475" s="124">
        <v>980</v>
      </c>
      <c r="M475" s="125">
        <f t="shared" si="38"/>
        <v>0</v>
      </c>
      <c r="N475" s="125">
        <f t="shared" si="431"/>
        <v>980</v>
      </c>
      <c r="O475" s="125"/>
      <c r="P475" s="125">
        <f t="shared" si="2"/>
        <v>9800</v>
      </c>
      <c r="Q475" s="126">
        <f t="shared" si="3"/>
        <v>1.0130000000000001</v>
      </c>
      <c r="R475" s="126">
        <f t="shared" si="74"/>
        <v>0</v>
      </c>
      <c r="S475" s="126">
        <f t="shared" si="35"/>
        <v>0.05</v>
      </c>
      <c r="T475" s="126">
        <f t="shared" si="419"/>
        <v>9.8000000000000007</v>
      </c>
      <c r="U475" s="126">
        <v>0</v>
      </c>
      <c r="V475" s="126">
        <f t="shared" si="430"/>
        <v>0.27</v>
      </c>
      <c r="W475" s="126">
        <f t="shared" si="217"/>
        <v>0.01</v>
      </c>
      <c r="X475" s="126">
        <f t="shared" si="9"/>
        <v>10.130000000000001</v>
      </c>
      <c r="Y475" s="127">
        <f t="shared" si="432"/>
        <v>9789.8700000000008</v>
      </c>
      <c r="Z475" s="128">
        <f t="shared" si="402"/>
        <v>9790</v>
      </c>
      <c r="AA475" s="129">
        <f t="shared" si="47"/>
        <v>0.12999999999919964</v>
      </c>
      <c r="AB475" s="120">
        <v>44617</v>
      </c>
      <c r="AC475" s="130">
        <f t="shared" si="12"/>
        <v>1.034E-3</v>
      </c>
      <c r="AD475" s="131">
        <f t="shared" si="13"/>
        <v>44617</v>
      </c>
      <c r="AE475" s="132" t="s">
        <v>403</v>
      </c>
      <c r="AF475" s="119"/>
    </row>
    <row r="476" spans="1:32" ht="12" customHeight="1">
      <c r="A476" s="148">
        <v>44615</v>
      </c>
      <c r="B476" s="149" t="s">
        <v>591</v>
      </c>
      <c r="C476" s="149"/>
      <c r="D476" s="149"/>
      <c r="E476" s="149"/>
      <c r="F476" s="149"/>
      <c r="G476" s="149"/>
      <c r="H476" s="135" t="s">
        <v>453</v>
      </c>
      <c r="I476" s="134" t="s">
        <v>469</v>
      </c>
      <c r="J476" s="135" t="s">
        <v>471</v>
      </c>
      <c r="K476" s="136">
        <v>50</v>
      </c>
      <c r="L476" s="137">
        <v>365</v>
      </c>
      <c r="M476" s="138">
        <f t="shared" si="38"/>
        <v>0</v>
      </c>
      <c r="N476" s="138">
        <f t="shared" ref="N476:N481" si="433">L476+M476</f>
        <v>365</v>
      </c>
      <c r="O476" s="138"/>
      <c r="P476" s="138">
        <f t="shared" si="2"/>
        <v>18250</v>
      </c>
      <c r="Q476" s="139">
        <f t="shared" si="3"/>
        <v>0.43199999999999994</v>
      </c>
      <c r="R476" s="139">
        <f t="shared" si="74"/>
        <v>0</v>
      </c>
      <c r="S476" s="139">
        <f t="shared" si="35"/>
        <v>0.09</v>
      </c>
      <c r="T476" s="139">
        <f t="shared" si="419"/>
        <v>18.25</v>
      </c>
      <c r="U476" s="139">
        <f t="shared" ref="U476:U481" si="434">ROUND(P476*K$1812,2)</f>
        <v>2.74</v>
      </c>
      <c r="V476" s="139">
        <f t="shared" si="430"/>
        <v>0.5</v>
      </c>
      <c r="W476" s="139">
        <f t="shared" si="217"/>
        <v>0.02</v>
      </c>
      <c r="X476" s="140">
        <f t="shared" si="9"/>
        <v>21.599999999999998</v>
      </c>
      <c r="Y476" s="141">
        <f t="shared" ref="Y476:Y481" si="435">-ROUND(P476+SUM(R476:W476),2)</f>
        <v>-18271.599999999999</v>
      </c>
      <c r="Z476" s="142">
        <f t="shared" si="402"/>
        <v>-18272</v>
      </c>
      <c r="AA476" s="143">
        <f t="shared" si="47"/>
        <v>-0.40000000000145519</v>
      </c>
      <c r="AB476" s="133">
        <v>44617</v>
      </c>
      <c r="AC476" s="144">
        <f t="shared" si="12"/>
        <v>1.1839999999999999E-3</v>
      </c>
      <c r="AD476" s="145">
        <f t="shared" si="13"/>
        <v>44617</v>
      </c>
      <c r="AE476" s="146" t="s">
        <v>403</v>
      </c>
      <c r="AF476" s="119"/>
    </row>
    <row r="477" spans="1:32" ht="12" customHeight="1">
      <c r="A477" s="148">
        <v>44615</v>
      </c>
      <c r="B477" s="149" t="s">
        <v>479</v>
      </c>
      <c r="C477" s="149"/>
      <c r="D477" s="149"/>
      <c r="E477" s="149"/>
      <c r="F477" s="149"/>
      <c r="G477" s="149"/>
      <c r="H477" s="135" t="s">
        <v>453</v>
      </c>
      <c r="I477" s="134" t="s">
        <v>469</v>
      </c>
      <c r="J477" s="135" t="s">
        <v>471</v>
      </c>
      <c r="K477" s="136">
        <v>10</v>
      </c>
      <c r="L477" s="137">
        <v>500</v>
      </c>
      <c r="M477" s="138">
        <f t="shared" si="38"/>
        <v>0</v>
      </c>
      <c r="N477" s="138">
        <f t="shared" si="433"/>
        <v>500</v>
      </c>
      <c r="O477" s="138"/>
      <c r="P477" s="138">
        <f t="shared" si="2"/>
        <v>5000</v>
      </c>
      <c r="Q477" s="139">
        <f t="shared" si="3"/>
        <v>0.59599999999999997</v>
      </c>
      <c r="R477" s="139">
        <f t="shared" si="74"/>
        <v>0</v>
      </c>
      <c r="S477" s="139">
        <f t="shared" si="35"/>
        <v>0.03</v>
      </c>
      <c r="T477" s="139">
        <f t="shared" si="419"/>
        <v>5</v>
      </c>
      <c r="U477" s="139">
        <f t="shared" si="434"/>
        <v>0.75</v>
      </c>
      <c r="V477" s="139">
        <f>ROUND(P477*M$1809,2)</f>
        <v>0.17</v>
      </c>
      <c r="W477" s="139">
        <f t="shared" si="217"/>
        <v>0.01</v>
      </c>
      <c r="X477" s="140">
        <f t="shared" si="9"/>
        <v>5.96</v>
      </c>
      <c r="Y477" s="141">
        <f t="shared" si="435"/>
        <v>-5005.96</v>
      </c>
      <c r="Z477" s="142">
        <f t="shared" si="402"/>
        <v>-5006</v>
      </c>
      <c r="AA477" s="143">
        <f t="shared" si="47"/>
        <v>-3.999999999996362E-2</v>
      </c>
      <c r="AB477" s="133">
        <v>44617</v>
      </c>
      <c r="AC477" s="144">
        <f t="shared" si="12"/>
        <v>1.1919999999999999E-3</v>
      </c>
      <c r="AD477" s="145">
        <f t="shared" si="13"/>
        <v>44617</v>
      </c>
      <c r="AE477" s="146" t="s">
        <v>403</v>
      </c>
      <c r="AF477" s="119"/>
    </row>
    <row r="478" spans="1:32" ht="12" customHeight="1">
      <c r="A478" s="148">
        <v>44260</v>
      </c>
      <c r="B478" s="149" t="s">
        <v>595</v>
      </c>
      <c r="C478" s="149"/>
      <c r="D478" s="149"/>
      <c r="E478" s="149"/>
      <c r="F478" s="149"/>
      <c r="G478" s="149"/>
      <c r="H478" s="135" t="s">
        <v>453</v>
      </c>
      <c r="I478" s="134" t="s">
        <v>469</v>
      </c>
      <c r="J478" s="135" t="s">
        <v>448</v>
      </c>
      <c r="K478" s="136">
        <v>400</v>
      </c>
      <c r="L478" s="137">
        <v>39.71</v>
      </c>
      <c r="M478" s="138">
        <f t="shared" si="38"/>
        <v>0</v>
      </c>
      <c r="N478" s="138">
        <f t="shared" si="433"/>
        <v>39.71</v>
      </c>
      <c r="O478" s="138"/>
      <c r="P478" s="138">
        <f t="shared" si="2"/>
        <v>15884</v>
      </c>
      <c r="Q478" s="139">
        <f t="shared" si="3"/>
        <v>7.3000000000000001E-3</v>
      </c>
      <c r="R478" s="139">
        <f t="shared" si="74"/>
        <v>0</v>
      </c>
      <c r="S478" s="139">
        <f t="shared" si="35"/>
        <v>0.08</v>
      </c>
      <c r="T478" s="139">
        <f>ROUND(P478*K$1806,2)-15.88</f>
        <v>0</v>
      </c>
      <c r="U478" s="139">
        <f t="shared" si="434"/>
        <v>2.38</v>
      </c>
      <c r="V478" s="139">
        <f t="shared" ref="V478:V493" si="436">ROUND(P478*L$1809,2)</f>
        <v>0.44</v>
      </c>
      <c r="W478" s="139">
        <f t="shared" si="217"/>
        <v>0.02</v>
      </c>
      <c r="X478" s="140">
        <f t="shared" si="9"/>
        <v>2.92</v>
      </c>
      <c r="Y478" s="141">
        <f t="shared" si="435"/>
        <v>-15886.92</v>
      </c>
      <c r="Z478" s="142">
        <f t="shared" si="402"/>
        <v>-15887</v>
      </c>
      <c r="AA478" s="143">
        <f t="shared" si="47"/>
        <v>-7.999999999992724E-2</v>
      </c>
      <c r="AB478" s="133">
        <v>44438</v>
      </c>
      <c r="AC478" s="144">
        <f t="shared" si="12"/>
        <v>1.84E-4</v>
      </c>
      <c r="AD478" s="145">
        <f t="shared" si="13"/>
        <v>44438</v>
      </c>
      <c r="AE478" s="146" t="s">
        <v>403</v>
      </c>
      <c r="AF478" s="119"/>
    </row>
    <row r="479" spans="1:32" ht="12" customHeight="1">
      <c r="A479" s="148">
        <v>44368</v>
      </c>
      <c r="B479" s="149" t="s">
        <v>595</v>
      </c>
      <c r="C479" s="149"/>
      <c r="D479" s="149"/>
      <c r="E479" s="149"/>
      <c r="F479" s="149"/>
      <c r="G479" s="149"/>
      <c r="H479" s="135" t="s">
        <v>453</v>
      </c>
      <c r="I479" s="134" t="s">
        <v>469</v>
      </c>
      <c r="J479" s="135" t="s">
        <v>448</v>
      </c>
      <c r="K479" s="136">
        <v>1600</v>
      </c>
      <c r="L479" s="137">
        <v>41.95</v>
      </c>
      <c r="M479" s="138">
        <f t="shared" si="38"/>
        <v>0</v>
      </c>
      <c r="N479" s="138">
        <f t="shared" si="433"/>
        <v>41.95</v>
      </c>
      <c r="O479" s="138"/>
      <c r="P479" s="138">
        <f t="shared" si="2"/>
        <v>67120</v>
      </c>
      <c r="Q479" s="139">
        <f t="shared" si="3"/>
        <v>7.7000000000000002E-3</v>
      </c>
      <c r="R479" s="139">
        <f t="shared" si="74"/>
        <v>0</v>
      </c>
      <c r="S479" s="139">
        <f t="shared" si="35"/>
        <v>0.33</v>
      </c>
      <c r="T479" s="139">
        <f>ROUND(P479*K$1806,2)-67.12</f>
        <v>0</v>
      </c>
      <c r="U479" s="139">
        <f t="shared" si="434"/>
        <v>10.07</v>
      </c>
      <c r="V479" s="139">
        <f t="shared" si="436"/>
        <v>1.85</v>
      </c>
      <c r="W479" s="139">
        <f t="shared" si="217"/>
        <v>7.0000000000000007E-2</v>
      </c>
      <c r="X479" s="140">
        <f t="shared" si="9"/>
        <v>12.32</v>
      </c>
      <c r="Y479" s="141">
        <f t="shared" si="435"/>
        <v>-67132.320000000007</v>
      </c>
      <c r="Z479" s="142">
        <f t="shared" si="402"/>
        <v>-67132</v>
      </c>
      <c r="AA479" s="143">
        <f t="shared" si="47"/>
        <v>0.32000000000698492</v>
      </c>
      <c r="AB479" s="133">
        <v>44370</v>
      </c>
      <c r="AC479" s="144">
        <f t="shared" si="12"/>
        <v>1.84E-4</v>
      </c>
      <c r="AD479" s="145">
        <f t="shared" si="13"/>
        <v>44370</v>
      </c>
      <c r="AE479" s="146" t="s">
        <v>403</v>
      </c>
      <c r="AF479" s="119"/>
    </row>
    <row r="480" spans="1:32" ht="12" customHeight="1">
      <c r="A480" s="148">
        <v>44433</v>
      </c>
      <c r="B480" s="149" t="s">
        <v>595</v>
      </c>
      <c r="C480" s="149"/>
      <c r="D480" s="149"/>
      <c r="E480" s="149"/>
      <c r="F480" s="149"/>
      <c r="G480" s="149"/>
      <c r="H480" s="135" t="s">
        <v>453</v>
      </c>
      <c r="I480" s="134" t="s">
        <v>469</v>
      </c>
      <c r="J480" s="135" t="s">
        <v>448</v>
      </c>
      <c r="K480" s="136">
        <v>500</v>
      </c>
      <c r="L480" s="137">
        <v>42.1</v>
      </c>
      <c r="M480" s="138">
        <f t="shared" si="38"/>
        <v>0</v>
      </c>
      <c r="N480" s="138">
        <f t="shared" si="433"/>
        <v>42.1</v>
      </c>
      <c r="O480" s="138"/>
      <c r="P480" s="138">
        <f t="shared" si="2"/>
        <v>21050</v>
      </c>
      <c r="Q480" s="139">
        <f t="shared" si="3"/>
        <v>7.7200000000000003E-3</v>
      </c>
      <c r="R480" s="139">
        <f t="shared" si="74"/>
        <v>0</v>
      </c>
      <c r="S480" s="139">
        <f t="shared" si="35"/>
        <v>0.1</v>
      </c>
      <c r="T480" s="139">
        <f>ROUND(P480*K$1806,2)-21.05</f>
        <v>0</v>
      </c>
      <c r="U480" s="139">
        <f t="shared" si="434"/>
        <v>3.16</v>
      </c>
      <c r="V480" s="139">
        <f t="shared" si="436"/>
        <v>0.57999999999999996</v>
      </c>
      <c r="W480" s="139">
        <f t="shared" si="217"/>
        <v>0.02</v>
      </c>
      <c r="X480" s="140">
        <f t="shared" si="9"/>
        <v>3.8600000000000003</v>
      </c>
      <c r="Y480" s="141">
        <f t="shared" si="435"/>
        <v>-21053.86</v>
      </c>
      <c r="Z480" s="142">
        <f t="shared" si="402"/>
        <v>-21054</v>
      </c>
      <c r="AA480" s="143">
        <f t="shared" si="47"/>
        <v>-0.13999999999941792</v>
      </c>
      <c r="AB480" s="133">
        <v>44435</v>
      </c>
      <c r="AC480" s="144">
        <f t="shared" si="12"/>
        <v>1.83E-4</v>
      </c>
      <c r="AD480" s="145">
        <f t="shared" si="13"/>
        <v>44435</v>
      </c>
      <c r="AE480" s="146" t="s">
        <v>403</v>
      </c>
      <c r="AF480" s="119"/>
    </row>
    <row r="481" spans="1:32" ht="12" customHeight="1">
      <c r="A481" s="148">
        <v>44434</v>
      </c>
      <c r="B481" s="149" t="s">
        <v>595</v>
      </c>
      <c r="C481" s="149"/>
      <c r="D481" s="149"/>
      <c r="E481" s="149"/>
      <c r="F481" s="149"/>
      <c r="G481" s="149"/>
      <c r="H481" s="135" t="s">
        <v>453</v>
      </c>
      <c r="I481" s="134" t="s">
        <v>469</v>
      </c>
      <c r="J481" s="135" t="s">
        <v>448</v>
      </c>
      <c r="K481" s="136">
        <v>400</v>
      </c>
      <c r="L481" s="137">
        <v>41.85</v>
      </c>
      <c r="M481" s="138">
        <f t="shared" si="38"/>
        <v>0</v>
      </c>
      <c r="N481" s="138">
        <f t="shared" si="433"/>
        <v>41.85</v>
      </c>
      <c r="O481" s="138"/>
      <c r="P481" s="138">
        <f t="shared" si="2"/>
        <v>16740</v>
      </c>
      <c r="Q481" s="139">
        <f t="shared" si="3"/>
        <v>7.6749999999999995E-3</v>
      </c>
      <c r="R481" s="139">
        <f t="shared" si="74"/>
        <v>0</v>
      </c>
      <c r="S481" s="139">
        <f t="shared" si="35"/>
        <v>0.08</v>
      </c>
      <c r="T481" s="139">
        <f>ROUND(P481*K$1806,2)-16.74</f>
        <v>0</v>
      </c>
      <c r="U481" s="139">
        <f t="shared" si="434"/>
        <v>2.5099999999999998</v>
      </c>
      <c r="V481" s="139">
        <f t="shared" si="436"/>
        <v>0.46</v>
      </c>
      <c r="W481" s="139">
        <f t="shared" si="217"/>
        <v>0.02</v>
      </c>
      <c r="X481" s="140">
        <f t="shared" si="9"/>
        <v>3.07</v>
      </c>
      <c r="Y481" s="141">
        <f t="shared" si="435"/>
        <v>-16743.07</v>
      </c>
      <c r="Z481" s="142">
        <f t="shared" si="402"/>
        <v>-16743</v>
      </c>
      <c r="AA481" s="143">
        <f t="shared" si="47"/>
        <v>6.9999999999708962E-2</v>
      </c>
      <c r="AB481" s="133">
        <v>44438</v>
      </c>
      <c r="AC481" s="144">
        <f t="shared" si="12"/>
        <v>1.83E-4</v>
      </c>
      <c r="AD481" s="145">
        <f t="shared" si="13"/>
        <v>44438</v>
      </c>
      <c r="AE481" s="146" t="s">
        <v>403</v>
      </c>
      <c r="AF481" s="119"/>
    </row>
    <row r="482" spans="1:32" ht="12" customHeight="1">
      <c r="A482" s="150">
        <v>44616</v>
      </c>
      <c r="B482" s="151" t="s">
        <v>595</v>
      </c>
      <c r="C482" s="151"/>
      <c r="D482" s="151"/>
      <c r="E482" s="151"/>
      <c r="F482" s="151"/>
      <c r="G482" s="151"/>
      <c r="H482" s="122" t="s">
        <v>446</v>
      </c>
      <c r="I482" s="121" t="s">
        <v>469</v>
      </c>
      <c r="J482" s="122" t="s">
        <v>448</v>
      </c>
      <c r="K482" s="123">
        <v>1500</v>
      </c>
      <c r="L482" s="124">
        <v>45.58</v>
      </c>
      <c r="M482" s="125">
        <f t="shared" si="38"/>
        <v>0</v>
      </c>
      <c r="N482" s="125">
        <f>L482-M482</f>
        <v>45.58</v>
      </c>
      <c r="O482" s="125"/>
      <c r="P482" s="125">
        <f t="shared" si="2"/>
        <v>68370</v>
      </c>
      <c r="Q482" s="126">
        <f t="shared" si="3"/>
        <v>1.5266666666666664E-3</v>
      </c>
      <c r="R482" s="126">
        <f t="shared" si="74"/>
        <v>0</v>
      </c>
      <c r="S482" s="126">
        <f t="shared" si="35"/>
        <v>0.34</v>
      </c>
      <c r="T482" s="126">
        <f>ROUND(P482*K$1806,2)-68.37</f>
        <v>0</v>
      </c>
      <c r="U482" s="126">
        <v>0</v>
      </c>
      <c r="V482" s="126">
        <f t="shared" si="436"/>
        <v>1.88</v>
      </c>
      <c r="W482" s="126">
        <f t="shared" si="217"/>
        <v>7.0000000000000007E-2</v>
      </c>
      <c r="X482" s="126">
        <f t="shared" si="9"/>
        <v>2.2899999999999996</v>
      </c>
      <c r="Y482" s="127">
        <f>ROUND(P482-SUM(R482:W482),2)</f>
        <v>68367.710000000006</v>
      </c>
      <c r="Z482" s="128">
        <f t="shared" si="402"/>
        <v>68368</v>
      </c>
      <c r="AA482" s="129">
        <f t="shared" si="47"/>
        <v>0.28999999999359716</v>
      </c>
      <c r="AB482" s="120">
        <v>44620</v>
      </c>
      <c r="AC482" s="130">
        <f t="shared" si="12"/>
        <v>3.3000000000000003E-5</v>
      </c>
      <c r="AD482" s="131">
        <f t="shared" si="13"/>
        <v>44620</v>
      </c>
      <c r="AE482" s="132" t="s">
        <v>403</v>
      </c>
      <c r="AF482" s="119"/>
    </row>
    <row r="483" spans="1:32" ht="12" customHeight="1">
      <c r="A483" s="148">
        <v>44616</v>
      </c>
      <c r="B483" s="149" t="s">
        <v>575</v>
      </c>
      <c r="C483" s="149"/>
      <c r="D483" s="149"/>
      <c r="E483" s="149"/>
      <c r="F483" s="149"/>
      <c r="G483" s="149"/>
      <c r="H483" s="135" t="s">
        <v>453</v>
      </c>
      <c r="I483" s="134" t="s">
        <v>469</v>
      </c>
      <c r="J483" s="135" t="s">
        <v>448</v>
      </c>
      <c r="K483" s="136">
        <v>10</v>
      </c>
      <c r="L483" s="137">
        <v>950</v>
      </c>
      <c r="M483" s="138">
        <f t="shared" si="38"/>
        <v>0</v>
      </c>
      <c r="N483" s="138">
        <f t="shared" ref="N483:N488" si="437">L483+M483</f>
        <v>950</v>
      </c>
      <c r="O483" s="138"/>
      <c r="P483" s="138">
        <f t="shared" si="2"/>
        <v>9500</v>
      </c>
      <c r="Q483" s="139">
        <f t="shared" si="3"/>
        <v>1.125</v>
      </c>
      <c r="R483" s="139">
        <f t="shared" si="74"/>
        <v>0</v>
      </c>
      <c r="S483" s="139">
        <f t="shared" si="35"/>
        <v>0.05</v>
      </c>
      <c r="T483" s="139">
        <f t="shared" ref="T483:T487" si="438">ROUND(P483*K$1806,2)</f>
        <v>9.5</v>
      </c>
      <c r="U483" s="139">
        <f t="shared" ref="U483:U488" si="439">ROUND(P483*K$1812,2)</f>
        <v>1.43</v>
      </c>
      <c r="V483" s="139">
        <f t="shared" si="436"/>
        <v>0.26</v>
      </c>
      <c r="W483" s="139">
        <f t="shared" si="217"/>
        <v>0.01</v>
      </c>
      <c r="X483" s="140">
        <f t="shared" si="9"/>
        <v>11.25</v>
      </c>
      <c r="Y483" s="141">
        <f t="shared" ref="Y483:Y488" si="440">-ROUND(P483+SUM(R483:W483),2)</f>
        <v>-9511.25</v>
      </c>
      <c r="Z483" s="142">
        <f t="shared" si="402"/>
        <v>-9511</v>
      </c>
      <c r="AA483" s="143">
        <f t="shared" si="47"/>
        <v>0.25</v>
      </c>
      <c r="AB483" s="133">
        <v>44620</v>
      </c>
      <c r="AC483" s="144">
        <f t="shared" si="12"/>
        <v>1.1839999999999999E-3</v>
      </c>
      <c r="AD483" s="145">
        <f t="shared" si="13"/>
        <v>44620</v>
      </c>
      <c r="AE483" s="146" t="s">
        <v>403</v>
      </c>
      <c r="AF483" s="119"/>
    </row>
    <row r="484" spans="1:32" ht="12" customHeight="1">
      <c r="A484" s="148">
        <v>44616</v>
      </c>
      <c r="B484" s="149" t="s">
        <v>593</v>
      </c>
      <c r="C484" s="149"/>
      <c r="D484" s="149"/>
      <c r="E484" s="149"/>
      <c r="F484" s="149"/>
      <c r="G484" s="149"/>
      <c r="H484" s="135" t="s">
        <v>453</v>
      </c>
      <c r="I484" s="134" t="s">
        <v>469</v>
      </c>
      <c r="J484" s="135" t="s">
        <v>471</v>
      </c>
      <c r="K484" s="136">
        <v>20</v>
      </c>
      <c r="L484" s="137">
        <v>625.5</v>
      </c>
      <c r="M484" s="138">
        <f t="shared" si="38"/>
        <v>0</v>
      </c>
      <c r="N484" s="138">
        <f t="shared" si="437"/>
        <v>625.5</v>
      </c>
      <c r="O484" s="138"/>
      <c r="P484" s="138">
        <f t="shared" si="2"/>
        <v>12510</v>
      </c>
      <c r="Q484" s="139">
        <f t="shared" si="3"/>
        <v>0.74</v>
      </c>
      <c r="R484" s="139">
        <f t="shared" si="74"/>
        <v>0</v>
      </c>
      <c r="S484" s="139">
        <f t="shared" si="35"/>
        <v>0.06</v>
      </c>
      <c r="T484" s="139">
        <f t="shared" si="438"/>
        <v>12.51</v>
      </c>
      <c r="U484" s="139">
        <f t="shared" si="439"/>
        <v>1.88</v>
      </c>
      <c r="V484" s="139">
        <f t="shared" si="436"/>
        <v>0.34</v>
      </c>
      <c r="W484" s="139">
        <f t="shared" si="217"/>
        <v>0.01</v>
      </c>
      <c r="X484" s="140">
        <f t="shared" si="9"/>
        <v>14.799999999999999</v>
      </c>
      <c r="Y484" s="141">
        <f t="shared" si="440"/>
        <v>-12524.8</v>
      </c>
      <c r="Z484" s="142">
        <f t="shared" si="402"/>
        <v>-12525</v>
      </c>
      <c r="AA484" s="143">
        <f t="shared" si="47"/>
        <v>-0.2000000000007276</v>
      </c>
      <c r="AB484" s="133">
        <v>44620</v>
      </c>
      <c r="AC484" s="144">
        <f t="shared" si="12"/>
        <v>1.183E-3</v>
      </c>
      <c r="AD484" s="145">
        <f t="shared" si="13"/>
        <v>44620</v>
      </c>
      <c r="AE484" s="146" t="s">
        <v>403</v>
      </c>
      <c r="AF484" s="119"/>
    </row>
    <row r="485" spans="1:32" ht="12" customHeight="1">
      <c r="A485" s="148">
        <v>44616</v>
      </c>
      <c r="B485" s="149" t="s">
        <v>513</v>
      </c>
      <c r="C485" s="149"/>
      <c r="D485" s="149"/>
      <c r="E485" s="149"/>
      <c r="F485" s="149"/>
      <c r="G485" s="149"/>
      <c r="H485" s="135" t="s">
        <v>453</v>
      </c>
      <c r="I485" s="134" t="s">
        <v>469</v>
      </c>
      <c r="J485" s="135" t="s">
        <v>471</v>
      </c>
      <c r="K485" s="136">
        <v>10</v>
      </c>
      <c r="L485" s="137">
        <v>345</v>
      </c>
      <c r="M485" s="138">
        <f t="shared" si="38"/>
        <v>0</v>
      </c>
      <c r="N485" s="138">
        <f t="shared" si="437"/>
        <v>345</v>
      </c>
      <c r="O485" s="138"/>
      <c r="P485" s="138">
        <f t="shared" si="2"/>
        <v>3450</v>
      </c>
      <c r="Q485" s="139">
        <f t="shared" si="3"/>
        <v>0.40800000000000003</v>
      </c>
      <c r="R485" s="139">
        <f t="shared" si="74"/>
        <v>0</v>
      </c>
      <c r="S485" s="139">
        <f t="shared" si="35"/>
        <v>0.02</v>
      </c>
      <c r="T485" s="139">
        <f t="shared" si="438"/>
        <v>3.45</v>
      </c>
      <c r="U485" s="139">
        <f t="shared" si="439"/>
        <v>0.52</v>
      </c>
      <c r="V485" s="139">
        <f t="shared" si="436"/>
        <v>0.09</v>
      </c>
      <c r="W485" s="139">
        <f t="shared" si="217"/>
        <v>0</v>
      </c>
      <c r="X485" s="140">
        <f t="shared" si="9"/>
        <v>4.08</v>
      </c>
      <c r="Y485" s="141">
        <f t="shared" si="440"/>
        <v>-3454.08</v>
      </c>
      <c r="Z485" s="142">
        <f t="shared" si="402"/>
        <v>-3454</v>
      </c>
      <c r="AA485" s="143">
        <f t="shared" si="47"/>
        <v>7.999999999992724E-2</v>
      </c>
      <c r="AB485" s="133">
        <v>44620</v>
      </c>
      <c r="AC485" s="144">
        <f t="shared" si="12"/>
        <v>1.183E-3</v>
      </c>
      <c r="AD485" s="145">
        <f t="shared" si="13"/>
        <v>44620</v>
      </c>
      <c r="AE485" s="146" t="s">
        <v>403</v>
      </c>
      <c r="AF485" s="119"/>
    </row>
    <row r="486" spans="1:32" ht="12" customHeight="1">
      <c r="A486" s="148">
        <v>44616</v>
      </c>
      <c r="B486" s="149" t="s">
        <v>587</v>
      </c>
      <c r="C486" s="149"/>
      <c r="D486" s="149"/>
      <c r="E486" s="149"/>
      <c r="F486" s="149"/>
      <c r="G486" s="149"/>
      <c r="H486" s="135" t="s">
        <v>453</v>
      </c>
      <c r="I486" s="134" t="s">
        <v>469</v>
      </c>
      <c r="J486" s="135" t="s">
        <v>471</v>
      </c>
      <c r="K486" s="136">
        <v>50</v>
      </c>
      <c r="L486" s="137">
        <v>96</v>
      </c>
      <c r="M486" s="138">
        <f t="shared" si="38"/>
        <v>0</v>
      </c>
      <c r="N486" s="138">
        <f t="shared" si="437"/>
        <v>96</v>
      </c>
      <c r="O486" s="138"/>
      <c r="P486" s="138">
        <f t="shared" si="2"/>
        <v>4800</v>
      </c>
      <c r="Q486" s="139">
        <f t="shared" si="3"/>
        <v>0.11339999999999999</v>
      </c>
      <c r="R486" s="139">
        <f t="shared" si="74"/>
        <v>0</v>
      </c>
      <c r="S486" s="139">
        <f t="shared" si="35"/>
        <v>0.02</v>
      </c>
      <c r="T486" s="139">
        <f t="shared" si="438"/>
        <v>4.8</v>
      </c>
      <c r="U486" s="139">
        <f t="shared" si="439"/>
        <v>0.72</v>
      </c>
      <c r="V486" s="139">
        <f t="shared" si="436"/>
        <v>0.13</v>
      </c>
      <c r="W486" s="139">
        <f t="shared" si="217"/>
        <v>0</v>
      </c>
      <c r="X486" s="140">
        <f t="shared" si="9"/>
        <v>5.669999999999999</v>
      </c>
      <c r="Y486" s="141">
        <f t="shared" si="440"/>
        <v>-4805.67</v>
      </c>
      <c r="Z486" s="142">
        <f t="shared" si="402"/>
        <v>-4806</v>
      </c>
      <c r="AA486" s="143">
        <f t="shared" si="47"/>
        <v>-0.32999999999992724</v>
      </c>
      <c r="AB486" s="133">
        <v>44620</v>
      </c>
      <c r="AC486" s="144">
        <f t="shared" si="12"/>
        <v>1.181E-3</v>
      </c>
      <c r="AD486" s="145">
        <f t="shared" si="13"/>
        <v>44620</v>
      </c>
      <c r="AE486" s="146" t="s">
        <v>403</v>
      </c>
      <c r="AF486" s="119"/>
    </row>
    <row r="487" spans="1:32" ht="12" customHeight="1">
      <c r="A487" s="148">
        <v>44616</v>
      </c>
      <c r="B487" s="149" t="s">
        <v>591</v>
      </c>
      <c r="C487" s="149"/>
      <c r="D487" s="149"/>
      <c r="E487" s="149"/>
      <c r="F487" s="149"/>
      <c r="G487" s="149"/>
      <c r="H487" s="135" t="s">
        <v>453</v>
      </c>
      <c r="I487" s="134" t="s">
        <v>469</v>
      </c>
      <c r="J487" s="135" t="s">
        <v>471</v>
      </c>
      <c r="K487" s="136">
        <v>25</v>
      </c>
      <c r="L487" s="137">
        <v>343</v>
      </c>
      <c r="M487" s="138">
        <f t="shared" si="38"/>
        <v>0</v>
      </c>
      <c r="N487" s="138">
        <f t="shared" si="437"/>
        <v>343</v>
      </c>
      <c r="O487" s="138"/>
      <c r="P487" s="138">
        <f t="shared" si="2"/>
        <v>8575</v>
      </c>
      <c r="Q487" s="139">
        <f t="shared" si="3"/>
        <v>0.40639999999999998</v>
      </c>
      <c r="R487" s="139">
        <f t="shared" si="74"/>
        <v>0</v>
      </c>
      <c r="S487" s="139">
        <f t="shared" si="35"/>
        <v>0.04</v>
      </c>
      <c r="T487" s="139">
        <f t="shared" si="438"/>
        <v>8.58</v>
      </c>
      <c r="U487" s="139">
        <f t="shared" si="439"/>
        <v>1.29</v>
      </c>
      <c r="V487" s="139">
        <f t="shared" si="436"/>
        <v>0.24</v>
      </c>
      <c r="W487" s="139">
        <f t="shared" si="217"/>
        <v>0.01</v>
      </c>
      <c r="X487" s="140">
        <f t="shared" si="9"/>
        <v>10.16</v>
      </c>
      <c r="Y487" s="141">
        <f t="shared" si="440"/>
        <v>-8585.16</v>
      </c>
      <c r="Z487" s="142">
        <f t="shared" si="402"/>
        <v>-8585</v>
      </c>
      <c r="AA487" s="143">
        <f t="shared" si="47"/>
        <v>0.15999999999985448</v>
      </c>
      <c r="AB487" s="133">
        <v>44620</v>
      </c>
      <c r="AC487" s="144">
        <f t="shared" si="12"/>
        <v>1.1850000000000001E-3</v>
      </c>
      <c r="AD487" s="145">
        <f t="shared" si="13"/>
        <v>44620</v>
      </c>
      <c r="AE487" s="146" t="s">
        <v>403</v>
      </c>
      <c r="AF487" s="119"/>
    </row>
    <row r="488" spans="1:32" ht="12" customHeight="1">
      <c r="A488" s="148">
        <v>44617</v>
      </c>
      <c r="B488" s="149" t="s">
        <v>595</v>
      </c>
      <c r="C488" s="149"/>
      <c r="D488" s="149"/>
      <c r="E488" s="149"/>
      <c r="F488" s="149"/>
      <c r="G488" s="149"/>
      <c r="H488" s="135" t="s">
        <v>453</v>
      </c>
      <c r="I488" s="134" t="s">
        <v>469</v>
      </c>
      <c r="J488" s="135" t="s">
        <v>448</v>
      </c>
      <c r="K488" s="136">
        <v>1500</v>
      </c>
      <c r="L488" s="137">
        <v>45.01</v>
      </c>
      <c r="M488" s="138">
        <f t="shared" si="38"/>
        <v>0</v>
      </c>
      <c r="N488" s="138">
        <f t="shared" si="437"/>
        <v>45.01</v>
      </c>
      <c r="O488" s="138"/>
      <c r="P488" s="138">
        <f t="shared" si="2"/>
        <v>67515</v>
      </c>
      <c r="Q488" s="139">
        <f t="shared" si="3"/>
        <v>8.26E-3</v>
      </c>
      <c r="R488" s="139">
        <f t="shared" si="74"/>
        <v>0</v>
      </c>
      <c r="S488" s="139">
        <f t="shared" si="35"/>
        <v>0.33</v>
      </c>
      <c r="T488" s="139">
        <f>ROUND(P488*K$1806,2)-67.52</f>
        <v>0</v>
      </c>
      <c r="U488" s="139">
        <f t="shared" si="439"/>
        <v>10.130000000000001</v>
      </c>
      <c r="V488" s="139">
        <f t="shared" si="436"/>
        <v>1.86</v>
      </c>
      <c r="W488" s="139">
        <f t="shared" si="217"/>
        <v>7.0000000000000007E-2</v>
      </c>
      <c r="X488" s="140">
        <f t="shared" si="9"/>
        <v>12.39</v>
      </c>
      <c r="Y488" s="141">
        <f t="shared" si="440"/>
        <v>-67527.39</v>
      </c>
      <c r="Z488" s="142">
        <f t="shared" si="402"/>
        <v>-67527</v>
      </c>
      <c r="AA488" s="143">
        <f t="shared" si="47"/>
        <v>0.38999999999941792</v>
      </c>
      <c r="AB488" s="133">
        <v>44622</v>
      </c>
      <c r="AC488" s="144">
        <f t="shared" si="12"/>
        <v>1.84E-4</v>
      </c>
      <c r="AD488" s="145">
        <f t="shared" si="13"/>
        <v>44622</v>
      </c>
      <c r="AE488" s="146" t="s">
        <v>403</v>
      </c>
      <c r="AF488" s="119"/>
    </row>
    <row r="489" spans="1:32" ht="12" customHeight="1">
      <c r="A489" s="150">
        <v>44617</v>
      </c>
      <c r="B489" s="151" t="s">
        <v>575</v>
      </c>
      <c r="C489" s="151"/>
      <c r="D489" s="151"/>
      <c r="E489" s="151"/>
      <c r="F489" s="151"/>
      <c r="G489" s="151"/>
      <c r="H489" s="122" t="s">
        <v>446</v>
      </c>
      <c r="I489" s="121" t="s">
        <v>469</v>
      </c>
      <c r="J489" s="122" t="s">
        <v>448</v>
      </c>
      <c r="K489" s="123">
        <v>10</v>
      </c>
      <c r="L489" s="124">
        <v>984</v>
      </c>
      <c r="M489" s="125">
        <f t="shared" si="38"/>
        <v>0</v>
      </c>
      <c r="N489" s="125">
        <f>L489-M489</f>
        <v>984</v>
      </c>
      <c r="O489" s="125"/>
      <c r="P489" s="125">
        <f t="shared" si="2"/>
        <v>9840</v>
      </c>
      <c r="Q489" s="126">
        <f t="shared" si="3"/>
        <v>1.0169999999999999</v>
      </c>
      <c r="R489" s="126">
        <f t="shared" si="74"/>
        <v>0</v>
      </c>
      <c r="S489" s="126">
        <f t="shared" si="35"/>
        <v>0.05</v>
      </c>
      <c r="T489" s="126">
        <f t="shared" ref="T489:T490" si="441">ROUND(P489*K$1806,2)</f>
        <v>9.84</v>
      </c>
      <c r="U489" s="126">
        <v>0</v>
      </c>
      <c r="V489" s="126">
        <f t="shared" si="436"/>
        <v>0.27</v>
      </c>
      <c r="W489" s="126">
        <f t="shared" si="217"/>
        <v>0.01</v>
      </c>
      <c r="X489" s="126">
        <f t="shared" si="9"/>
        <v>10.17</v>
      </c>
      <c r="Y489" s="127">
        <f>ROUND(P489-SUM(R489:W489),2)</f>
        <v>9829.83</v>
      </c>
      <c r="Z489" s="128">
        <f t="shared" si="402"/>
        <v>9830</v>
      </c>
      <c r="AA489" s="129">
        <f t="shared" si="47"/>
        <v>0.17000000000007276</v>
      </c>
      <c r="AB489" s="120">
        <v>44622</v>
      </c>
      <c r="AC489" s="130">
        <f t="shared" si="12"/>
        <v>1.034E-3</v>
      </c>
      <c r="AD489" s="131">
        <f t="shared" si="13"/>
        <v>44622</v>
      </c>
      <c r="AE489" s="132" t="s">
        <v>403</v>
      </c>
      <c r="AF489" s="119"/>
    </row>
    <row r="490" spans="1:32" ht="12" customHeight="1">
      <c r="A490" s="148">
        <v>44620</v>
      </c>
      <c r="B490" s="149" t="s">
        <v>575</v>
      </c>
      <c r="C490" s="149"/>
      <c r="D490" s="149"/>
      <c r="E490" s="149"/>
      <c r="F490" s="149"/>
      <c r="G490" s="149"/>
      <c r="H490" s="135" t="s">
        <v>453</v>
      </c>
      <c r="I490" s="134" t="s">
        <v>469</v>
      </c>
      <c r="J490" s="135" t="s">
        <v>448</v>
      </c>
      <c r="K490" s="136">
        <v>10</v>
      </c>
      <c r="L490" s="137">
        <v>974</v>
      </c>
      <c r="M490" s="138">
        <f t="shared" si="38"/>
        <v>0</v>
      </c>
      <c r="N490" s="138">
        <f>L490+M490</f>
        <v>974</v>
      </c>
      <c r="O490" s="138"/>
      <c r="P490" s="138">
        <f t="shared" si="2"/>
        <v>9740</v>
      </c>
      <c r="Q490" s="139">
        <f t="shared" si="3"/>
        <v>1.0529999999999999</v>
      </c>
      <c r="R490" s="139">
        <f t="shared" si="74"/>
        <v>0</v>
      </c>
      <c r="S490" s="139">
        <f t="shared" si="35"/>
        <v>0.05</v>
      </c>
      <c r="T490" s="139">
        <f t="shared" si="441"/>
        <v>9.74</v>
      </c>
      <c r="U490" s="139">
        <f>ROUND(P490*K$1812,2)-1</f>
        <v>0.45999999999999996</v>
      </c>
      <c r="V490" s="139">
        <f t="shared" si="436"/>
        <v>0.27</v>
      </c>
      <c r="W490" s="139">
        <f t="shared" si="217"/>
        <v>0.01</v>
      </c>
      <c r="X490" s="140">
        <f t="shared" si="9"/>
        <v>10.53</v>
      </c>
      <c r="Y490" s="141">
        <f>-ROUND(P490+SUM(R490:W490),2)</f>
        <v>-9750.5300000000007</v>
      </c>
      <c r="Z490" s="142">
        <f t="shared" si="402"/>
        <v>-9751</v>
      </c>
      <c r="AA490" s="143">
        <f t="shared" si="47"/>
        <v>-0.46999999999934516</v>
      </c>
      <c r="AB490" s="133">
        <v>44623</v>
      </c>
      <c r="AC490" s="144">
        <f t="shared" si="12"/>
        <v>1.0809999999999999E-3</v>
      </c>
      <c r="AD490" s="145">
        <f t="shared" si="13"/>
        <v>44623</v>
      </c>
      <c r="AE490" s="146" t="s">
        <v>403</v>
      </c>
      <c r="AF490" s="119"/>
    </row>
    <row r="491" spans="1:32" ht="12" customHeight="1">
      <c r="A491" s="150">
        <v>44620</v>
      </c>
      <c r="B491" s="151" t="s">
        <v>575</v>
      </c>
      <c r="C491" s="151"/>
      <c r="D491" s="151"/>
      <c r="E491" s="151"/>
      <c r="F491" s="151"/>
      <c r="G491" s="151"/>
      <c r="H491" s="122" t="s">
        <v>446</v>
      </c>
      <c r="I491" s="121" t="s">
        <v>469</v>
      </c>
      <c r="J491" s="122" t="s">
        <v>448</v>
      </c>
      <c r="K491" s="123">
        <v>31</v>
      </c>
      <c r="L491" s="124">
        <v>1031.8710000000001</v>
      </c>
      <c r="M491" s="125">
        <f t="shared" si="38"/>
        <v>0</v>
      </c>
      <c r="N491" s="125">
        <f t="shared" ref="N491:N495" si="442">L491-M491</f>
        <v>1031.8710000000001</v>
      </c>
      <c r="O491" s="125"/>
      <c r="P491" s="125">
        <f t="shared" si="2"/>
        <v>31988</v>
      </c>
      <c r="Q491" s="126">
        <f t="shared" si="3"/>
        <v>0.51806451612903226</v>
      </c>
      <c r="R491" s="126">
        <f t="shared" si="74"/>
        <v>0</v>
      </c>
      <c r="S491" s="126">
        <f t="shared" si="35"/>
        <v>0.16</v>
      </c>
      <c r="T491" s="126">
        <f>ROUND(P491*K$1806,2)-17</f>
        <v>14.989999999999998</v>
      </c>
      <c r="U491" s="126">
        <v>0</v>
      </c>
      <c r="V491" s="126">
        <f t="shared" si="436"/>
        <v>0.88</v>
      </c>
      <c r="W491" s="126">
        <f t="shared" si="217"/>
        <v>0.03</v>
      </c>
      <c r="X491" s="126">
        <f t="shared" si="9"/>
        <v>16.059999999999999</v>
      </c>
      <c r="Y491" s="127">
        <f t="shared" ref="Y491:Y495" si="443">ROUND(P491-SUM(R491:W491),2)</f>
        <v>31971.94</v>
      </c>
      <c r="Z491" s="128">
        <f t="shared" si="402"/>
        <v>31972</v>
      </c>
      <c r="AA491" s="129">
        <f t="shared" si="47"/>
        <v>6.0000000001309672E-2</v>
      </c>
      <c r="AB491" s="120">
        <v>44623</v>
      </c>
      <c r="AC491" s="130">
        <f t="shared" si="12"/>
        <v>5.0199999999999995E-4</v>
      </c>
      <c r="AD491" s="131">
        <f t="shared" si="13"/>
        <v>44623</v>
      </c>
      <c r="AE491" s="132" t="s">
        <v>403</v>
      </c>
      <c r="AF491" s="119"/>
    </row>
    <row r="492" spans="1:32" ht="12" customHeight="1">
      <c r="A492" s="150">
        <v>44620</v>
      </c>
      <c r="B492" s="151" t="s">
        <v>513</v>
      </c>
      <c r="C492" s="151"/>
      <c r="D492" s="151"/>
      <c r="E492" s="151"/>
      <c r="F492" s="151"/>
      <c r="G492" s="151"/>
      <c r="H492" s="122" t="s">
        <v>446</v>
      </c>
      <c r="I492" s="121" t="s">
        <v>469</v>
      </c>
      <c r="J492" s="122" t="s">
        <v>471</v>
      </c>
      <c r="K492" s="123">
        <v>10</v>
      </c>
      <c r="L492" s="124">
        <v>348.35</v>
      </c>
      <c r="M492" s="125">
        <f t="shared" si="38"/>
        <v>0</v>
      </c>
      <c r="N492" s="125">
        <f t="shared" si="442"/>
        <v>348.35</v>
      </c>
      <c r="O492" s="125"/>
      <c r="P492" s="125">
        <f t="shared" si="2"/>
        <v>3483.5</v>
      </c>
      <c r="Q492" s="126">
        <f t="shared" si="3"/>
        <v>0.36</v>
      </c>
      <c r="R492" s="126">
        <f t="shared" si="74"/>
        <v>0</v>
      </c>
      <c r="S492" s="126">
        <f t="shared" si="35"/>
        <v>0.02</v>
      </c>
      <c r="T492" s="126">
        <f t="shared" ref="T492:T497" si="444">ROUND(P492*K$1806,2)</f>
        <v>3.48</v>
      </c>
      <c r="U492" s="126">
        <v>0</v>
      </c>
      <c r="V492" s="126">
        <f t="shared" si="436"/>
        <v>0.1</v>
      </c>
      <c r="W492" s="126">
        <f t="shared" si="217"/>
        <v>0</v>
      </c>
      <c r="X492" s="126">
        <f t="shared" si="9"/>
        <v>3.6</v>
      </c>
      <c r="Y492" s="127">
        <f t="shared" si="443"/>
        <v>3479.9</v>
      </c>
      <c r="Z492" s="128">
        <f t="shared" si="402"/>
        <v>3480</v>
      </c>
      <c r="AA492" s="129">
        <f t="shared" si="47"/>
        <v>9.9999999999909051E-2</v>
      </c>
      <c r="AB492" s="120">
        <v>44623</v>
      </c>
      <c r="AC492" s="130">
        <f t="shared" si="12"/>
        <v>1.0330000000000001E-3</v>
      </c>
      <c r="AD492" s="131">
        <f t="shared" si="13"/>
        <v>44623</v>
      </c>
      <c r="AE492" s="132" t="s">
        <v>403</v>
      </c>
      <c r="AF492" s="119"/>
    </row>
    <row r="493" spans="1:32" ht="12" customHeight="1">
      <c r="A493" s="150">
        <v>44620</v>
      </c>
      <c r="B493" s="151" t="s">
        <v>587</v>
      </c>
      <c r="C493" s="151"/>
      <c r="D493" s="151"/>
      <c r="E493" s="151"/>
      <c r="F493" s="151"/>
      <c r="G493" s="151"/>
      <c r="H493" s="122" t="s">
        <v>446</v>
      </c>
      <c r="I493" s="121" t="s">
        <v>469</v>
      </c>
      <c r="J493" s="122" t="s">
        <v>471</v>
      </c>
      <c r="K493" s="123">
        <v>50</v>
      </c>
      <c r="L493" s="124">
        <v>96.75</v>
      </c>
      <c r="M493" s="125">
        <f t="shared" si="38"/>
        <v>0</v>
      </c>
      <c r="N493" s="125">
        <f t="shared" si="442"/>
        <v>96.75</v>
      </c>
      <c r="O493" s="125"/>
      <c r="P493" s="125">
        <f t="shared" si="2"/>
        <v>4837.5</v>
      </c>
      <c r="Q493" s="126">
        <f t="shared" si="3"/>
        <v>9.9799999999999986E-2</v>
      </c>
      <c r="R493" s="126">
        <f t="shared" si="74"/>
        <v>0</v>
      </c>
      <c r="S493" s="126">
        <f t="shared" si="35"/>
        <v>0.02</v>
      </c>
      <c r="T493" s="126">
        <f t="shared" si="444"/>
        <v>4.84</v>
      </c>
      <c r="U493" s="126">
        <v>0</v>
      </c>
      <c r="V493" s="126">
        <f t="shared" si="436"/>
        <v>0.13</v>
      </c>
      <c r="W493" s="126">
        <f t="shared" si="217"/>
        <v>0</v>
      </c>
      <c r="X493" s="126">
        <f t="shared" si="9"/>
        <v>4.9899999999999993</v>
      </c>
      <c r="Y493" s="127">
        <f t="shared" si="443"/>
        <v>4832.51</v>
      </c>
      <c r="Z493" s="128">
        <f t="shared" si="402"/>
        <v>4833</v>
      </c>
      <c r="AA493" s="129">
        <f t="shared" si="47"/>
        <v>0.48999999999978172</v>
      </c>
      <c r="AB493" s="120">
        <v>44623</v>
      </c>
      <c r="AC493" s="130">
        <f t="shared" si="12"/>
        <v>1.0319999999999999E-3</v>
      </c>
      <c r="AD493" s="131">
        <f t="shared" si="13"/>
        <v>44623</v>
      </c>
      <c r="AE493" s="132" t="s">
        <v>403</v>
      </c>
      <c r="AF493" s="119"/>
    </row>
    <row r="494" spans="1:32" ht="12" customHeight="1">
      <c r="A494" s="150">
        <v>44622</v>
      </c>
      <c r="B494" s="151" t="s">
        <v>591</v>
      </c>
      <c r="C494" s="151"/>
      <c r="D494" s="151"/>
      <c r="E494" s="151"/>
      <c r="F494" s="151"/>
      <c r="G494" s="151"/>
      <c r="H494" s="122" t="s">
        <v>446</v>
      </c>
      <c r="I494" s="121" t="s">
        <v>469</v>
      </c>
      <c r="J494" s="122" t="s">
        <v>471</v>
      </c>
      <c r="K494" s="123">
        <v>25</v>
      </c>
      <c r="L494" s="124">
        <v>346</v>
      </c>
      <c r="M494" s="125">
        <f t="shared" si="38"/>
        <v>0</v>
      </c>
      <c r="N494" s="125">
        <f t="shared" si="442"/>
        <v>346</v>
      </c>
      <c r="O494" s="125"/>
      <c r="P494" s="125">
        <f t="shared" si="2"/>
        <v>8650</v>
      </c>
      <c r="Q494" s="126">
        <f t="shared" si="3"/>
        <v>0.36040000000000005</v>
      </c>
      <c r="R494" s="126">
        <f t="shared" si="74"/>
        <v>0</v>
      </c>
      <c r="S494" s="126">
        <f t="shared" si="35"/>
        <v>0.05</v>
      </c>
      <c r="T494" s="126">
        <f t="shared" si="444"/>
        <v>8.65</v>
      </c>
      <c r="U494" s="126">
        <v>0</v>
      </c>
      <c r="V494" s="126">
        <f t="shared" ref="V494:V495" si="445">ROUND(P494*M$1809,2)</f>
        <v>0.3</v>
      </c>
      <c r="W494" s="126">
        <f t="shared" si="217"/>
        <v>0.01</v>
      </c>
      <c r="X494" s="126">
        <f t="shared" si="9"/>
        <v>9.0100000000000016</v>
      </c>
      <c r="Y494" s="127">
        <f t="shared" si="443"/>
        <v>8640.99</v>
      </c>
      <c r="Z494" s="128">
        <f t="shared" si="402"/>
        <v>8641</v>
      </c>
      <c r="AA494" s="129">
        <f t="shared" si="47"/>
        <v>1.0000000000218279E-2</v>
      </c>
      <c r="AB494" s="120">
        <v>44624</v>
      </c>
      <c r="AC494" s="130">
        <f t="shared" si="12"/>
        <v>1.042E-3</v>
      </c>
      <c r="AD494" s="131">
        <f t="shared" si="13"/>
        <v>44624</v>
      </c>
      <c r="AE494" s="132" t="s">
        <v>403</v>
      </c>
      <c r="AF494" s="119"/>
    </row>
    <row r="495" spans="1:32" ht="12" customHeight="1">
      <c r="A495" s="150">
        <v>44622</v>
      </c>
      <c r="B495" s="151" t="s">
        <v>590</v>
      </c>
      <c r="C495" s="151"/>
      <c r="D495" s="151"/>
      <c r="E495" s="151"/>
      <c r="F495" s="151"/>
      <c r="G495" s="151"/>
      <c r="H495" s="122" t="s">
        <v>446</v>
      </c>
      <c r="I495" s="121" t="s">
        <v>469</v>
      </c>
      <c r="J495" s="122" t="s">
        <v>471</v>
      </c>
      <c r="K495" s="123">
        <v>10</v>
      </c>
      <c r="L495" s="124">
        <v>1295</v>
      </c>
      <c r="M495" s="125">
        <f t="shared" si="38"/>
        <v>0</v>
      </c>
      <c r="N495" s="125">
        <f t="shared" si="442"/>
        <v>1295</v>
      </c>
      <c r="O495" s="125"/>
      <c r="P495" s="125">
        <f t="shared" si="2"/>
        <v>12950</v>
      </c>
      <c r="Q495" s="126">
        <f t="shared" si="3"/>
        <v>1.3489999999999998</v>
      </c>
      <c r="R495" s="126">
        <f t="shared" si="74"/>
        <v>0</v>
      </c>
      <c r="S495" s="126">
        <f t="shared" si="35"/>
        <v>0.08</v>
      </c>
      <c r="T495" s="126">
        <f t="shared" si="444"/>
        <v>12.95</v>
      </c>
      <c r="U495" s="126">
        <v>0</v>
      </c>
      <c r="V495" s="126">
        <f t="shared" si="445"/>
        <v>0.45</v>
      </c>
      <c r="W495" s="126">
        <f t="shared" si="217"/>
        <v>0.01</v>
      </c>
      <c r="X495" s="126">
        <f t="shared" si="9"/>
        <v>13.489999999999998</v>
      </c>
      <c r="Y495" s="127">
        <f t="shared" si="443"/>
        <v>12936.51</v>
      </c>
      <c r="Z495" s="128">
        <f t="shared" si="402"/>
        <v>12937</v>
      </c>
      <c r="AA495" s="129">
        <f t="shared" si="47"/>
        <v>0.48999999999978172</v>
      </c>
      <c r="AB495" s="120">
        <v>44624</v>
      </c>
      <c r="AC495" s="130">
        <f t="shared" si="12"/>
        <v>1.042E-3</v>
      </c>
      <c r="AD495" s="131">
        <f t="shared" si="13"/>
        <v>44624</v>
      </c>
      <c r="AE495" s="132" t="s">
        <v>403</v>
      </c>
      <c r="AF495" s="119"/>
    </row>
    <row r="496" spans="1:32" ht="12" customHeight="1">
      <c r="A496" s="148">
        <v>44624</v>
      </c>
      <c r="B496" s="149" t="s">
        <v>575</v>
      </c>
      <c r="C496" s="149"/>
      <c r="D496" s="149"/>
      <c r="E496" s="149"/>
      <c r="F496" s="149"/>
      <c r="G496" s="149"/>
      <c r="H496" s="135" t="s">
        <v>453</v>
      </c>
      <c r="I496" s="134" t="s">
        <v>469</v>
      </c>
      <c r="J496" s="135" t="s">
        <v>448</v>
      </c>
      <c r="K496" s="136">
        <v>20</v>
      </c>
      <c r="L496" s="137">
        <v>1035.5</v>
      </c>
      <c r="M496" s="138">
        <f t="shared" si="38"/>
        <v>0</v>
      </c>
      <c r="N496" s="138">
        <f t="shared" ref="N496:N497" si="446">L496+M496</f>
        <v>1035.5</v>
      </c>
      <c r="O496" s="138"/>
      <c r="P496" s="138">
        <f t="shared" si="2"/>
        <v>20710</v>
      </c>
      <c r="Q496" s="139">
        <f t="shared" si="3"/>
        <v>1.2255</v>
      </c>
      <c r="R496" s="139">
        <f t="shared" si="74"/>
        <v>0</v>
      </c>
      <c r="S496" s="139">
        <f t="shared" si="35"/>
        <v>0.1</v>
      </c>
      <c r="T496" s="139">
        <f t="shared" si="444"/>
        <v>20.71</v>
      </c>
      <c r="U496" s="139">
        <f t="shared" ref="U496:U497" si="447">ROUND(P496*K$1812,2)</f>
        <v>3.11</v>
      </c>
      <c r="V496" s="139">
        <f t="shared" ref="V496:V520" si="448">ROUND(P496*L$1809,2)</f>
        <v>0.56999999999999995</v>
      </c>
      <c r="W496" s="139">
        <f t="shared" si="217"/>
        <v>0.02</v>
      </c>
      <c r="X496" s="140">
        <f t="shared" si="9"/>
        <v>24.51</v>
      </c>
      <c r="Y496" s="141">
        <f t="shared" ref="Y496:Y497" si="449">-ROUND(P496+SUM(R496:W496),2)</f>
        <v>-20734.509999999998</v>
      </c>
      <c r="Z496" s="142">
        <f t="shared" si="402"/>
        <v>-20735</v>
      </c>
      <c r="AA496" s="143">
        <f t="shared" si="47"/>
        <v>-0.49000000000160071</v>
      </c>
      <c r="AB496" s="133">
        <v>44628</v>
      </c>
      <c r="AC496" s="144">
        <f t="shared" si="12"/>
        <v>1.183E-3</v>
      </c>
      <c r="AD496" s="145">
        <f t="shared" si="13"/>
        <v>44628</v>
      </c>
      <c r="AE496" s="146" t="s">
        <v>403</v>
      </c>
      <c r="AF496" s="119"/>
    </row>
    <row r="497" spans="1:32" ht="12" customHeight="1">
      <c r="A497" s="148">
        <v>44627</v>
      </c>
      <c r="B497" s="149" t="s">
        <v>575</v>
      </c>
      <c r="C497" s="149"/>
      <c r="D497" s="149"/>
      <c r="E497" s="149"/>
      <c r="F497" s="149"/>
      <c r="G497" s="149"/>
      <c r="H497" s="135" t="s">
        <v>453</v>
      </c>
      <c r="I497" s="134" t="s">
        <v>469</v>
      </c>
      <c r="J497" s="135" t="s">
        <v>448</v>
      </c>
      <c r="K497" s="136">
        <v>30</v>
      </c>
      <c r="L497" s="137">
        <v>983.83330000000001</v>
      </c>
      <c r="M497" s="138">
        <f t="shared" si="38"/>
        <v>0</v>
      </c>
      <c r="N497" s="138">
        <f t="shared" si="446"/>
        <v>983.83330000000001</v>
      </c>
      <c r="O497" s="138"/>
      <c r="P497" s="138">
        <f t="shared" si="2"/>
        <v>29515</v>
      </c>
      <c r="Q497" s="139">
        <f t="shared" si="3"/>
        <v>1.1646666666666665</v>
      </c>
      <c r="R497" s="139">
        <f t="shared" si="74"/>
        <v>0</v>
      </c>
      <c r="S497" s="139">
        <f t="shared" si="35"/>
        <v>0.15</v>
      </c>
      <c r="T497" s="139">
        <f t="shared" si="444"/>
        <v>29.52</v>
      </c>
      <c r="U497" s="139">
        <f t="shared" si="447"/>
        <v>4.43</v>
      </c>
      <c r="V497" s="139">
        <f t="shared" si="448"/>
        <v>0.81</v>
      </c>
      <c r="W497" s="139">
        <f t="shared" si="217"/>
        <v>0.03</v>
      </c>
      <c r="X497" s="140">
        <f t="shared" si="9"/>
        <v>34.94</v>
      </c>
      <c r="Y497" s="141">
        <f t="shared" si="449"/>
        <v>-29549.94</v>
      </c>
      <c r="Z497" s="142">
        <f t="shared" si="402"/>
        <v>-29550</v>
      </c>
      <c r="AA497" s="143">
        <f t="shared" si="47"/>
        <v>-6.0000000001309672E-2</v>
      </c>
      <c r="AB497" s="133">
        <v>44629</v>
      </c>
      <c r="AC497" s="144">
        <f t="shared" si="12"/>
        <v>1.1839999999999999E-3</v>
      </c>
      <c r="AD497" s="145">
        <f t="shared" si="13"/>
        <v>44629</v>
      </c>
      <c r="AE497" s="146" t="s">
        <v>403</v>
      </c>
      <c r="AF497" s="119"/>
    </row>
    <row r="498" spans="1:32" ht="12" customHeight="1">
      <c r="A498" s="150">
        <v>44627</v>
      </c>
      <c r="B498" s="151" t="s">
        <v>595</v>
      </c>
      <c r="C498" s="151"/>
      <c r="D498" s="151"/>
      <c r="E498" s="151"/>
      <c r="F498" s="151"/>
      <c r="G498" s="151"/>
      <c r="H498" s="122" t="s">
        <v>446</v>
      </c>
      <c r="I498" s="121" t="s">
        <v>469</v>
      </c>
      <c r="J498" s="122" t="s">
        <v>448</v>
      </c>
      <c r="K498" s="123">
        <v>1500</v>
      </c>
      <c r="L498" s="124">
        <v>46.82</v>
      </c>
      <c r="M498" s="125">
        <f t="shared" si="38"/>
        <v>0</v>
      </c>
      <c r="N498" s="125">
        <f>L498-M498</f>
        <v>46.82</v>
      </c>
      <c r="O498" s="125"/>
      <c r="P498" s="125">
        <f t="shared" si="2"/>
        <v>70230</v>
      </c>
      <c r="Q498" s="126">
        <f t="shared" si="3"/>
        <v>1.5666666666666665E-3</v>
      </c>
      <c r="R498" s="126">
        <f t="shared" si="74"/>
        <v>0</v>
      </c>
      <c r="S498" s="126">
        <f t="shared" si="35"/>
        <v>0.35</v>
      </c>
      <c r="T498" s="126">
        <f>ROUND(P498*K$1806,2)-70.23</f>
        <v>0</v>
      </c>
      <c r="U498" s="126">
        <v>0</v>
      </c>
      <c r="V498" s="126">
        <f t="shared" si="448"/>
        <v>1.93</v>
      </c>
      <c r="W498" s="126">
        <f t="shared" si="217"/>
        <v>7.0000000000000007E-2</v>
      </c>
      <c r="X498" s="126">
        <f t="shared" si="9"/>
        <v>2.3499999999999996</v>
      </c>
      <c r="Y498" s="127">
        <f>ROUND(P498-SUM(R498:W498),2)</f>
        <v>70227.649999999994</v>
      </c>
      <c r="Z498" s="128">
        <f t="shared" si="402"/>
        <v>70228</v>
      </c>
      <c r="AA498" s="129">
        <f t="shared" si="47"/>
        <v>0.35000000000582077</v>
      </c>
      <c r="AB498" s="120">
        <v>44629</v>
      </c>
      <c r="AC498" s="130">
        <f t="shared" si="12"/>
        <v>3.3000000000000003E-5</v>
      </c>
      <c r="AD498" s="131">
        <f t="shared" si="13"/>
        <v>44629</v>
      </c>
      <c r="AE498" s="132" t="s">
        <v>403</v>
      </c>
      <c r="AF498" s="119"/>
    </row>
    <row r="499" spans="1:32" ht="12" customHeight="1">
      <c r="A499" s="148">
        <v>44628</v>
      </c>
      <c r="B499" s="149" t="s">
        <v>479</v>
      </c>
      <c r="C499" s="149"/>
      <c r="D499" s="149"/>
      <c r="E499" s="149"/>
      <c r="F499" s="149"/>
      <c r="G499" s="149"/>
      <c r="H499" s="135" t="s">
        <v>453</v>
      </c>
      <c r="I499" s="134" t="s">
        <v>469</v>
      </c>
      <c r="J499" s="135" t="s">
        <v>471</v>
      </c>
      <c r="K499" s="136">
        <v>75</v>
      </c>
      <c r="L499" s="137">
        <v>434.35</v>
      </c>
      <c r="M499" s="138">
        <f t="shared" si="38"/>
        <v>0</v>
      </c>
      <c r="N499" s="138">
        <f t="shared" ref="N499:N500" si="450">L499+M499</f>
        <v>434.35</v>
      </c>
      <c r="O499" s="138"/>
      <c r="P499" s="138">
        <f t="shared" si="2"/>
        <v>32576.25</v>
      </c>
      <c r="Q499" s="139">
        <f t="shared" si="3"/>
        <v>0.51413333333333322</v>
      </c>
      <c r="R499" s="139">
        <f t="shared" si="74"/>
        <v>0</v>
      </c>
      <c r="S499" s="139">
        <f t="shared" si="35"/>
        <v>0.16</v>
      </c>
      <c r="T499" s="139">
        <f>ROUND(P499*K$1806,2)</f>
        <v>32.58</v>
      </c>
      <c r="U499" s="139">
        <f t="shared" ref="U499:U500" si="451">ROUND(P499*K$1812,2)</f>
        <v>4.8899999999999997</v>
      </c>
      <c r="V499" s="139">
        <f t="shared" si="448"/>
        <v>0.9</v>
      </c>
      <c r="W499" s="139">
        <f t="shared" si="217"/>
        <v>0.03</v>
      </c>
      <c r="X499" s="140">
        <f t="shared" si="9"/>
        <v>38.559999999999995</v>
      </c>
      <c r="Y499" s="141">
        <f t="shared" ref="Y499:Y500" si="452">-ROUND(P499+SUM(R499:W499),2)</f>
        <v>-32614.81</v>
      </c>
      <c r="Z499" s="142">
        <f t="shared" si="402"/>
        <v>-32615</v>
      </c>
      <c r="AA499" s="143">
        <f t="shared" si="47"/>
        <v>-0.18999999999869033</v>
      </c>
      <c r="AB499" s="133">
        <v>44630</v>
      </c>
      <c r="AC499" s="144">
        <f t="shared" si="12"/>
        <v>1.1839999999999999E-3</v>
      </c>
      <c r="AD499" s="145">
        <f t="shared" si="13"/>
        <v>44630</v>
      </c>
      <c r="AE499" s="146" t="s">
        <v>403</v>
      </c>
      <c r="AF499" s="119"/>
    </row>
    <row r="500" spans="1:32" ht="12" customHeight="1">
      <c r="A500" s="148">
        <v>44629</v>
      </c>
      <c r="B500" s="149" t="s">
        <v>595</v>
      </c>
      <c r="C500" s="149"/>
      <c r="D500" s="149"/>
      <c r="E500" s="149"/>
      <c r="F500" s="149"/>
      <c r="G500" s="149"/>
      <c r="H500" s="135" t="s">
        <v>446</v>
      </c>
      <c r="I500" s="134" t="s">
        <v>469</v>
      </c>
      <c r="J500" s="135" t="s">
        <v>448</v>
      </c>
      <c r="K500" s="136">
        <v>1</v>
      </c>
      <c r="L500" s="137">
        <v>46.35</v>
      </c>
      <c r="M500" s="138">
        <f t="shared" si="38"/>
        <v>0</v>
      </c>
      <c r="N500" s="138">
        <f t="shared" si="450"/>
        <v>46.35</v>
      </c>
      <c r="O500" s="138"/>
      <c r="P500" s="138">
        <f t="shared" si="2"/>
        <v>46.35</v>
      </c>
      <c r="Q500" s="139">
        <f t="shared" si="3"/>
        <v>0.01</v>
      </c>
      <c r="R500" s="139">
        <f t="shared" si="74"/>
        <v>0</v>
      </c>
      <c r="S500" s="139">
        <f t="shared" si="35"/>
        <v>0</v>
      </c>
      <c r="T500" s="139">
        <f>ROUND(P500*K$1806,2)-0.05</f>
        <v>0</v>
      </c>
      <c r="U500" s="139">
        <f t="shared" si="451"/>
        <v>0.01</v>
      </c>
      <c r="V500" s="139">
        <f t="shared" si="448"/>
        <v>0</v>
      </c>
      <c r="W500" s="139">
        <f t="shared" si="217"/>
        <v>0</v>
      </c>
      <c r="X500" s="140">
        <f t="shared" si="9"/>
        <v>0.01</v>
      </c>
      <c r="Y500" s="141">
        <f t="shared" si="452"/>
        <v>-46.36</v>
      </c>
      <c r="Z500" s="142">
        <f t="shared" si="402"/>
        <v>-46</v>
      </c>
      <c r="AA500" s="143">
        <f t="shared" si="47"/>
        <v>0.35999999999999943</v>
      </c>
      <c r="AB500" s="133">
        <v>44631</v>
      </c>
      <c r="AC500" s="144">
        <f t="shared" si="12"/>
        <v>2.1599999999999999E-4</v>
      </c>
      <c r="AD500" s="145">
        <f t="shared" si="13"/>
        <v>44631</v>
      </c>
      <c r="AE500" s="146" t="s">
        <v>403</v>
      </c>
      <c r="AF500" s="119"/>
    </row>
    <row r="501" spans="1:32" ht="12" customHeight="1">
      <c r="A501" s="150">
        <v>44629</v>
      </c>
      <c r="B501" s="151" t="s">
        <v>575</v>
      </c>
      <c r="C501" s="151"/>
      <c r="D501" s="151"/>
      <c r="E501" s="151"/>
      <c r="F501" s="151"/>
      <c r="G501" s="151"/>
      <c r="H501" s="122" t="s">
        <v>446</v>
      </c>
      <c r="I501" s="121" t="s">
        <v>469</v>
      </c>
      <c r="J501" s="122" t="s">
        <v>448</v>
      </c>
      <c r="K501" s="123">
        <v>20</v>
      </c>
      <c r="L501" s="124">
        <v>993</v>
      </c>
      <c r="M501" s="125">
        <f t="shared" si="38"/>
        <v>0</v>
      </c>
      <c r="N501" s="125">
        <f>L501-M501</f>
        <v>993</v>
      </c>
      <c r="O501" s="125"/>
      <c r="P501" s="125">
        <f t="shared" si="2"/>
        <v>19860</v>
      </c>
      <c r="Q501" s="126">
        <f t="shared" si="3"/>
        <v>1.0265</v>
      </c>
      <c r="R501" s="126">
        <f t="shared" si="74"/>
        <v>0</v>
      </c>
      <c r="S501" s="126">
        <f t="shared" si="35"/>
        <v>0.1</v>
      </c>
      <c r="T501" s="126">
        <f>ROUND(P501*K$1806,2)</f>
        <v>19.86</v>
      </c>
      <c r="U501" s="126">
        <v>0</v>
      </c>
      <c r="V501" s="126">
        <f t="shared" si="448"/>
        <v>0.55000000000000004</v>
      </c>
      <c r="W501" s="126">
        <f t="shared" si="217"/>
        <v>0.02</v>
      </c>
      <c r="X501" s="126">
        <f t="shared" si="9"/>
        <v>20.53</v>
      </c>
      <c r="Y501" s="127">
        <f>ROUND(P501-SUM(R501:W501),2)</f>
        <v>19839.47</v>
      </c>
      <c r="Z501" s="128">
        <f t="shared" si="402"/>
        <v>19839</v>
      </c>
      <c r="AA501" s="129">
        <f t="shared" si="47"/>
        <v>-0.47000000000116415</v>
      </c>
      <c r="AB501" s="120">
        <v>44631</v>
      </c>
      <c r="AC501" s="130">
        <f t="shared" si="12"/>
        <v>1.034E-3</v>
      </c>
      <c r="AD501" s="131">
        <f t="shared" si="13"/>
        <v>44631</v>
      </c>
      <c r="AE501" s="132" t="s">
        <v>403</v>
      </c>
      <c r="AF501" s="119"/>
    </row>
    <row r="502" spans="1:32" ht="12" customHeight="1">
      <c r="A502" s="148">
        <v>44630</v>
      </c>
      <c r="B502" s="149" t="s">
        <v>595</v>
      </c>
      <c r="C502" s="149"/>
      <c r="D502" s="149"/>
      <c r="E502" s="149"/>
      <c r="F502" s="149"/>
      <c r="G502" s="149"/>
      <c r="H502" s="135" t="s">
        <v>446</v>
      </c>
      <c r="I502" s="134" t="s">
        <v>469</v>
      </c>
      <c r="J502" s="135" t="s">
        <v>448</v>
      </c>
      <c r="K502" s="136">
        <v>1500</v>
      </c>
      <c r="L502" s="137">
        <v>45.4833</v>
      </c>
      <c r="M502" s="138">
        <f t="shared" si="38"/>
        <v>0</v>
      </c>
      <c r="N502" s="138">
        <f>L502+M502</f>
        <v>45.4833</v>
      </c>
      <c r="O502" s="138"/>
      <c r="P502" s="138">
        <f t="shared" si="2"/>
        <v>68224.95</v>
      </c>
      <c r="Q502" s="139">
        <f t="shared" si="3"/>
        <v>8.3466666666666672E-3</v>
      </c>
      <c r="R502" s="139">
        <f t="shared" si="74"/>
        <v>0</v>
      </c>
      <c r="S502" s="139">
        <f t="shared" si="35"/>
        <v>0.34</v>
      </c>
      <c r="T502" s="139">
        <f>ROUND(P502*K$1806,2)-68.22</f>
        <v>0</v>
      </c>
      <c r="U502" s="139">
        <f>ROUND(P502*K$1812,2)</f>
        <v>10.23</v>
      </c>
      <c r="V502" s="139">
        <f t="shared" si="448"/>
        <v>1.88</v>
      </c>
      <c r="W502" s="139">
        <f t="shared" si="217"/>
        <v>7.0000000000000007E-2</v>
      </c>
      <c r="X502" s="140">
        <f t="shared" si="9"/>
        <v>12.52</v>
      </c>
      <c r="Y502" s="141">
        <f>-ROUND(P502+SUM(R502:W502),2)</f>
        <v>-68237.47</v>
      </c>
      <c r="Z502" s="142">
        <f t="shared" si="402"/>
        <v>-68237</v>
      </c>
      <c r="AA502" s="143">
        <f t="shared" si="47"/>
        <v>0.47000000000116415</v>
      </c>
      <c r="AB502" s="133">
        <v>44634</v>
      </c>
      <c r="AC502" s="144">
        <f t="shared" si="12"/>
        <v>1.84E-4</v>
      </c>
      <c r="AD502" s="145">
        <f t="shared" si="13"/>
        <v>44634</v>
      </c>
      <c r="AE502" s="146" t="s">
        <v>403</v>
      </c>
      <c r="AF502" s="119"/>
    </row>
    <row r="503" spans="1:32" ht="12" customHeight="1">
      <c r="A503" s="150">
        <v>44634</v>
      </c>
      <c r="B503" s="151" t="s">
        <v>575</v>
      </c>
      <c r="C503" s="151"/>
      <c r="D503" s="151"/>
      <c r="E503" s="151"/>
      <c r="F503" s="151"/>
      <c r="G503" s="151"/>
      <c r="H503" s="122" t="s">
        <v>446</v>
      </c>
      <c r="I503" s="121" t="s">
        <v>469</v>
      </c>
      <c r="J503" s="122" t="s">
        <v>448</v>
      </c>
      <c r="K503" s="123">
        <v>30</v>
      </c>
      <c r="L503" s="124">
        <v>1057</v>
      </c>
      <c r="M503" s="125">
        <f t="shared" si="38"/>
        <v>0</v>
      </c>
      <c r="N503" s="125">
        <f t="shared" ref="N503:N504" si="453">L503-M503</f>
        <v>1057</v>
      </c>
      <c r="O503" s="125"/>
      <c r="P503" s="125">
        <f t="shared" si="2"/>
        <v>31710</v>
      </c>
      <c r="Q503" s="126">
        <f t="shared" si="3"/>
        <v>1.0923333333333334</v>
      </c>
      <c r="R503" s="126">
        <f t="shared" si="74"/>
        <v>0</v>
      </c>
      <c r="S503" s="126">
        <f t="shared" si="35"/>
        <v>0.16</v>
      </c>
      <c r="T503" s="126">
        <f t="shared" ref="T503:T545" si="454">ROUND(P503*K$1806,2)</f>
        <v>31.71</v>
      </c>
      <c r="U503" s="126">
        <v>0</v>
      </c>
      <c r="V503" s="126">
        <f t="shared" si="448"/>
        <v>0.87</v>
      </c>
      <c r="W503" s="126">
        <f t="shared" si="217"/>
        <v>0.03</v>
      </c>
      <c r="X503" s="126">
        <f t="shared" si="9"/>
        <v>32.770000000000003</v>
      </c>
      <c r="Y503" s="127">
        <f t="shared" ref="Y503:Y504" si="455">ROUND(P503-SUM(R503:W503),2)</f>
        <v>31677.23</v>
      </c>
      <c r="Z503" s="128">
        <f t="shared" si="402"/>
        <v>31677</v>
      </c>
      <c r="AA503" s="129">
        <f t="shared" si="47"/>
        <v>-0.22999999999956344</v>
      </c>
      <c r="AB503" s="120">
        <v>44636</v>
      </c>
      <c r="AC503" s="130">
        <f t="shared" si="12"/>
        <v>1.0330000000000001E-3</v>
      </c>
      <c r="AD503" s="131">
        <f t="shared" si="13"/>
        <v>44636</v>
      </c>
      <c r="AE503" s="132" t="s">
        <v>403</v>
      </c>
      <c r="AF503" s="119"/>
    </row>
    <row r="504" spans="1:32" ht="12" customHeight="1">
      <c r="A504" s="150">
        <v>44634</v>
      </c>
      <c r="B504" s="151" t="s">
        <v>562</v>
      </c>
      <c r="C504" s="151"/>
      <c r="D504" s="151"/>
      <c r="E504" s="151"/>
      <c r="F504" s="151"/>
      <c r="G504" s="151"/>
      <c r="H504" s="122" t="s">
        <v>446</v>
      </c>
      <c r="I504" s="121" t="s">
        <v>469</v>
      </c>
      <c r="J504" s="122" t="s">
        <v>471</v>
      </c>
      <c r="K504" s="123">
        <v>2</v>
      </c>
      <c r="L504" s="124">
        <v>1560</v>
      </c>
      <c r="M504" s="125">
        <f t="shared" si="38"/>
        <v>0</v>
      </c>
      <c r="N504" s="125">
        <f t="shared" si="453"/>
        <v>1560</v>
      </c>
      <c r="O504" s="125"/>
      <c r="P504" s="125">
        <f t="shared" si="2"/>
        <v>3120</v>
      </c>
      <c r="Q504" s="126">
        <f t="shared" si="3"/>
        <v>1.615</v>
      </c>
      <c r="R504" s="126">
        <f t="shared" si="74"/>
        <v>0</v>
      </c>
      <c r="S504" s="126">
        <f t="shared" si="35"/>
        <v>0.02</v>
      </c>
      <c r="T504" s="126">
        <f t="shared" si="454"/>
        <v>3.12</v>
      </c>
      <c r="U504" s="126">
        <v>0</v>
      </c>
      <c r="V504" s="126">
        <f t="shared" si="448"/>
        <v>0.09</v>
      </c>
      <c r="W504" s="126">
        <f t="shared" si="217"/>
        <v>0</v>
      </c>
      <c r="X504" s="126">
        <f t="shared" si="9"/>
        <v>3.23</v>
      </c>
      <c r="Y504" s="127">
        <f t="shared" si="455"/>
        <v>3116.77</v>
      </c>
      <c r="Z504" s="128">
        <f t="shared" si="402"/>
        <v>3117</v>
      </c>
      <c r="AA504" s="129">
        <f t="shared" si="47"/>
        <v>0.23000000000001819</v>
      </c>
      <c r="AB504" s="120">
        <v>44636</v>
      </c>
      <c r="AC504" s="130">
        <f t="shared" si="12"/>
        <v>1.0349999999999999E-3</v>
      </c>
      <c r="AD504" s="131">
        <f t="shared" si="13"/>
        <v>44636</v>
      </c>
      <c r="AE504" s="132" t="s">
        <v>403</v>
      </c>
      <c r="AF504" s="119"/>
    </row>
    <row r="505" spans="1:32" ht="12" customHeight="1">
      <c r="A505" s="148">
        <v>44635</v>
      </c>
      <c r="B505" s="149" t="s">
        <v>575</v>
      </c>
      <c r="C505" s="149"/>
      <c r="D505" s="149"/>
      <c r="E505" s="149"/>
      <c r="F505" s="149"/>
      <c r="G505" s="149"/>
      <c r="H505" s="135" t="s">
        <v>453</v>
      </c>
      <c r="I505" s="134" t="s">
        <v>469</v>
      </c>
      <c r="J505" s="135" t="s">
        <v>448</v>
      </c>
      <c r="K505" s="136">
        <v>10</v>
      </c>
      <c r="L505" s="137">
        <v>1040</v>
      </c>
      <c r="M505" s="138">
        <f t="shared" si="38"/>
        <v>0</v>
      </c>
      <c r="N505" s="138">
        <f>L505+M505</f>
        <v>1040</v>
      </c>
      <c r="O505" s="138"/>
      <c r="P505" s="138">
        <f t="shared" si="2"/>
        <v>10400</v>
      </c>
      <c r="Q505" s="139">
        <f t="shared" si="3"/>
        <v>1.2310000000000001</v>
      </c>
      <c r="R505" s="139">
        <f t="shared" si="74"/>
        <v>0</v>
      </c>
      <c r="S505" s="139">
        <f t="shared" si="35"/>
        <v>0.05</v>
      </c>
      <c r="T505" s="139">
        <f t="shared" si="454"/>
        <v>10.4</v>
      </c>
      <c r="U505" s="139">
        <f>ROUND(P505*K$1812,2)</f>
        <v>1.56</v>
      </c>
      <c r="V505" s="139">
        <f t="shared" si="448"/>
        <v>0.28999999999999998</v>
      </c>
      <c r="W505" s="139">
        <f t="shared" si="217"/>
        <v>0.01</v>
      </c>
      <c r="X505" s="140">
        <f t="shared" si="9"/>
        <v>12.31</v>
      </c>
      <c r="Y505" s="141">
        <f>-ROUND(P505+SUM(R505:W505),2)</f>
        <v>-10412.31</v>
      </c>
      <c r="Z505" s="142">
        <f t="shared" si="402"/>
        <v>-10412</v>
      </c>
      <c r="AA505" s="143">
        <f t="shared" si="47"/>
        <v>0.30999999999949068</v>
      </c>
      <c r="AB505" s="133">
        <v>44637</v>
      </c>
      <c r="AC505" s="144">
        <f t="shared" si="12"/>
        <v>1.1839999999999999E-3</v>
      </c>
      <c r="AD505" s="145">
        <f t="shared" si="13"/>
        <v>44637</v>
      </c>
      <c r="AE505" s="146" t="s">
        <v>403</v>
      </c>
      <c r="AF505" s="119"/>
    </row>
    <row r="506" spans="1:32" ht="12" customHeight="1">
      <c r="A506" s="150">
        <v>44642</v>
      </c>
      <c r="B506" s="151" t="s">
        <v>575</v>
      </c>
      <c r="C506" s="151"/>
      <c r="D506" s="151"/>
      <c r="E506" s="151"/>
      <c r="F506" s="151"/>
      <c r="G506" s="151"/>
      <c r="H506" s="122" t="s">
        <v>446</v>
      </c>
      <c r="I506" s="121" t="s">
        <v>469</v>
      </c>
      <c r="J506" s="122" t="s">
        <v>448</v>
      </c>
      <c r="K506" s="123">
        <v>16</v>
      </c>
      <c r="L506" s="124">
        <v>1065.9563000000001</v>
      </c>
      <c r="M506" s="125">
        <f t="shared" si="38"/>
        <v>0</v>
      </c>
      <c r="N506" s="125">
        <f>L506-M506</f>
        <v>1065.9563000000001</v>
      </c>
      <c r="O506" s="125"/>
      <c r="P506" s="125">
        <f t="shared" si="2"/>
        <v>17055.3</v>
      </c>
      <c r="Q506" s="126">
        <f t="shared" si="3"/>
        <v>1.1018749999999997</v>
      </c>
      <c r="R506" s="126">
        <f t="shared" si="74"/>
        <v>0</v>
      </c>
      <c r="S506" s="126">
        <f t="shared" si="35"/>
        <v>0.08</v>
      </c>
      <c r="T506" s="126">
        <f t="shared" si="454"/>
        <v>17.059999999999999</v>
      </c>
      <c r="U506" s="126">
        <v>0</v>
      </c>
      <c r="V506" s="126">
        <f t="shared" si="448"/>
        <v>0.47</v>
      </c>
      <c r="W506" s="126">
        <f t="shared" si="217"/>
        <v>0.02</v>
      </c>
      <c r="X506" s="126">
        <f t="shared" si="9"/>
        <v>17.629999999999995</v>
      </c>
      <c r="Y506" s="127">
        <f>ROUND(P506-SUM(R506:W506),2)</f>
        <v>17037.669999999998</v>
      </c>
      <c r="Z506" s="128">
        <f t="shared" si="402"/>
        <v>17038</v>
      </c>
      <c r="AA506" s="129">
        <f t="shared" si="47"/>
        <v>0.33000000000174623</v>
      </c>
      <c r="AB506" s="120">
        <v>44644</v>
      </c>
      <c r="AC506" s="130">
        <f t="shared" si="12"/>
        <v>1.034E-3</v>
      </c>
      <c r="AD506" s="131">
        <f t="shared" si="13"/>
        <v>44644</v>
      </c>
      <c r="AE506" s="132" t="s">
        <v>403</v>
      </c>
      <c r="AF506" s="119"/>
    </row>
    <row r="507" spans="1:32" ht="12" customHeight="1">
      <c r="A507" s="148">
        <v>44643</v>
      </c>
      <c r="B507" s="149" t="s">
        <v>575</v>
      </c>
      <c r="C507" s="149"/>
      <c r="D507" s="149"/>
      <c r="E507" s="149"/>
      <c r="F507" s="149"/>
      <c r="G507" s="149"/>
      <c r="H507" s="135" t="s">
        <v>453</v>
      </c>
      <c r="I507" s="134" t="s">
        <v>469</v>
      </c>
      <c r="J507" s="135" t="s">
        <v>448</v>
      </c>
      <c r="K507" s="136">
        <v>16</v>
      </c>
      <c r="L507" s="137">
        <v>1061</v>
      </c>
      <c r="M507" s="138">
        <f t="shared" si="38"/>
        <v>0</v>
      </c>
      <c r="N507" s="138">
        <f>L507+M507</f>
        <v>1061</v>
      </c>
      <c r="O507" s="138"/>
      <c r="P507" s="138">
        <f t="shared" si="2"/>
        <v>16976</v>
      </c>
      <c r="Q507" s="139">
        <f t="shared" si="3"/>
        <v>1.2562499999999999</v>
      </c>
      <c r="R507" s="139">
        <f t="shared" si="74"/>
        <v>0</v>
      </c>
      <c r="S507" s="139">
        <f t="shared" si="35"/>
        <v>0.08</v>
      </c>
      <c r="T507" s="139">
        <f t="shared" si="454"/>
        <v>16.98</v>
      </c>
      <c r="U507" s="139">
        <f>ROUND(P507*K$1812,2)</f>
        <v>2.5499999999999998</v>
      </c>
      <c r="V507" s="139">
        <f t="shared" si="448"/>
        <v>0.47</v>
      </c>
      <c r="W507" s="139">
        <f t="shared" si="217"/>
        <v>0.02</v>
      </c>
      <c r="X507" s="140">
        <f t="shared" si="9"/>
        <v>20.099999999999998</v>
      </c>
      <c r="Y507" s="141">
        <f>-ROUND(P507+SUM(R507:W507),2)</f>
        <v>-16996.099999999999</v>
      </c>
      <c r="Z507" s="142">
        <f t="shared" si="402"/>
        <v>-16996</v>
      </c>
      <c r="AA507" s="143">
        <f t="shared" si="47"/>
        <v>9.9999999998544808E-2</v>
      </c>
      <c r="AB507" s="133">
        <v>44645</v>
      </c>
      <c r="AC507" s="144">
        <f t="shared" si="12"/>
        <v>1.1839999999999999E-3</v>
      </c>
      <c r="AD507" s="145">
        <f t="shared" si="13"/>
        <v>44645</v>
      </c>
      <c r="AE507" s="146" t="s">
        <v>403</v>
      </c>
      <c r="AF507" s="119"/>
    </row>
    <row r="508" spans="1:32" ht="12" customHeight="1">
      <c r="A508" s="150">
        <v>44643</v>
      </c>
      <c r="B508" s="151" t="s">
        <v>481</v>
      </c>
      <c r="C508" s="151"/>
      <c r="D508" s="151"/>
      <c r="E508" s="151"/>
      <c r="F508" s="151"/>
      <c r="G508" s="151"/>
      <c r="H508" s="122" t="s">
        <v>446</v>
      </c>
      <c r="I508" s="121" t="s">
        <v>469</v>
      </c>
      <c r="J508" s="122" t="s">
        <v>471</v>
      </c>
      <c r="K508" s="123">
        <v>600</v>
      </c>
      <c r="L508" s="124">
        <v>103.58329999999999</v>
      </c>
      <c r="M508" s="125">
        <f t="shared" si="38"/>
        <v>0</v>
      </c>
      <c r="N508" s="125">
        <f t="shared" ref="N508:N509" si="456">L508-M508</f>
        <v>103.58329999999999</v>
      </c>
      <c r="O508" s="125"/>
      <c r="P508" s="125">
        <f t="shared" si="2"/>
        <v>62149.98</v>
      </c>
      <c r="Q508" s="126">
        <f t="shared" si="3"/>
        <v>0.10705000000000001</v>
      </c>
      <c r="R508" s="126">
        <f t="shared" si="74"/>
        <v>0</v>
      </c>
      <c r="S508" s="126">
        <f t="shared" si="35"/>
        <v>0.31</v>
      </c>
      <c r="T508" s="126">
        <f t="shared" si="454"/>
        <v>62.15</v>
      </c>
      <c r="U508" s="126">
        <v>0</v>
      </c>
      <c r="V508" s="126">
        <f t="shared" si="448"/>
        <v>1.71</v>
      </c>
      <c r="W508" s="126">
        <f t="shared" si="217"/>
        <v>0.06</v>
      </c>
      <c r="X508" s="126">
        <f t="shared" si="9"/>
        <v>64.23</v>
      </c>
      <c r="Y508" s="127">
        <f t="shared" ref="Y508:Y509" si="457">ROUND(P508-SUM(R508:W508),2)</f>
        <v>62085.75</v>
      </c>
      <c r="Z508" s="128">
        <f t="shared" si="402"/>
        <v>62086</v>
      </c>
      <c r="AA508" s="129">
        <f t="shared" si="47"/>
        <v>0.25</v>
      </c>
      <c r="AB508" s="120">
        <v>44645</v>
      </c>
      <c r="AC508" s="130">
        <f t="shared" si="12"/>
        <v>1.0330000000000001E-3</v>
      </c>
      <c r="AD508" s="131">
        <f t="shared" si="13"/>
        <v>44645</v>
      </c>
      <c r="AE508" s="132" t="s">
        <v>403</v>
      </c>
      <c r="AF508" s="119"/>
    </row>
    <row r="509" spans="1:32" ht="12" customHeight="1">
      <c r="A509" s="150">
        <v>44644</v>
      </c>
      <c r="B509" s="151" t="s">
        <v>593</v>
      </c>
      <c r="C509" s="151"/>
      <c r="D509" s="151"/>
      <c r="E509" s="151"/>
      <c r="F509" s="151"/>
      <c r="G509" s="151"/>
      <c r="H509" s="122" t="s">
        <v>446</v>
      </c>
      <c r="I509" s="121" t="s">
        <v>469</v>
      </c>
      <c r="J509" s="122" t="s">
        <v>471</v>
      </c>
      <c r="K509" s="123">
        <v>20</v>
      </c>
      <c r="L509" s="124">
        <v>712</v>
      </c>
      <c r="M509" s="125">
        <f t="shared" si="38"/>
        <v>0</v>
      </c>
      <c r="N509" s="125">
        <f t="shared" si="456"/>
        <v>712</v>
      </c>
      <c r="O509" s="125"/>
      <c r="P509" s="125">
        <f t="shared" si="2"/>
        <v>14240</v>
      </c>
      <c r="Q509" s="126">
        <f t="shared" si="3"/>
        <v>0.73550000000000004</v>
      </c>
      <c r="R509" s="126">
        <f t="shared" si="74"/>
        <v>0</v>
      </c>
      <c r="S509" s="126">
        <f t="shared" si="35"/>
        <v>7.0000000000000007E-2</v>
      </c>
      <c r="T509" s="126">
        <f t="shared" si="454"/>
        <v>14.24</v>
      </c>
      <c r="U509" s="126">
        <v>0</v>
      </c>
      <c r="V509" s="126">
        <f t="shared" si="448"/>
        <v>0.39</v>
      </c>
      <c r="W509" s="126">
        <f t="shared" si="217"/>
        <v>0.01</v>
      </c>
      <c r="X509" s="126">
        <f t="shared" si="9"/>
        <v>14.71</v>
      </c>
      <c r="Y509" s="127">
        <f t="shared" si="457"/>
        <v>14225.29</v>
      </c>
      <c r="Z509" s="128">
        <f t="shared" si="402"/>
        <v>14225</v>
      </c>
      <c r="AA509" s="129">
        <f t="shared" si="47"/>
        <v>-0.29000000000087311</v>
      </c>
      <c r="AB509" s="120">
        <v>44648</v>
      </c>
      <c r="AC509" s="130">
        <f t="shared" si="12"/>
        <v>1.0330000000000001E-3</v>
      </c>
      <c r="AD509" s="131">
        <f t="shared" si="13"/>
        <v>44648</v>
      </c>
      <c r="AE509" s="132" t="s">
        <v>403</v>
      </c>
      <c r="AF509" s="119"/>
    </row>
    <row r="510" spans="1:32" ht="12" customHeight="1">
      <c r="A510" s="148">
        <v>44645</v>
      </c>
      <c r="B510" s="149" t="s">
        <v>481</v>
      </c>
      <c r="C510" s="149"/>
      <c r="D510" s="149"/>
      <c r="E510" s="149"/>
      <c r="F510" s="149"/>
      <c r="G510" s="149"/>
      <c r="H510" s="135" t="s">
        <v>453</v>
      </c>
      <c r="I510" s="134" t="s">
        <v>469</v>
      </c>
      <c r="J510" s="135" t="s">
        <v>471</v>
      </c>
      <c r="K510" s="136">
        <v>600</v>
      </c>
      <c r="L510" s="137">
        <v>103.4</v>
      </c>
      <c r="M510" s="138">
        <f t="shared" si="38"/>
        <v>0</v>
      </c>
      <c r="N510" s="138">
        <f t="shared" ref="N510:N511" si="458">L510+M510</f>
        <v>103.4</v>
      </c>
      <c r="O510" s="138"/>
      <c r="P510" s="138">
        <f t="shared" si="2"/>
        <v>62040</v>
      </c>
      <c r="Q510" s="139">
        <f t="shared" si="3"/>
        <v>0.12238333333333332</v>
      </c>
      <c r="R510" s="139">
        <f t="shared" si="74"/>
        <v>0</v>
      </c>
      <c r="S510" s="139">
        <f t="shared" si="35"/>
        <v>0.31</v>
      </c>
      <c r="T510" s="139">
        <f t="shared" si="454"/>
        <v>62.04</v>
      </c>
      <c r="U510" s="139">
        <f t="shared" ref="U510:U511" si="459">ROUND(P510*K$1812,2)</f>
        <v>9.31</v>
      </c>
      <c r="V510" s="139">
        <f t="shared" si="448"/>
        <v>1.71</v>
      </c>
      <c r="W510" s="139">
        <f t="shared" si="217"/>
        <v>0.06</v>
      </c>
      <c r="X510" s="140">
        <f t="shared" si="9"/>
        <v>73.429999999999993</v>
      </c>
      <c r="Y510" s="141">
        <f t="shared" ref="Y510:Y511" si="460">-ROUND(P510+SUM(R510:W510),2)</f>
        <v>-62113.43</v>
      </c>
      <c r="Z510" s="142">
        <f t="shared" si="402"/>
        <v>-62113</v>
      </c>
      <c r="AA510" s="143">
        <f t="shared" si="47"/>
        <v>0.43000000000029104</v>
      </c>
      <c r="AB510" s="133"/>
      <c r="AC510" s="144">
        <f t="shared" si="12"/>
        <v>1.1839999999999999E-3</v>
      </c>
      <c r="AD510" s="145">
        <f t="shared" si="13"/>
        <v>0</v>
      </c>
      <c r="AE510" s="146" t="s">
        <v>403</v>
      </c>
      <c r="AF510" s="119"/>
    </row>
    <row r="511" spans="1:32" ht="12" customHeight="1">
      <c r="A511" s="148">
        <v>44648</v>
      </c>
      <c r="B511" s="149" t="s">
        <v>596</v>
      </c>
      <c r="C511" s="149"/>
      <c r="D511" s="149"/>
      <c r="E511" s="149"/>
      <c r="F511" s="149"/>
      <c r="G511" s="149"/>
      <c r="H511" s="135" t="s">
        <v>453</v>
      </c>
      <c r="I511" s="134" t="s">
        <v>469</v>
      </c>
      <c r="J511" s="135" t="s">
        <v>471</v>
      </c>
      <c r="K511" s="136">
        <v>5</v>
      </c>
      <c r="L511" s="137">
        <v>2275</v>
      </c>
      <c r="M511" s="138">
        <f t="shared" si="38"/>
        <v>0</v>
      </c>
      <c r="N511" s="138">
        <f t="shared" si="458"/>
        <v>2275</v>
      </c>
      <c r="O511" s="138"/>
      <c r="P511" s="138">
        <f t="shared" si="2"/>
        <v>11375</v>
      </c>
      <c r="Q511" s="139">
        <f t="shared" si="3"/>
        <v>2.6940000000000004</v>
      </c>
      <c r="R511" s="139">
        <f t="shared" si="74"/>
        <v>0</v>
      </c>
      <c r="S511" s="139">
        <f t="shared" si="35"/>
        <v>0.06</v>
      </c>
      <c r="T511" s="139">
        <f t="shared" si="454"/>
        <v>11.38</v>
      </c>
      <c r="U511" s="139">
        <f t="shared" si="459"/>
        <v>1.71</v>
      </c>
      <c r="V511" s="139">
        <f t="shared" si="448"/>
        <v>0.31</v>
      </c>
      <c r="W511" s="139">
        <f t="shared" si="217"/>
        <v>0.01</v>
      </c>
      <c r="X511" s="140">
        <f t="shared" si="9"/>
        <v>13.470000000000002</v>
      </c>
      <c r="Y511" s="141">
        <f t="shared" si="460"/>
        <v>-11388.47</v>
      </c>
      <c r="Z511" s="142">
        <f t="shared" si="402"/>
        <v>-11388</v>
      </c>
      <c r="AA511" s="143">
        <f t="shared" si="47"/>
        <v>0.46999999999934516</v>
      </c>
      <c r="AB511" s="133"/>
      <c r="AC511" s="144">
        <f t="shared" si="12"/>
        <v>1.1839999999999999E-3</v>
      </c>
      <c r="AD511" s="145">
        <f t="shared" si="13"/>
        <v>0</v>
      </c>
      <c r="AE511" s="146" t="s">
        <v>403</v>
      </c>
      <c r="AF511" s="119"/>
    </row>
    <row r="512" spans="1:32" ht="12" customHeight="1">
      <c r="A512" s="150">
        <v>44649</v>
      </c>
      <c r="B512" s="151" t="s">
        <v>575</v>
      </c>
      <c r="C512" s="151"/>
      <c r="D512" s="151"/>
      <c r="E512" s="151"/>
      <c r="F512" s="151"/>
      <c r="G512" s="151"/>
      <c r="H512" s="122" t="s">
        <v>446</v>
      </c>
      <c r="I512" s="121" t="s">
        <v>469</v>
      </c>
      <c r="J512" s="122" t="s">
        <v>448</v>
      </c>
      <c r="K512" s="123">
        <v>40</v>
      </c>
      <c r="L512" s="124">
        <v>1099.25</v>
      </c>
      <c r="M512" s="125">
        <f t="shared" si="38"/>
        <v>0</v>
      </c>
      <c r="N512" s="125">
        <f>L512-M512</f>
        <v>1099.25</v>
      </c>
      <c r="O512" s="125"/>
      <c r="P512" s="125">
        <f t="shared" si="2"/>
        <v>43970</v>
      </c>
      <c r="Q512" s="126">
        <f t="shared" si="3"/>
        <v>1.1359999999999999</v>
      </c>
      <c r="R512" s="126">
        <f t="shared" si="74"/>
        <v>0</v>
      </c>
      <c r="S512" s="126">
        <f t="shared" si="35"/>
        <v>0.22</v>
      </c>
      <c r="T512" s="126">
        <f t="shared" si="454"/>
        <v>43.97</v>
      </c>
      <c r="U512" s="126">
        <v>0</v>
      </c>
      <c r="V512" s="126">
        <f t="shared" si="448"/>
        <v>1.21</v>
      </c>
      <c r="W512" s="126">
        <f t="shared" si="217"/>
        <v>0.04</v>
      </c>
      <c r="X512" s="126">
        <f t="shared" si="9"/>
        <v>45.44</v>
      </c>
      <c r="Y512" s="127">
        <f>ROUND(P512-SUM(R512:W512),2)</f>
        <v>43924.56</v>
      </c>
      <c r="Z512" s="128">
        <f t="shared" si="402"/>
        <v>43925</v>
      </c>
      <c r="AA512" s="129">
        <f t="shared" si="47"/>
        <v>0.44000000000232831</v>
      </c>
      <c r="AB512" s="120"/>
      <c r="AC512" s="130">
        <f t="shared" si="12"/>
        <v>1.0330000000000001E-3</v>
      </c>
      <c r="AD512" s="131">
        <f t="shared" si="13"/>
        <v>0</v>
      </c>
      <c r="AE512" s="132" t="s">
        <v>403</v>
      </c>
      <c r="AF512" s="119"/>
    </row>
    <row r="513" spans="1:32" ht="12" customHeight="1">
      <c r="A513" s="148">
        <v>44649</v>
      </c>
      <c r="B513" s="149" t="s">
        <v>597</v>
      </c>
      <c r="C513" s="149"/>
      <c r="D513" s="149"/>
      <c r="E513" s="149"/>
      <c r="F513" s="149"/>
      <c r="G513" s="149"/>
      <c r="H513" s="135" t="s">
        <v>453</v>
      </c>
      <c r="I513" s="134" t="s">
        <v>469</v>
      </c>
      <c r="J513" s="135" t="s">
        <v>471</v>
      </c>
      <c r="K513" s="136">
        <v>50</v>
      </c>
      <c r="L513" s="137">
        <v>230</v>
      </c>
      <c r="M513" s="138">
        <f t="shared" si="38"/>
        <v>0</v>
      </c>
      <c r="N513" s="138">
        <f t="shared" ref="N513:N517" si="461">L513+M513</f>
        <v>230</v>
      </c>
      <c r="O513" s="138"/>
      <c r="P513" s="138">
        <f t="shared" si="2"/>
        <v>11500</v>
      </c>
      <c r="Q513" s="139">
        <f t="shared" si="3"/>
        <v>0.27240000000000003</v>
      </c>
      <c r="R513" s="139">
        <f t="shared" si="74"/>
        <v>0</v>
      </c>
      <c r="S513" s="139">
        <f t="shared" si="35"/>
        <v>0.06</v>
      </c>
      <c r="T513" s="139">
        <f t="shared" si="454"/>
        <v>11.5</v>
      </c>
      <c r="U513" s="139">
        <f t="shared" ref="U513:U517" si="462">ROUND(P513*K$1812,2)</f>
        <v>1.73</v>
      </c>
      <c r="V513" s="139">
        <f t="shared" si="448"/>
        <v>0.32</v>
      </c>
      <c r="W513" s="139">
        <f t="shared" si="217"/>
        <v>0.01</v>
      </c>
      <c r="X513" s="140">
        <f t="shared" si="9"/>
        <v>13.620000000000001</v>
      </c>
      <c r="Y513" s="141">
        <f t="shared" ref="Y513:Y517" si="463">-ROUND(P513+SUM(R513:W513),2)</f>
        <v>-11513.62</v>
      </c>
      <c r="Z513" s="142">
        <f t="shared" si="402"/>
        <v>-11514</v>
      </c>
      <c r="AA513" s="143">
        <f t="shared" si="47"/>
        <v>-0.37999999999919964</v>
      </c>
      <c r="AB513" s="133"/>
      <c r="AC513" s="144">
        <f t="shared" si="12"/>
        <v>1.1839999999999999E-3</v>
      </c>
      <c r="AD513" s="145">
        <f t="shared" si="13"/>
        <v>0</v>
      </c>
      <c r="AE513" s="146" t="s">
        <v>403</v>
      </c>
      <c r="AF513" s="119"/>
    </row>
    <row r="514" spans="1:32" ht="12" customHeight="1">
      <c r="A514" s="148">
        <v>44649</v>
      </c>
      <c r="B514" s="149" t="s">
        <v>532</v>
      </c>
      <c r="C514" s="149"/>
      <c r="D514" s="149"/>
      <c r="E514" s="149"/>
      <c r="F514" s="149"/>
      <c r="G514" s="149"/>
      <c r="H514" s="135" t="s">
        <v>453</v>
      </c>
      <c r="I514" s="134" t="s">
        <v>469</v>
      </c>
      <c r="J514" s="135" t="s">
        <v>471</v>
      </c>
      <c r="K514" s="136">
        <v>10</v>
      </c>
      <c r="L514" s="137">
        <v>760</v>
      </c>
      <c r="M514" s="138">
        <f t="shared" si="38"/>
        <v>0</v>
      </c>
      <c r="N514" s="138">
        <f t="shared" si="461"/>
        <v>760</v>
      </c>
      <c r="O514" s="138"/>
      <c r="P514" s="138">
        <f t="shared" si="2"/>
        <v>7600</v>
      </c>
      <c r="Q514" s="139">
        <f t="shared" si="3"/>
        <v>0.9</v>
      </c>
      <c r="R514" s="139">
        <f t="shared" si="74"/>
        <v>0</v>
      </c>
      <c r="S514" s="139">
        <f t="shared" si="35"/>
        <v>0.04</v>
      </c>
      <c r="T514" s="139">
        <f t="shared" si="454"/>
        <v>7.6</v>
      </c>
      <c r="U514" s="139">
        <f t="shared" si="462"/>
        <v>1.1399999999999999</v>
      </c>
      <c r="V514" s="139">
        <f t="shared" si="448"/>
        <v>0.21</v>
      </c>
      <c r="W514" s="139">
        <f t="shared" si="217"/>
        <v>0.01</v>
      </c>
      <c r="X514" s="140">
        <f t="shared" si="9"/>
        <v>9</v>
      </c>
      <c r="Y514" s="141">
        <f t="shared" si="463"/>
        <v>-7609</v>
      </c>
      <c r="Z514" s="142">
        <f t="shared" si="402"/>
        <v>-7609</v>
      </c>
      <c r="AA514" s="143">
        <f t="shared" si="47"/>
        <v>0</v>
      </c>
      <c r="AB514" s="133"/>
      <c r="AC514" s="144">
        <f t="shared" si="12"/>
        <v>1.1839999999999999E-3</v>
      </c>
      <c r="AD514" s="145">
        <f t="shared" si="13"/>
        <v>0</v>
      </c>
      <c r="AE514" s="146" t="s">
        <v>403</v>
      </c>
      <c r="AF514" s="119"/>
    </row>
    <row r="515" spans="1:32" ht="12" customHeight="1">
      <c r="A515" s="148">
        <v>44650</v>
      </c>
      <c r="B515" s="149" t="s">
        <v>575</v>
      </c>
      <c r="C515" s="149"/>
      <c r="D515" s="149"/>
      <c r="E515" s="149"/>
      <c r="F515" s="149"/>
      <c r="G515" s="149"/>
      <c r="H515" s="135" t="s">
        <v>453</v>
      </c>
      <c r="I515" s="134" t="s">
        <v>469</v>
      </c>
      <c r="J515" s="135" t="s">
        <v>448</v>
      </c>
      <c r="K515" s="136">
        <v>50</v>
      </c>
      <c r="L515" s="137">
        <v>1096.4000000000001</v>
      </c>
      <c r="M515" s="138">
        <f t="shared" si="38"/>
        <v>0</v>
      </c>
      <c r="N515" s="138">
        <f t="shared" si="461"/>
        <v>1096.4000000000001</v>
      </c>
      <c r="O515" s="138"/>
      <c r="P515" s="138">
        <f t="shared" si="2"/>
        <v>54820</v>
      </c>
      <c r="Q515" s="139">
        <f t="shared" si="3"/>
        <v>1.2974000000000001</v>
      </c>
      <c r="R515" s="139">
        <f t="shared" si="74"/>
        <v>0</v>
      </c>
      <c r="S515" s="139">
        <f t="shared" si="35"/>
        <v>0.27</v>
      </c>
      <c r="T515" s="139">
        <f t="shared" si="454"/>
        <v>54.82</v>
      </c>
      <c r="U515" s="139">
        <f t="shared" si="462"/>
        <v>8.2200000000000006</v>
      </c>
      <c r="V515" s="139">
        <f t="shared" si="448"/>
        <v>1.51</v>
      </c>
      <c r="W515" s="139">
        <f t="shared" si="217"/>
        <v>0.05</v>
      </c>
      <c r="X515" s="140">
        <f t="shared" si="9"/>
        <v>64.87</v>
      </c>
      <c r="Y515" s="141">
        <f t="shared" si="463"/>
        <v>-54884.87</v>
      </c>
      <c r="Z515" s="142">
        <f t="shared" si="402"/>
        <v>-54885</v>
      </c>
      <c r="AA515" s="143">
        <f t="shared" si="47"/>
        <v>-0.12999999999738066</v>
      </c>
      <c r="AB515" s="133"/>
      <c r="AC515" s="144">
        <f t="shared" si="12"/>
        <v>1.183E-3</v>
      </c>
      <c r="AD515" s="145">
        <f t="shared" si="13"/>
        <v>0</v>
      </c>
      <c r="AE515" s="146" t="s">
        <v>403</v>
      </c>
      <c r="AF515" s="119"/>
    </row>
    <row r="516" spans="1:32" ht="12" customHeight="1">
      <c r="A516" s="148">
        <v>44650</v>
      </c>
      <c r="B516" s="149" t="s">
        <v>457</v>
      </c>
      <c r="C516" s="149"/>
      <c r="D516" s="149"/>
      <c r="E516" s="149"/>
      <c r="F516" s="149"/>
      <c r="G516" s="149"/>
      <c r="H516" s="135" t="s">
        <v>453</v>
      </c>
      <c r="I516" s="134" t="s">
        <v>469</v>
      </c>
      <c r="J516" s="135" t="s">
        <v>471</v>
      </c>
      <c r="K516" s="136">
        <v>100</v>
      </c>
      <c r="L516" s="137">
        <v>50</v>
      </c>
      <c r="M516" s="138">
        <f t="shared" si="38"/>
        <v>0</v>
      </c>
      <c r="N516" s="138">
        <f t="shared" si="461"/>
        <v>50</v>
      </c>
      <c r="O516" s="138"/>
      <c r="P516" s="138">
        <f t="shared" si="2"/>
        <v>5000</v>
      </c>
      <c r="Q516" s="139">
        <f t="shared" si="3"/>
        <v>5.9299999999999999E-2</v>
      </c>
      <c r="R516" s="139">
        <f t="shared" si="74"/>
        <v>0</v>
      </c>
      <c r="S516" s="139">
        <f t="shared" si="35"/>
        <v>0.03</v>
      </c>
      <c r="T516" s="139">
        <f t="shared" si="454"/>
        <v>5</v>
      </c>
      <c r="U516" s="139">
        <f t="shared" si="462"/>
        <v>0.75</v>
      </c>
      <c r="V516" s="139">
        <f t="shared" si="448"/>
        <v>0.14000000000000001</v>
      </c>
      <c r="W516" s="139">
        <f t="shared" si="217"/>
        <v>0.01</v>
      </c>
      <c r="X516" s="140">
        <f t="shared" si="9"/>
        <v>5.93</v>
      </c>
      <c r="Y516" s="141">
        <f t="shared" si="463"/>
        <v>-5005.93</v>
      </c>
      <c r="Z516" s="142">
        <f t="shared" si="402"/>
        <v>-5006</v>
      </c>
      <c r="AA516" s="143">
        <f t="shared" si="47"/>
        <v>-6.9999999999708962E-2</v>
      </c>
      <c r="AB516" s="133"/>
      <c r="AC516" s="144">
        <f t="shared" si="12"/>
        <v>1.186E-3</v>
      </c>
      <c r="AD516" s="145">
        <f t="shared" si="13"/>
        <v>0</v>
      </c>
      <c r="AE516" s="146" t="s">
        <v>403</v>
      </c>
      <c r="AF516" s="119"/>
    </row>
    <row r="517" spans="1:32" ht="12" customHeight="1">
      <c r="A517" s="148">
        <v>44650</v>
      </c>
      <c r="B517" s="149" t="s">
        <v>576</v>
      </c>
      <c r="C517" s="149"/>
      <c r="D517" s="149"/>
      <c r="E517" s="149"/>
      <c r="F517" s="149"/>
      <c r="G517" s="149"/>
      <c r="H517" s="135" t="s">
        <v>453</v>
      </c>
      <c r="I517" s="134" t="s">
        <v>469</v>
      </c>
      <c r="J517" s="135" t="s">
        <v>471</v>
      </c>
      <c r="K517" s="136">
        <v>50</v>
      </c>
      <c r="L517" s="137">
        <v>251.5</v>
      </c>
      <c r="M517" s="138">
        <f t="shared" si="38"/>
        <v>0</v>
      </c>
      <c r="N517" s="138">
        <f t="shared" si="461"/>
        <v>251.5</v>
      </c>
      <c r="O517" s="138"/>
      <c r="P517" s="138">
        <f t="shared" si="2"/>
        <v>12575</v>
      </c>
      <c r="Q517" s="139">
        <f t="shared" si="3"/>
        <v>0.29780000000000001</v>
      </c>
      <c r="R517" s="139">
        <f t="shared" si="74"/>
        <v>0</v>
      </c>
      <c r="S517" s="139">
        <f t="shared" si="35"/>
        <v>0.06</v>
      </c>
      <c r="T517" s="139">
        <f t="shared" si="454"/>
        <v>12.58</v>
      </c>
      <c r="U517" s="139">
        <f t="shared" si="462"/>
        <v>1.89</v>
      </c>
      <c r="V517" s="139">
        <f t="shared" si="448"/>
        <v>0.35</v>
      </c>
      <c r="W517" s="139">
        <f t="shared" si="217"/>
        <v>0.01</v>
      </c>
      <c r="X517" s="140">
        <f t="shared" si="9"/>
        <v>14.89</v>
      </c>
      <c r="Y517" s="141">
        <f t="shared" si="463"/>
        <v>-12589.89</v>
      </c>
      <c r="Z517" s="142">
        <f t="shared" si="402"/>
        <v>-12590</v>
      </c>
      <c r="AA517" s="143">
        <f t="shared" si="47"/>
        <v>-0.11000000000058208</v>
      </c>
      <c r="AB517" s="133"/>
      <c r="AC517" s="144">
        <f t="shared" si="12"/>
        <v>1.1839999999999999E-3</v>
      </c>
      <c r="AD517" s="145">
        <f t="shared" si="13"/>
        <v>0</v>
      </c>
      <c r="AE517" s="146" t="s">
        <v>403</v>
      </c>
      <c r="AF517" s="119"/>
    </row>
    <row r="518" spans="1:32" ht="12" customHeight="1">
      <c r="A518" s="150">
        <v>44650</v>
      </c>
      <c r="B518" s="151" t="s">
        <v>596</v>
      </c>
      <c r="C518" s="151"/>
      <c r="D518" s="151"/>
      <c r="E518" s="151"/>
      <c r="F518" s="151"/>
      <c r="G518" s="151"/>
      <c r="H518" s="122" t="s">
        <v>446</v>
      </c>
      <c r="I518" s="121" t="s">
        <v>469</v>
      </c>
      <c r="J518" s="122" t="s">
        <v>471</v>
      </c>
      <c r="K518" s="123">
        <v>5</v>
      </c>
      <c r="L518" s="124">
        <v>2385</v>
      </c>
      <c r="M518" s="125">
        <f t="shared" si="38"/>
        <v>0</v>
      </c>
      <c r="N518" s="125">
        <f t="shared" ref="N518:N523" si="464">L518-M518</f>
        <v>2385</v>
      </c>
      <c r="O518" s="125"/>
      <c r="P518" s="125">
        <f t="shared" si="2"/>
        <v>11925</v>
      </c>
      <c r="Q518" s="126">
        <f t="shared" si="3"/>
        <v>2.4660000000000002</v>
      </c>
      <c r="R518" s="126">
        <f t="shared" si="74"/>
        <v>0</v>
      </c>
      <c r="S518" s="126">
        <f t="shared" si="35"/>
        <v>0.06</v>
      </c>
      <c r="T518" s="126">
        <f t="shared" si="454"/>
        <v>11.93</v>
      </c>
      <c r="U518" s="126">
        <v>0</v>
      </c>
      <c r="V518" s="126">
        <f t="shared" si="448"/>
        <v>0.33</v>
      </c>
      <c r="W518" s="126">
        <f t="shared" si="217"/>
        <v>0.01</v>
      </c>
      <c r="X518" s="126">
        <f t="shared" si="9"/>
        <v>12.33</v>
      </c>
      <c r="Y518" s="127">
        <f t="shared" ref="Y518:Y523" si="465">ROUND(P518-SUM(R518:W518),2)</f>
        <v>11912.67</v>
      </c>
      <c r="Z518" s="128">
        <f t="shared" si="402"/>
        <v>11913</v>
      </c>
      <c r="AA518" s="129">
        <f t="shared" si="47"/>
        <v>0.32999999999992724</v>
      </c>
      <c r="AB518" s="120"/>
      <c r="AC518" s="130">
        <f t="shared" si="12"/>
        <v>1.034E-3</v>
      </c>
      <c r="AD518" s="131">
        <f t="shared" si="13"/>
        <v>0</v>
      </c>
      <c r="AE518" s="132" t="s">
        <v>403</v>
      </c>
      <c r="AF518" s="119"/>
    </row>
    <row r="519" spans="1:32" ht="12" customHeight="1">
      <c r="A519" s="150">
        <v>44650</v>
      </c>
      <c r="B519" s="151" t="s">
        <v>460</v>
      </c>
      <c r="C519" s="151"/>
      <c r="D519" s="151"/>
      <c r="E519" s="151"/>
      <c r="F519" s="151"/>
      <c r="G519" s="151"/>
      <c r="H519" s="122" t="s">
        <v>446</v>
      </c>
      <c r="I519" s="121" t="s">
        <v>469</v>
      </c>
      <c r="J519" s="122" t="s">
        <v>471</v>
      </c>
      <c r="K519" s="123">
        <v>7</v>
      </c>
      <c r="L519" s="124">
        <v>2684</v>
      </c>
      <c r="M519" s="125">
        <f t="shared" si="38"/>
        <v>0</v>
      </c>
      <c r="N519" s="125">
        <f t="shared" si="464"/>
        <v>2684</v>
      </c>
      <c r="O519" s="125"/>
      <c r="P519" s="125">
        <f t="shared" si="2"/>
        <v>18788</v>
      </c>
      <c r="Q519" s="126">
        <f t="shared" si="3"/>
        <v>2.774285714285714</v>
      </c>
      <c r="R519" s="126">
        <f t="shared" si="74"/>
        <v>0</v>
      </c>
      <c r="S519" s="126">
        <f t="shared" si="35"/>
        <v>0.09</v>
      </c>
      <c r="T519" s="126">
        <f t="shared" si="454"/>
        <v>18.79</v>
      </c>
      <c r="U519" s="126">
        <v>0</v>
      </c>
      <c r="V519" s="126">
        <f t="shared" si="448"/>
        <v>0.52</v>
      </c>
      <c r="W519" s="126">
        <f t="shared" si="217"/>
        <v>0.02</v>
      </c>
      <c r="X519" s="126">
        <f t="shared" si="9"/>
        <v>19.419999999999998</v>
      </c>
      <c r="Y519" s="127">
        <f t="shared" si="465"/>
        <v>18768.580000000002</v>
      </c>
      <c r="Z519" s="128">
        <f t="shared" si="402"/>
        <v>18769</v>
      </c>
      <c r="AA519" s="129">
        <f t="shared" si="47"/>
        <v>0.41999999999825377</v>
      </c>
      <c r="AB519" s="120"/>
      <c r="AC519" s="130">
        <f t="shared" si="12"/>
        <v>1.034E-3</v>
      </c>
      <c r="AD519" s="131">
        <f t="shared" si="13"/>
        <v>0</v>
      </c>
      <c r="AE519" s="132" t="s">
        <v>403</v>
      </c>
      <c r="AF519" s="119"/>
    </row>
    <row r="520" spans="1:32" ht="12" customHeight="1">
      <c r="A520" s="150">
        <v>44650</v>
      </c>
      <c r="B520" s="151" t="s">
        <v>479</v>
      </c>
      <c r="C520" s="151"/>
      <c r="D520" s="151"/>
      <c r="E520" s="151"/>
      <c r="F520" s="151"/>
      <c r="G520" s="151"/>
      <c r="H520" s="122" t="s">
        <v>446</v>
      </c>
      <c r="I520" s="121" t="s">
        <v>469</v>
      </c>
      <c r="J520" s="122" t="s">
        <v>471</v>
      </c>
      <c r="K520" s="123">
        <v>50</v>
      </c>
      <c r="L520" s="124">
        <v>500</v>
      </c>
      <c r="M520" s="125">
        <f t="shared" si="38"/>
        <v>0</v>
      </c>
      <c r="N520" s="125">
        <f t="shared" si="464"/>
        <v>500</v>
      </c>
      <c r="O520" s="125"/>
      <c r="P520" s="125">
        <f t="shared" si="2"/>
        <v>25000</v>
      </c>
      <c r="Q520" s="126">
        <f t="shared" si="3"/>
        <v>0.51680000000000004</v>
      </c>
      <c r="R520" s="126">
        <f t="shared" si="74"/>
        <v>0</v>
      </c>
      <c r="S520" s="126">
        <f t="shared" si="35"/>
        <v>0.12</v>
      </c>
      <c r="T520" s="126">
        <f t="shared" si="454"/>
        <v>25</v>
      </c>
      <c r="U520" s="126">
        <v>0</v>
      </c>
      <c r="V520" s="126">
        <f t="shared" si="448"/>
        <v>0.69</v>
      </c>
      <c r="W520" s="126">
        <f t="shared" si="217"/>
        <v>0.03</v>
      </c>
      <c r="X520" s="126">
        <f t="shared" si="9"/>
        <v>25.840000000000003</v>
      </c>
      <c r="Y520" s="127">
        <f t="shared" si="465"/>
        <v>24974.16</v>
      </c>
      <c r="Z520" s="128">
        <f t="shared" si="402"/>
        <v>24974</v>
      </c>
      <c r="AA520" s="129">
        <f t="shared" si="47"/>
        <v>-0.15999999999985448</v>
      </c>
      <c r="AB520" s="120"/>
      <c r="AC520" s="130">
        <f t="shared" si="12"/>
        <v>1.034E-3</v>
      </c>
      <c r="AD520" s="131">
        <f t="shared" si="13"/>
        <v>0</v>
      </c>
      <c r="AE520" s="132" t="s">
        <v>403</v>
      </c>
      <c r="AF520" s="119"/>
    </row>
    <row r="521" spans="1:32" ht="12" customHeight="1">
      <c r="A521" s="150">
        <v>44651</v>
      </c>
      <c r="B521" s="151" t="s">
        <v>586</v>
      </c>
      <c r="C521" s="151"/>
      <c r="D521" s="151"/>
      <c r="E521" s="151"/>
      <c r="F521" s="151"/>
      <c r="G521" s="151"/>
      <c r="H521" s="122" t="s">
        <v>446</v>
      </c>
      <c r="I521" s="121" t="s">
        <v>469</v>
      </c>
      <c r="J521" s="122" t="s">
        <v>471</v>
      </c>
      <c r="K521" s="123">
        <v>1500</v>
      </c>
      <c r="L521" s="124">
        <v>9.2200000000000006</v>
      </c>
      <c r="M521" s="125">
        <f t="shared" si="38"/>
        <v>0</v>
      </c>
      <c r="N521" s="125">
        <f t="shared" si="464"/>
        <v>9.2200000000000006</v>
      </c>
      <c r="O521" s="125"/>
      <c r="P521" s="125">
        <f t="shared" si="2"/>
        <v>13830</v>
      </c>
      <c r="Q521" s="126">
        <f t="shared" si="3"/>
        <v>2.0106666666666665E-2</v>
      </c>
      <c r="R521" s="126">
        <f t="shared" si="74"/>
        <v>0</v>
      </c>
      <c r="S521" s="126">
        <f t="shared" si="35"/>
        <v>2.4900000000000002</v>
      </c>
      <c r="T521" s="126">
        <f t="shared" si="454"/>
        <v>13.83</v>
      </c>
      <c r="U521" s="126">
        <v>0</v>
      </c>
      <c r="V521" s="126">
        <f>ROUND(P521*0.1%,2)</f>
        <v>13.83</v>
      </c>
      <c r="W521" s="126">
        <f t="shared" si="217"/>
        <v>0.01</v>
      </c>
      <c r="X521" s="126">
        <f t="shared" si="9"/>
        <v>30.16</v>
      </c>
      <c r="Y521" s="127">
        <f t="shared" si="465"/>
        <v>13799.84</v>
      </c>
      <c r="Z521" s="128">
        <f t="shared" si="402"/>
        <v>13800</v>
      </c>
      <c r="AA521" s="129">
        <f t="shared" si="47"/>
        <v>0.15999999999985448</v>
      </c>
      <c r="AB521" s="120"/>
      <c r="AC521" s="130">
        <f t="shared" si="12"/>
        <v>2.1810000000000002E-3</v>
      </c>
      <c r="AD521" s="131">
        <f t="shared" si="13"/>
        <v>0</v>
      </c>
      <c r="AE521" s="132" t="s">
        <v>403</v>
      </c>
      <c r="AF521" s="119"/>
    </row>
    <row r="522" spans="1:32" ht="12" customHeight="1">
      <c r="A522" s="150">
        <v>44651</v>
      </c>
      <c r="B522" s="151" t="s">
        <v>532</v>
      </c>
      <c r="C522" s="151"/>
      <c r="D522" s="151"/>
      <c r="E522" s="151"/>
      <c r="F522" s="151"/>
      <c r="G522" s="151"/>
      <c r="H522" s="122" t="s">
        <v>446</v>
      </c>
      <c r="I522" s="121" t="s">
        <v>469</v>
      </c>
      <c r="J522" s="122" t="s">
        <v>471</v>
      </c>
      <c r="K522" s="123">
        <v>10</v>
      </c>
      <c r="L522" s="124">
        <v>778</v>
      </c>
      <c r="M522" s="125">
        <f t="shared" si="38"/>
        <v>0</v>
      </c>
      <c r="N522" s="125">
        <f t="shared" si="464"/>
        <v>778</v>
      </c>
      <c r="O522" s="125"/>
      <c r="P522" s="125">
        <f t="shared" si="2"/>
        <v>7780</v>
      </c>
      <c r="Q522" s="126">
        <f t="shared" si="3"/>
        <v>0.80400000000000005</v>
      </c>
      <c r="R522" s="126">
        <f t="shared" si="74"/>
        <v>0</v>
      </c>
      <c r="S522" s="126">
        <f t="shared" si="35"/>
        <v>0.04</v>
      </c>
      <c r="T522" s="126">
        <f t="shared" si="454"/>
        <v>7.78</v>
      </c>
      <c r="U522" s="126">
        <v>0</v>
      </c>
      <c r="V522" s="126">
        <f t="shared" ref="V522:V523" si="466">ROUND(P522*L$1809,2)</f>
        <v>0.21</v>
      </c>
      <c r="W522" s="126">
        <f t="shared" si="217"/>
        <v>0.01</v>
      </c>
      <c r="X522" s="126">
        <f t="shared" si="9"/>
        <v>8.0400000000000009</v>
      </c>
      <c r="Y522" s="127">
        <f t="shared" si="465"/>
        <v>7771.96</v>
      </c>
      <c r="Z522" s="128">
        <f t="shared" si="402"/>
        <v>7772</v>
      </c>
      <c r="AA522" s="129">
        <f t="shared" si="47"/>
        <v>3.999999999996362E-2</v>
      </c>
      <c r="AB522" s="120"/>
      <c r="AC522" s="130">
        <f t="shared" si="12"/>
        <v>1.0330000000000001E-3</v>
      </c>
      <c r="AD522" s="131">
        <f t="shared" si="13"/>
        <v>0</v>
      </c>
      <c r="AE522" s="132" t="s">
        <v>403</v>
      </c>
      <c r="AF522" s="119"/>
    </row>
    <row r="523" spans="1:32" ht="12" customHeight="1">
      <c r="A523" s="150">
        <v>44651</v>
      </c>
      <c r="B523" s="151" t="s">
        <v>576</v>
      </c>
      <c r="C523" s="151"/>
      <c r="D523" s="151"/>
      <c r="E523" s="151"/>
      <c r="F523" s="151"/>
      <c r="G523" s="151"/>
      <c r="H523" s="122" t="s">
        <v>446</v>
      </c>
      <c r="I523" s="121" t="s">
        <v>469</v>
      </c>
      <c r="J523" s="122" t="s">
        <v>471</v>
      </c>
      <c r="K523" s="123">
        <v>50</v>
      </c>
      <c r="L523" s="124">
        <v>252.5</v>
      </c>
      <c r="M523" s="125">
        <f t="shared" si="38"/>
        <v>0</v>
      </c>
      <c r="N523" s="125">
        <f t="shared" si="464"/>
        <v>252.5</v>
      </c>
      <c r="O523" s="125"/>
      <c r="P523" s="125">
        <f t="shared" si="2"/>
        <v>12625</v>
      </c>
      <c r="Q523" s="126">
        <f t="shared" si="3"/>
        <v>0.26100000000000001</v>
      </c>
      <c r="R523" s="126">
        <f t="shared" si="74"/>
        <v>0</v>
      </c>
      <c r="S523" s="126">
        <f t="shared" si="35"/>
        <v>0.06</v>
      </c>
      <c r="T523" s="126">
        <f t="shared" si="454"/>
        <v>12.63</v>
      </c>
      <c r="U523" s="126">
        <v>0</v>
      </c>
      <c r="V523" s="126">
        <f t="shared" si="466"/>
        <v>0.35</v>
      </c>
      <c r="W523" s="126">
        <f t="shared" si="217"/>
        <v>0.01</v>
      </c>
      <c r="X523" s="126">
        <f t="shared" si="9"/>
        <v>13.05</v>
      </c>
      <c r="Y523" s="127">
        <f t="shared" si="465"/>
        <v>12611.95</v>
      </c>
      <c r="Z523" s="128">
        <f t="shared" si="402"/>
        <v>12612</v>
      </c>
      <c r="AA523" s="129">
        <f t="shared" si="47"/>
        <v>4.9999999999272404E-2</v>
      </c>
      <c r="AB523" s="120"/>
      <c r="AC523" s="130">
        <f t="shared" si="12"/>
        <v>1.034E-3</v>
      </c>
      <c r="AD523" s="131">
        <f t="shared" si="13"/>
        <v>0</v>
      </c>
      <c r="AE523" s="132" t="s">
        <v>403</v>
      </c>
      <c r="AF523" s="119"/>
    </row>
    <row r="524" spans="1:32" ht="12" customHeight="1">
      <c r="A524" s="148">
        <v>44651</v>
      </c>
      <c r="B524" s="149" t="s">
        <v>598</v>
      </c>
      <c r="C524" s="149"/>
      <c r="D524" s="149"/>
      <c r="E524" s="149"/>
      <c r="F524" s="149"/>
      <c r="G524" s="149"/>
      <c r="H524" s="135" t="s">
        <v>453</v>
      </c>
      <c r="I524" s="134" t="s">
        <v>469</v>
      </c>
      <c r="J524" s="135" t="s">
        <v>471</v>
      </c>
      <c r="K524" s="136">
        <v>300</v>
      </c>
      <c r="L524" s="137">
        <v>155.58331999999999</v>
      </c>
      <c r="M524" s="138">
        <f t="shared" si="38"/>
        <v>0</v>
      </c>
      <c r="N524" s="138">
        <f t="shared" ref="N524:N525" si="467">L524+M524</f>
        <v>155.58331999999999</v>
      </c>
      <c r="O524" s="138"/>
      <c r="P524" s="138">
        <f t="shared" si="2"/>
        <v>46675</v>
      </c>
      <c r="Q524" s="139">
        <f t="shared" si="3"/>
        <v>0.18806666666666666</v>
      </c>
      <c r="R524" s="139">
        <f t="shared" si="74"/>
        <v>0</v>
      </c>
      <c r="S524" s="139">
        <f t="shared" si="35"/>
        <v>0.41</v>
      </c>
      <c r="T524" s="139">
        <f t="shared" si="454"/>
        <v>46.68</v>
      </c>
      <c r="U524" s="139">
        <f t="shared" ref="U524:U525" si="468">ROUND(P524*K$1812,2)</f>
        <v>7</v>
      </c>
      <c r="V524" s="139">
        <f>ROUND(P524*L$1809,2)+1</f>
        <v>2.2800000000000002</v>
      </c>
      <c r="W524" s="139">
        <f t="shared" si="217"/>
        <v>0.05</v>
      </c>
      <c r="X524" s="140">
        <f t="shared" si="9"/>
        <v>56.419999999999995</v>
      </c>
      <c r="Y524" s="141">
        <f t="shared" ref="Y524:Y525" si="469">-ROUND(P524+SUM(R524:W524),2)</f>
        <v>-46731.42</v>
      </c>
      <c r="Z524" s="142">
        <f t="shared" si="402"/>
        <v>-46731</v>
      </c>
      <c r="AA524" s="143">
        <f t="shared" si="47"/>
        <v>0.41999999999825377</v>
      </c>
      <c r="AB524" s="133"/>
      <c r="AC524" s="144">
        <f t="shared" si="12"/>
        <v>1.209E-3</v>
      </c>
      <c r="AD524" s="145">
        <f t="shared" si="13"/>
        <v>0</v>
      </c>
      <c r="AE524" s="146" t="s">
        <v>403</v>
      </c>
      <c r="AF524" s="119"/>
    </row>
    <row r="525" spans="1:32" ht="12" customHeight="1">
      <c r="A525" s="148">
        <v>44651</v>
      </c>
      <c r="B525" s="149" t="s">
        <v>599</v>
      </c>
      <c r="C525" s="149"/>
      <c r="D525" s="149"/>
      <c r="E525" s="149"/>
      <c r="F525" s="149"/>
      <c r="G525" s="149"/>
      <c r="H525" s="135" t="s">
        <v>453</v>
      </c>
      <c r="I525" s="134" t="s">
        <v>469</v>
      </c>
      <c r="J525" s="135" t="s">
        <v>471</v>
      </c>
      <c r="K525" s="136">
        <v>20</v>
      </c>
      <c r="L525" s="137">
        <v>1565</v>
      </c>
      <c r="M525" s="138">
        <f t="shared" si="38"/>
        <v>0</v>
      </c>
      <c r="N525" s="138">
        <f t="shared" si="467"/>
        <v>1565</v>
      </c>
      <c r="O525" s="138"/>
      <c r="P525" s="138">
        <f t="shared" si="2"/>
        <v>31300</v>
      </c>
      <c r="Q525" s="139">
        <f t="shared" si="3"/>
        <v>1.8519999999999999</v>
      </c>
      <c r="R525" s="139">
        <f t="shared" si="74"/>
        <v>0</v>
      </c>
      <c r="S525" s="139">
        <f t="shared" si="35"/>
        <v>0.15</v>
      </c>
      <c r="T525" s="139">
        <f t="shared" si="454"/>
        <v>31.3</v>
      </c>
      <c r="U525" s="139">
        <f t="shared" si="468"/>
        <v>4.7</v>
      </c>
      <c r="V525" s="139">
        <f t="shared" ref="V525:V533" si="470">ROUND(P525*L$1809,2)</f>
        <v>0.86</v>
      </c>
      <c r="W525" s="139">
        <f t="shared" si="217"/>
        <v>0.03</v>
      </c>
      <c r="X525" s="140">
        <f t="shared" si="9"/>
        <v>37.04</v>
      </c>
      <c r="Y525" s="141">
        <f t="shared" si="469"/>
        <v>-31337.040000000001</v>
      </c>
      <c r="Z525" s="142">
        <f t="shared" si="402"/>
        <v>-31337</v>
      </c>
      <c r="AA525" s="143">
        <f t="shared" si="47"/>
        <v>4.0000000000873115E-2</v>
      </c>
      <c r="AB525" s="133"/>
      <c r="AC525" s="144">
        <f t="shared" si="12"/>
        <v>1.183E-3</v>
      </c>
      <c r="AD525" s="145">
        <f t="shared" si="13"/>
        <v>0</v>
      </c>
      <c r="AE525" s="146" t="s">
        <v>403</v>
      </c>
      <c r="AF525" s="119"/>
    </row>
    <row r="526" spans="1:32" ht="12" customHeight="1">
      <c r="A526" s="150">
        <v>44652</v>
      </c>
      <c r="B526" s="151" t="s">
        <v>575</v>
      </c>
      <c r="C526" s="151"/>
      <c r="D526" s="151"/>
      <c r="E526" s="151"/>
      <c r="F526" s="151"/>
      <c r="G526" s="151"/>
      <c r="H526" s="122" t="s">
        <v>446</v>
      </c>
      <c r="I526" s="121" t="s">
        <v>469</v>
      </c>
      <c r="J526" s="122" t="s">
        <v>448</v>
      </c>
      <c r="K526" s="123">
        <v>298</v>
      </c>
      <c r="L526" s="124">
        <v>1162.22063</v>
      </c>
      <c r="M526" s="125">
        <f t="shared" si="38"/>
        <v>0</v>
      </c>
      <c r="N526" s="125">
        <f>L526-M526</f>
        <v>1162.22063</v>
      </c>
      <c r="O526" s="125"/>
      <c r="P526" s="125">
        <f t="shared" si="2"/>
        <v>346341.75</v>
      </c>
      <c r="Q526" s="126">
        <f t="shared" si="3"/>
        <v>1.2010738255033555</v>
      </c>
      <c r="R526" s="126">
        <f t="shared" si="74"/>
        <v>0</v>
      </c>
      <c r="S526" s="126">
        <f t="shared" si="35"/>
        <v>1.71</v>
      </c>
      <c r="T526" s="126">
        <f t="shared" si="454"/>
        <v>346.34</v>
      </c>
      <c r="U526" s="126">
        <v>0</v>
      </c>
      <c r="V526" s="126">
        <f t="shared" si="470"/>
        <v>9.52</v>
      </c>
      <c r="W526" s="126">
        <f t="shared" si="217"/>
        <v>0.35</v>
      </c>
      <c r="X526" s="126">
        <f t="shared" si="9"/>
        <v>357.91999999999996</v>
      </c>
      <c r="Y526" s="127">
        <f>ROUND(P526-SUM(R526:W526),2)</f>
        <v>345983.83</v>
      </c>
      <c r="Z526" s="128">
        <f t="shared" si="402"/>
        <v>345984</v>
      </c>
      <c r="AA526" s="129">
        <f t="shared" si="47"/>
        <v>0.16999999998370185</v>
      </c>
      <c r="AB526" s="120"/>
      <c r="AC526" s="130">
        <f t="shared" si="12"/>
        <v>1.0330000000000001E-3</v>
      </c>
      <c r="AD526" s="131">
        <f t="shared" si="13"/>
        <v>0</v>
      </c>
      <c r="AE526" s="132" t="s">
        <v>403</v>
      </c>
      <c r="AF526" s="119"/>
    </row>
    <row r="527" spans="1:32" ht="12" customHeight="1">
      <c r="A527" s="148">
        <v>44652</v>
      </c>
      <c r="B527" s="149" t="s">
        <v>600</v>
      </c>
      <c r="C527" s="149"/>
      <c r="D527" s="149"/>
      <c r="E527" s="149"/>
      <c r="F527" s="149"/>
      <c r="G527" s="149"/>
      <c r="H527" s="135" t="s">
        <v>453</v>
      </c>
      <c r="I527" s="134" t="s">
        <v>469</v>
      </c>
      <c r="J527" s="135" t="s">
        <v>471</v>
      </c>
      <c r="K527" s="136">
        <v>25</v>
      </c>
      <c r="L527" s="137">
        <v>788</v>
      </c>
      <c r="M527" s="138">
        <f t="shared" si="38"/>
        <v>0</v>
      </c>
      <c r="N527" s="138">
        <f>L527+M527</f>
        <v>788</v>
      </c>
      <c r="O527" s="138"/>
      <c r="P527" s="138">
        <f t="shared" si="2"/>
        <v>19700</v>
      </c>
      <c r="Q527" s="139">
        <f t="shared" si="3"/>
        <v>0.93279999999999996</v>
      </c>
      <c r="R527" s="139">
        <f t="shared" si="74"/>
        <v>0</v>
      </c>
      <c r="S527" s="139">
        <f t="shared" si="35"/>
        <v>0.1</v>
      </c>
      <c r="T527" s="139">
        <f t="shared" si="454"/>
        <v>19.7</v>
      </c>
      <c r="U527" s="139">
        <f>ROUND(P527*K$1812,2)</f>
        <v>2.96</v>
      </c>
      <c r="V527" s="139">
        <f t="shared" si="470"/>
        <v>0.54</v>
      </c>
      <c r="W527" s="139">
        <f t="shared" si="217"/>
        <v>0.02</v>
      </c>
      <c r="X527" s="140">
        <f t="shared" si="9"/>
        <v>23.32</v>
      </c>
      <c r="Y527" s="141">
        <f>-ROUND(P527+SUM(R527:W527),2)</f>
        <v>-19723.32</v>
      </c>
      <c r="Z527" s="142">
        <f t="shared" si="402"/>
        <v>-19723</v>
      </c>
      <c r="AA527" s="143">
        <f t="shared" si="47"/>
        <v>0.31999999999970896</v>
      </c>
      <c r="AB527" s="133"/>
      <c r="AC527" s="144">
        <f t="shared" si="12"/>
        <v>1.1839999999999999E-3</v>
      </c>
      <c r="AD527" s="145">
        <f t="shared" si="13"/>
        <v>0</v>
      </c>
      <c r="AE527" s="146" t="s">
        <v>403</v>
      </c>
      <c r="AF527" s="119"/>
    </row>
    <row r="528" spans="1:32" ht="12" customHeight="1">
      <c r="A528" s="150">
        <v>44652</v>
      </c>
      <c r="B528" s="151" t="s">
        <v>457</v>
      </c>
      <c r="C528" s="151"/>
      <c r="D528" s="151"/>
      <c r="E528" s="151"/>
      <c r="F528" s="151"/>
      <c r="G528" s="151"/>
      <c r="H528" s="122" t="s">
        <v>446</v>
      </c>
      <c r="I528" s="121" t="s">
        <v>469</v>
      </c>
      <c r="J528" s="122" t="s">
        <v>471</v>
      </c>
      <c r="K528" s="123">
        <v>100</v>
      </c>
      <c r="L528" s="124">
        <v>52.25</v>
      </c>
      <c r="M528" s="125">
        <f t="shared" si="38"/>
        <v>0</v>
      </c>
      <c r="N528" s="125">
        <f t="shared" ref="N528:N535" si="471">L528-M528</f>
        <v>52.25</v>
      </c>
      <c r="O528" s="125"/>
      <c r="P528" s="125">
        <f t="shared" si="2"/>
        <v>5225</v>
      </c>
      <c r="Q528" s="126">
        <f t="shared" si="3"/>
        <v>5.4100000000000002E-2</v>
      </c>
      <c r="R528" s="126">
        <f t="shared" si="74"/>
        <v>0</v>
      </c>
      <c r="S528" s="126">
        <f t="shared" si="35"/>
        <v>0.03</v>
      </c>
      <c r="T528" s="126">
        <f t="shared" si="454"/>
        <v>5.23</v>
      </c>
      <c r="U528" s="126">
        <v>0</v>
      </c>
      <c r="V528" s="126">
        <f t="shared" si="470"/>
        <v>0.14000000000000001</v>
      </c>
      <c r="W528" s="126">
        <f t="shared" si="217"/>
        <v>0.01</v>
      </c>
      <c r="X528" s="126">
        <f t="shared" si="9"/>
        <v>5.41</v>
      </c>
      <c r="Y528" s="127">
        <f t="shared" ref="Y528:Y535" si="472">ROUND(P528-SUM(R528:W528),2)</f>
        <v>5219.59</v>
      </c>
      <c r="Z528" s="128">
        <f t="shared" si="402"/>
        <v>5220</v>
      </c>
      <c r="AA528" s="129">
        <f t="shared" si="47"/>
        <v>0.40999999999985448</v>
      </c>
      <c r="AB528" s="120"/>
      <c r="AC528" s="130">
        <f t="shared" si="12"/>
        <v>1.0349999999999999E-3</v>
      </c>
      <c r="AD528" s="131">
        <f t="shared" si="13"/>
        <v>0</v>
      </c>
      <c r="AE528" s="132" t="s">
        <v>403</v>
      </c>
      <c r="AF528" s="119"/>
    </row>
    <row r="529" spans="1:32" ht="12" customHeight="1">
      <c r="A529" s="150">
        <v>44652</v>
      </c>
      <c r="B529" s="151" t="s">
        <v>591</v>
      </c>
      <c r="C529" s="151"/>
      <c r="D529" s="151"/>
      <c r="E529" s="151"/>
      <c r="F529" s="151"/>
      <c r="G529" s="151"/>
      <c r="H529" s="122" t="s">
        <v>446</v>
      </c>
      <c r="I529" s="121" t="s">
        <v>469</v>
      </c>
      <c r="J529" s="122" t="s">
        <v>471</v>
      </c>
      <c r="K529" s="123">
        <v>50</v>
      </c>
      <c r="L529" s="124">
        <v>372</v>
      </c>
      <c r="M529" s="125">
        <f t="shared" si="38"/>
        <v>0</v>
      </c>
      <c r="N529" s="125">
        <f t="shared" si="471"/>
        <v>372</v>
      </c>
      <c r="O529" s="125"/>
      <c r="P529" s="125">
        <f t="shared" si="2"/>
        <v>18600</v>
      </c>
      <c r="Q529" s="126">
        <f t="shared" si="3"/>
        <v>0.38440000000000007</v>
      </c>
      <c r="R529" s="126">
        <f t="shared" si="74"/>
        <v>0</v>
      </c>
      <c r="S529" s="126">
        <f t="shared" si="35"/>
        <v>0.09</v>
      </c>
      <c r="T529" s="126">
        <f t="shared" si="454"/>
        <v>18.600000000000001</v>
      </c>
      <c r="U529" s="126">
        <v>0</v>
      </c>
      <c r="V529" s="126">
        <f t="shared" si="470"/>
        <v>0.51</v>
      </c>
      <c r="W529" s="126">
        <f t="shared" si="217"/>
        <v>0.02</v>
      </c>
      <c r="X529" s="126">
        <f t="shared" si="9"/>
        <v>19.220000000000002</v>
      </c>
      <c r="Y529" s="127">
        <f t="shared" si="472"/>
        <v>18580.78</v>
      </c>
      <c r="Z529" s="128">
        <f t="shared" si="402"/>
        <v>18581</v>
      </c>
      <c r="AA529" s="129">
        <f t="shared" si="47"/>
        <v>0.22000000000116415</v>
      </c>
      <c r="AB529" s="120"/>
      <c r="AC529" s="130">
        <f t="shared" si="12"/>
        <v>1.0330000000000001E-3</v>
      </c>
      <c r="AD529" s="131">
        <f t="shared" si="13"/>
        <v>0</v>
      </c>
      <c r="AE529" s="132" t="s">
        <v>403</v>
      </c>
      <c r="AF529" s="119"/>
    </row>
    <row r="530" spans="1:32" ht="12" customHeight="1">
      <c r="A530" s="150">
        <v>44652</v>
      </c>
      <c r="B530" s="151" t="s">
        <v>513</v>
      </c>
      <c r="C530" s="151"/>
      <c r="D530" s="151"/>
      <c r="E530" s="151"/>
      <c r="F530" s="151"/>
      <c r="G530" s="151"/>
      <c r="H530" s="122" t="s">
        <v>446</v>
      </c>
      <c r="I530" s="121" t="s">
        <v>469</v>
      </c>
      <c r="J530" s="122" t="s">
        <v>471</v>
      </c>
      <c r="K530" s="123">
        <v>80</v>
      </c>
      <c r="L530" s="124">
        <v>372</v>
      </c>
      <c r="M530" s="125">
        <f t="shared" si="38"/>
        <v>0</v>
      </c>
      <c r="N530" s="125">
        <f t="shared" si="471"/>
        <v>372</v>
      </c>
      <c r="O530" s="125"/>
      <c r="P530" s="125">
        <f t="shared" si="2"/>
        <v>29760</v>
      </c>
      <c r="Q530" s="126">
        <f t="shared" si="3"/>
        <v>0.38450000000000001</v>
      </c>
      <c r="R530" s="126">
        <f t="shared" si="74"/>
        <v>0</v>
      </c>
      <c r="S530" s="126">
        <f t="shared" si="35"/>
        <v>0.15</v>
      </c>
      <c r="T530" s="126">
        <f t="shared" si="454"/>
        <v>29.76</v>
      </c>
      <c r="U530" s="126">
        <v>0</v>
      </c>
      <c r="V530" s="126">
        <f t="shared" si="470"/>
        <v>0.82</v>
      </c>
      <c r="W530" s="126">
        <f t="shared" si="217"/>
        <v>0.03</v>
      </c>
      <c r="X530" s="126">
        <f t="shared" si="9"/>
        <v>30.76</v>
      </c>
      <c r="Y530" s="127">
        <f t="shared" si="472"/>
        <v>29729.24</v>
      </c>
      <c r="Z530" s="128">
        <f t="shared" si="402"/>
        <v>29729</v>
      </c>
      <c r="AA530" s="129">
        <f t="shared" si="47"/>
        <v>-0.24000000000160071</v>
      </c>
      <c r="AB530" s="120"/>
      <c r="AC530" s="130">
        <f t="shared" si="12"/>
        <v>1.034E-3</v>
      </c>
      <c r="AD530" s="131">
        <f t="shared" si="13"/>
        <v>0</v>
      </c>
      <c r="AE530" s="132" t="s">
        <v>403</v>
      </c>
      <c r="AF530" s="119"/>
    </row>
    <row r="531" spans="1:32" ht="12" customHeight="1">
      <c r="A531" s="150">
        <v>44652</v>
      </c>
      <c r="B531" s="151" t="s">
        <v>597</v>
      </c>
      <c r="C531" s="151"/>
      <c r="D531" s="151"/>
      <c r="E531" s="151"/>
      <c r="F531" s="151"/>
      <c r="G531" s="151"/>
      <c r="H531" s="122" t="s">
        <v>446</v>
      </c>
      <c r="I531" s="121" t="s">
        <v>469</v>
      </c>
      <c r="J531" s="122" t="s">
        <v>471</v>
      </c>
      <c r="K531" s="123">
        <v>50</v>
      </c>
      <c r="L531" s="124">
        <v>238.5</v>
      </c>
      <c r="M531" s="125">
        <f t="shared" si="38"/>
        <v>0</v>
      </c>
      <c r="N531" s="125">
        <f t="shared" si="471"/>
        <v>238.5</v>
      </c>
      <c r="O531" s="125"/>
      <c r="P531" s="125">
        <f t="shared" si="2"/>
        <v>11925</v>
      </c>
      <c r="Q531" s="126">
        <f t="shared" si="3"/>
        <v>0.24660000000000001</v>
      </c>
      <c r="R531" s="126">
        <f t="shared" si="74"/>
        <v>0</v>
      </c>
      <c r="S531" s="126">
        <f t="shared" si="35"/>
        <v>0.06</v>
      </c>
      <c r="T531" s="126">
        <f t="shared" si="454"/>
        <v>11.93</v>
      </c>
      <c r="U531" s="126">
        <v>0</v>
      </c>
      <c r="V531" s="126">
        <f t="shared" si="470"/>
        <v>0.33</v>
      </c>
      <c r="W531" s="126">
        <f t="shared" si="217"/>
        <v>0.01</v>
      </c>
      <c r="X531" s="126">
        <f t="shared" si="9"/>
        <v>12.33</v>
      </c>
      <c r="Y531" s="127">
        <f t="shared" si="472"/>
        <v>11912.67</v>
      </c>
      <c r="Z531" s="128">
        <f t="shared" si="402"/>
        <v>11913</v>
      </c>
      <c r="AA531" s="129">
        <f t="shared" si="47"/>
        <v>0.32999999999992724</v>
      </c>
      <c r="AB531" s="120"/>
      <c r="AC531" s="130">
        <f t="shared" si="12"/>
        <v>1.034E-3</v>
      </c>
      <c r="AD531" s="131">
        <f t="shared" si="13"/>
        <v>0</v>
      </c>
      <c r="AE531" s="132" t="s">
        <v>403</v>
      </c>
      <c r="AF531" s="119"/>
    </row>
    <row r="532" spans="1:32" ht="12" customHeight="1">
      <c r="A532" s="150">
        <v>44652</v>
      </c>
      <c r="B532" s="151" t="s">
        <v>481</v>
      </c>
      <c r="C532" s="151"/>
      <c r="D532" s="151"/>
      <c r="E532" s="151"/>
      <c r="F532" s="151"/>
      <c r="G532" s="151"/>
      <c r="H532" s="122" t="s">
        <v>446</v>
      </c>
      <c r="I532" s="121" t="s">
        <v>469</v>
      </c>
      <c r="J532" s="122" t="s">
        <v>471</v>
      </c>
      <c r="K532" s="123">
        <v>300</v>
      </c>
      <c r="L532" s="124">
        <v>101</v>
      </c>
      <c r="M532" s="125">
        <f t="shared" si="38"/>
        <v>0</v>
      </c>
      <c r="N532" s="125">
        <f t="shared" si="471"/>
        <v>101</v>
      </c>
      <c r="O532" s="125"/>
      <c r="P532" s="125">
        <f t="shared" si="2"/>
        <v>30300</v>
      </c>
      <c r="Q532" s="126">
        <f t="shared" si="3"/>
        <v>0.10436666666666666</v>
      </c>
      <c r="R532" s="126">
        <f t="shared" si="74"/>
        <v>0</v>
      </c>
      <c r="S532" s="126">
        <f t="shared" si="35"/>
        <v>0.15</v>
      </c>
      <c r="T532" s="126">
        <f t="shared" si="454"/>
        <v>30.3</v>
      </c>
      <c r="U532" s="126">
        <v>0</v>
      </c>
      <c r="V532" s="126">
        <f t="shared" si="470"/>
        <v>0.83</v>
      </c>
      <c r="W532" s="126">
        <f t="shared" si="217"/>
        <v>0.03</v>
      </c>
      <c r="X532" s="126">
        <f t="shared" si="9"/>
        <v>31.31</v>
      </c>
      <c r="Y532" s="127">
        <f t="shared" si="472"/>
        <v>30268.69</v>
      </c>
      <c r="Z532" s="128">
        <f t="shared" si="402"/>
        <v>30269</v>
      </c>
      <c r="AA532" s="129">
        <f t="shared" si="47"/>
        <v>0.31000000000130967</v>
      </c>
      <c r="AB532" s="120"/>
      <c r="AC532" s="130">
        <f t="shared" si="12"/>
        <v>1.0330000000000001E-3</v>
      </c>
      <c r="AD532" s="131">
        <f t="shared" si="13"/>
        <v>0</v>
      </c>
      <c r="AE532" s="132" t="s">
        <v>403</v>
      </c>
      <c r="AF532" s="119"/>
    </row>
    <row r="533" spans="1:32" ht="12" customHeight="1">
      <c r="A533" s="150">
        <v>44652</v>
      </c>
      <c r="B533" s="151" t="s">
        <v>479</v>
      </c>
      <c r="C533" s="151"/>
      <c r="D533" s="151"/>
      <c r="E533" s="151"/>
      <c r="F533" s="151"/>
      <c r="G533" s="151"/>
      <c r="H533" s="122" t="s">
        <v>446</v>
      </c>
      <c r="I533" s="121" t="s">
        <v>469</v>
      </c>
      <c r="J533" s="122" t="s">
        <v>471</v>
      </c>
      <c r="K533" s="123">
        <v>35</v>
      </c>
      <c r="L533" s="124">
        <v>500</v>
      </c>
      <c r="M533" s="125">
        <f t="shared" si="38"/>
        <v>0</v>
      </c>
      <c r="N533" s="125">
        <f t="shared" si="471"/>
        <v>500</v>
      </c>
      <c r="O533" s="125"/>
      <c r="P533" s="125">
        <f t="shared" si="2"/>
        <v>17500</v>
      </c>
      <c r="Q533" s="126">
        <f t="shared" si="3"/>
        <v>0.5168571428571429</v>
      </c>
      <c r="R533" s="126">
        <f t="shared" si="74"/>
        <v>0</v>
      </c>
      <c r="S533" s="126">
        <f t="shared" si="35"/>
        <v>0.09</v>
      </c>
      <c r="T533" s="126">
        <f t="shared" si="454"/>
        <v>17.5</v>
      </c>
      <c r="U533" s="126">
        <v>0</v>
      </c>
      <c r="V533" s="126">
        <f t="shared" si="470"/>
        <v>0.48</v>
      </c>
      <c r="W533" s="126">
        <f t="shared" si="217"/>
        <v>0.02</v>
      </c>
      <c r="X533" s="126">
        <f t="shared" si="9"/>
        <v>18.09</v>
      </c>
      <c r="Y533" s="127">
        <f t="shared" si="472"/>
        <v>17481.91</v>
      </c>
      <c r="Z533" s="128">
        <f t="shared" si="402"/>
        <v>17482</v>
      </c>
      <c r="AA533" s="129">
        <f t="shared" si="47"/>
        <v>9.0000000000145519E-2</v>
      </c>
      <c r="AB533" s="120"/>
      <c r="AC533" s="130">
        <f t="shared" si="12"/>
        <v>1.034E-3</v>
      </c>
      <c r="AD533" s="131">
        <f t="shared" si="13"/>
        <v>0</v>
      </c>
      <c r="AE533" s="132" t="s">
        <v>403</v>
      </c>
      <c r="AF533" s="119"/>
    </row>
    <row r="534" spans="1:32" ht="12" customHeight="1">
      <c r="A534" s="150">
        <v>44655</v>
      </c>
      <c r="B534" s="151" t="s">
        <v>586</v>
      </c>
      <c r="C534" s="151"/>
      <c r="D534" s="151"/>
      <c r="E534" s="151"/>
      <c r="F534" s="151"/>
      <c r="G534" s="151"/>
      <c r="H534" s="122" t="s">
        <v>446</v>
      </c>
      <c r="I534" s="121" t="s">
        <v>469</v>
      </c>
      <c r="J534" s="122" t="s">
        <v>471</v>
      </c>
      <c r="K534" s="123">
        <v>300</v>
      </c>
      <c r="L534" s="124">
        <v>9.81</v>
      </c>
      <c r="M534" s="125">
        <f t="shared" si="38"/>
        <v>0</v>
      </c>
      <c r="N534" s="125">
        <f t="shared" si="471"/>
        <v>9.81</v>
      </c>
      <c r="O534" s="125"/>
      <c r="P534" s="125">
        <f t="shared" si="2"/>
        <v>2943</v>
      </c>
      <c r="Q534" s="126">
        <f t="shared" si="3"/>
        <v>2.1366666666666666E-2</v>
      </c>
      <c r="R534" s="126">
        <f t="shared" si="74"/>
        <v>0</v>
      </c>
      <c r="S534" s="126">
        <f t="shared" si="35"/>
        <v>0.53</v>
      </c>
      <c r="T534" s="126">
        <f t="shared" si="454"/>
        <v>2.94</v>
      </c>
      <c r="U534" s="126">
        <v>0</v>
      </c>
      <c r="V534" s="126">
        <f>ROUND(P534*0.1%,2)</f>
        <v>2.94</v>
      </c>
      <c r="W534" s="126">
        <f t="shared" si="217"/>
        <v>0</v>
      </c>
      <c r="X534" s="126">
        <f t="shared" si="9"/>
        <v>6.41</v>
      </c>
      <c r="Y534" s="127">
        <f t="shared" si="472"/>
        <v>2936.59</v>
      </c>
      <c r="Z534" s="128">
        <f t="shared" si="402"/>
        <v>2937</v>
      </c>
      <c r="AA534" s="129">
        <f t="shared" si="47"/>
        <v>0.40999999999985448</v>
      </c>
      <c r="AB534" s="120"/>
      <c r="AC534" s="130">
        <f t="shared" si="12"/>
        <v>2.1779999999999998E-3</v>
      </c>
      <c r="AD534" s="131">
        <f t="shared" si="13"/>
        <v>0</v>
      </c>
      <c r="AE534" s="132" t="s">
        <v>403</v>
      </c>
      <c r="AF534" s="119"/>
    </row>
    <row r="535" spans="1:32" ht="12" customHeight="1">
      <c r="A535" s="150">
        <v>44655</v>
      </c>
      <c r="B535" s="156" t="s">
        <v>296</v>
      </c>
      <c r="C535" s="156"/>
      <c r="D535" s="156"/>
      <c r="E535" s="156"/>
      <c r="F535" s="156"/>
      <c r="G535" s="156"/>
      <c r="H535" s="122" t="s">
        <v>446</v>
      </c>
      <c r="I535" s="121" t="s">
        <v>469</v>
      </c>
      <c r="J535" s="122" t="s">
        <v>471</v>
      </c>
      <c r="K535" s="123">
        <v>100</v>
      </c>
      <c r="L535" s="124">
        <v>167.5</v>
      </c>
      <c r="M535" s="125">
        <f t="shared" si="38"/>
        <v>0</v>
      </c>
      <c r="N535" s="125">
        <f t="shared" si="471"/>
        <v>167.5</v>
      </c>
      <c r="O535" s="125"/>
      <c r="P535" s="125">
        <f t="shared" si="2"/>
        <v>16750</v>
      </c>
      <c r="Q535" s="126">
        <f t="shared" si="3"/>
        <v>0.17309999999999998</v>
      </c>
      <c r="R535" s="126">
        <f t="shared" si="74"/>
        <v>0</v>
      </c>
      <c r="S535" s="126">
        <f t="shared" si="35"/>
        <v>0.08</v>
      </c>
      <c r="T535" s="126">
        <f t="shared" si="454"/>
        <v>16.75</v>
      </c>
      <c r="U535" s="126">
        <v>0</v>
      </c>
      <c r="V535" s="126">
        <f t="shared" ref="V535:V538" si="473">ROUND(P535*L$1809,2)</f>
        <v>0.46</v>
      </c>
      <c r="W535" s="126">
        <f t="shared" si="217"/>
        <v>0.02</v>
      </c>
      <c r="X535" s="126">
        <f t="shared" si="9"/>
        <v>17.309999999999999</v>
      </c>
      <c r="Y535" s="127">
        <f t="shared" si="472"/>
        <v>16732.689999999999</v>
      </c>
      <c r="Z535" s="128">
        <f t="shared" si="402"/>
        <v>16733</v>
      </c>
      <c r="AA535" s="129">
        <f t="shared" si="47"/>
        <v>0.31000000000130967</v>
      </c>
      <c r="AB535" s="120"/>
      <c r="AC535" s="130">
        <f t="shared" si="12"/>
        <v>1.0330000000000001E-3</v>
      </c>
      <c r="AD535" s="131">
        <f t="shared" si="13"/>
        <v>0</v>
      </c>
      <c r="AE535" s="132" t="s">
        <v>403</v>
      </c>
      <c r="AF535" s="119"/>
    </row>
    <row r="536" spans="1:32" ht="12" customHeight="1">
      <c r="A536" s="148">
        <v>44655</v>
      </c>
      <c r="B536" s="149" t="s">
        <v>575</v>
      </c>
      <c r="C536" s="149"/>
      <c r="D536" s="149"/>
      <c r="E536" s="149"/>
      <c r="F536" s="149"/>
      <c r="G536" s="149"/>
      <c r="H536" s="135" t="s">
        <v>453</v>
      </c>
      <c r="I536" s="134" t="s">
        <v>469</v>
      </c>
      <c r="J536" s="135" t="s">
        <v>448</v>
      </c>
      <c r="K536" s="136">
        <v>50</v>
      </c>
      <c r="L536" s="137">
        <v>1194.25</v>
      </c>
      <c r="M536" s="138">
        <f t="shared" si="38"/>
        <v>0</v>
      </c>
      <c r="N536" s="138">
        <f>L536+M536</f>
        <v>1194.25</v>
      </c>
      <c r="O536" s="138"/>
      <c r="P536" s="138">
        <f t="shared" si="2"/>
        <v>59712.5</v>
      </c>
      <c r="Q536" s="139">
        <f t="shared" si="3"/>
        <v>1.4134</v>
      </c>
      <c r="R536" s="139">
        <f t="shared" si="74"/>
        <v>0</v>
      </c>
      <c r="S536" s="139">
        <f t="shared" si="35"/>
        <v>0.3</v>
      </c>
      <c r="T536" s="139">
        <f t="shared" si="454"/>
        <v>59.71</v>
      </c>
      <c r="U536" s="139">
        <f>ROUND(P536*K$1812,2)</f>
        <v>8.9600000000000009</v>
      </c>
      <c r="V536" s="139">
        <f t="shared" si="473"/>
        <v>1.64</v>
      </c>
      <c r="W536" s="139">
        <f t="shared" si="217"/>
        <v>0.06</v>
      </c>
      <c r="X536" s="140">
        <f t="shared" si="9"/>
        <v>70.67</v>
      </c>
      <c r="Y536" s="141">
        <f>-ROUND(P536+SUM(R536:W536),2)</f>
        <v>-59783.17</v>
      </c>
      <c r="Z536" s="142">
        <f t="shared" si="402"/>
        <v>-59783</v>
      </c>
      <c r="AA536" s="143">
        <f t="shared" si="47"/>
        <v>0.16999999999825377</v>
      </c>
      <c r="AB536" s="133"/>
      <c r="AC536" s="144">
        <f t="shared" si="12"/>
        <v>1.1839999999999999E-3</v>
      </c>
      <c r="AD536" s="145">
        <f t="shared" si="13"/>
        <v>0</v>
      </c>
      <c r="AE536" s="146" t="s">
        <v>403</v>
      </c>
      <c r="AF536" s="119"/>
    </row>
    <row r="537" spans="1:32" ht="12" customHeight="1">
      <c r="A537" s="150">
        <v>44656</v>
      </c>
      <c r="B537" s="151" t="s">
        <v>575</v>
      </c>
      <c r="C537" s="151"/>
      <c r="D537" s="151"/>
      <c r="E537" s="151"/>
      <c r="F537" s="151"/>
      <c r="G537" s="151"/>
      <c r="H537" s="122" t="s">
        <v>446</v>
      </c>
      <c r="I537" s="121" t="s">
        <v>469</v>
      </c>
      <c r="J537" s="122" t="s">
        <v>448</v>
      </c>
      <c r="K537" s="123">
        <v>50</v>
      </c>
      <c r="L537" s="124">
        <v>1203</v>
      </c>
      <c r="M537" s="125">
        <f t="shared" si="38"/>
        <v>0</v>
      </c>
      <c r="N537" s="125">
        <f>L537-M537</f>
        <v>1203</v>
      </c>
      <c r="O537" s="125"/>
      <c r="P537" s="125">
        <f t="shared" si="2"/>
        <v>60150</v>
      </c>
      <c r="Q537" s="126">
        <f t="shared" si="3"/>
        <v>1.2431999999999999</v>
      </c>
      <c r="R537" s="126">
        <f t="shared" si="74"/>
        <v>0</v>
      </c>
      <c r="S537" s="126">
        <f t="shared" si="35"/>
        <v>0.3</v>
      </c>
      <c r="T537" s="126">
        <f t="shared" si="454"/>
        <v>60.15</v>
      </c>
      <c r="U537" s="126">
        <v>0</v>
      </c>
      <c r="V537" s="126">
        <f t="shared" si="473"/>
        <v>1.65</v>
      </c>
      <c r="W537" s="126">
        <f t="shared" si="217"/>
        <v>0.06</v>
      </c>
      <c r="X537" s="126">
        <f t="shared" si="9"/>
        <v>62.16</v>
      </c>
      <c r="Y537" s="127">
        <f>ROUND(P537-SUM(R537:W537),2)</f>
        <v>60087.839999999997</v>
      </c>
      <c r="Z537" s="128">
        <f t="shared" si="402"/>
        <v>60088</v>
      </c>
      <c r="AA537" s="129">
        <f t="shared" si="47"/>
        <v>0.16000000000349246</v>
      </c>
      <c r="AB537" s="120"/>
      <c r="AC537" s="130">
        <f t="shared" si="12"/>
        <v>1.0330000000000001E-3</v>
      </c>
      <c r="AD537" s="131">
        <f t="shared" si="13"/>
        <v>0</v>
      </c>
      <c r="AE537" s="132" t="s">
        <v>403</v>
      </c>
      <c r="AF537" s="119"/>
    </row>
    <row r="538" spans="1:32" ht="12" customHeight="1">
      <c r="A538" s="148">
        <v>44656</v>
      </c>
      <c r="B538" s="149" t="s">
        <v>587</v>
      </c>
      <c r="C538" s="149"/>
      <c r="D538" s="149"/>
      <c r="E538" s="149"/>
      <c r="F538" s="149"/>
      <c r="G538" s="149"/>
      <c r="H538" s="135" t="s">
        <v>453</v>
      </c>
      <c r="I538" s="134" t="s">
        <v>469</v>
      </c>
      <c r="J538" s="135" t="s">
        <v>471</v>
      </c>
      <c r="K538" s="136">
        <v>100</v>
      </c>
      <c r="L538" s="137">
        <v>99.5</v>
      </c>
      <c r="M538" s="138">
        <f t="shared" si="38"/>
        <v>0</v>
      </c>
      <c r="N538" s="138">
        <f>L538+M538</f>
        <v>99.5</v>
      </c>
      <c r="O538" s="138"/>
      <c r="P538" s="138">
        <f t="shared" si="2"/>
        <v>9950</v>
      </c>
      <c r="Q538" s="139">
        <f t="shared" si="3"/>
        <v>0.1177</v>
      </c>
      <c r="R538" s="139">
        <f t="shared" si="74"/>
        <v>0</v>
      </c>
      <c r="S538" s="139">
        <f t="shared" si="35"/>
        <v>0.05</v>
      </c>
      <c r="T538" s="139">
        <f t="shared" si="454"/>
        <v>9.9499999999999993</v>
      </c>
      <c r="U538" s="139">
        <f>ROUND(P538*K$1812,2)</f>
        <v>1.49</v>
      </c>
      <c r="V538" s="139">
        <f t="shared" si="473"/>
        <v>0.27</v>
      </c>
      <c r="W538" s="139">
        <f t="shared" si="217"/>
        <v>0.01</v>
      </c>
      <c r="X538" s="140">
        <f t="shared" si="9"/>
        <v>11.77</v>
      </c>
      <c r="Y538" s="141">
        <f>-ROUND(P538+SUM(R538:W538),2)</f>
        <v>-9961.77</v>
      </c>
      <c r="Z538" s="142">
        <f t="shared" si="402"/>
        <v>-9962</v>
      </c>
      <c r="AA538" s="143">
        <f t="shared" si="47"/>
        <v>-0.22999999999956344</v>
      </c>
      <c r="AB538" s="133"/>
      <c r="AC538" s="144">
        <f t="shared" si="12"/>
        <v>1.183E-3</v>
      </c>
      <c r="AD538" s="145">
        <f t="shared" si="13"/>
        <v>0</v>
      </c>
      <c r="AE538" s="146" t="s">
        <v>403</v>
      </c>
      <c r="AF538" s="119"/>
    </row>
    <row r="539" spans="1:32" ht="12" customHeight="1">
      <c r="A539" s="150">
        <v>44656</v>
      </c>
      <c r="B539" s="151" t="s">
        <v>586</v>
      </c>
      <c r="C539" s="151"/>
      <c r="D539" s="151"/>
      <c r="E539" s="151"/>
      <c r="F539" s="151"/>
      <c r="G539" s="151"/>
      <c r="H539" s="122" t="s">
        <v>446</v>
      </c>
      <c r="I539" s="121" t="s">
        <v>469</v>
      </c>
      <c r="J539" s="122" t="s">
        <v>471</v>
      </c>
      <c r="K539" s="123">
        <v>200</v>
      </c>
      <c r="L539" s="124">
        <v>10.3</v>
      </c>
      <c r="M539" s="125">
        <f t="shared" si="38"/>
        <v>0</v>
      </c>
      <c r="N539" s="125">
        <f>L539-M539</f>
        <v>10.3</v>
      </c>
      <c r="O539" s="125"/>
      <c r="P539" s="125">
        <f t="shared" si="2"/>
        <v>2060</v>
      </c>
      <c r="Q539" s="126">
        <f t="shared" si="3"/>
        <v>2.2450000000000001E-2</v>
      </c>
      <c r="R539" s="126">
        <f t="shared" si="74"/>
        <v>0</v>
      </c>
      <c r="S539" s="126">
        <f t="shared" si="35"/>
        <v>0.37</v>
      </c>
      <c r="T539" s="126">
        <f t="shared" si="454"/>
        <v>2.06</v>
      </c>
      <c r="U539" s="126">
        <v>0</v>
      </c>
      <c r="V539" s="126">
        <f>ROUND(P539*0.1%,2)</f>
        <v>2.06</v>
      </c>
      <c r="W539" s="126">
        <f t="shared" si="217"/>
        <v>0</v>
      </c>
      <c r="X539" s="126">
        <f t="shared" si="9"/>
        <v>4.49</v>
      </c>
      <c r="Y539" s="127">
        <f>ROUND(P539-SUM(R539:W539),2)</f>
        <v>2055.5100000000002</v>
      </c>
      <c r="Z539" s="128">
        <f t="shared" si="402"/>
        <v>2056</v>
      </c>
      <c r="AA539" s="129">
        <f t="shared" si="47"/>
        <v>0.48999999999978172</v>
      </c>
      <c r="AB539" s="120"/>
      <c r="AC539" s="130">
        <f t="shared" si="12"/>
        <v>2.1800000000000001E-3</v>
      </c>
      <c r="AD539" s="131">
        <f t="shared" si="13"/>
        <v>0</v>
      </c>
      <c r="AE539" s="132" t="s">
        <v>403</v>
      </c>
      <c r="AF539" s="119"/>
    </row>
    <row r="540" spans="1:32" ht="12" customHeight="1">
      <c r="A540" s="148">
        <v>44657</v>
      </c>
      <c r="B540" s="149" t="s">
        <v>483</v>
      </c>
      <c r="C540" s="149"/>
      <c r="D540" s="149"/>
      <c r="E540" s="149"/>
      <c r="F540" s="149"/>
      <c r="G540" s="149"/>
      <c r="H540" s="135" t="s">
        <v>453</v>
      </c>
      <c r="I540" s="134" t="s">
        <v>469</v>
      </c>
      <c r="J540" s="135" t="s">
        <v>471</v>
      </c>
      <c r="K540" s="136">
        <v>20</v>
      </c>
      <c r="L540" s="137">
        <v>550.5</v>
      </c>
      <c r="M540" s="138">
        <f t="shared" si="38"/>
        <v>0</v>
      </c>
      <c r="N540" s="138">
        <f t="shared" ref="N540:N544" si="474">L540+M540</f>
        <v>550.5</v>
      </c>
      <c r="O540" s="138"/>
      <c r="P540" s="138">
        <f t="shared" si="2"/>
        <v>11010</v>
      </c>
      <c r="Q540" s="139">
        <f t="shared" si="3"/>
        <v>0.65100000000000002</v>
      </c>
      <c r="R540" s="139">
        <f t="shared" si="74"/>
        <v>0</v>
      </c>
      <c r="S540" s="139">
        <f t="shared" si="35"/>
        <v>0.05</v>
      </c>
      <c r="T540" s="139">
        <f t="shared" si="454"/>
        <v>11.01</v>
      </c>
      <c r="U540" s="139">
        <f t="shared" ref="U540:U544" si="475">ROUND(P540*K$1812,2)</f>
        <v>1.65</v>
      </c>
      <c r="V540" s="139">
        <f t="shared" ref="V540:V567" si="476">ROUND(P540*L$1809,2)</f>
        <v>0.3</v>
      </c>
      <c r="W540" s="139">
        <f t="shared" si="217"/>
        <v>0.01</v>
      </c>
      <c r="X540" s="140">
        <f t="shared" si="9"/>
        <v>13.020000000000001</v>
      </c>
      <c r="Y540" s="141">
        <f t="shared" ref="Y540:Y544" si="477">-ROUND(P540+SUM(R540:W540),2)</f>
        <v>-11023.02</v>
      </c>
      <c r="Z540" s="142">
        <f t="shared" si="402"/>
        <v>-11023</v>
      </c>
      <c r="AA540" s="143">
        <f t="shared" si="47"/>
        <v>2.0000000000436557E-2</v>
      </c>
      <c r="AB540" s="133"/>
      <c r="AC540" s="144">
        <f t="shared" si="12"/>
        <v>1.183E-3</v>
      </c>
      <c r="AD540" s="145">
        <f t="shared" si="13"/>
        <v>0</v>
      </c>
      <c r="AE540" s="146" t="s">
        <v>403</v>
      </c>
      <c r="AF540" s="119"/>
    </row>
    <row r="541" spans="1:32" ht="12" customHeight="1">
      <c r="A541" s="148">
        <v>44657</v>
      </c>
      <c r="B541" s="149" t="s">
        <v>458</v>
      </c>
      <c r="C541" s="149"/>
      <c r="D541" s="149"/>
      <c r="E541" s="149"/>
      <c r="F541" s="149"/>
      <c r="G541" s="149"/>
      <c r="H541" s="135" t="s">
        <v>453</v>
      </c>
      <c r="I541" s="134" t="s">
        <v>469</v>
      </c>
      <c r="J541" s="135" t="s">
        <v>471</v>
      </c>
      <c r="K541" s="136">
        <v>10</v>
      </c>
      <c r="L541" s="137">
        <v>1830</v>
      </c>
      <c r="M541" s="138">
        <f t="shared" si="38"/>
        <v>0</v>
      </c>
      <c r="N541" s="138">
        <f t="shared" si="474"/>
        <v>1830</v>
      </c>
      <c r="O541" s="138"/>
      <c r="P541" s="138">
        <f t="shared" si="2"/>
        <v>18300</v>
      </c>
      <c r="Q541" s="139">
        <f t="shared" si="3"/>
        <v>2.1659999999999999</v>
      </c>
      <c r="R541" s="139">
        <f t="shared" si="74"/>
        <v>0</v>
      </c>
      <c r="S541" s="139">
        <f t="shared" si="35"/>
        <v>0.09</v>
      </c>
      <c r="T541" s="139">
        <f t="shared" si="454"/>
        <v>18.3</v>
      </c>
      <c r="U541" s="139">
        <f t="shared" si="475"/>
        <v>2.75</v>
      </c>
      <c r="V541" s="139">
        <f t="shared" si="476"/>
        <v>0.5</v>
      </c>
      <c r="W541" s="139">
        <f t="shared" si="217"/>
        <v>0.02</v>
      </c>
      <c r="X541" s="140">
        <f t="shared" si="9"/>
        <v>21.66</v>
      </c>
      <c r="Y541" s="141">
        <f t="shared" si="477"/>
        <v>-18321.66</v>
      </c>
      <c r="Z541" s="142">
        <f t="shared" si="402"/>
        <v>-18322</v>
      </c>
      <c r="AA541" s="143">
        <f t="shared" si="47"/>
        <v>-0.34000000000014552</v>
      </c>
      <c r="AB541" s="133"/>
      <c r="AC541" s="144">
        <f t="shared" si="12"/>
        <v>1.1839999999999999E-3</v>
      </c>
      <c r="AD541" s="145">
        <f t="shared" si="13"/>
        <v>0</v>
      </c>
      <c r="AE541" s="146" t="s">
        <v>403</v>
      </c>
      <c r="AF541" s="119"/>
    </row>
    <row r="542" spans="1:32" ht="12" customHeight="1">
      <c r="A542" s="148">
        <v>44657</v>
      </c>
      <c r="B542" s="149" t="s">
        <v>504</v>
      </c>
      <c r="C542" s="149"/>
      <c r="D542" s="149"/>
      <c r="E542" s="149"/>
      <c r="F542" s="149"/>
      <c r="G542" s="149"/>
      <c r="H542" s="135" t="s">
        <v>453</v>
      </c>
      <c r="I542" s="134" t="s">
        <v>469</v>
      </c>
      <c r="J542" s="135" t="s">
        <v>471</v>
      </c>
      <c r="K542" s="136">
        <v>30</v>
      </c>
      <c r="L542" s="137">
        <v>459</v>
      </c>
      <c r="M542" s="138">
        <f t="shared" si="38"/>
        <v>0</v>
      </c>
      <c r="N542" s="138">
        <f t="shared" si="474"/>
        <v>459</v>
      </c>
      <c r="O542" s="138"/>
      <c r="P542" s="138">
        <f t="shared" si="2"/>
        <v>13770</v>
      </c>
      <c r="Q542" s="139">
        <f t="shared" si="3"/>
        <v>0.54333333333333333</v>
      </c>
      <c r="R542" s="139">
        <f t="shared" si="74"/>
        <v>0</v>
      </c>
      <c r="S542" s="139">
        <f t="shared" si="35"/>
        <v>7.0000000000000007E-2</v>
      </c>
      <c r="T542" s="139">
        <f t="shared" si="454"/>
        <v>13.77</v>
      </c>
      <c r="U542" s="139">
        <f t="shared" si="475"/>
        <v>2.0699999999999998</v>
      </c>
      <c r="V542" s="139">
        <f t="shared" si="476"/>
        <v>0.38</v>
      </c>
      <c r="W542" s="139">
        <f t="shared" si="217"/>
        <v>0.01</v>
      </c>
      <c r="X542" s="140">
        <f t="shared" si="9"/>
        <v>16.3</v>
      </c>
      <c r="Y542" s="141">
        <f t="shared" si="477"/>
        <v>-13786.3</v>
      </c>
      <c r="Z542" s="142">
        <f t="shared" si="402"/>
        <v>-13786</v>
      </c>
      <c r="AA542" s="143">
        <f t="shared" si="47"/>
        <v>0.2999999999992724</v>
      </c>
      <c r="AB542" s="133"/>
      <c r="AC542" s="144">
        <f t="shared" si="12"/>
        <v>1.1839999999999999E-3</v>
      </c>
      <c r="AD542" s="145">
        <f t="shared" si="13"/>
        <v>0</v>
      </c>
      <c r="AE542" s="146" t="s">
        <v>403</v>
      </c>
      <c r="AF542" s="119"/>
    </row>
    <row r="543" spans="1:32" ht="12" customHeight="1">
      <c r="A543" s="148">
        <v>44658</v>
      </c>
      <c r="B543" s="149" t="s">
        <v>575</v>
      </c>
      <c r="C543" s="149"/>
      <c r="D543" s="149"/>
      <c r="E543" s="149"/>
      <c r="F543" s="149"/>
      <c r="G543" s="149"/>
      <c r="H543" s="135" t="s">
        <v>453</v>
      </c>
      <c r="I543" s="134" t="s">
        <v>469</v>
      </c>
      <c r="J543" s="135" t="s">
        <v>448</v>
      </c>
      <c r="K543" s="136">
        <v>50</v>
      </c>
      <c r="L543" s="137">
        <v>1210</v>
      </c>
      <c r="M543" s="138">
        <f t="shared" si="38"/>
        <v>0</v>
      </c>
      <c r="N543" s="138">
        <f t="shared" si="474"/>
        <v>1210</v>
      </c>
      <c r="O543" s="138"/>
      <c r="P543" s="138">
        <f t="shared" si="2"/>
        <v>60500</v>
      </c>
      <c r="Q543" s="139">
        <f t="shared" si="3"/>
        <v>1.4319999999999999</v>
      </c>
      <c r="R543" s="139">
        <f t="shared" si="74"/>
        <v>0</v>
      </c>
      <c r="S543" s="139">
        <f t="shared" si="35"/>
        <v>0.3</v>
      </c>
      <c r="T543" s="139">
        <f t="shared" si="454"/>
        <v>60.5</v>
      </c>
      <c r="U543" s="139">
        <f t="shared" si="475"/>
        <v>9.08</v>
      </c>
      <c r="V543" s="139">
        <f t="shared" si="476"/>
        <v>1.66</v>
      </c>
      <c r="W543" s="139">
        <f t="shared" si="217"/>
        <v>0.06</v>
      </c>
      <c r="X543" s="140">
        <f t="shared" si="9"/>
        <v>71.599999999999994</v>
      </c>
      <c r="Y543" s="141">
        <f t="shared" si="477"/>
        <v>-60571.6</v>
      </c>
      <c r="Z543" s="142">
        <f t="shared" si="402"/>
        <v>-60572</v>
      </c>
      <c r="AA543" s="143">
        <f t="shared" si="47"/>
        <v>-0.40000000000145519</v>
      </c>
      <c r="AB543" s="133"/>
      <c r="AC543" s="144">
        <f t="shared" si="12"/>
        <v>1.183E-3</v>
      </c>
      <c r="AD543" s="145">
        <f t="shared" si="13"/>
        <v>0</v>
      </c>
      <c r="AE543" s="146" t="s">
        <v>403</v>
      </c>
      <c r="AF543" s="119"/>
    </row>
    <row r="544" spans="1:32" ht="12" customHeight="1">
      <c r="A544" s="148">
        <v>44659</v>
      </c>
      <c r="B544" s="149" t="s">
        <v>575</v>
      </c>
      <c r="C544" s="149"/>
      <c r="D544" s="149"/>
      <c r="E544" s="149"/>
      <c r="F544" s="149"/>
      <c r="G544" s="149"/>
      <c r="H544" s="135" t="s">
        <v>453</v>
      </c>
      <c r="I544" s="134" t="s">
        <v>469</v>
      </c>
      <c r="J544" s="135" t="s">
        <v>448</v>
      </c>
      <c r="K544" s="136">
        <v>31</v>
      </c>
      <c r="L544" s="137">
        <v>1183</v>
      </c>
      <c r="M544" s="138">
        <f t="shared" si="38"/>
        <v>0</v>
      </c>
      <c r="N544" s="138">
        <f t="shared" si="474"/>
        <v>1183</v>
      </c>
      <c r="O544" s="138"/>
      <c r="P544" s="138">
        <f t="shared" si="2"/>
        <v>36673</v>
      </c>
      <c r="Q544" s="139">
        <f t="shared" si="3"/>
        <v>1.4</v>
      </c>
      <c r="R544" s="139">
        <f t="shared" si="74"/>
        <v>0</v>
      </c>
      <c r="S544" s="139">
        <f t="shared" si="35"/>
        <v>0.18</v>
      </c>
      <c r="T544" s="139">
        <f t="shared" si="454"/>
        <v>36.67</v>
      </c>
      <c r="U544" s="139">
        <f t="shared" si="475"/>
        <v>5.5</v>
      </c>
      <c r="V544" s="139">
        <f t="shared" si="476"/>
        <v>1.01</v>
      </c>
      <c r="W544" s="139">
        <f t="shared" si="217"/>
        <v>0.04</v>
      </c>
      <c r="X544" s="140">
        <f t="shared" si="9"/>
        <v>43.4</v>
      </c>
      <c r="Y544" s="141">
        <f t="shared" si="477"/>
        <v>-36716.400000000001</v>
      </c>
      <c r="Z544" s="142">
        <f t="shared" si="402"/>
        <v>-36716</v>
      </c>
      <c r="AA544" s="143">
        <f t="shared" si="47"/>
        <v>0.40000000000145519</v>
      </c>
      <c r="AB544" s="133"/>
      <c r="AC544" s="144">
        <f t="shared" si="12"/>
        <v>1.183E-3</v>
      </c>
      <c r="AD544" s="145">
        <f t="shared" si="13"/>
        <v>0</v>
      </c>
      <c r="AE544" s="146" t="s">
        <v>403</v>
      </c>
      <c r="AF544" s="119"/>
    </row>
    <row r="545" spans="1:32" ht="12" customHeight="1">
      <c r="A545" s="150">
        <v>44659</v>
      </c>
      <c r="B545" s="156" t="s">
        <v>601</v>
      </c>
      <c r="C545" s="156"/>
      <c r="D545" s="156"/>
      <c r="E545" s="156"/>
      <c r="F545" s="156"/>
      <c r="G545" s="156"/>
      <c r="H545" s="122" t="s">
        <v>446</v>
      </c>
      <c r="I545" s="121" t="s">
        <v>469</v>
      </c>
      <c r="J545" s="122" t="s">
        <v>471</v>
      </c>
      <c r="K545" s="123">
        <v>42</v>
      </c>
      <c r="L545" s="124">
        <v>880</v>
      </c>
      <c r="M545" s="125">
        <f t="shared" si="38"/>
        <v>0</v>
      </c>
      <c r="N545" s="125">
        <f t="shared" ref="N545:N546" si="478">L545-M545</f>
        <v>880</v>
      </c>
      <c r="O545" s="125"/>
      <c r="P545" s="125">
        <f t="shared" si="2"/>
        <v>36960</v>
      </c>
      <c r="Q545" s="126">
        <f t="shared" si="3"/>
        <v>0.90952380952380962</v>
      </c>
      <c r="R545" s="126">
        <f t="shared" si="74"/>
        <v>0</v>
      </c>
      <c r="S545" s="126">
        <f t="shared" si="35"/>
        <v>0.18</v>
      </c>
      <c r="T545" s="126">
        <f t="shared" si="454"/>
        <v>36.96</v>
      </c>
      <c r="U545" s="126">
        <v>0</v>
      </c>
      <c r="V545" s="126">
        <f t="shared" si="476"/>
        <v>1.02</v>
      </c>
      <c r="W545" s="126">
        <f t="shared" si="217"/>
        <v>0.04</v>
      </c>
      <c r="X545" s="126">
        <f t="shared" si="9"/>
        <v>38.200000000000003</v>
      </c>
      <c r="Y545" s="127">
        <f t="shared" ref="Y545:Y546" si="479">ROUND(P545-SUM(R545:W545),2)</f>
        <v>36921.800000000003</v>
      </c>
      <c r="Z545" s="128">
        <f t="shared" si="402"/>
        <v>36922</v>
      </c>
      <c r="AA545" s="129">
        <f t="shared" si="47"/>
        <v>0.19999999999708962</v>
      </c>
      <c r="AB545" s="120"/>
      <c r="AC545" s="130">
        <f t="shared" si="12"/>
        <v>1.034E-3</v>
      </c>
      <c r="AD545" s="131">
        <f t="shared" si="13"/>
        <v>0</v>
      </c>
      <c r="AE545" s="132" t="s">
        <v>403</v>
      </c>
      <c r="AF545" s="119"/>
    </row>
    <row r="546" spans="1:32" ht="12" customHeight="1">
      <c r="A546" s="150">
        <v>44662</v>
      </c>
      <c r="B546" s="151" t="s">
        <v>595</v>
      </c>
      <c r="C546" s="151"/>
      <c r="D546" s="151"/>
      <c r="E546" s="151"/>
      <c r="F546" s="151"/>
      <c r="G546" s="151"/>
      <c r="H546" s="122" t="s">
        <v>446</v>
      </c>
      <c r="I546" s="121" t="s">
        <v>469</v>
      </c>
      <c r="J546" s="122" t="s">
        <v>448</v>
      </c>
      <c r="K546" s="123">
        <v>2501</v>
      </c>
      <c r="L546" s="124">
        <v>46.280799999999999</v>
      </c>
      <c r="M546" s="125">
        <f t="shared" si="38"/>
        <v>0</v>
      </c>
      <c r="N546" s="125">
        <f t="shared" si="478"/>
        <v>46.280799999999999</v>
      </c>
      <c r="O546" s="125"/>
      <c r="P546" s="125">
        <f t="shared" si="2"/>
        <v>115748.28</v>
      </c>
      <c r="Q546" s="126">
        <f t="shared" si="3"/>
        <v>1.5473810475809676E-3</v>
      </c>
      <c r="R546" s="126">
        <f t="shared" si="74"/>
        <v>0</v>
      </c>
      <c r="S546" s="126">
        <f t="shared" si="35"/>
        <v>0.56999999999999995</v>
      </c>
      <c r="T546" s="126">
        <f>ROUND(P546*K$1806,2)-115.75</f>
        <v>0</v>
      </c>
      <c r="U546" s="126">
        <v>0</v>
      </c>
      <c r="V546" s="126">
        <f t="shared" si="476"/>
        <v>3.18</v>
      </c>
      <c r="W546" s="126">
        <f t="shared" si="217"/>
        <v>0.12</v>
      </c>
      <c r="X546" s="126">
        <f t="shared" si="9"/>
        <v>3.87</v>
      </c>
      <c r="Y546" s="127">
        <f t="shared" si="479"/>
        <v>115744.41</v>
      </c>
      <c r="Z546" s="128">
        <f t="shared" si="402"/>
        <v>115744</v>
      </c>
      <c r="AA546" s="129">
        <f t="shared" si="47"/>
        <v>-0.41000000000349246</v>
      </c>
      <c r="AB546" s="120"/>
      <c r="AC546" s="130">
        <f t="shared" si="12"/>
        <v>3.3000000000000003E-5</v>
      </c>
      <c r="AD546" s="131">
        <f t="shared" si="13"/>
        <v>0</v>
      </c>
      <c r="AE546" s="132" t="s">
        <v>403</v>
      </c>
      <c r="AF546" s="119"/>
    </row>
    <row r="547" spans="1:32" ht="12" customHeight="1">
      <c r="A547" s="148">
        <v>44662</v>
      </c>
      <c r="B547" s="149" t="s">
        <v>601</v>
      </c>
      <c r="C547" s="149"/>
      <c r="D547" s="149"/>
      <c r="E547" s="149"/>
      <c r="F547" s="149"/>
      <c r="G547" s="149"/>
      <c r="H547" s="135" t="s">
        <v>453</v>
      </c>
      <c r="I547" s="134" t="s">
        <v>469</v>
      </c>
      <c r="J547" s="135" t="s">
        <v>471</v>
      </c>
      <c r="K547" s="136">
        <v>25</v>
      </c>
      <c r="L547" s="137">
        <v>950</v>
      </c>
      <c r="M547" s="138">
        <f t="shared" si="38"/>
        <v>0</v>
      </c>
      <c r="N547" s="138">
        <f t="shared" ref="N547:N549" si="480">L547+M547</f>
        <v>950</v>
      </c>
      <c r="O547" s="138"/>
      <c r="P547" s="138">
        <f t="shared" si="2"/>
        <v>23750</v>
      </c>
      <c r="Q547" s="139">
        <f t="shared" si="3"/>
        <v>1.1239999999999999</v>
      </c>
      <c r="R547" s="139">
        <f t="shared" si="74"/>
        <v>0</v>
      </c>
      <c r="S547" s="139">
        <f t="shared" si="35"/>
        <v>0.12</v>
      </c>
      <c r="T547" s="139">
        <f t="shared" ref="T547:T556" si="481">ROUND(P547*K$1806,2)</f>
        <v>23.75</v>
      </c>
      <c r="U547" s="139">
        <f t="shared" ref="U547:U549" si="482">ROUND(P547*K$1812,2)</f>
        <v>3.56</v>
      </c>
      <c r="V547" s="139">
        <f t="shared" si="476"/>
        <v>0.65</v>
      </c>
      <c r="W547" s="139">
        <f t="shared" si="217"/>
        <v>0.02</v>
      </c>
      <c r="X547" s="140">
        <f t="shared" si="9"/>
        <v>28.099999999999998</v>
      </c>
      <c r="Y547" s="141">
        <f t="shared" ref="Y547:Y549" si="483">-ROUND(P547+SUM(R547:W547),2)</f>
        <v>-23778.1</v>
      </c>
      <c r="Z547" s="142">
        <f t="shared" si="402"/>
        <v>-23778</v>
      </c>
      <c r="AA547" s="143">
        <f t="shared" si="47"/>
        <v>9.9999999998544808E-2</v>
      </c>
      <c r="AB547" s="133"/>
      <c r="AC547" s="144">
        <f t="shared" si="12"/>
        <v>1.183E-3</v>
      </c>
      <c r="AD547" s="145">
        <f t="shared" si="13"/>
        <v>0</v>
      </c>
      <c r="AE547" s="146" t="s">
        <v>403</v>
      </c>
      <c r="AF547" s="119"/>
    </row>
    <row r="548" spans="1:32" ht="12" customHeight="1">
      <c r="A548" s="148">
        <v>44663</v>
      </c>
      <c r="B548" s="149" t="s">
        <v>575</v>
      </c>
      <c r="C548" s="149"/>
      <c r="D548" s="149"/>
      <c r="E548" s="149"/>
      <c r="F548" s="149"/>
      <c r="G548" s="149"/>
      <c r="H548" s="135" t="s">
        <v>453</v>
      </c>
      <c r="I548" s="134" t="s">
        <v>469</v>
      </c>
      <c r="J548" s="135" t="s">
        <v>448</v>
      </c>
      <c r="K548" s="136">
        <v>124</v>
      </c>
      <c r="L548" s="137">
        <v>1125</v>
      </c>
      <c r="M548" s="138">
        <f t="shared" si="38"/>
        <v>0</v>
      </c>
      <c r="N548" s="138">
        <f t="shared" si="480"/>
        <v>1125</v>
      </c>
      <c r="O548" s="138"/>
      <c r="P548" s="138">
        <f t="shared" si="2"/>
        <v>139500</v>
      </c>
      <c r="Q548" s="139">
        <f t="shared" si="3"/>
        <v>1.3314516129032257</v>
      </c>
      <c r="R548" s="139">
        <f t="shared" si="74"/>
        <v>0</v>
      </c>
      <c r="S548" s="139">
        <f t="shared" si="35"/>
        <v>0.69</v>
      </c>
      <c r="T548" s="139">
        <f t="shared" si="481"/>
        <v>139.5</v>
      </c>
      <c r="U548" s="139">
        <f t="shared" si="482"/>
        <v>20.93</v>
      </c>
      <c r="V548" s="139">
        <f t="shared" si="476"/>
        <v>3.84</v>
      </c>
      <c r="W548" s="139">
        <f t="shared" si="217"/>
        <v>0.14000000000000001</v>
      </c>
      <c r="X548" s="140">
        <f t="shared" si="9"/>
        <v>165.1</v>
      </c>
      <c r="Y548" s="141">
        <f t="shared" si="483"/>
        <v>-139665.1</v>
      </c>
      <c r="Z548" s="142">
        <f t="shared" si="402"/>
        <v>-139665</v>
      </c>
      <c r="AA548" s="143">
        <f t="shared" si="47"/>
        <v>0.10000000000582077</v>
      </c>
      <c r="AB548" s="133"/>
      <c r="AC548" s="144">
        <f t="shared" si="12"/>
        <v>1.1839999999999999E-3</v>
      </c>
      <c r="AD548" s="145">
        <f t="shared" si="13"/>
        <v>0</v>
      </c>
      <c r="AE548" s="146" t="s">
        <v>403</v>
      </c>
      <c r="AF548" s="119"/>
    </row>
    <row r="549" spans="1:32" ht="12" customHeight="1">
      <c r="A549" s="148">
        <v>44663</v>
      </c>
      <c r="B549" s="149" t="s">
        <v>575</v>
      </c>
      <c r="C549" s="149"/>
      <c r="D549" s="149"/>
      <c r="E549" s="149"/>
      <c r="F549" s="149"/>
      <c r="G549" s="149"/>
      <c r="H549" s="135" t="s">
        <v>453</v>
      </c>
      <c r="I549" s="134" t="s">
        <v>469</v>
      </c>
      <c r="J549" s="135" t="s">
        <v>448</v>
      </c>
      <c r="K549" s="136">
        <v>100</v>
      </c>
      <c r="L549" s="137">
        <v>1118</v>
      </c>
      <c r="M549" s="138">
        <f t="shared" si="38"/>
        <v>0</v>
      </c>
      <c r="N549" s="138">
        <f t="shared" si="480"/>
        <v>1118</v>
      </c>
      <c r="O549" s="138"/>
      <c r="P549" s="138">
        <f t="shared" si="2"/>
        <v>111800</v>
      </c>
      <c r="Q549" s="139">
        <f t="shared" si="3"/>
        <v>1.3230000000000002</v>
      </c>
      <c r="R549" s="139">
        <f t="shared" si="74"/>
        <v>0</v>
      </c>
      <c r="S549" s="139">
        <f t="shared" si="35"/>
        <v>0.55000000000000004</v>
      </c>
      <c r="T549" s="139">
        <f t="shared" si="481"/>
        <v>111.8</v>
      </c>
      <c r="U549" s="139">
        <f t="shared" si="482"/>
        <v>16.77</v>
      </c>
      <c r="V549" s="139">
        <f t="shared" si="476"/>
        <v>3.07</v>
      </c>
      <c r="W549" s="139">
        <f t="shared" si="217"/>
        <v>0.11</v>
      </c>
      <c r="X549" s="140">
        <f t="shared" si="9"/>
        <v>132.30000000000001</v>
      </c>
      <c r="Y549" s="141">
        <f t="shared" si="483"/>
        <v>-111932.3</v>
      </c>
      <c r="Z549" s="142">
        <f t="shared" si="402"/>
        <v>-111932</v>
      </c>
      <c r="AA549" s="143">
        <f t="shared" si="47"/>
        <v>0.30000000000291038</v>
      </c>
      <c r="AB549" s="133"/>
      <c r="AC549" s="144">
        <f t="shared" si="12"/>
        <v>1.183E-3</v>
      </c>
      <c r="AD549" s="145">
        <f t="shared" si="13"/>
        <v>0</v>
      </c>
      <c r="AE549" s="146" t="s">
        <v>403</v>
      </c>
      <c r="AF549" s="119"/>
    </row>
    <row r="550" spans="1:32" ht="12" customHeight="1">
      <c r="A550" s="150">
        <v>44663</v>
      </c>
      <c r="B550" s="151" t="s">
        <v>594</v>
      </c>
      <c r="C550" s="151"/>
      <c r="D550" s="151"/>
      <c r="E550" s="151"/>
      <c r="F550" s="151"/>
      <c r="G550" s="151"/>
      <c r="H550" s="122" t="s">
        <v>446</v>
      </c>
      <c r="I550" s="121" t="s">
        <v>469</v>
      </c>
      <c r="J550" s="122" t="s">
        <v>471</v>
      </c>
      <c r="K550" s="123">
        <v>2</v>
      </c>
      <c r="L550" s="124">
        <v>1402</v>
      </c>
      <c r="M550" s="125">
        <f t="shared" si="38"/>
        <v>0</v>
      </c>
      <c r="N550" s="125">
        <f>L550-M550</f>
        <v>1402</v>
      </c>
      <c r="O550" s="125"/>
      <c r="P550" s="125">
        <f t="shared" si="2"/>
        <v>2804</v>
      </c>
      <c r="Q550" s="126">
        <f t="shared" si="3"/>
        <v>1.4449999999999998</v>
      </c>
      <c r="R550" s="126">
        <f t="shared" si="74"/>
        <v>0</v>
      </c>
      <c r="S550" s="126">
        <f t="shared" si="35"/>
        <v>0.01</v>
      </c>
      <c r="T550" s="126">
        <f t="shared" si="481"/>
        <v>2.8</v>
      </c>
      <c r="U550" s="126">
        <v>0</v>
      </c>
      <c r="V550" s="126">
        <f t="shared" si="476"/>
        <v>0.08</v>
      </c>
      <c r="W550" s="126">
        <f t="shared" si="217"/>
        <v>0</v>
      </c>
      <c r="X550" s="126">
        <f t="shared" si="9"/>
        <v>2.8899999999999997</v>
      </c>
      <c r="Y550" s="127">
        <f>ROUND(P550-SUM(R550:W550),2)</f>
        <v>2801.11</v>
      </c>
      <c r="Z550" s="128">
        <f t="shared" si="402"/>
        <v>2801</v>
      </c>
      <c r="AA550" s="129">
        <f t="shared" si="47"/>
        <v>-0.11000000000012733</v>
      </c>
      <c r="AB550" s="120"/>
      <c r="AC550" s="130">
        <f t="shared" si="12"/>
        <v>1.031E-3</v>
      </c>
      <c r="AD550" s="131">
        <f t="shared" si="13"/>
        <v>0</v>
      </c>
      <c r="AE550" s="132" t="s">
        <v>403</v>
      </c>
      <c r="AF550" s="119"/>
    </row>
    <row r="551" spans="1:32" ht="12" customHeight="1">
      <c r="A551" s="148">
        <v>44663</v>
      </c>
      <c r="B551" s="149" t="s">
        <v>596</v>
      </c>
      <c r="C551" s="149"/>
      <c r="D551" s="149"/>
      <c r="E551" s="149"/>
      <c r="F551" s="149"/>
      <c r="G551" s="149"/>
      <c r="H551" s="135" t="s">
        <v>453</v>
      </c>
      <c r="I551" s="134" t="s">
        <v>469</v>
      </c>
      <c r="J551" s="135" t="s">
        <v>471</v>
      </c>
      <c r="K551" s="136">
        <v>10</v>
      </c>
      <c r="L551" s="137">
        <v>2730</v>
      </c>
      <c r="M551" s="138">
        <f t="shared" si="38"/>
        <v>0</v>
      </c>
      <c r="N551" s="138">
        <f t="shared" ref="N551:N554" si="484">L551+M551</f>
        <v>2730</v>
      </c>
      <c r="O551" s="138"/>
      <c r="P551" s="138">
        <f t="shared" si="2"/>
        <v>27300</v>
      </c>
      <c r="Q551" s="139">
        <f t="shared" si="3"/>
        <v>3.2320000000000002</v>
      </c>
      <c r="R551" s="139">
        <f t="shared" si="74"/>
        <v>0</v>
      </c>
      <c r="S551" s="139">
        <f t="shared" si="35"/>
        <v>0.14000000000000001</v>
      </c>
      <c r="T551" s="139">
        <f t="shared" si="481"/>
        <v>27.3</v>
      </c>
      <c r="U551" s="139">
        <f t="shared" ref="U551:U554" si="485">ROUND(P551*K$1812,2)</f>
        <v>4.0999999999999996</v>
      </c>
      <c r="V551" s="139">
        <f t="shared" si="476"/>
        <v>0.75</v>
      </c>
      <c r="W551" s="139">
        <f t="shared" si="217"/>
        <v>0.03</v>
      </c>
      <c r="X551" s="140">
        <f t="shared" si="9"/>
        <v>32.32</v>
      </c>
      <c r="Y551" s="141">
        <f t="shared" ref="Y551:Y554" si="486">-ROUND(P551+SUM(R551:W551),2)</f>
        <v>-27332.32</v>
      </c>
      <c r="Z551" s="142">
        <f t="shared" si="402"/>
        <v>-27332</v>
      </c>
      <c r="AA551" s="143">
        <f t="shared" si="47"/>
        <v>0.31999999999970896</v>
      </c>
      <c r="AB551" s="133"/>
      <c r="AC551" s="144">
        <f t="shared" si="12"/>
        <v>1.1839999999999999E-3</v>
      </c>
      <c r="AD551" s="145">
        <f t="shared" si="13"/>
        <v>0</v>
      </c>
      <c r="AE551" s="146" t="s">
        <v>403</v>
      </c>
      <c r="AF551" s="119"/>
    </row>
    <row r="552" spans="1:32" ht="12" customHeight="1">
      <c r="A552" s="148">
        <v>44663</v>
      </c>
      <c r="B552" s="149" t="s">
        <v>602</v>
      </c>
      <c r="C552" s="149"/>
      <c r="D552" s="149"/>
      <c r="E552" s="149"/>
      <c r="F552" s="149"/>
      <c r="G552" s="149"/>
      <c r="H552" s="135" t="s">
        <v>453</v>
      </c>
      <c r="I552" s="134" t="s">
        <v>469</v>
      </c>
      <c r="J552" s="135" t="s">
        <v>471</v>
      </c>
      <c r="K552" s="136">
        <v>100</v>
      </c>
      <c r="L552" s="137">
        <v>101</v>
      </c>
      <c r="M552" s="138">
        <f t="shared" si="38"/>
        <v>0</v>
      </c>
      <c r="N552" s="138">
        <f t="shared" si="484"/>
        <v>101</v>
      </c>
      <c r="O552" s="138"/>
      <c r="P552" s="138">
        <f t="shared" si="2"/>
        <v>10100</v>
      </c>
      <c r="Q552" s="139">
        <f t="shared" si="3"/>
        <v>0.11959999999999998</v>
      </c>
      <c r="R552" s="139">
        <f t="shared" si="74"/>
        <v>0</v>
      </c>
      <c r="S552" s="139">
        <f t="shared" si="35"/>
        <v>0.05</v>
      </c>
      <c r="T552" s="139">
        <f t="shared" si="481"/>
        <v>10.1</v>
      </c>
      <c r="U552" s="139">
        <f t="shared" si="485"/>
        <v>1.52</v>
      </c>
      <c r="V552" s="139">
        <f t="shared" si="476"/>
        <v>0.28000000000000003</v>
      </c>
      <c r="W552" s="139">
        <f t="shared" si="217"/>
        <v>0.01</v>
      </c>
      <c r="X552" s="140">
        <f t="shared" si="9"/>
        <v>11.959999999999999</v>
      </c>
      <c r="Y552" s="141">
        <f t="shared" si="486"/>
        <v>-10111.959999999999</v>
      </c>
      <c r="Z552" s="142">
        <f t="shared" si="402"/>
        <v>-10112</v>
      </c>
      <c r="AA552" s="143">
        <f t="shared" si="47"/>
        <v>-4.0000000000873115E-2</v>
      </c>
      <c r="AB552" s="133"/>
      <c r="AC552" s="144">
        <f t="shared" si="12"/>
        <v>1.1839999999999999E-3</v>
      </c>
      <c r="AD552" s="145">
        <f t="shared" si="13"/>
        <v>0</v>
      </c>
      <c r="AE552" s="146" t="s">
        <v>403</v>
      </c>
      <c r="AF552" s="119"/>
    </row>
    <row r="553" spans="1:32" ht="12" customHeight="1">
      <c r="A553" s="148">
        <v>44663</v>
      </c>
      <c r="B553" s="149" t="s">
        <v>601</v>
      </c>
      <c r="C553" s="149"/>
      <c r="D553" s="149"/>
      <c r="E553" s="149"/>
      <c r="F553" s="149"/>
      <c r="G553" s="149"/>
      <c r="H553" s="135" t="s">
        <v>453</v>
      </c>
      <c r="I553" s="134" t="s">
        <v>469</v>
      </c>
      <c r="J553" s="135" t="s">
        <v>471</v>
      </c>
      <c r="K553" s="136">
        <v>30</v>
      </c>
      <c r="L553" s="137">
        <v>900</v>
      </c>
      <c r="M553" s="138">
        <f t="shared" si="38"/>
        <v>0</v>
      </c>
      <c r="N553" s="138">
        <f t="shared" si="484"/>
        <v>900</v>
      </c>
      <c r="O553" s="138"/>
      <c r="P553" s="138">
        <f t="shared" si="2"/>
        <v>27000</v>
      </c>
      <c r="Q553" s="139">
        <f t="shared" si="3"/>
        <v>1.0649999999999999</v>
      </c>
      <c r="R553" s="139">
        <f t="shared" si="74"/>
        <v>0</v>
      </c>
      <c r="S553" s="139">
        <f t="shared" si="35"/>
        <v>0.13</v>
      </c>
      <c r="T553" s="139">
        <f t="shared" si="481"/>
        <v>27</v>
      </c>
      <c r="U553" s="139">
        <f t="shared" si="485"/>
        <v>4.05</v>
      </c>
      <c r="V553" s="139">
        <f t="shared" si="476"/>
        <v>0.74</v>
      </c>
      <c r="W553" s="139">
        <f t="shared" si="217"/>
        <v>0.03</v>
      </c>
      <c r="X553" s="140">
        <f t="shared" si="9"/>
        <v>31.95</v>
      </c>
      <c r="Y553" s="141">
        <f t="shared" si="486"/>
        <v>-27031.95</v>
      </c>
      <c r="Z553" s="142">
        <f t="shared" si="402"/>
        <v>-27032</v>
      </c>
      <c r="AA553" s="143">
        <f t="shared" si="47"/>
        <v>-4.9999999999272404E-2</v>
      </c>
      <c r="AB553" s="133"/>
      <c r="AC553" s="144">
        <f t="shared" si="12"/>
        <v>1.183E-3</v>
      </c>
      <c r="AD553" s="145">
        <f t="shared" si="13"/>
        <v>0</v>
      </c>
      <c r="AE553" s="146" t="s">
        <v>403</v>
      </c>
      <c r="AF553" s="119"/>
    </row>
    <row r="554" spans="1:32" ht="12" customHeight="1">
      <c r="A554" s="148">
        <v>44663</v>
      </c>
      <c r="B554" s="149" t="s">
        <v>574</v>
      </c>
      <c r="C554" s="149"/>
      <c r="D554" s="149"/>
      <c r="E554" s="149"/>
      <c r="F554" s="149"/>
      <c r="G554" s="149"/>
      <c r="H554" s="135" t="s">
        <v>453</v>
      </c>
      <c r="I554" s="134" t="s">
        <v>469</v>
      </c>
      <c r="J554" s="135" t="s">
        <v>471</v>
      </c>
      <c r="K554" s="136">
        <v>10</v>
      </c>
      <c r="L554" s="137">
        <v>3700</v>
      </c>
      <c r="M554" s="138">
        <f t="shared" si="38"/>
        <v>0</v>
      </c>
      <c r="N554" s="138">
        <f t="shared" si="484"/>
        <v>3700</v>
      </c>
      <c r="O554" s="138"/>
      <c r="P554" s="138">
        <f t="shared" si="2"/>
        <v>37000</v>
      </c>
      <c r="Q554" s="139">
        <f t="shared" si="3"/>
        <v>4.3789999999999996</v>
      </c>
      <c r="R554" s="139">
        <f t="shared" si="74"/>
        <v>0</v>
      </c>
      <c r="S554" s="139">
        <f t="shared" si="35"/>
        <v>0.18</v>
      </c>
      <c r="T554" s="139">
        <f t="shared" si="481"/>
        <v>37</v>
      </c>
      <c r="U554" s="139">
        <f t="shared" si="485"/>
        <v>5.55</v>
      </c>
      <c r="V554" s="139">
        <f t="shared" si="476"/>
        <v>1.02</v>
      </c>
      <c r="W554" s="139">
        <f t="shared" si="217"/>
        <v>0.04</v>
      </c>
      <c r="X554" s="140">
        <f t="shared" si="9"/>
        <v>43.79</v>
      </c>
      <c r="Y554" s="141">
        <f t="shared" si="486"/>
        <v>-37043.79</v>
      </c>
      <c r="Z554" s="142">
        <f t="shared" si="402"/>
        <v>-37044</v>
      </c>
      <c r="AA554" s="143">
        <f t="shared" si="47"/>
        <v>-0.20999999999912689</v>
      </c>
      <c r="AB554" s="133"/>
      <c r="AC554" s="144">
        <f t="shared" si="12"/>
        <v>1.1839999999999999E-3</v>
      </c>
      <c r="AD554" s="145">
        <f t="shared" si="13"/>
        <v>0</v>
      </c>
      <c r="AE554" s="146" t="s">
        <v>403</v>
      </c>
      <c r="AF554" s="119"/>
    </row>
    <row r="555" spans="1:32" ht="12" customHeight="1">
      <c r="A555" s="150">
        <v>44664</v>
      </c>
      <c r="B555" s="151" t="s">
        <v>584</v>
      </c>
      <c r="C555" s="151"/>
      <c r="D555" s="151"/>
      <c r="E555" s="151"/>
      <c r="F555" s="151"/>
      <c r="G555" s="151"/>
      <c r="H555" s="122" t="s">
        <v>446</v>
      </c>
      <c r="I555" s="121" t="s">
        <v>469</v>
      </c>
      <c r="J555" s="122" t="s">
        <v>471</v>
      </c>
      <c r="K555" s="123">
        <v>100</v>
      </c>
      <c r="L555" s="124">
        <v>12.14</v>
      </c>
      <c r="M555" s="125">
        <f t="shared" si="38"/>
        <v>0</v>
      </c>
      <c r="N555" s="125">
        <f t="shared" ref="N555:N556" si="487">L555-M555</f>
        <v>12.14</v>
      </c>
      <c r="O555" s="125"/>
      <c r="P555" s="125">
        <f t="shared" si="2"/>
        <v>1214</v>
      </c>
      <c r="Q555" s="126">
        <f t="shared" si="3"/>
        <v>1.2500000000000001E-2</v>
      </c>
      <c r="R555" s="126">
        <f t="shared" si="74"/>
        <v>0</v>
      </c>
      <c r="S555" s="126">
        <f t="shared" si="35"/>
        <v>0.01</v>
      </c>
      <c r="T555" s="126">
        <f t="shared" si="481"/>
        <v>1.21</v>
      </c>
      <c r="U555" s="126">
        <v>0</v>
      </c>
      <c r="V555" s="126">
        <f t="shared" si="476"/>
        <v>0.03</v>
      </c>
      <c r="W555" s="126">
        <f t="shared" si="217"/>
        <v>0</v>
      </c>
      <c r="X555" s="126">
        <f t="shared" si="9"/>
        <v>1.25</v>
      </c>
      <c r="Y555" s="127">
        <f t="shared" ref="Y555:Y556" si="488">ROUND(P555-SUM(R555:W555),2)</f>
        <v>1212.75</v>
      </c>
      <c r="Z555" s="128">
        <f t="shared" si="402"/>
        <v>1213</v>
      </c>
      <c r="AA555" s="129">
        <f t="shared" si="47"/>
        <v>0.25</v>
      </c>
      <c r="AB555" s="120"/>
      <c r="AC555" s="130">
        <f t="shared" si="12"/>
        <v>1.0300000000000001E-3</v>
      </c>
      <c r="AD555" s="131">
        <f t="shared" si="13"/>
        <v>0</v>
      </c>
      <c r="AE555" s="132" t="s">
        <v>403</v>
      </c>
      <c r="AF555" s="119"/>
    </row>
    <row r="556" spans="1:32" ht="12" customHeight="1">
      <c r="A556" s="150">
        <v>44669</v>
      </c>
      <c r="B556" s="151" t="s">
        <v>575</v>
      </c>
      <c r="C556" s="151"/>
      <c r="D556" s="151"/>
      <c r="E556" s="151"/>
      <c r="F556" s="151"/>
      <c r="G556" s="151"/>
      <c r="H556" s="122" t="s">
        <v>446</v>
      </c>
      <c r="I556" s="121" t="s">
        <v>469</v>
      </c>
      <c r="J556" s="122" t="s">
        <v>448</v>
      </c>
      <c r="K556" s="123">
        <v>200</v>
      </c>
      <c r="L556" s="124">
        <v>1134.5</v>
      </c>
      <c r="M556" s="125">
        <f t="shared" si="38"/>
        <v>0</v>
      </c>
      <c r="N556" s="125">
        <f t="shared" si="487"/>
        <v>1134.5</v>
      </c>
      <c r="O556" s="125"/>
      <c r="P556" s="125">
        <f t="shared" si="2"/>
        <v>226900</v>
      </c>
      <c r="Q556" s="126">
        <f t="shared" si="3"/>
        <v>1.17245</v>
      </c>
      <c r="R556" s="126">
        <f t="shared" si="74"/>
        <v>0</v>
      </c>
      <c r="S556" s="126">
        <f t="shared" si="35"/>
        <v>1.1200000000000001</v>
      </c>
      <c r="T556" s="126">
        <f t="shared" si="481"/>
        <v>226.9</v>
      </c>
      <c r="U556" s="126">
        <v>0</v>
      </c>
      <c r="V556" s="126">
        <f t="shared" si="476"/>
        <v>6.24</v>
      </c>
      <c r="W556" s="126">
        <f t="shared" si="217"/>
        <v>0.23</v>
      </c>
      <c r="X556" s="126">
        <f t="shared" si="9"/>
        <v>234.49</v>
      </c>
      <c r="Y556" s="127">
        <f t="shared" si="488"/>
        <v>226665.51</v>
      </c>
      <c r="Z556" s="128">
        <f t="shared" si="402"/>
        <v>226666</v>
      </c>
      <c r="AA556" s="129">
        <f t="shared" si="47"/>
        <v>0.48999999999068677</v>
      </c>
      <c r="AB556" s="120"/>
      <c r="AC556" s="130">
        <f t="shared" si="12"/>
        <v>1.0330000000000001E-3</v>
      </c>
      <c r="AD556" s="131">
        <f t="shared" si="13"/>
        <v>0</v>
      </c>
      <c r="AE556" s="132" t="s">
        <v>403</v>
      </c>
      <c r="AF556" s="119"/>
    </row>
    <row r="557" spans="1:32" ht="12" customHeight="1">
      <c r="A557" s="148">
        <v>44670</v>
      </c>
      <c r="B557" s="149" t="s">
        <v>575</v>
      </c>
      <c r="C557" s="149"/>
      <c r="D557" s="149"/>
      <c r="E557" s="149"/>
      <c r="F557" s="149"/>
      <c r="G557" s="149"/>
      <c r="H557" s="135" t="s">
        <v>453</v>
      </c>
      <c r="I557" s="134" t="s">
        <v>469</v>
      </c>
      <c r="J557" s="135" t="s">
        <v>448</v>
      </c>
      <c r="K557" s="136">
        <v>130</v>
      </c>
      <c r="L557" s="137">
        <v>1124.15381</v>
      </c>
      <c r="M557" s="138">
        <f t="shared" si="38"/>
        <v>0</v>
      </c>
      <c r="N557" s="138">
        <f t="shared" ref="N557:N559" si="489">L557+M557</f>
        <v>1124.15381</v>
      </c>
      <c r="O557" s="138"/>
      <c r="P557" s="138">
        <f t="shared" si="2"/>
        <v>146140</v>
      </c>
      <c r="Q557" s="139">
        <f t="shared" si="3"/>
        <v>1.3457692307692306</v>
      </c>
      <c r="R557" s="139">
        <f t="shared" si="74"/>
        <v>0</v>
      </c>
      <c r="S557" s="139">
        <f t="shared" si="35"/>
        <v>0.72</v>
      </c>
      <c r="T557" s="139">
        <f>ROUND(P557*K$1806,2)+2</f>
        <v>148.13999999999999</v>
      </c>
      <c r="U557" s="139">
        <f t="shared" ref="U557:U559" si="490">ROUND(P557*K$1812,2)</f>
        <v>21.92</v>
      </c>
      <c r="V557" s="139">
        <f t="shared" si="476"/>
        <v>4.0199999999999996</v>
      </c>
      <c r="W557" s="139">
        <f t="shared" si="217"/>
        <v>0.15</v>
      </c>
      <c r="X557" s="140">
        <f t="shared" si="9"/>
        <v>174.95</v>
      </c>
      <c r="Y557" s="141">
        <f t="shared" ref="Y557:Y559" si="491">-ROUND(P557+SUM(R557:W557),2)</f>
        <v>-146314.95000000001</v>
      </c>
      <c r="Z557" s="142">
        <f t="shared" si="402"/>
        <v>-146315</v>
      </c>
      <c r="AA557" s="143">
        <f t="shared" si="47"/>
        <v>-4.9999999988358468E-2</v>
      </c>
      <c r="AB557" s="133"/>
      <c r="AC557" s="144">
        <f t="shared" si="12"/>
        <v>1.1969999999999999E-3</v>
      </c>
      <c r="AD557" s="145">
        <f t="shared" si="13"/>
        <v>0</v>
      </c>
      <c r="AE557" s="146" t="s">
        <v>403</v>
      </c>
      <c r="AF557" s="119"/>
    </row>
    <row r="558" spans="1:32" ht="12" customHeight="1">
      <c r="A558" s="148">
        <v>44670</v>
      </c>
      <c r="B558" s="149" t="s">
        <v>458</v>
      </c>
      <c r="C558" s="149"/>
      <c r="D558" s="149"/>
      <c r="E558" s="149"/>
      <c r="F558" s="149"/>
      <c r="G558" s="149"/>
      <c r="H558" s="135" t="s">
        <v>453</v>
      </c>
      <c r="I558" s="134" t="s">
        <v>469</v>
      </c>
      <c r="J558" s="135" t="s">
        <v>471</v>
      </c>
      <c r="K558" s="136">
        <v>10</v>
      </c>
      <c r="L558" s="137">
        <v>3500</v>
      </c>
      <c r="M558" s="138">
        <f t="shared" si="38"/>
        <v>0</v>
      </c>
      <c r="N558" s="138">
        <f t="shared" si="489"/>
        <v>3500</v>
      </c>
      <c r="O558" s="138"/>
      <c r="P558" s="138">
        <f t="shared" si="2"/>
        <v>35000</v>
      </c>
      <c r="Q558" s="139">
        <f t="shared" si="3"/>
        <v>4.1420000000000003</v>
      </c>
      <c r="R558" s="139">
        <f t="shared" si="74"/>
        <v>0</v>
      </c>
      <c r="S558" s="139">
        <f t="shared" si="35"/>
        <v>0.17</v>
      </c>
      <c r="T558" s="139">
        <f t="shared" ref="T558:T589" si="492">ROUND(P558*K$1806,2)</f>
        <v>35</v>
      </c>
      <c r="U558" s="139">
        <f t="shared" si="490"/>
        <v>5.25</v>
      </c>
      <c r="V558" s="139">
        <f t="shared" si="476"/>
        <v>0.96</v>
      </c>
      <c r="W558" s="139">
        <f t="shared" si="217"/>
        <v>0.04</v>
      </c>
      <c r="X558" s="140">
        <f t="shared" si="9"/>
        <v>41.42</v>
      </c>
      <c r="Y558" s="141">
        <f t="shared" si="491"/>
        <v>-35041.42</v>
      </c>
      <c r="Z558" s="142">
        <f t="shared" si="402"/>
        <v>-35041</v>
      </c>
      <c r="AA558" s="143">
        <f t="shared" si="47"/>
        <v>0.41999999999825377</v>
      </c>
      <c r="AB558" s="133"/>
      <c r="AC558" s="144">
        <f t="shared" si="12"/>
        <v>1.183E-3</v>
      </c>
      <c r="AD558" s="145">
        <f t="shared" si="13"/>
        <v>0</v>
      </c>
      <c r="AE558" s="146" t="s">
        <v>403</v>
      </c>
      <c r="AF558" s="119"/>
    </row>
    <row r="559" spans="1:32" ht="12" customHeight="1">
      <c r="A559" s="148">
        <v>44670</v>
      </c>
      <c r="B559" s="149" t="s">
        <v>574</v>
      </c>
      <c r="C559" s="149"/>
      <c r="D559" s="149"/>
      <c r="E559" s="149"/>
      <c r="F559" s="149"/>
      <c r="G559" s="149"/>
      <c r="H559" s="135" t="s">
        <v>453</v>
      </c>
      <c r="I559" s="134" t="s">
        <v>469</v>
      </c>
      <c r="J559" s="135" t="s">
        <v>471</v>
      </c>
      <c r="K559" s="136">
        <v>10</v>
      </c>
      <c r="L559" s="137">
        <v>1599.3</v>
      </c>
      <c r="M559" s="138">
        <f t="shared" si="38"/>
        <v>0</v>
      </c>
      <c r="N559" s="138">
        <f t="shared" si="489"/>
        <v>1599.3</v>
      </c>
      <c r="O559" s="138"/>
      <c r="P559" s="138">
        <f t="shared" si="2"/>
        <v>15993</v>
      </c>
      <c r="Q559" s="139">
        <f t="shared" si="3"/>
        <v>1.893</v>
      </c>
      <c r="R559" s="139">
        <f t="shared" si="74"/>
        <v>0</v>
      </c>
      <c r="S559" s="139">
        <f t="shared" si="35"/>
        <v>0.08</v>
      </c>
      <c r="T559" s="139">
        <f t="shared" si="492"/>
        <v>15.99</v>
      </c>
      <c r="U559" s="139">
        <f t="shared" si="490"/>
        <v>2.4</v>
      </c>
      <c r="V559" s="139">
        <f t="shared" si="476"/>
        <v>0.44</v>
      </c>
      <c r="W559" s="139">
        <f t="shared" si="217"/>
        <v>0.02</v>
      </c>
      <c r="X559" s="140">
        <f t="shared" si="9"/>
        <v>18.93</v>
      </c>
      <c r="Y559" s="141">
        <f t="shared" si="491"/>
        <v>-16011.93</v>
      </c>
      <c r="Z559" s="142">
        <f t="shared" si="402"/>
        <v>-16012</v>
      </c>
      <c r="AA559" s="143">
        <f t="shared" si="47"/>
        <v>-6.9999999999708962E-2</v>
      </c>
      <c r="AB559" s="133"/>
      <c r="AC559" s="144">
        <f t="shared" si="12"/>
        <v>1.1839999999999999E-3</v>
      </c>
      <c r="AD559" s="145">
        <f t="shared" si="13"/>
        <v>0</v>
      </c>
      <c r="AE559" s="146" t="s">
        <v>403</v>
      </c>
      <c r="AF559" s="119"/>
    </row>
    <row r="560" spans="1:32" ht="12" customHeight="1">
      <c r="A560" s="150">
        <v>44671</v>
      </c>
      <c r="B560" s="151" t="s">
        <v>575</v>
      </c>
      <c r="C560" s="151"/>
      <c r="D560" s="151"/>
      <c r="E560" s="151"/>
      <c r="F560" s="151"/>
      <c r="G560" s="151"/>
      <c r="H560" s="122" t="s">
        <v>446</v>
      </c>
      <c r="I560" s="121" t="s">
        <v>469</v>
      </c>
      <c r="J560" s="122" t="s">
        <v>448</v>
      </c>
      <c r="K560" s="123">
        <v>90</v>
      </c>
      <c r="L560" s="124">
        <v>1158.3055999999999</v>
      </c>
      <c r="M560" s="125">
        <f t="shared" si="38"/>
        <v>0</v>
      </c>
      <c r="N560" s="125">
        <f>L560-M560</f>
        <v>1158.3055999999999</v>
      </c>
      <c r="O560" s="125"/>
      <c r="P560" s="125">
        <f t="shared" si="2"/>
        <v>104247.5</v>
      </c>
      <c r="Q560" s="126">
        <f t="shared" si="3"/>
        <v>1.197111111111111</v>
      </c>
      <c r="R560" s="126">
        <f t="shared" si="74"/>
        <v>0</v>
      </c>
      <c r="S560" s="126">
        <f t="shared" si="35"/>
        <v>0.52</v>
      </c>
      <c r="T560" s="126">
        <f t="shared" si="492"/>
        <v>104.25</v>
      </c>
      <c r="U560" s="126">
        <v>0</v>
      </c>
      <c r="V560" s="126">
        <f t="shared" si="476"/>
        <v>2.87</v>
      </c>
      <c r="W560" s="126">
        <f t="shared" si="217"/>
        <v>0.1</v>
      </c>
      <c r="X560" s="126">
        <f t="shared" si="9"/>
        <v>107.74</v>
      </c>
      <c r="Y560" s="127">
        <f>ROUND(P560-SUM(R560:W560),2)</f>
        <v>104139.76</v>
      </c>
      <c r="Z560" s="128">
        <f t="shared" si="402"/>
        <v>104140</v>
      </c>
      <c r="AA560" s="129">
        <f t="shared" si="47"/>
        <v>0.24000000000523869</v>
      </c>
      <c r="AB560" s="120"/>
      <c r="AC560" s="130">
        <f t="shared" si="12"/>
        <v>1.034E-3</v>
      </c>
      <c r="AD560" s="131">
        <f t="shared" si="13"/>
        <v>0</v>
      </c>
      <c r="AE560" s="132" t="s">
        <v>403</v>
      </c>
      <c r="AF560" s="119"/>
    </row>
    <row r="561" spans="1:32" ht="12" customHeight="1">
      <c r="A561" s="148">
        <v>44671</v>
      </c>
      <c r="B561" s="149" t="s">
        <v>484</v>
      </c>
      <c r="C561" s="149"/>
      <c r="D561" s="149"/>
      <c r="E561" s="149"/>
      <c r="F561" s="149"/>
      <c r="G561" s="149"/>
      <c r="H561" s="135" t="s">
        <v>453</v>
      </c>
      <c r="I561" s="134" t="s">
        <v>469</v>
      </c>
      <c r="J561" s="135" t="s">
        <v>471</v>
      </c>
      <c r="K561" s="136">
        <v>2</v>
      </c>
      <c r="L561" s="137">
        <v>7080</v>
      </c>
      <c r="M561" s="138">
        <f t="shared" si="38"/>
        <v>0</v>
      </c>
      <c r="N561" s="138">
        <f t="shared" ref="N561:N563" si="493">L561+M561</f>
        <v>7080</v>
      </c>
      <c r="O561" s="138"/>
      <c r="P561" s="138">
        <f t="shared" si="2"/>
        <v>14160</v>
      </c>
      <c r="Q561" s="139">
        <f t="shared" si="3"/>
        <v>8.3750000000000018</v>
      </c>
      <c r="R561" s="139">
        <f t="shared" si="74"/>
        <v>0</v>
      </c>
      <c r="S561" s="139">
        <f t="shared" si="35"/>
        <v>7.0000000000000007E-2</v>
      </c>
      <c r="T561" s="139">
        <f t="shared" si="492"/>
        <v>14.16</v>
      </c>
      <c r="U561" s="139">
        <f t="shared" ref="U561:U563" si="494">ROUND(P561*K$1812,2)</f>
        <v>2.12</v>
      </c>
      <c r="V561" s="139">
        <f t="shared" si="476"/>
        <v>0.39</v>
      </c>
      <c r="W561" s="139">
        <f t="shared" si="217"/>
        <v>0.01</v>
      </c>
      <c r="X561" s="140">
        <f t="shared" si="9"/>
        <v>16.750000000000004</v>
      </c>
      <c r="Y561" s="141">
        <f t="shared" ref="Y561:Y563" si="495">-ROUND(P561+SUM(R561:W561),2)</f>
        <v>-14176.75</v>
      </c>
      <c r="Z561" s="142">
        <f t="shared" si="402"/>
        <v>-14177</v>
      </c>
      <c r="AA561" s="143">
        <f t="shared" si="47"/>
        <v>-0.25</v>
      </c>
      <c r="AB561" s="133"/>
      <c r="AC561" s="144">
        <f t="shared" si="12"/>
        <v>1.183E-3</v>
      </c>
      <c r="AD561" s="145">
        <f t="shared" si="13"/>
        <v>0</v>
      </c>
      <c r="AE561" s="146" t="s">
        <v>403</v>
      </c>
      <c r="AF561" s="119"/>
    </row>
    <row r="562" spans="1:32" ht="12" customHeight="1">
      <c r="A562" s="148">
        <v>44672</v>
      </c>
      <c r="B562" s="149" t="s">
        <v>603</v>
      </c>
      <c r="C562" s="149"/>
      <c r="D562" s="149"/>
      <c r="E562" s="149"/>
      <c r="F562" s="149"/>
      <c r="G562" s="149"/>
      <c r="H562" s="135" t="s">
        <v>453</v>
      </c>
      <c r="I562" s="134" t="s">
        <v>469</v>
      </c>
      <c r="J562" s="135" t="s">
        <v>471</v>
      </c>
      <c r="K562" s="136">
        <v>1000</v>
      </c>
      <c r="L562" s="137">
        <v>13.15</v>
      </c>
      <c r="M562" s="138">
        <f t="shared" si="38"/>
        <v>0</v>
      </c>
      <c r="N562" s="138">
        <f t="shared" si="493"/>
        <v>13.15</v>
      </c>
      <c r="O562" s="138"/>
      <c r="P562" s="138">
        <f t="shared" si="2"/>
        <v>13150</v>
      </c>
      <c r="Q562" s="139">
        <f t="shared" si="3"/>
        <v>1.5550000000000001E-2</v>
      </c>
      <c r="R562" s="139">
        <f t="shared" si="74"/>
        <v>0</v>
      </c>
      <c r="S562" s="139">
        <f t="shared" si="35"/>
        <v>0.06</v>
      </c>
      <c r="T562" s="139">
        <f t="shared" si="492"/>
        <v>13.15</v>
      </c>
      <c r="U562" s="139">
        <f t="shared" si="494"/>
        <v>1.97</v>
      </c>
      <c r="V562" s="139">
        <f t="shared" si="476"/>
        <v>0.36</v>
      </c>
      <c r="W562" s="139">
        <f t="shared" si="217"/>
        <v>0.01</v>
      </c>
      <c r="X562" s="140">
        <f t="shared" si="9"/>
        <v>15.55</v>
      </c>
      <c r="Y562" s="141">
        <f t="shared" si="495"/>
        <v>-13165.55</v>
      </c>
      <c r="Z562" s="142">
        <f t="shared" si="402"/>
        <v>-13166</v>
      </c>
      <c r="AA562" s="143">
        <f t="shared" si="47"/>
        <v>-0.4500000000007276</v>
      </c>
      <c r="AB562" s="133"/>
      <c r="AC562" s="144">
        <f t="shared" si="12"/>
        <v>1.183E-3</v>
      </c>
      <c r="AD562" s="145">
        <f t="shared" si="13"/>
        <v>0</v>
      </c>
      <c r="AE562" s="146" t="s">
        <v>403</v>
      </c>
      <c r="AF562" s="119"/>
    </row>
    <row r="563" spans="1:32" ht="12" customHeight="1">
      <c r="A563" s="148">
        <v>44672</v>
      </c>
      <c r="B563" s="149" t="s">
        <v>604</v>
      </c>
      <c r="C563" s="149"/>
      <c r="D563" s="149"/>
      <c r="E563" s="149"/>
      <c r="F563" s="149"/>
      <c r="G563" s="149"/>
      <c r="H563" s="135" t="s">
        <v>453</v>
      </c>
      <c r="I563" s="134" t="s">
        <v>469</v>
      </c>
      <c r="J563" s="135" t="s">
        <v>471</v>
      </c>
      <c r="K563" s="136">
        <v>200</v>
      </c>
      <c r="L563" s="137">
        <v>131.5</v>
      </c>
      <c r="M563" s="138">
        <f t="shared" si="38"/>
        <v>0</v>
      </c>
      <c r="N563" s="138">
        <f t="shared" si="493"/>
        <v>131.5</v>
      </c>
      <c r="O563" s="138"/>
      <c r="P563" s="138">
        <f t="shared" si="2"/>
        <v>26300</v>
      </c>
      <c r="Q563" s="139">
        <f t="shared" si="3"/>
        <v>0.15564999999999998</v>
      </c>
      <c r="R563" s="139">
        <f t="shared" si="74"/>
        <v>0</v>
      </c>
      <c r="S563" s="139">
        <f t="shared" si="35"/>
        <v>0.13</v>
      </c>
      <c r="T563" s="139">
        <f t="shared" si="492"/>
        <v>26.3</v>
      </c>
      <c r="U563" s="139">
        <f t="shared" si="494"/>
        <v>3.95</v>
      </c>
      <c r="V563" s="139">
        <f t="shared" si="476"/>
        <v>0.72</v>
      </c>
      <c r="W563" s="139">
        <f t="shared" si="217"/>
        <v>0.03</v>
      </c>
      <c r="X563" s="140">
        <f t="shared" si="9"/>
        <v>31.13</v>
      </c>
      <c r="Y563" s="141">
        <f t="shared" si="495"/>
        <v>-26331.13</v>
      </c>
      <c r="Z563" s="142">
        <f t="shared" si="402"/>
        <v>-26331</v>
      </c>
      <c r="AA563" s="143">
        <f t="shared" si="47"/>
        <v>0.13000000000101863</v>
      </c>
      <c r="AB563" s="133"/>
      <c r="AC563" s="144">
        <f t="shared" si="12"/>
        <v>1.1839999999999999E-3</v>
      </c>
      <c r="AD563" s="145">
        <f t="shared" si="13"/>
        <v>0</v>
      </c>
      <c r="AE563" s="146" t="s">
        <v>403</v>
      </c>
      <c r="AF563" s="119"/>
    </row>
    <row r="564" spans="1:32" ht="12" customHeight="1">
      <c r="A564" s="150">
        <v>44672</v>
      </c>
      <c r="B564" s="151" t="s">
        <v>575</v>
      </c>
      <c r="C564" s="151"/>
      <c r="D564" s="151"/>
      <c r="E564" s="151"/>
      <c r="F564" s="151"/>
      <c r="G564" s="151"/>
      <c r="H564" s="122" t="s">
        <v>446</v>
      </c>
      <c r="I564" s="121" t="s">
        <v>469</v>
      </c>
      <c r="J564" s="122" t="s">
        <v>448</v>
      </c>
      <c r="K564" s="123">
        <v>31</v>
      </c>
      <c r="L564" s="124">
        <v>1196</v>
      </c>
      <c r="M564" s="125">
        <f t="shared" si="38"/>
        <v>0</v>
      </c>
      <c r="N564" s="125">
        <f>L564-M564</f>
        <v>1196</v>
      </c>
      <c r="O564" s="125"/>
      <c r="P564" s="125">
        <f t="shared" si="2"/>
        <v>37076</v>
      </c>
      <c r="Q564" s="126">
        <f t="shared" si="3"/>
        <v>1.2361290322580645</v>
      </c>
      <c r="R564" s="126">
        <f t="shared" si="74"/>
        <v>0</v>
      </c>
      <c r="S564" s="126">
        <f t="shared" si="35"/>
        <v>0.18</v>
      </c>
      <c r="T564" s="126">
        <f t="shared" si="492"/>
        <v>37.08</v>
      </c>
      <c r="U564" s="126">
        <v>0</v>
      </c>
      <c r="V564" s="126">
        <f t="shared" si="476"/>
        <v>1.02</v>
      </c>
      <c r="W564" s="126">
        <f t="shared" si="217"/>
        <v>0.04</v>
      </c>
      <c r="X564" s="126">
        <f t="shared" si="9"/>
        <v>38.32</v>
      </c>
      <c r="Y564" s="127">
        <f>ROUND(P564-SUM(R564:W564),2)</f>
        <v>37037.68</v>
      </c>
      <c r="Z564" s="128">
        <f t="shared" si="402"/>
        <v>37038</v>
      </c>
      <c r="AA564" s="129">
        <f t="shared" si="47"/>
        <v>0.31999999999970896</v>
      </c>
      <c r="AB564" s="120"/>
      <c r="AC564" s="130">
        <f t="shared" si="12"/>
        <v>1.034E-3</v>
      </c>
      <c r="AD564" s="131">
        <f t="shared" si="13"/>
        <v>0</v>
      </c>
      <c r="AE564" s="132" t="s">
        <v>403</v>
      </c>
      <c r="AF564" s="119"/>
    </row>
    <row r="565" spans="1:32" ht="12" customHeight="1">
      <c r="A565" s="148">
        <v>44673</v>
      </c>
      <c r="B565" s="149" t="s">
        <v>575</v>
      </c>
      <c r="C565" s="149"/>
      <c r="D565" s="149"/>
      <c r="E565" s="149"/>
      <c r="F565" s="149"/>
      <c r="G565" s="149"/>
      <c r="H565" s="135" t="s">
        <v>453</v>
      </c>
      <c r="I565" s="134" t="s">
        <v>469</v>
      </c>
      <c r="J565" s="135" t="s">
        <v>448</v>
      </c>
      <c r="K565" s="136">
        <v>60</v>
      </c>
      <c r="L565" s="137">
        <v>1135</v>
      </c>
      <c r="M565" s="138">
        <f t="shared" si="38"/>
        <v>0</v>
      </c>
      <c r="N565" s="138">
        <f t="shared" ref="N565:N570" si="496">L565+M565</f>
        <v>1135</v>
      </c>
      <c r="O565" s="138"/>
      <c r="P565" s="138">
        <f t="shared" si="2"/>
        <v>68100</v>
      </c>
      <c r="Q565" s="139">
        <f t="shared" si="3"/>
        <v>1.3433333333333333</v>
      </c>
      <c r="R565" s="139">
        <f t="shared" si="74"/>
        <v>0</v>
      </c>
      <c r="S565" s="139">
        <f t="shared" si="35"/>
        <v>0.34</v>
      </c>
      <c r="T565" s="139">
        <f t="shared" si="492"/>
        <v>68.099999999999994</v>
      </c>
      <c r="U565" s="139">
        <f t="shared" ref="U565:U570" si="497">ROUND(P565*K$1812,2)</f>
        <v>10.220000000000001</v>
      </c>
      <c r="V565" s="139">
        <f t="shared" si="476"/>
        <v>1.87</v>
      </c>
      <c r="W565" s="139">
        <f t="shared" si="217"/>
        <v>7.0000000000000007E-2</v>
      </c>
      <c r="X565" s="140">
        <f t="shared" si="9"/>
        <v>80.599999999999994</v>
      </c>
      <c r="Y565" s="141">
        <f t="shared" ref="Y565:Y570" si="498">-ROUND(P565+SUM(R565:W565),2)</f>
        <v>-68180.600000000006</v>
      </c>
      <c r="Z565" s="142">
        <f t="shared" si="402"/>
        <v>-68181</v>
      </c>
      <c r="AA565" s="143">
        <f t="shared" si="47"/>
        <v>-0.39999999999417923</v>
      </c>
      <c r="AB565" s="133"/>
      <c r="AC565" s="144">
        <f t="shared" si="12"/>
        <v>1.1839999999999999E-3</v>
      </c>
      <c r="AD565" s="145">
        <f t="shared" si="13"/>
        <v>0</v>
      </c>
      <c r="AE565" s="146" t="s">
        <v>403</v>
      </c>
      <c r="AF565" s="119"/>
    </row>
    <row r="566" spans="1:32" ht="12" customHeight="1">
      <c r="A566" s="148">
        <v>44673</v>
      </c>
      <c r="B566" s="149" t="s">
        <v>479</v>
      </c>
      <c r="C566" s="149"/>
      <c r="D566" s="149"/>
      <c r="E566" s="149"/>
      <c r="F566" s="149"/>
      <c r="G566" s="149"/>
      <c r="H566" s="135" t="s">
        <v>453</v>
      </c>
      <c r="I566" s="134" t="s">
        <v>469</v>
      </c>
      <c r="J566" s="135" t="s">
        <v>471</v>
      </c>
      <c r="K566" s="136">
        <v>50</v>
      </c>
      <c r="L566" s="137">
        <v>504</v>
      </c>
      <c r="M566" s="138">
        <f t="shared" si="38"/>
        <v>0</v>
      </c>
      <c r="N566" s="138">
        <f t="shared" si="496"/>
        <v>504</v>
      </c>
      <c r="O566" s="138"/>
      <c r="P566" s="138">
        <f t="shared" si="2"/>
        <v>25200</v>
      </c>
      <c r="Q566" s="139">
        <f t="shared" si="3"/>
        <v>0.59640000000000004</v>
      </c>
      <c r="R566" s="139">
        <f t="shared" si="74"/>
        <v>0</v>
      </c>
      <c r="S566" s="139">
        <f t="shared" si="35"/>
        <v>0.12</v>
      </c>
      <c r="T566" s="139">
        <f t="shared" si="492"/>
        <v>25.2</v>
      </c>
      <c r="U566" s="139">
        <f t="shared" si="497"/>
        <v>3.78</v>
      </c>
      <c r="V566" s="139">
        <f t="shared" si="476"/>
        <v>0.69</v>
      </c>
      <c r="W566" s="139">
        <f t="shared" si="217"/>
        <v>0.03</v>
      </c>
      <c r="X566" s="140">
        <f t="shared" si="9"/>
        <v>29.820000000000004</v>
      </c>
      <c r="Y566" s="141">
        <f t="shared" si="498"/>
        <v>-25229.82</v>
      </c>
      <c r="Z566" s="142">
        <f t="shared" si="402"/>
        <v>-25230</v>
      </c>
      <c r="AA566" s="143">
        <f t="shared" si="47"/>
        <v>-0.18000000000029104</v>
      </c>
      <c r="AB566" s="133"/>
      <c r="AC566" s="144">
        <f t="shared" si="12"/>
        <v>1.183E-3</v>
      </c>
      <c r="AD566" s="145">
        <f t="shared" si="13"/>
        <v>0</v>
      </c>
      <c r="AE566" s="146" t="s">
        <v>403</v>
      </c>
      <c r="AF566" s="119"/>
    </row>
    <row r="567" spans="1:32" ht="12" customHeight="1">
      <c r="A567" s="148">
        <v>44676</v>
      </c>
      <c r="B567" s="149" t="s">
        <v>575</v>
      </c>
      <c r="C567" s="149"/>
      <c r="D567" s="149"/>
      <c r="E567" s="149"/>
      <c r="F567" s="149"/>
      <c r="G567" s="149"/>
      <c r="H567" s="135" t="s">
        <v>453</v>
      </c>
      <c r="I567" s="134" t="s">
        <v>469</v>
      </c>
      <c r="J567" s="135" t="s">
        <v>448</v>
      </c>
      <c r="K567" s="136">
        <v>50</v>
      </c>
      <c r="L567" s="137">
        <v>1135</v>
      </c>
      <c r="M567" s="138">
        <f t="shared" si="38"/>
        <v>0</v>
      </c>
      <c r="N567" s="138">
        <f t="shared" si="496"/>
        <v>1135</v>
      </c>
      <c r="O567" s="138"/>
      <c r="P567" s="138">
        <f t="shared" si="2"/>
        <v>56750</v>
      </c>
      <c r="Q567" s="139">
        <f t="shared" si="3"/>
        <v>1.3432000000000002</v>
      </c>
      <c r="R567" s="139">
        <f t="shared" si="74"/>
        <v>0</v>
      </c>
      <c r="S567" s="139">
        <f t="shared" si="35"/>
        <v>0.28000000000000003</v>
      </c>
      <c r="T567" s="139">
        <f t="shared" si="492"/>
        <v>56.75</v>
      </c>
      <c r="U567" s="139">
        <f t="shared" si="497"/>
        <v>8.51</v>
      </c>
      <c r="V567" s="139">
        <f t="shared" si="476"/>
        <v>1.56</v>
      </c>
      <c r="W567" s="139">
        <f t="shared" si="217"/>
        <v>0.06</v>
      </c>
      <c r="X567" s="140">
        <f t="shared" si="9"/>
        <v>67.160000000000011</v>
      </c>
      <c r="Y567" s="141">
        <f t="shared" si="498"/>
        <v>-56817.16</v>
      </c>
      <c r="Z567" s="142">
        <f t="shared" si="402"/>
        <v>-56817</v>
      </c>
      <c r="AA567" s="143">
        <f t="shared" si="47"/>
        <v>0.16000000000349246</v>
      </c>
      <c r="AB567" s="133"/>
      <c r="AC567" s="144">
        <f t="shared" si="12"/>
        <v>1.183E-3</v>
      </c>
      <c r="AD567" s="145">
        <f t="shared" si="13"/>
        <v>0</v>
      </c>
      <c r="AE567" s="146" t="s">
        <v>403</v>
      </c>
      <c r="AF567" s="119"/>
    </row>
    <row r="568" spans="1:32" ht="12" customHeight="1">
      <c r="A568" s="148">
        <v>44676</v>
      </c>
      <c r="B568" s="149" t="s">
        <v>605</v>
      </c>
      <c r="C568" s="149"/>
      <c r="D568" s="149"/>
      <c r="E568" s="149"/>
      <c r="F568" s="149"/>
      <c r="G568" s="149"/>
      <c r="H568" s="135" t="s">
        <v>453</v>
      </c>
      <c r="I568" s="134" t="s">
        <v>469</v>
      </c>
      <c r="J568" s="135" t="s">
        <v>471</v>
      </c>
      <c r="K568" s="136">
        <v>100</v>
      </c>
      <c r="L568" s="137">
        <v>80</v>
      </c>
      <c r="M568" s="138">
        <f t="shared" si="38"/>
        <v>0</v>
      </c>
      <c r="N568" s="138">
        <f t="shared" si="496"/>
        <v>80</v>
      </c>
      <c r="O568" s="138"/>
      <c r="P568" s="138">
        <f t="shared" si="2"/>
        <v>8000</v>
      </c>
      <c r="Q568" s="139">
        <f t="shared" si="3"/>
        <v>0.18650000000000003</v>
      </c>
      <c r="R568" s="139">
        <f t="shared" si="74"/>
        <v>0</v>
      </c>
      <c r="S568" s="139">
        <f t="shared" si="35"/>
        <v>1.44</v>
      </c>
      <c r="T568" s="139">
        <f t="shared" si="492"/>
        <v>8</v>
      </c>
      <c r="U568" s="139">
        <f t="shared" si="497"/>
        <v>1.2</v>
      </c>
      <c r="V568" s="139">
        <f>ROUND(P568*0.1%,2)</f>
        <v>8</v>
      </c>
      <c r="W568" s="139">
        <f t="shared" si="217"/>
        <v>0.01</v>
      </c>
      <c r="X568" s="140">
        <f t="shared" si="9"/>
        <v>18.650000000000002</v>
      </c>
      <c r="Y568" s="141">
        <f t="shared" si="498"/>
        <v>-8018.65</v>
      </c>
      <c r="Z568" s="142">
        <f t="shared" si="402"/>
        <v>-8019</v>
      </c>
      <c r="AA568" s="143">
        <f t="shared" si="47"/>
        <v>-0.3500000000003638</v>
      </c>
      <c r="AB568" s="133"/>
      <c r="AC568" s="144">
        <f t="shared" si="12"/>
        <v>2.3310000000000002E-3</v>
      </c>
      <c r="AD568" s="145">
        <f t="shared" si="13"/>
        <v>0</v>
      </c>
      <c r="AE568" s="146" t="s">
        <v>403</v>
      </c>
      <c r="AF568" s="119"/>
    </row>
    <row r="569" spans="1:32" ht="12" customHeight="1">
      <c r="A569" s="148">
        <v>44676</v>
      </c>
      <c r="B569" s="149" t="s">
        <v>606</v>
      </c>
      <c r="C569" s="149"/>
      <c r="D569" s="149"/>
      <c r="E569" s="149"/>
      <c r="F569" s="149"/>
      <c r="G569" s="149"/>
      <c r="H569" s="135" t="s">
        <v>453</v>
      </c>
      <c r="I569" s="134" t="s">
        <v>469</v>
      </c>
      <c r="J569" s="135" t="s">
        <v>471</v>
      </c>
      <c r="K569" s="136">
        <v>10</v>
      </c>
      <c r="L569" s="137">
        <v>1272.5</v>
      </c>
      <c r="M569" s="138">
        <f t="shared" si="38"/>
        <v>0</v>
      </c>
      <c r="N569" s="138">
        <f t="shared" si="496"/>
        <v>1272.5</v>
      </c>
      <c r="O569" s="138"/>
      <c r="P569" s="138">
        <f t="shared" si="2"/>
        <v>12725</v>
      </c>
      <c r="Q569" s="139">
        <f t="shared" si="3"/>
        <v>1.506</v>
      </c>
      <c r="R569" s="139">
        <f t="shared" si="74"/>
        <v>0</v>
      </c>
      <c r="S569" s="139">
        <f t="shared" si="35"/>
        <v>0.06</v>
      </c>
      <c r="T569" s="139">
        <f t="shared" si="492"/>
        <v>12.73</v>
      </c>
      <c r="U569" s="139">
        <f t="shared" si="497"/>
        <v>1.91</v>
      </c>
      <c r="V569" s="139">
        <f t="shared" ref="V569:V573" si="499">ROUND(P569*L$1809,2)</f>
        <v>0.35</v>
      </c>
      <c r="W569" s="139">
        <f t="shared" si="217"/>
        <v>0.01</v>
      </c>
      <c r="X569" s="140">
        <f t="shared" si="9"/>
        <v>15.06</v>
      </c>
      <c r="Y569" s="141">
        <f t="shared" si="498"/>
        <v>-12740.06</v>
      </c>
      <c r="Z569" s="142">
        <f t="shared" si="402"/>
        <v>-12740</v>
      </c>
      <c r="AA569" s="143">
        <f t="shared" si="47"/>
        <v>5.9999999999490683E-2</v>
      </c>
      <c r="AB569" s="133"/>
      <c r="AC569" s="144">
        <f t="shared" si="12"/>
        <v>1.183E-3</v>
      </c>
      <c r="AD569" s="145">
        <f t="shared" si="13"/>
        <v>0</v>
      </c>
      <c r="AE569" s="146" t="s">
        <v>403</v>
      </c>
      <c r="AF569" s="119"/>
    </row>
    <row r="570" spans="1:32" ht="12" customHeight="1">
      <c r="A570" s="148">
        <v>44676</v>
      </c>
      <c r="B570" s="149" t="s">
        <v>604</v>
      </c>
      <c r="C570" s="149"/>
      <c r="D570" s="149"/>
      <c r="E570" s="149"/>
      <c r="F570" s="149"/>
      <c r="G570" s="149"/>
      <c r="H570" s="135" t="s">
        <v>453</v>
      </c>
      <c r="I570" s="134" t="s">
        <v>469</v>
      </c>
      <c r="J570" s="135" t="s">
        <v>471</v>
      </c>
      <c r="K570" s="136">
        <v>50</v>
      </c>
      <c r="L570" s="137">
        <v>120.75</v>
      </c>
      <c r="M570" s="138">
        <f t="shared" si="38"/>
        <v>0</v>
      </c>
      <c r="N570" s="138">
        <f t="shared" si="496"/>
        <v>120.75</v>
      </c>
      <c r="O570" s="138"/>
      <c r="P570" s="138">
        <f t="shared" si="2"/>
        <v>6037.5</v>
      </c>
      <c r="Q570" s="139">
        <f t="shared" si="3"/>
        <v>0.14319999999999999</v>
      </c>
      <c r="R570" s="139">
        <f t="shared" si="74"/>
        <v>0</v>
      </c>
      <c r="S570" s="139">
        <f t="shared" si="35"/>
        <v>0.03</v>
      </c>
      <c r="T570" s="139">
        <f t="shared" si="492"/>
        <v>6.04</v>
      </c>
      <c r="U570" s="139">
        <f t="shared" si="497"/>
        <v>0.91</v>
      </c>
      <c r="V570" s="139">
        <f t="shared" si="499"/>
        <v>0.17</v>
      </c>
      <c r="W570" s="139">
        <f t="shared" si="217"/>
        <v>0.01</v>
      </c>
      <c r="X570" s="140">
        <f t="shared" si="9"/>
        <v>7.16</v>
      </c>
      <c r="Y570" s="141">
        <f t="shared" si="498"/>
        <v>-6044.66</v>
      </c>
      <c r="Z570" s="142">
        <f t="shared" si="402"/>
        <v>-6045</v>
      </c>
      <c r="AA570" s="143">
        <f t="shared" si="47"/>
        <v>-0.34000000000014552</v>
      </c>
      <c r="AB570" s="133"/>
      <c r="AC570" s="144">
        <f t="shared" si="12"/>
        <v>1.186E-3</v>
      </c>
      <c r="AD570" s="145">
        <f t="shared" si="13"/>
        <v>0</v>
      </c>
      <c r="AE570" s="146" t="s">
        <v>403</v>
      </c>
      <c r="AF570" s="119"/>
    </row>
    <row r="571" spans="1:32" ht="12" customHeight="1">
      <c r="A571" s="150">
        <v>44677</v>
      </c>
      <c r="B571" s="151" t="s">
        <v>601</v>
      </c>
      <c r="C571" s="151"/>
      <c r="D571" s="151"/>
      <c r="E571" s="151"/>
      <c r="F571" s="151"/>
      <c r="G571" s="151"/>
      <c r="H571" s="122" t="s">
        <v>446</v>
      </c>
      <c r="I571" s="121" t="s">
        <v>469</v>
      </c>
      <c r="J571" s="122" t="s">
        <v>471</v>
      </c>
      <c r="K571" s="123">
        <v>55</v>
      </c>
      <c r="L571" s="124">
        <v>989.63639999999998</v>
      </c>
      <c r="M571" s="125">
        <f t="shared" si="38"/>
        <v>0</v>
      </c>
      <c r="N571" s="125">
        <f t="shared" ref="N571:N573" si="500">L571-M571</f>
        <v>989.63639999999998</v>
      </c>
      <c r="O571" s="125"/>
      <c r="P571" s="125">
        <f t="shared" si="2"/>
        <v>54430</v>
      </c>
      <c r="Q571" s="126">
        <f t="shared" si="3"/>
        <v>1.0227272727272727</v>
      </c>
      <c r="R571" s="126">
        <f t="shared" si="74"/>
        <v>0</v>
      </c>
      <c r="S571" s="126">
        <f t="shared" si="35"/>
        <v>0.27</v>
      </c>
      <c r="T571" s="126">
        <f t="shared" si="492"/>
        <v>54.43</v>
      </c>
      <c r="U571" s="126">
        <v>0</v>
      </c>
      <c r="V571" s="126">
        <f t="shared" si="499"/>
        <v>1.5</v>
      </c>
      <c r="W571" s="126">
        <f t="shared" si="217"/>
        <v>0.05</v>
      </c>
      <c r="X571" s="126">
        <f t="shared" si="9"/>
        <v>56.25</v>
      </c>
      <c r="Y571" s="127">
        <f t="shared" ref="Y571:Y573" si="501">ROUND(P571-SUM(R571:W571),2)</f>
        <v>54373.75</v>
      </c>
      <c r="Z571" s="128">
        <f t="shared" si="402"/>
        <v>54374</v>
      </c>
      <c r="AA571" s="129">
        <f t="shared" si="47"/>
        <v>0.25</v>
      </c>
      <c r="AB571" s="120"/>
      <c r="AC571" s="130">
        <f t="shared" si="12"/>
        <v>1.0330000000000001E-3</v>
      </c>
      <c r="AD571" s="131">
        <f t="shared" si="13"/>
        <v>0</v>
      </c>
      <c r="AE571" s="132" t="s">
        <v>403</v>
      </c>
      <c r="AF571" s="119"/>
    </row>
    <row r="572" spans="1:32" ht="12" customHeight="1">
      <c r="A572" s="150">
        <v>44677</v>
      </c>
      <c r="B572" s="151" t="s">
        <v>575</v>
      </c>
      <c r="C572" s="151"/>
      <c r="D572" s="151"/>
      <c r="E572" s="151"/>
      <c r="F572" s="151"/>
      <c r="G572" s="151"/>
      <c r="H572" s="122" t="s">
        <v>446</v>
      </c>
      <c r="I572" s="121" t="s">
        <v>469</v>
      </c>
      <c r="J572" s="122" t="s">
        <v>448</v>
      </c>
      <c r="K572" s="123">
        <v>50</v>
      </c>
      <c r="L572" s="124">
        <v>1155</v>
      </c>
      <c r="M572" s="125">
        <f t="shared" si="38"/>
        <v>0</v>
      </c>
      <c r="N572" s="125">
        <f t="shared" si="500"/>
        <v>1155</v>
      </c>
      <c r="O572" s="125"/>
      <c r="P572" s="125">
        <f t="shared" si="2"/>
        <v>57750</v>
      </c>
      <c r="Q572" s="126">
        <f t="shared" si="3"/>
        <v>1.1938000000000002</v>
      </c>
      <c r="R572" s="126">
        <f t="shared" si="74"/>
        <v>0</v>
      </c>
      <c r="S572" s="126">
        <f t="shared" si="35"/>
        <v>0.28999999999999998</v>
      </c>
      <c r="T572" s="126">
        <f t="shared" si="492"/>
        <v>57.75</v>
      </c>
      <c r="U572" s="126">
        <v>0</v>
      </c>
      <c r="V572" s="126">
        <f t="shared" si="499"/>
        <v>1.59</v>
      </c>
      <c r="W572" s="126">
        <f t="shared" si="217"/>
        <v>0.06</v>
      </c>
      <c r="X572" s="126">
        <f t="shared" si="9"/>
        <v>59.690000000000005</v>
      </c>
      <c r="Y572" s="127">
        <f t="shared" si="501"/>
        <v>57690.31</v>
      </c>
      <c r="Z572" s="128">
        <f t="shared" si="402"/>
        <v>57690</v>
      </c>
      <c r="AA572" s="129">
        <f t="shared" si="47"/>
        <v>-0.30999999999767169</v>
      </c>
      <c r="AB572" s="120"/>
      <c r="AC572" s="130">
        <f t="shared" si="12"/>
        <v>1.034E-3</v>
      </c>
      <c r="AD572" s="131">
        <f t="shared" si="13"/>
        <v>0</v>
      </c>
      <c r="AE572" s="132" t="s">
        <v>403</v>
      </c>
      <c r="AF572" s="119"/>
    </row>
    <row r="573" spans="1:32" ht="12" customHeight="1">
      <c r="A573" s="150">
        <v>44678</v>
      </c>
      <c r="B573" s="151" t="s">
        <v>307</v>
      </c>
      <c r="C573" s="151"/>
      <c r="D573" s="151"/>
      <c r="E573" s="151"/>
      <c r="F573" s="151"/>
      <c r="G573" s="151"/>
      <c r="H573" s="122" t="s">
        <v>446</v>
      </c>
      <c r="I573" s="121" t="s">
        <v>469</v>
      </c>
      <c r="J573" s="122" t="s">
        <v>471</v>
      </c>
      <c r="K573" s="123">
        <v>30</v>
      </c>
      <c r="L573" s="124">
        <v>870</v>
      </c>
      <c r="M573" s="125">
        <f t="shared" si="38"/>
        <v>0</v>
      </c>
      <c r="N573" s="125">
        <f t="shared" si="500"/>
        <v>870</v>
      </c>
      <c r="O573" s="125"/>
      <c r="P573" s="125">
        <f t="shared" si="2"/>
        <v>26100</v>
      </c>
      <c r="Q573" s="126">
        <f t="shared" si="3"/>
        <v>0.89933333333333332</v>
      </c>
      <c r="R573" s="126">
        <f t="shared" si="74"/>
        <v>0</v>
      </c>
      <c r="S573" s="126">
        <f t="shared" si="35"/>
        <v>0.13</v>
      </c>
      <c r="T573" s="126">
        <f t="shared" si="492"/>
        <v>26.1</v>
      </c>
      <c r="U573" s="126">
        <v>0</v>
      </c>
      <c r="V573" s="126">
        <f t="shared" si="499"/>
        <v>0.72</v>
      </c>
      <c r="W573" s="126">
        <f t="shared" si="217"/>
        <v>0.03</v>
      </c>
      <c r="X573" s="126">
        <f t="shared" si="9"/>
        <v>26.98</v>
      </c>
      <c r="Y573" s="127">
        <f t="shared" si="501"/>
        <v>26073.02</v>
      </c>
      <c r="Z573" s="128">
        <f t="shared" si="402"/>
        <v>26073</v>
      </c>
      <c r="AA573" s="129">
        <f t="shared" si="47"/>
        <v>-2.0000000000436557E-2</v>
      </c>
      <c r="AB573" s="120"/>
      <c r="AC573" s="130">
        <f t="shared" si="12"/>
        <v>1.034E-3</v>
      </c>
      <c r="AD573" s="131">
        <f t="shared" si="13"/>
        <v>0</v>
      </c>
      <c r="AE573" s="132" t="s">
        <v>403</v>
      </c>
      <c r="AF573" s="119"/>
    </row>
    <row r="574" spans="1:32" ht="12" customHeight="1">
      <c r="A574" s="148">
        <v>44678</v>
      </c>
      <c r="B574" s="149" t="s">
        <v>605</v>
      </c>
      <c r="C574" s="149"/>
      <c r="D574" s="149"/>
      <c r="E574" s="149"/>
      <c r="F574" s="149"/>
      <c r="G574" s="149"/>
      <c r="H574" s="135" t="s">
        <v>453</v>
      </c>
      <c r="I574" s="134" t="s">
        <v>469</v>
      </c>
      <c r="J574" s="135" t="s">
        <v>471</v>
      </c>
      <c r="K574" s="136">
        <v>50</v>
      </c>
      <c r="L574" s="137">
        <v>70</v>
      </c>
      <c r="M574" s="138">
        <f t="shared" si="38"/>
        <v>0</v>
      </c>
      <c r="N574" s="138">
        <f t="shared" ref="N574:N576" si="502">L574+M574</f>
        <v>70</v>
      </c>
      <c r="O574" s="138"/>
      <c r="P574" s="138">
        <f t="shared" si="2"/>
        <v>3500</v>
      </c>
      <c r="Q574" s="139">
        <f t="shared" si="3"/>
        <v>0.18679999999999999</v>
      </c>
      <c r="R574" s="139">
        <f t="shared" si="74"/>
        <v>0</v>
      </c>
      <c r="S574" s="139">
        <f t="shared" si="35"/>
        <v>0.81</v>
      </c>
      <c r="T574" s="139">
        <f t="shared" si="492"/>
        <v>3.5</v>
      </c>
      <c r="U574" s="139">
        <f t="shared" ref="U574:U576" si="503">ROUND(P574*K$1812,2)</f>
        <v>0.53</v>
      </c>
      <c r="V574" s="139">
        <f>ROUND(P574*0.1%,2)+1</f>
        <v>4.5</v>
      </c>
      <c r="W574" s="139">
        <f t="shared" si="217"/>
        <v>0</v>
      </c>
      <c r="X574" s="140">
        <f t="shared" si="9"/>
        <v>9.34</v>
      </c>
      <c r="Y574" s="141">
        <f t="shared" ref="Y574:Y576" si="504">-ROUND(P574+SUM(R574:W574),2)</f>
        <v>-3509.34</v>
      </c>
      <c r="Z574" s="142">
        <f t="shared" si="402"/>
        <v>-3509</v>
      </c>
      <c r="AA574" s="143">
        <f t="shared" si="47"/>
        <v>0.34000000000014552</v>
      </c>
      <c r="AB574" s="133"/>
      <c r="AC574" s="144">
        <f t="shared" si="12"/>
        <v>2.6689999999999999E-3</v>
      </c>
      <c r="AD574" s="145">
        <f t="shared" si="13"/>
        <v>0</v>
      </c>
      <c r="AE574" s="146" t="s">
        <v>403</v>
      </c>
      <c r="AF574" s="119"/>
    </row>
    <row r="575" spans="1:32" ht="12" customHeight="1">
      <c r="A575" s="148">
        <v>44678</v>
      </c>
      <c r="B575" s="149" t="s">
        <v>606</v>
      </c>
      <c r="C575" s="149"/>
      <c r="D575" s="149"/>
      <c r="E575" s="149"/>
      <c r="F575" s="149"/>
      <c r="G575" s="149"/>
      <c r="H575" s="135" t="s">
        <v>453</v>
      </c>
      <c r="I575" s="134" t="s">
        <v>469</v>
      </c>
      <c r="J575" s="135" t="s">
        <v>471</v>
      </c>
      <c r="K575" s="136">
        <v>5</v>
      </c>
      <c r="L575" s="137">
        <v>1195</v>
      </c>
      <c r="M575" s="138">
        <f t="shared" si="38"/>
        <v>0</v>
      </c>
      <c r="N575" s="138">
        <f t="shared" si="502"/>
        <v>1195</v>
      </c>
      <c r="O575" s="138"/>
      <c r="P575" s="138">
        <f t="shared" si="2"/>
        <v>5975</v>
      </c>
      <c r="Q575" s="139">
        <f t="shared" si="3"/>
        <v>1.4160000000000001</v>
      </c>
      <c r="R575" s="139">
        <f t="shared" si="74"/>
        <v>0</v>
      </c>
      <c r="S575" s="139">
        <f t="shared" si="35"/>
        <v>0.03</v>
      </c>
      <c r="T575" s="139">
        <f t="shared" si="492"/>
        <v>5.98</v>
      </c>
      <c r="U575" s="139">
        <f t="shared" si="503"/>
        <v>0.9</v>
      </c>
      <c r="V575" s="139">
        <f t="shared" ref="V575:V693" si="505">ROUND(P575*L$1809,2)</f>
        <v>0.16</v>
      </c>
      <c r="W575" s="139">
        <f t="shared" si="217"/>
        <v>0.01</v>
      </c>
      <c r="X575" s="140">
        <f t="shared" si="9"/>
        <v>7.080000000000001</v>
      </c>
      <c r="Y575" s="141">
        <f t="shared" si="504"/>
        <v>-5982.08</v>
      </c>
      <c r="Z575" s="142">
        <f t="shared" si="402"/>
        <v>-5982</v>
      </c>
      <c r="AA575" s="143">
        <f t="shared" si="47"/>
        <v>7.999999999992724E-2</v>
      </c>
      <c r="AB575" s="133"/>
      <c r="AC575" s="144">
        <f t="shared" si="12"/>
        <v>1.1850000000000001E-3</v>
      </c>
      <c r="AD575" s="145">
        <f t="shared" si="13"/>
        <v>0</v>
      </c>
      <c r="AE575" s="146" t="s">
        <v>403</v>
      </c>
      <c r="AF575" s="119"/>
    </row>
    <row r="576" spans="1:32" ht="12" customHeight="1">
      <c r="A576" s="148">
        <v>44679</v>
      </c>
      <c r="B576" s="149" t="s">
        <v>575</v>
      </c>
      <c r="C576" s="149"/>
      <c r="D576" s="149"/>
      <c r="E576" s="149"/>
      <c r="F576" s="149"/>
      <c r="G576" s="149"/>
      <c r="H576" s="135" t="s">
        <v>453</v>
      </c>
      <c r="I576" s="134" t="s">
        <v>469</v>
      </c>
      <c r="J576" s="135" t="s">
        <v>448</v>
      </c>
      <c r="K576" s="136">
        <v>100</v>
      </c>
      <c r="L576" s="137">
        <v>1198.3685</v>
      </c>
      <c r="M576" s="138">
        <f t="shared" si="38"/>
        <v>0</v>
      </c>
      <c r="N576" s="138">
        <f t="shared" si="502"/>
        <v>1198.3685</v>
      </c>
      <c r="O576" s="138"/>
      <c r="P576" s="138">
        <f t="shared" si="2"/>
        <v>119836.85</v>
      </c>
      <c r="Q576" s="139">
        <f t="shared" si="3"/>
        <v>1.4183000000000001</v>
      </c>
      <c r="R576" s="139">
        <f t="shared" si="74"/>
        <v>0</v>
      </c>
      <c r="S576" s="139">
        <f t="shared" si="35"/>
        <v>0.59</v>
      </c>
      <c r="T576" s="139">
        <f t="shared" si="492"/>
        <v>119.84</v>
      </c>
      <c r="U576" s="139">
        <f t="shared" si="503"/>
        <v>17.98</v>
      </c>
      <c r="V576" s="139">
        <f t="shared" si="505"/>
        <v>3.3</v>
      </c>
      <c r="W576" s="139">
        <f t="shared" si="217"/>
        <v>0.12</v>
      </c>
      <c r="X576" s="140">
        <f t="shared" si="9"/>
        <v>141.83000000000001</v>
      </c>
      <c r="Y576" s="141">
        <f t="shared" si="504"/>
        <v>-119978.68</v>
      </c>
      <c r="Z576" s="142">
        <f t="shared" si="402"/>
        <v>-119979</v>
      </c>
      <c r="AA576" s="143">
        <f t="shared" si="47"/>
        <v>-0.32000000000698492</v>
      </c>
      <c r="AB576" s="133"/>
      <c r="AC576" s="144">
        <f t="shared" si="12"/>
        <v>1.1839999999999999E-3</v>
      </c>
      <c r="AD576" s="145">
        <f t="shared" si="13"/>
        <v>0</v>
      </c>
      <c r="AE576" s="146" t="s">
        <v>403</v>
      </c>
      <c r="AF576" s="119"/>
    </row>
    <row r="577" spans="1:32" ht="12" customHeight="1">
      <c r="A577" s="150">
        <v>44679</v>
      </c>
      <c r="B577" s="151" t="s">
        <v>575</v>
      </c>
      <c r="C577" s="151"/>
      <c r="D577" s="151"/>
      <c r="E577" s="151"/>
      <c r="F577" s="151"/>
      <c r="G577" s="151"/>
      <c r="H577" s="122" t="s">
        <v>446</v>
      </c>
      <c r="I577" s="121" t="s">
        <v>469</v>
      </c>
      <c r="J577" s="122" t="s">
        <v>448</v>
      </c>
      <c r="K577" s="123">
        <v>100</v>
      </c>
      <c r="L577" s="124">
        <v>1177.5</v>
      </c>
      <c r="M577" s="125">
        <f t="shared" si="38"/>
        <v>0</v>
      </c>
      <c r="N577" s="125">
        <f>L577-M577</f>
        <v>1177.5</v>
      </c>
      <c r="O577" s="125"/>
      <c r="P577" s="125">
        <f t="shared" si="2"/>
        <v>117750</v>
      </c>
      <c r="Q577" s="126">
        <f t="shared" si="3"/>
        <v>1.2168999999999999</v>
      </c>
      <c r="R577" s="126">
        <f t="shared" si="74"/>
        <v>0</v>
      </c>
      <c r="S577" s="126">
        <f t="shared" si="35"/>
        <v>0.57999999999999996</v>
      </c>
      <c r="T577" s="126">
        <f t="shared" si="492"/>
        <v>117.75</v>
      </c>
      <c r="U577" s="126">
        <v>0</v>
      </c>
      <c r="V577" s="126">
        <f t="shared" si="505"/>
        <v>3.24</v>
      </c>
      <c r="W577" s="126">
        <f t="shared" si="217"/>
        <v>0.12</v>
      </c>
      <c r="X577" s="126">
        <f t="shared" si="9"/>
        <v>121.69</v>
      </c>
      <c r="Y577" s="127">
        <f>ROUND(P577-SUM(R577:W577),2)</f>
        <v>117628.31</v>
      </c>
      <c r="Z577" s="128">
        <f t="shared" si="402"/>
        <v>117628</v>
      </c>
      <c r="AA577" s="129">
        <f t="shared" si="47"/>
        <v>-0.30999999999767169</v>
      </c>
      <c r="AB577" s="120"/>
      <c r="AC577" s="130">
        <f t="shared" si="12"/>
        <v>1.0330000000000001E-3</v>
      </c>
      <c r="AD577" s="131">
        <f t="shared" si="13"/>
        <v>0</v>
      </c>
      <c r="AE577" s="132" t="s">
        <v>403</v>
      </c>
      <c r="AF577" s="119"/>
    </row>
    <row r="578" spans="1:32" ht="12" customHeight="1">
      <c r="A578" s="148">
        <v>44679</v>
      </c>
      <c r="B578" s="149" t="s">
        <v>601</v>
      </c>
      <c r="C578" s="149"/>
      <c r="D578" s="149"/>
      <c r="E578" s="149"/>
      <c r="F578" s="149"/>
      <c r="G578" s="149"/>
      <c r="H578" s="135" t="s">
        <v>453</v>
      </c>
      <c r="I578" s="134" t="s">
        <v>469</v>
      </c>
      <c r="J578" s="135" t="s">
        <v>471</v>
      </c>
      <c r="K578" s="136">
        <v>20</v>
      </c>
      <c r="L578" s="137">
        <v>1110</v>
      </c>
      <c r="M578" s="138">
        <f t="shared" si="38"/>
        <v>0</v>
      </c>
      <c r="N578" s="138">
        <f t="shared" ref="N578:N582" si="506">L578+M578</f>
        <v>1110</v>
      </c>
      <c r="O578" s="138"/>
      <c r="P578" s="138">
        <f t="shared" si="2"/>
        <v>22200</v>
      </c>
      <c r="Q578" s="139">
        <f t="shared" si="3"/>
        <v>1.3134999999999999</v>
      </c>
      <c r="R578" s="139">
        <f t="shared" si="74"/>
        <v>0</v>
      </c>
      <c r="S578" s="139">
        <f t="shared" si="35"/>
        <v>0.11</v>
      </c>
      <c r="T578" s="139">
        <f t="shared" si="492"/>
        <v>22.2</v>
      </c>
      <c r="U578" s="139">
        <f t="shared" ref="U578:U582" si="507">ROUND(P578*K$1812,2)</f>
        <v>3.33</v>
      </c>
      <c r="V578" s="139">
        <f t="shared" si="505"/>
        <v>0.61</v>
      </c>
      <c r="W578" s="139">
        <f t="shared" si="217"/>
        <v>0.02</v>
      </c>
      <c r="X578" s="140">
        <f t="shared" si="9"/>
        <v>26.27</v>
      </c>
      <c r="Y578" s="141">
        <f t="shared" ref="Y578:Y582" si="508">-ROUND(P578+SUM(R578:W578),2)</f>
        <v>-22226.27</v>
      </c>
      <c r="Z578" s="142">
        <f t="shared" si="402"/>
        <v>-22226</v>
      </c>
      <c r="AA578" s="143">
        <f t="shared" si="47"/>
        <v>0.27000000000043656</v>
      </c>
      <c r="AB578" s="133"/>
      <c r="AC578" s="144">
        <f t="shared" si="12"/>
        <v>1.183E-3</v>
      </c>
      <c r="AD578" s="145">
        <f t="shared" si="13"/>
        <v>0</v>
      </c>
      <c r="AE578" s="146" t="s">
        <v>403</v>
      </c>
      <c r="AF578" s="119"/>
    </row>
    <row r="579" spans="1:32" ht="12" customHeight="1">
      <c r="A579" s="148">
        <v>44679</v>
      </c>
      <c r="B579" s="149" t="s">
        <v>607</v>
      </c>
      <c r="C579" s="149"/>
      <c r="D579" s="149"/>
      <c r="E579" s="149"/>
      <c r="F579" s="149"/>
      <c r="G579" s="149"/>
      <c r="H579" s="135" t="s">
        <v>453</v>
      </c>
      <c r="I579" s="134" t="s">
        <v>469</v>
      </c>
      <c r="J579" s="135" t="s">
        <v>471</v>
      </c>
      <c r="K579" s="136">
        <v>200</v>
      </c>
      <c r="L579" s="137">
        <v>21</v>
      </c>
      <c r="M579" s="138">
        <f t="shared" si="38"/>
        <v>0</v>
      </c>
      <c r="N579" s="138">
        <f t="shared" si="506"/>
        <v>21</v>
      </c>
      <c r="O579" s="138"/>
      <c r="P579" s="138">
        <f t="shared" si="2"/>
        <v>4200</v>
      </c>
      <c r="Q579" s="139">
        <f t="shared" si="3"/>
        <v>2.4849999999999997E-2</v>
      </c>
      <c r="R579" s="139">
        <f t="shared" si="74"/>
        <v>0</v>
      </c>
      <c r="S579" s="139">
        <f t="shared" si="35"/>
        <v>0.02</v>
      </c>
      <c r="T579" s="139">
        <f t="shared" si="492"/>
        <v>4.2</v>
      </c>
      <c r="U579" s="139">
        <f t="shared" si="507"/>
        <v>0.63</v>
      </c>
      <c r="V579" s="139">
        <f t="shared" si="505"/>
        <v>0.12</v>
      </c>
      <c r="W579" s="139">
        <f t="shared" si="217"/>
        <v>0</v>
      </c>
      <c r="X579" s="140">
        <f t="shared" si="9"/>
        <v>4.97</v>
      </c>
      <c r="Y579" s="141">
        <f t="shared" si="508"/>
        <v>-4204.97</v>
      </c>
      <c r="Z579" s="142">
        <f t="shared" si="402"/>
        <v>-4205</v>
      </c>
      <c r="AA579" s="143">
        <f t="shared" si="47"/>
        <v>-2.9999999999745341E-2</v>
      </c>
      <c r="AB579" s="133"/>
      <c r="AC579" s="144">
        <f t="shared" si="12"/>
        <v>1.183E-3</v>
      </c>
      <c r="AD579" s="145">
        <f t="shared" si="13"/>
        <v>0</v>
      </c>
      <c r="AE579" s="146" t="s">
        <v>403</v>
      </c>
      <c r="AF579" s="119"/>
    </row>
    <row r="580" spans="1:32" ht="12" customHeight="1">
      <c r="A580" s="148">
        <v>44680</v>
      </c>
      <c r="B580" s="149" t="s">
        <v>608</v>
      </c>
      <c r="C580" s="149"/>
      <c r="D580" s="149"/>
      <c r="E580" s="149"/>
      <c r="F580" s="149"/>
      <c r="G580" s="149"/>
      <c r="H580" s="135" t="s">
        <v>453</v>
      </c>
      <c r="I580" s="134" t="s">
        <v>469</v>
      </c>
      <c r="J580" s="135" t="s">
        <v>471</v>
      </c>
      <c r="K580" s="136">
        <v>10</v>
      </c>
      <c r="L580" s="137">
        <v>565</v>
      </c>
      <c r="M580" s="138">
        <f t="shared" si="38"/>
        <v>0</v>
      </c>
      <c r="N580" s="138">
        <f t="shared" si="506"/>
        <v>565</v>
      </c>
      <c r="O580" s="138"/>
      <c r="P580" s="138">
        <f t="shared" si="2"/>
        <v>5650</v>
      </c>
      <c r="Q580" s="139">
        <f t="shared" si="3"/>
        <v>0.67</v>
      </c>
      <c r="R580" s="139">
        <f t="shared" si="74"/>
        <v>0</v>
      </c>
      <c r="S580" s="139">
        <f t="shared" si="35"/>
        <v>0.03</v>
      </c>
      <c r="T580" s="139">
        <f t="shared" si="492"/>
        <v>5.65</v>
      </c>
      <c r="U580" s="139">
        <f t="shared" si="507"/>
        <v>0.85</v>
      </c>
      <c r="V580" s="139">
        <f t="shared" si="505"/>
        <v>0.16</v>
      </c>
      <c r="W580" s="139">
        <f t="shared" si="217"/>
        <v>0.01</v>
      </c>
      <c r="X580" s="140">
        <f t="shared" si="9"/>
        <v>6.7</v>
      </c>
      <c r="Y580" s="141">
        <f t="shared" si="508"/>
        <v>-5656.7</v>
      </c>
      <c r="Z580" s="142">
        <f t="shared" si="402"/>
        <v>-5657</v>
      </c>
      <c r="AA580" s="143">
        <f t="shared" si="47"/>
        <v>-0.3000000000001819</v>
      </c>
      <c r="AB580" s="133"/>
      <c r="AC580" s="144">
        <f t="shared" si="12"/>
        <v>1.186E-3</v>
      </c>
      <c r="AD580" s="145">
        <f t="shared" si="13"/>
        <v>0</v>
      </c>
      <c r="AE580" s="146" t="s">
        <v>403</v>
      </c>
      <c r="AF580" s="119"/>
    </row>
    <row r="581" spans="1:32" ht="12" customHeight="1">
      <c r="A581" s="148">
        <v>44680</v>
      </c>
      <c r="B581" s="149" t="s">
        <v>575</v>
      </c>
      <c r="C581" s="149"/>
      <c r="D581" s="149"/>
      <c r="E581" s="149"/>
      <c r="F581" s="149"/>
      <c r="G581" s="149"/>
      <c r="H581" s="135" t="s">
        <v>453</v>
      </c>
      <c r="I581" s="134" t="s">
        <v>469</v>
      </c>
      <c r="J581" s="135" t="s">
        <v>448</v>
      </c>
      <c r="K581" s="136">
        <v>100</v>
      </c>
      <c r="L581" s="137">
        <v>1202.0995</v>
      </c>
      <c r="M581" s="138">
        <f t="shared" si="38"/>
        <v>0</v>
      </c>
      <c r="N581" s="138">
        <f t="shared" si="506"/>
        <v>1202.0995</v>
      </c>
      <c r="O581" s="138"/>
      <c r="P581" s="138">
        <f t="shared" si="2"/>
        <v>120209.95</v>
      </c>
      <c r="Q581" s="139">
        <f t="shared" si="3"/>
        <v>1.4226999999999999</v>
      </c>
      <c r="R581" s="139">
        <f t="shared" si="74"/>
        <v>0</v>
      </c>
      <c r="S581" s="139">
        <f t="shared" si="35"/>
        <v>0.6</v>
      </c>
      <c r="T581" s="139">
        <f t="shared" si="492"/>
        <v>120.21</v>
      </c>
      <c r="U581" s="139">
        <f t="shared" si="507"/>
        <v>18.03</v>
      </c>
      <c r="V581" s="139">
        <f t="shared" si="505"/>
        <v>3.31</v>
      </c>
      <c r="W581" s="139">
        <f t="shared" si="217"/>
        <v>0.12</v>
      </c>
      <c r="X581" s="140">
        <f t="shared" si="9"/>
        <v>142.26999999999998</v>
      </c>
      <c r="Y581" s="141">
        <f t="shared" si="508"/>
        <v>-120352.22</v>
      </c>
      <c r="Z581" s="142">
        <f t="shared" si="402"/>
        <v>-120352</v>
      </c>
      <c r="AA581" s="143">
        <f t="shared" si="47"/>
        <v>0.22000000000116415</v>
      </c>
      <c r="AB581" s="133"/>
      <c r="AC581" s="144">
        <f t="shared" si="12"/>
        <v>1.1839999999999999E-3</v>
      </c>
      <c r="AD581" s="145">
        <f t="shared" si="13"/>
        <v>0</v>
      </c>
      <c r="AE581" s="146" t="s">
        <v>403</v>
      </c>
      <c r="AF581" s="119"/>
    </row>
    <row r="582" spans="1:32" ht="12" customHeight="1">
      <c r="A582" s="148">
        <v>44683</v>
      </c>
      <c r="B582" s="149" t="s">
        <v>575</v>
      </c>
      <c r="C582" s="149"/>
      <c r="D582" s="149"/>
      <c r="E582" s="149"/>
      <c r="F582" s="149"/>
      <c r="G582" s="149"/>
      <c r="H582" s="135" t="s">
        <v>453</v>
      </c>
      <c r="I582" s="134" t="s">
        <v>469</v>
      </c>
      <c r="J582" s="135" t="s">
        <v>448</v>
      </c>
      <c r="K582" s="136">
        <v>150</v>
      </c>
      <c r="L582" s="137">
        <v>1159.2666999999999</v>
      </c>
      <c r="M582" s="138">
        <f t="shared" si="38"/>
        <v>0</v>
      </c>
      <c r="N582" s="138">
        <f t="shared" si="506"/>
        <v>1159.2666999999999</v>
      </c>
      <c r="O582" s="138"/>
      <c r="P582" s="138">
        <f t="shared" si="2"/>
        <v>173890.01</v>
      </c>
      <c r="Q582" s="139">
        <f t="shared" si="3"/>
        <v>1.3718666666666666</v>
      </c>
      <c r="R582" s="139">
        <f t="shared" si="74"/>
        <v>0</v>
      </c>
      <c r="S582" s="139">
        <f t="shared" si="35"/>
        <v>0.86</v>
      </c>
      <c r="T582" s="139">
        <f t="shared" si="492"/>
        <v>173.89</v>
      </c>
      <c r="U582" s="139">
        <f t="shared" si="507"/>
        <v>26.08</v>
      </c>
      <c r="V582" s="139">
        <f t="shared" si="505"/>
        <v>4.78</v>
      </c>
      <c r="W582" s="139">
        <f t="shared" si="217"/>
        <v>0.17</v>
      </c>
      <c r="X582" s="140">
        <f t="shared" si="9"/>
        <v>205.77999999999997</v>
      </c>
      <c r="Y582" s="141">
        <f t="shared" si="508"/>
        <v>-174095.79</v>
      </c>
      <c r="Z582" s="142">
        <f t="shared" si="402"/>
        <v>-174096</v>
      </c>
      <c r="AA582" s="143">
        <f t="shared" si="47"/>
        <v>-0.20999999999185093</v>
      </c>
      <c r="AB582" s="133"/>
      <c r="AC582" s="144">
        <f t="shared" si="12"/>
        <v>1.183E-3</v>
      </c>
      <c r="AD582" s="145">
        <f t="shared" si="13"/>
        <v>0</v>
      </c>
      <c r="AE582" s="146" t="s">
        <v>403</v>
      </c>
      <c r="AF582" s="119"/>
    </row>
    <row r="583" spans="1:32" ht="12" customHeight="1">
      <c r="A583" s="150">
        <v>44683</v>
      </c>
      <c r="B583" s="151" t="s">
        <v>307</v>
      </c>
      <c r="C583" s="151"/>
      <c r="D583" s="151"/>
      <c r="E583" s="151"/>
      <c r="F583" s="151"/>
      <c r="G583" s="151"/>
      <c r="H583" s="122" t="s">
        <v>446</v>
      </c>
      <c r="I583" s="121" t="s">
        <v>469</v>
      </c>
      <c r="J583" s="122" t="s">
        <v>471</v>
      </c>
      <c r="K583" s="123">
        <v>50</v>
      </c>
      <c r="L583" s="124">
        <v>844</v>
      </c>
      <c r="M583" s="125">
        <f t="shared" si="38"/>
        <v>0</v>
      </c>
      <c r="N583" s="125">
        <f t="shared" ref="N583:N586" si="509">L583-M583</f>
        <v>844</v>
      </c>
      <c r="O583" s="125"/>
      <c r="P583" s="125">
        <f t="shared" si="2"/>
        <v>42200</v>
      </c>
      <c r="Q583" s="126">
        <f t="shared" si="3"/>
        <v>0.87219999999999998</v>
      </c>
      <c r="R583" s="126">
        <f t="shared" si="74"/>
        <v>0</v>
      </c>
      <c r="S583" s="126">
        <f t="shared" si="35"/>
        <v>0.21</v>
      </c>
      <c r="T583" s="126">
        <f t="shared" si="492"/>
        <v>42.2</v>
      </c>
      <c r="U583" s="126">
        <v>0</v>
      </c>
      <c r="V583" s="126">
        <f t="shared" si="505"/>
        <v>1.1599999999999999</v>
      </c>
      <c r="W583" s="126">
        <f t="shared" si="217"/>
        <v>0.04</v>
      </c>
      <c r="X583" s="126">
        <f t="shared" si="9"/>
        <v>43.61</v>
      </c>
      <c r="Y583" s="127">
        <f t="shared" ref="Y583:Y586" si="510">ROUND(P583-SUM(R583:W583),2)</f>
        <v>42156.39</v>
      </c>
      <c r="Z583" s="128">
        <f t="shared" si="402"/>
        <v>42156</v>
      </c>
      <c r="AA583" s="129">
        <f t="shared" si="47"/>
        <v>-0.38999999999941792</v>
      </c>
      <c r="AB583" s="120"/>
      <c r="AC583" s="130">
        <f t="shared" si="12"/>
        <v>1.0330000000000001E-3</v>
      </c>
      <c r="AD583" s="131">
        <f t="shared" si="13"/>
        <v>0</v>
      </c>
      <c r="AE583" s="132" t="s">
        <v>403</v>
      </c>
      <c r="AF583" s="119"/>
    </row>
    <row r="584" spans="1:32" ht="12" customHeight="1">
      <c r="A584" s="150">
        <v>44685</v>
      </c>
      <c r="B584" s="151" t="s">
        <v>575</v>
      </c>
      <c r="C584" s="151"/>
      <c r="D584" s="151"/>
      <c r="E584" s="151"/>
      <c r="F584" s="151"/>
      <c r="G584" s="151"/>
      <c r="H584" s="122" t="s">
        <v>446</v>
      </c>
      <c r="I584" s="121" t="s">
        <v>469</v>
      </c>
      <c r="J584" s="122" t="s">
        <v>448</v>
      </c>
      <c r="K584" s="123">
        <v>150</v>
      </c>
      <c r="L584" s="124">
        <v>1194.6667</v>
      </c>
      <c r="M584" s="125">
        <f t="shared" si="38"/>
        <v>0</v>
      </c>
      <c r="N584" s="125">
        <f t="shared" si="509"/>
        <v>1194.6667</v>
      </c>
      <c r="O584" s="125"/>
      <c r="P584" s="125">
        <f t="shared" si="2"/>
        <v>179200.01</v>
      </c>
      <c r="Q584" s="126">
        <f t="shared" si="3"/>
        <v>1.2346666666666666</v>
      </c>
      <c r="R584" s="126">
        <f t="shared" si="74"/>
        <v>0</v>
      </c>
      <c r="S584" s="126">
        <f t="shared" si="35"/>
        <v>0.89</v>
      </c>
      <c r="T584" s="126">
        <f t="shared" si="492"/>
        <v>179.2</v>
      </c>
      <c r="U584" s="126">
        <v>0</v>
      </c>
      <c r="V584" s="126">
        <f t="shared" si="505"/>
        <v>4.93</v>
      </c>
      <c r="W584" s="126">
        <f t="shared" si="217"/>
        <v>0.18</v>
      </c>
      <c r="X584" s="126">
        <f t="shared" si="9"/>
        <v>185.2</v>
      </c>
      <c r="Y584" s="127">
        <f t="shared" si="510"/>
        <v>179014.81</v>
      </c>
      <c r="Z584" s="128">
        <f t="shared" si="402"/>
        <v>179015</v>
      </c>
      <c r="AA584" s="129">
        <f t="shared" si="47"/>
        <v>0.19000000000232831</v>
      </c>
      <c r="AB584" s="120"/>
      <c r="AC584" s="130">
        <f t="shared" si="12"/>
        <v>1.0330000000000001E-3</v>
      </c>
      <c r="AD584" s="131">
        <f t="shared" si="13"/>
        <v>0</v>
      </c>
      <c r="AE584" s="132" t="s">
        <v>403</v>
      </c>
      <c r="AF584" s="119"/>
    </row>
    <row r="585" spans="1:32" ht="12" customHeight="1">
      <c r="A585" s="150">
        <v>44686</v>
      </c>
      <c r="B585" s="151" t="s">
        <v>575</v>
      </c>
      <c r="C585" s="151"/>
      <c r="D585" s="151"/>
      <c r="E585" s="151"/>
      <c r="F585" s="151"/>
      <c r="G585" s="151"/>
      <c r="H585" s="122" t="s">
        <v>446</v>
      </c>
      <c r="I585" s="121" t="s">
        <v>469</v>
      </c>
      <c r="J585" s="122" t="s">
        <v>448</v>
      </c>
      <c r="K585" s="123">
        <v>250</v>
      </c>
      <c r="L585" s="124">
        <v>1220</v>
      </c>
      <c r="M585" s="125">
        <f t="shared" si="38"/>
        <v>0</v>
      </c>
      <c r="N585" s="125">
        <f t="shared" si="509"/>
        <v>1220</v>
      </c>
      <c r="O585" s="125"/>
      <c r="P585" s="125">
        <f t="shared" si="2"/>
        <v>305000</v>
      </c>
      <c r="Q585" s="126">
        <f t="shared" si="3"/>
        <v>1.26084</v>
      </c>
      <c r="R585" s="126">
        <f t="shared" si="74"/>
        <v>0</v>
      </c>
      <c r="S585" s="126">
        <f t="shared" si="35"/>
        <v>1.51</v>
      </c>
      <c r="T585" s="126">
        <f t="shared" si="492"/>
        <v>305</v>
      </c>
      <c r="U585" s="126">
        <v>0</v>
      </c>
      <c r="V585" s="126">
        <f t="shared" si="505"/>
        <v>8.39</v>
      </c>
      <c r="W585" s="126">
        <f t="shared" si="217"/>
        <v>0.31</v>
      </c>
      <c r="X585" s="126">
        <f t="shared" si="9"/>
        <v>315.20999999999998</v>
      </c>
      <c r="Y585" s="127">
        <f t="shared" si="510"/>
        <v>304684.78999999998</v>
      </c>
      <c r="Z585" s="128">
        <f t="shared" si="402"/>
        <v>304685</v>
      </c>
      <c r="AA585" s="129">
        <f t="shared" si="47"/>
        <v>0.21000000002095476</v>
      </c>
      <c r="AB585" s="120"/>
      <c r="AC585" s="130">
        <f t="shared" si="12"/>
        <v>1.0330000000000001E-3</v>
      </c>
      <c r="AD585" s="131">
        <f t="shared" si="13"/>
        <v>0</v>
      </c>
      <c r="AE585" s="132" t="s">
        <v>403</v>
      </c>
      <c r="AF585" s="119"/>
    </row>
    <row r="586" spans="1:32" ht="12" customHeight="1">
      <c r="A586" s="150">
        <v>44686</v>
      </c>
      <c r="B586" s="151" t="s">
        <v>598</v>
      </c>
      <c r="C586" s="151"/>
      <c r="D586" s="151"/>
      <c r="E586" s="151"/>
      <c r="F586" s="151"/>
      <c r="G586" s="151"/>
      <c r="H586" s="122" t="s">
        <v>446</v>
      </c>
      <c r="I586" s="121" t="s">
        <v>469</v>
      </c>
      <c r="J586" s="122" t="s">
        <v>471</v>
      </c>
      <c r="K586" s="123">
        <v>300</v>
      </c>
      <c r="L586" s="124">
        <v>160.78</v>
      </c>
      <c r="M586" s="125">
        <f t="shared" si="38"/>
        <v>0</v>
      </c>
      <c r="N586" s="125">
        <f t="shared" si="509"/>
        <v>160.78</v>
      </c>
      <c r="O586" s="125"/>
      <c r="P586" s="125">
        <f t="shared" si="2"/>
        <v>48234</v>
      </c>
      <c r="Q586" s="126">
        <f t="shared" si="3"/>
        <v>0.16616666666666666</v>
      </c>
      <c r="R586" s="126">
        <f t="shared" si="74"/>
        <v>0</v>
      </c>
      <c r="S586" s="126">
        <f t="shared" si="35"/>
        <v>0.24</v>
      </c>
      <c r="T586" s="126">
        <f t="shared" si="492"/>
        <v>48.23</v>
      </c>
      <c r="U586" s="126">
        <v>0</v>
      </c>
      <c r="V586" s="126">
        <f t="shared" si="505"/>
        <v>1.33</v>
      </c>
      <c r="W586" s="126">
        <f t="shared" si="217"/>
        <v>0.05</v>
      </c>
      <c r="X586" s="126">
        <f t="shared" si="9"/>
        <v>49.849999999999994</v>
      </c>
      <c r="Y586" s="127">
        <f t="shared" si="510"/>
        <v>48184.15</v>
      </c>
      <c r="Z586" s="128">
        <f t="shared" si="402"/>
        <v>48184</v>
      </c>
      <c r="AA586" s="129">
        <f t="shared" si="47"/>
        <v>-0.15000000000145519</v>
      </c>
      <c r="AB586" s="120"/>
      <c r="AC586" s="130">
        <f t="shared" si="12"/>
        <v>1.034E-3</v>
      </c>
      <c r="AD586" s="131">
        <f t="shared" si="13"/>
        <v>0</v>
      </c>
      <c r="AE586" s="132" t="s">
        <v>403</v>
      </c>
      <c r="AF586" s="119"/>
    </row>
    <row r="587" spans="1:32" ht="12" customHeight="1">
      <c r="A587" s="148">
        <v>44687</v>
      </c>
      <c r="B587" s="149" t="s">
        <v>575</v>
      </c>
      <c r="C587" s="149"/>
      <c r="D587" s="149"/>
      <c r="E587" s="149"/>
      <c r="F587" s="149"/>
      <c r="G587" s="149"/>
      <c r="H587" s="135" t="s">
        <v>453</v>
      </c>
      <c r="I587" s="134" t="s">
        <v>469</v>
      </c>
      <c r="J587" s="135" t="s">
        <v>448</v>
      </c>
      <c r="K587" s="136">
        <v>460</v>
      </c>
      <c r="L587" s="137">
        <v>1131.7935</v>
      </c>
      <c r="M587" s="138">
        <f t="shared" si="38"/>
        <v>0</v>
      </c>
      <c r="N587" s="138">
        <f t="shared" ref="N587:N589" si="511">L587+M587</f>
        <v>1131.7935</v>
      </c>
      <c r="O587" s="138"/>
      <c r="P587" s="138">
        <f t="shared" si="2"/>
        <v>520625.01</v>
      </c>
      <c r="Q587" s="139">
        <f t="shared" si="3"/>
        <v>1.3394347826086959</v>
      </c>
      <c r="R587" s="139">
        <f t="shared" si="74"/>
        <v>0</v>
      </c>
      <c r="S587" s="139">
        <f t="shared" si="35"/>
        <v>2.58</v>
      </c>
      <c r="T587" s="139">
        <f t="shared" si="492"/>
        <v>520.63</v>
      </c>
      <c r="U587" s="139">
        <f t="shared" ref="U587:U589" si="512">ROUND(P587*K$1812,2)</f>
        <v>78.09</v>
      </c>
      <c r="V587" s="139">
        <f t="shared" si="505"/>
        <v>14.32</v>
      </c>
      <c r="W587" s="139">
        <f t="shared" si="217"/>
        <v>0.52</v>
      </c>
      <c r="X587" s="140">
        <f t="shared" si="9"/>
        <v>616.1400000000001</v>
      </c>
      <c r="Y587" s="141">
        <f t="shared" ref="Y587:Y589" si="513">-ROUND(P587+SUM(R587:W587),2)</f>
        <v>-521241.15</v>
      </c>
      <c r="Z587" s="142">
        <f t="shared" si="402"/>
        <v>-521241</v>
      </c>
      <c r="AA587" s="143">
        <f t="shared" si="47"/>
        <v>0.15000000002328306</v>
      </c>
      <c r="AB587" s="133"/>
      <c r="AC587" s="144">
        <f t="shared" si="12"/>
        <v>1.183E-3</v>
      </c>
      <c r="AD587" s="145">
        <f t="shared" si="13"/>
        <v>0</v>
      </c>
      <c r="AE587" s="146" t="s">
        <v>403</v>
      </c>
      <c r="AF587" s="119"/>
    </row>
    <row r="588" spans="1:32" ht="12" customHeight="1">
      <c r="A588" s="148">
        <v>44687</v>
      </c>
      <c r="B588" s="149" t="s">
        <v>609</v>
      </c>
      <c r="C588" s="149"/>
      <c r="D588" s="149"/>
      <c r="E588" s="149"/>
      <c r="F588" s="149"/>
      <c r="G588" s="149"/>
      <c r="H588" s="135" t="s">
        <v>453</v>
      </c>
      <c r="I588" s="134" t="s">
        <v>469</v>
      </c>
      <c r="J588" s="135" t="s">
        <v>471</v>
      </c>
      <c r="K588" s="136">
        <v>5</v>
      </c>
      <c r="L588" s="137">
        <v>1215</v>
      </c>
      <c r="M588" s="138">
        <f t="shared" si="38"/>
        <v>0</v>
      </c>
      <c r="N588" s="138">
        <f t="shared" si="511"/>
        <v>1215</v>
      </c>
      <c r="O588" s="138"/>
      <c r="P588" s="138">
        <f t="shared" si="2"/>
        <v>6075</v>
      </c>
      <c r="Q588" s="139">
        <f t="shared" si="3"/>
        <v>1.44</v>
      </c>
      <c r="R588" s="139">
        <f t="shared" si="74"/>
        <v>0</v>
      </c>
      <c r="S588" s="139">
        <f t="shared" si="35"/>
        <v>0.03</v>
      </c>
      <c r="T588" s="139">
        <f t="shared" si="492"/>
        <v>6.08</v>
      </c>
      <c r="U588" s="139">
        <f t="shared" si="512"/>
        <v>0.91</v>
      </c>
      <c r="V588" s="139">
        <f t="shared" si="505"/>
        <v>0.17</v>
      </c>
      <c r="W588" s="139">
        <f t="shared" si="217"/>
        <v>0.01</v>
      </c>
      <c r="X588" s="140">
        <f t="shared" si="9"/>
        <v>7.2</v>
      </c>
      <c r="Y588" s="141">
        <f t="shared" si="513"/>
        <v>-6082.2</v>
      </c>
      <c r="Z588" s="142">
        <f t="shared" si="402"/>
        <v>-6082</v>
      </c>
      <c r="AA588" s="143">
        <f t="shared" si="47"/>
        <v>0.1999999999998181</v>
      </c>
      <c r="AB588" s="133"/>
      <c r="AC588" s="144">
        <f t="shared" si="12"/>
        <v>1.1850000000000001E-3</v>
      </c>
      <c r="AD588" s="145">
        <f t="shared" si="13"/>
        <v>0</v>
      </c>
      <c r="AE588" s="146" t="s">
        <v>403</v>
      </c>
      <c r="AF588" s="119"/>
    </row>
    <row r="589" spans="1:32" ht="12" customHeight="1">
      <c r="A589" s="148">
        <v>44687</v>
      </c>
      <c r="B589" s="149" t="s">
        <v>598</v>
      </c>
      <c r="C589" s="149"/>
      <c r="D589" s="149"/>
      <c r="E589" s="149"/>
      <c r="F589" s="149"/>
      <c r="G589" s="149"/>
      <c r="H589" s="135" t="s">
        <v>453</v>
      </c>
      <c r="I589" s="134" t="s">
        <v>469</v>
      </c>
      <c r="J589" s="135" t="s">
        <v>471</v>
      </c>
      <c r="K589" s="136">
        <v>100</v>
      </c>
      <c r="L589" s="137">
        <v>159.25</v>
      </c>
      <c r="M589" s="138">
        <f t="shared" si="38"/>
        <v>0</v>
      </c>
      <c r="N589" s="138">
        <f t="shared" si="511"/>
        <v>159.25</v>
      </c>
      <c r="O589" s="138"/>
      <c r="P589" s="138">
        <f t="shared" si="2"/>
        <v>15925</v>
      </c>
      <c r="Q589" s="139">
        <f t="shared" si="3"/>
        <v>0.18859999999999999</v>
      </c>
      <c r="R589" s="139">
        <f t="shared" si="74"/>
        <v>0</v>
      </c>
      <c r="S589" s="139">
        <f t="shared" si="35"/>
        <v>0.08</v>
      </c>
      <c r="T589" s="139">
        <f t="shared" si="492"/>
        <v>15.93</v>
      </c>
      <c r="U589" s="139">
        <f t="shared" si="512"/>
        <v>2.39</v>
      </c>
      <c r="V589" s="139">
        <f t="shared" si="505"/>
        <v>0.44</v>
      </c>
      <c r="W589" s="139">
        <f t="shared" si="217"/>
        <v>0.02</v>
      </c>
      <c r="X589" s="140">
        <f t="shared" si="9"/>
        <v>18.86</v>
      </c>
      <c r="Y589" s="141">
        <f t="shared" si="513"/>
        <v>-15943.86</v>
      </c>
      <c r="Z589" s="142">
        <f t="shared" si="402"/>
        <v>-15944</v>
      </c>
      <c r="AA589" s="143">
        <f t="shared" si="47"/>
        <v>-0.13999999999941792</v>
      </c>
      <c r="AB589" s="133"/>
      <c r="AC589" s="144">
        <f t="shared" si="12"/>
        <v>1.1839999999999999E-3</v>
      </c>
      <c r="AD589" s="145">
        <f t="shared" si="13"/>
        <v>0</v>
      </c>
      <c r="AE589" s="146" t="s">
        <v>403</v>
      </c>
      <c r="AF589" s="119"/>
    </row>
    <row r="590" spans="1:32" ht="12" customHeight="1">
      <c r="A590" s="150">
        <v>44690</v>
      </c>
      <c r="B590" s="151" t="s">
        <v>595</v>
      </c>
      <c r="C590" s="151"/>
      <c r="D590" s="151"/>
      <c r="E590" s="151"/>
      <c r="F590" s="151"/>
      <c r="G590" s="151"/>
      <c r="H590" s="122" t="s">
        <v>446</v>
      </c>
      <c r="I590" s="121" t="s">
        <v>469</v>
      </c>
      <c r="J590" s="122" t="s">
        <v>448</v>
      </c>
      <c r="K590" s="123">
        <v>400</v>
      </c>
      <c r="L590" s="124">
        <v>45.72</v>
      </c>
      <c r="M590" s="125">
        <f t="shared" si="38"/>
        <v>0</v>
      </c>
      <c r="N590" s="125">
        <f>L590-M590</f>
        <v>45.72</v>
      </c>
      <c r="O590" s="125"/>
      <c r="P590" s="125">
        <f t="shared" si="2"/>
        <v>18288</v>
      </c>
      <c r="Q590" s="126">
        <f t="shared" si="3"/>
        <v>1.5249999999999999E-3</v>
      </c>
      <c r="R590" s="126">
        <f t="shared" si="74"/>
        <v>0</v>
      </c>
      <c r="S590" s="126">
        <f t="shared" si="35"/>
        <v>0.09</v>
      </c>
      <c r="T590" s="126">
        <f>ROUND(P590*K$1806,2)-18.29</f>
        <v>0</v>
      </c>
      <c r="U590" s="126">
        <v>0</v>
      </c>
      <c r="V590" s="126">
        <f t="shared" si="505"/>
        <v>0.5</v>
      </c>
      <c r="W590" s="126">
        <f t="shared" si="217"/>
        <v>0.02</v>
      </c>
      <c r="X590" s="126">
        <f t="shared" si="9"/>
        <v>0.61</v>
      </c>
      <c r="Y590" s="127">
        <f>ROUND(P590-SUM(R590:W590),2)</f>
        <v>18287.39</v>
      </c>
      <c r="Z590" s="128">
        <f t="shared" si="402"/>
        <v>18287</v>
      </c>
      <c r="AA590" s="129">
        <f t="shared" si="47"/>
        <v>-0.38999999999941792</v>
      </c>
      <c r="AB590" s="120"/>
      <c r="AC590" s="130">
        <f t="shared" si="12"/>
        <v>3.3000000000000003E-5</v>
      </c>
      <c r="AD590" s="131">
        <f t="shared" si="13"/>
        <v>0</v>
      </c>
      <c r="AE590" s="132" t="s">
        <v>403</v>
      </c>
      <c r="AF590" s="119"/>
    </row>
    <row r="591" spans="1:32" ht="12" customHeight="1">
      <c r="A591" s="148">
        <v>44690</v>
      </c>
      <c r="B591" s="149" t="s">
        <v>575</v>
      </c>
      <c r="C591" s="149"/>
      <c r="D591" s="149"/>
      <c r="E591" s="149"/>
      <c r="F591" s="149"/>
      <c r="G591" s="149"/>
      <c r="H591" s="135" t="s">
        <v>453</v>
      </c>
      <c r="I591" s="134" t="s">
        <v>469</v>
      </c>
      <c r="J591" s="135" t="s">
        <v>448</v>
      </c>
      <c r="K591" s="136">
        <v>30</v>
      </c>
      <c r="L591" s="137">
        <v>1022</v>
      </c>
      <c r="M591" s="138">
        <f t="shared" si="38"/>
        <v>0</v>
      </c>
      <c r="N591" s="138">
        <f>L591+M591</f>
        <v>1022</v>
      </c>
      <c r="O591" s="138"/>
      <c r="P591" s="138">
        <f t="shared" si="2"/>
        <v>30660</v>
      </c>
      <c r="Q591" s="139">
        <f t="shared" si="3"/>
        <v>1.2093333333333334</v>
      </c>
      <c r="R591" s="139">
        <f t="shared" si="74"/>
        <v>0</v>
      </c>
      <c r="S591" s="139">
        <f t="shared" si="35"/>
        <v>0.15</v>
      </c>
      <c r="T591" s="139">
        <f t="shared" ref="T591:T606" si="514">ROUND(P591*K$1806,2)</f>
        <v>30.66</v>
      </c>
      <c r="U591" s="139">
        <f>ROUND(P591*K$1812,2)</f>
        <v>4.5999999999999996</v>
      </c>
      <c r="V591" s="139">
        <f t="shared" si="505"/>
        <v>0.84</v>
      </c>
      <c r="W591" s="139">
        <f t="shared" si="217"/>
        <v>0.03</v>
      </c>
      <c r="X591" s="140">
        <f t="shared" si="9"/>
        <v>36.28</v>
      </c>
      <c r="Y591" s="141">
        <f>-ROUND(P591+SUM(R591:W591),2)</f>
        <v>-30696.28</v>
      </c>
      <c r="Z591" s="142">
        <f t="shared" si="402"/>
        <v>-30696</v>
      </c>
      <c r="AA591" s="143">
        <f t="shared" si="47"/>
        <v>0.27999999999883585</v>
      </c>
      <c r="AB591" s="133"/>
      <c r="AC591" s="144">
        <f t="shared" si="12"/>
        <v>1.183E-3</v>
      </c>
      <c r="AD591" s="145">
        <f t="shared" si="13"/>
        <v>0</v>
      </c>
      <c r="AE591" s="146" t="s">
        <v>403</v>
      </c>
      <c r="AF591" s="119"/>
    </row>
    <row r="592" spans="1:32" ht="12" customHeight="1">
      <c r="A592" s="150">
        <v>44690</v>
      </c>
      <c r="B592" s="151" t="s">
        <v>610</v>
      </c>
      <c r="C592" s="151"/>
      <c r="D592" s="151"/>
      <c r="E592" s="151"/>
      <c r="F592" s="151"/>
      <c r="G592" s="151"/>
      <c r="H592" s="122" t="s">
        <v>446</v>
      </c>
      <c r="I592" s="121" t="s">
        <v>469</v>
      </c>
      <c r="J592" s="122" t="s">
        <v>471</v>
      </c>
      <c r="K592" s="123">
        <v>51</v>
      </c>
      <c r="L592" s="124">
        <v>365</v>
      </c>
      <c r="M592" s="125">
        <f t="shared" si="38"/>
        <v>0</v>
      </c>
      <c r="N592" s="125">
        <f>L592-M592</f>
        <v>365</v>
      </c>
      <c r="O592" s="125"/>
      <c r="P592" s="125">
        <f t="shared" si="2"/>
        <v>18615</v>
      </c>
      <c r="Q592" s="126">
        <f t="shared" si="3"/>
        <v>0.37725490196078437</v>
      </c>
      <c r="R592" s="126">
        <f t="shared" si="74"/>
        <v>0</v>
      </c>
      <c r="S592" s="126">
        <f t="shared" si="35"/>
        <v>0.09</v>
      </c>
      <c r="T592" s="126">
        <f t="shared" si="514"/>
        <v>18.62</v>
      </c>
      <c r="U592" s="126">
        <v>0</v>
      </c>
      <c r="V592" s="126">
        <f t="shared" si="505"/>
        <v>0.51</v>
      </c>
      <c r="W592" s="126">
        <f t="shared" si="217"/>
        <v>0.02</v>
      </c>
      <c r="X592" s="126">
        <f t="shared" si="9"/>
        <v>19.240000000000002</v>
      </c>
      <c r="Y592" s="127">
        <f>ROUND(P592-SUM(R592:W592),2)</f>
        <v>18595.759999999998</v>
      </c>
      <c r="Z592" s="128">
        <f t="shared" si="402"/>
        <v>18596</v>
      </c>
      <c r="AA592" s="129">
        <f t="shared" si="47"/>
        <v>0.24000000000160071</v>
      </c>
      <c r="AB592" s="120"/>
      <c r="AC592" s="130">
        <f t="shared" si="12"/>
        <v>1.034E-3</v>
      </c>
      <c r="AD592" s="131">
        <f t="shared" si="13"/>
        <v>0</v>
      </c>
      <c r="AE592" s="132" t="s">
        <v>403</v>
      </c>
      <c r="AF592" s="119"/>
    </row>
    <row r="593" spans="1:32" ht="12" customHeight="1">
      <c r="A593" s="148">
        <v>44691</v>
      </c>
      <c r="B593" s="149" t="s">
        <v>575</v>
      </c>
      <c r="C593" s="149"/>
      <c r="D593" s="149"/>
      <c r="E593" s="149"/>
      <c r="F593" s="149"/>
      <c r="G593" s="149"/>
      <c r="H593" s="135" t="s">
        <v>453</v>
      </c>
      <c r="I593" s="134" t="s">
        <v>469</v>
      </c>
      <c r="J593" s="135" t="s">
        <v>448</v>
      </c>
      <c r="K593" s="136">
        <v>10</v>
      </c>
      <c r="L593" s="137">
        <v>1010.4</v>
      </c>
      <c r="M593" s="138">
        <f t="shared" si="38"/>
        <v>0</v>
      </c>
      <c r="N593" s="138">
        <f>L593+M593</f>
        <v>1010.4</v>
      </c>
      <c r="O593" s="138"/>
      <c r="P593" s="138">
        <f t="shared" si="2"/>
        <v>10104</v>
      </c>
      <c r="Q593" s="139">
        <f t="shared" si="3"/>
        <v>1.196</v>
      </c>
      <c r="R593" s="139">
        <f t="shared" si="74"/>
        <v>0</v>
      </c>
      <c r="S593" s="139">
        <f t="shared" si="35"/>
        <v>0.05</v>
      </c>
      <c r="T593" s="139">
        <f t="shared" si="514"/>
        <v>10.1</v>
      </c>
      <c r="U593" s="139">
        <f>ROUND(P593*K$1812,2)</f>
        <v>1.52</v>
      </c>
      <c r="V593" s="139">
        <f t="shared" si="505"/>
        <v>0.28000000000000003</v>
      </c>
      <c r="W593" s="139">
        <f t="shared" si="217"/>
        <v>0.01</v>
      </c>
      <c r="X593" s="140">
        <f t="shared" si="9"/>
        <v>11.959999999999999</v>
      </c>
      <c r="Y593" s="141">
        <f>-ROUND(P593+SUM(R593:W593),2)</f>
        <v>-10115.959999999999</v>
      </c>
      <c r="Z593" s="142">
        <f t="shared" si="402"/>
        <v>-10116</v>
      </c>
      <c r="AA593" s="143">
        <f t="shared" si="47"/>
        <v>-4.0000000000873115E-2</v>
      </c>
      <c r="AB593" s="133"/>
      <c r="AC593" s="144">
        <f t="shared" si="12"/>
        <v>1.1839999999999999E-3</v>
      </c>
      <c r="AD593" s="145">
        <f t="shared" si="13"/>
        <v>0</v>
      </c>
      <c r="AE593" s="146" t="s">
        <v>403</v>
      </c>
      <c r="AF593" s="119"/>
    </row>
    <row r="594" spans="1:32" ht="12" customHeight="1">
      <c r="A594" s="150">
        <v>44693</v>
      </c>
      <c r="B594" s="151" t="s">
        <v>575</v>
      </c>
      <c r="C594" s="151"/>
      <c r="D594" s="151"/>
      <c r="E594" s="151"/>
      <c r="F594" s="151"/>
      <c r="G594" s="151"/>
      <c r="H594" s="122" t="s">
        <v>446</v>
      </c>
      <c r="I594" s="121" t="s">
        <v>469</v>
      </c>
      <c r="J594" s="122" t="s">
        <v>448</v>
      </c>
      <c r="K594" s="123">
        <v>285</v>
      </c>
      <c r="L594" s="124">
        <v>1005.4526</v>
      </c>
      <c r="M594" s="125">
        <f t="shared" si="38"/>
        <v>0</v>
      </c>
      <c r="N594" s="125">
        <f>L594-M594</f>
        <v>1005.4526</v>
      </c>
      <c r="O594" s="125"/>
      <c r="P594" s="125">
        <f t="shared" si="2"/>
        <v>286553.99</v>
      </c>
      <c r="Q594" s="126">
        <f t="shared" si="3"/>
        <v>1.0390877192982457</v>
      </c>
      <c r="R594" s="126">
        <f t="shared" si="74"/>
        <v>0</v>
      </c>
      <c r="S594" s="126">
        <f t="shared" si="35"/>
        <v>1.42</v>
      </c>
      <c r="T594" s="126">
        <f t="shared" si="514"/>
        <v>286.55</v>
      </c>
      <c r="U594" s="126">
        <v>0</v>
      </c>
      <c r="V594" s="126">
        <f t="shared" si="505"/>
        <v>7.88</v>
      </c>
      <c r="W594" s="126">
        <f t="shared" si="217"/>
        <v>0.28999999999999998</v>
      </c>
      <c r="X594" s="126">
        <f t="shared" si="9"/>
        <v>296.14000000000004</v>
      </c>
      <c r="Y594" s="127">
        <f>ROUND(P594-SUM(R594:W594),2)</f>
        <v>286257.84999999998</v>
      </c>
      <c r="Z594" s="128">
        <f t="shared" si="402"/>
        <v>286258</v>
      </c>
      <c r="AA594" s="129">
        <f t="shared" si="47"/>
        <v>0.15000000002328306</v>
      </c>
      <c r="AB594" s="120"/>
      <c r="AC594" s="130">
        <f t="shared" si="12"/>
        <v>1.0330000000000001E-3</v>
      </c>
      <c r="AD594" s="131">
        <f t="shared" si="13"/>
        <v>0</v>
      </c>
      <c r="AE594" s="132" t="s">
        <v>403</v>
      </c>
      <c r="AF594" s="119"/>
    </row>
    <row r="595" spans="1:32" ht="12" customHeight="1">
      <c r="A595" s="148">
        <v>44694</v>
      </c>
      <c r="B595" s="149" t="s">
        <v>575</v>
      </c>
      <c r="C595" s="149"/>
      <c r="D595" s="149"/>
      <c r="E595" s="149"/>
      <c r="F595" s="149"/>
      <c r="G595" s="149"/>
      <c r="H595" s="135" t="s">
        <v>453</v>
      </c>
      <c r="I595" s="134" t="s">
        <v>469</v>
      </c>
      <c r="J595" s="135" t="s">
        <v>448</v>
      </c>
      <c r="K595" s="136">
        <v>195</v>
      </c>
      <c r="L595" s="137">
        <v>1013.3187</v>
      </c>
      <c r="M595" s="138">
        <f t="shared" si="38"/>
        <v>0</v>
      </c>
      <c r="N595" s="138">
        <f t="shared" ref="N595:N596" si="515">L595+M595</f>
        <v>1013.3187</v>
      </c>
      <c r="O595" s="138"/>
      <c r="P595" s="138">
        <f t="shared" si="2"/>
        <v>197597.15</v>
      </c>
      <c r="Q595" s="139">
        <f t="shared" si="3"/>
        <v>1.1992307692307691</v>
      </c>
      <c r="R595" s="139">
        <f t="shared" si="74"/>
        <v>0</v>
      </c>
      <c r="S595" s="139">
        <f t="shared" si="35"/>
        <v>0.98</v>
      </c>
      <c r="T595" s="139">
        <f t="shared" si="514"/>
        <v>197.6</v>
      </c>
      <c r="U595" s="139">
        <f t="shared" ref="U595:U596" si="516">ROUND(P595*K$1812,2)</f>
        <v>29.64</v>
      </c>
      <c r="V595" s="139">
        <f t="shared" si="505"/>
        <v>5.43</v>
      </c>
      <c r="W595" s="139">
        <f t="shared" si="217"/>
        <v>0.2</v>
      </c>
      <c r="X595" s="140">
        <f t="shared" si="9"/>
        <v>233.84999999999997</v>
      </c>
      <c r="Y595" s="141">
        <f t="shared" ref="Y595:Y596" si="517">-ROUND(P595+SUM(R595:W595),2)</f>
        <v>-197831</v>
      </c>
      <c r="Z595" s="142">
        <f t="shared" si="402"/>
        <v>-197831</v>
      </c>
      <c r="AA595" s="143">
        <f t="shared" si="47"/>
        <v>0</v>
      </c>
      <c r="AB595" s="133"/>
      <c r="AC595" s="144">
        <f t="shared" si="12"/>
        <v>1.183E-3</v>
      </c>
      <c r="AD595" s="145">
        <f t="shared" si="13"/>
        <v>0</v>
      </c>
      <c r="AE595" s="146" t="s">
        <v>403</v>
      </c>
      <c r="AF595" s="119"/>
    </row>
    <row r="596" spans="1:32" ht="12" customHeight="1">
      <c r="A596" s="148">
        <v>44697</v>
      </c>
      <c r="B596" s="149" t="s">
        <v>575</v>
      </c>
      <c r="C596" s="149"/>
      <c r="D596" s="149"/>
      <c r="E596" s="149"/>
      <c r="F596" s="149"/>
      <c r="G596" s="149"/>
      <c r="H596" s="135" t="s">
        <v>453</v>
      </c>
      <c r="I596" s="134" t="s">
        <v>469</v>
      </c>
      <c r="J596" s="135" t="s">
        <v>448</v>
      </c>
      <c r="K596" s="136">
        <v>155</v>
      </c>
      <c r="L596" s="137">
        <v>965.01610000000005</v>
      </c>
      <c r="M596" s="138">
        <f t="shared" si="38"/>
        <v>0</v>
      </c>
      <c r="N596" s="138">
        <f t="shared" si="515"/>
        <v>965.01610000000005</v>
      </c>
      <c r="O596" s="138"/>
      <c r="P596" s="138">
        <f t="shared" si="2"/>
        <v>149577.5</v>
      </c>
      <c r="Q596" s="139">
        <f t="shared" si="3"/>
        <v>1.1420645161290326</v>
      </c>
      <c r="R596" s="139">
        <f t="shared" si="74"/>
        <v>0</v>
      </c>
      <c r="S596" s="139">
        <f t="shared" si="35"/>
        <v>0.74</v>
      </c>
      <c r="T596" s="139">
        <f t="shared" si="514"/>
        <v>149.58000000000001</v>
      </c>
      <c r="U596" s="139">
        <f t="shared" si="516"/>
        <v>22.44</v>
      </c>
      <c r="V596" s="139">
        <f t="shared" si="505"/>
        <v>4.1100000000000003</v>
      </c>
      <c r="W596" s="139">
        <f t="shared" si="217"/>
        <v>0.15</v>
      </c>
      <c r="X596" s="140">
        <f t="shared" si="9"/>
        <v>177.02000000000004</v>
      </c>
      <c r="Y596" s="141">
        <f t="shared" si="517"/>
        <v>-149754.51999999999</v>
      </c>
      <c r="Z596" s="142">
        <f t="shared" si="402"/>
        <v>-149755</v>
      </c>
      <c r="AA596" s="143">
        <f t="shared" si="47"/>
        <v>-0.48000000001047738</v>
      </c>
      <c r="AB596" s="133"/>
      <c r="AC596" s="144">
        <f t="shared" si="12"/>
        <v>1.183E-3</v>
      </c>
      <c r="AD596" s="145">
        <f t="shared" si="13"/>
        <v>0</v>
      </c>
      <c r="AE596" s="146" t="s">
        <v>403</v>
      </c>
      <c r="AF596" s="119"/>
    </row>
    <row r="597" spans="1:32" ht="12" customHeight="1">
      <c r="A597" s="150">
        <v>44698</v>
      </c>
      <c r="B597" s="151" t="s">
        <v>575</v>
      </c>
      <c r="C597" s="151"/>
      <c r="D597" s="151"/>
      <c r="E597" s="151"/>
      <c r="F597" s="151"/>
      <c r="G597" s="151"/>
      <c r="H597" s="122" t="s">
        <v>446</v>
      </c>
      <c r="I597" s="121" t="s">
        <v>469</v>
      </c>
      <c r="J597" s="122" t="s">
        <v>448</v>
      </c>
      <c r="K597" s="123">
        <v>20</v>
      </c>
      <c r="L597" s="124">
        <v>918</v>
      </c>
      <c r="M597" s="125">
        <f t="shared" si="38"/>
        <v>0</v>
      </c>
      <c r="N597" s="125">
        <f t="shared" ref="N597:N602" si="518">L597-M597</f>
        <v>918</v>
      </c>
      <c r="O597" s="125"/>
      <c r="P597" s="125">
        <f t="shared" si="2"/>
        <v>18360</v>
      </c>
      <c r="Q597" s="126">
        <f t="shared" si="3"/>
        <v>0.9484999999999999</v>
      </c>
      <c r="R597" s="126">
        <f t="shared" si="74"/>
        <v>0</v>
      </c>
      <c r="S597" s="126">
        <f t="shared" si="35"/>
        <v>0.09</v>
      </c>
      <c r="T597" s="126">
        <f t="shared" si="514"/>
        <v>18.36</v>
      </c>
      <c r="U597" s="126">
        <v>0</v>
      </c>
      <c r="V597" s="126">
        <f t="shared" si="505"/>
        <v>0.5</v>
      </c>
      <c r="W597" s="126">
        <f t="shared" si="217"/>
        <v>0.02</v>
      </c>
      <c r="X597" s="126">
        <f t="shared" si="9"/>
        <v>18.97</v>
      </c>
      <c r="Y597" s="127">
        <f t="shared" ref="Y597:Y602" si="519">ROUND(P597-SUM(R597:W597),2)</f>
        <v>18341.03</v>
      </c>
      <c r="Z597" s="128">
        <f t="shared" si="402"/>
        <v>18341</v>
      </c>
      <c r="AA597" s="129">
        <f t="shared" si="47"/>
        <v>-2.9999999998835847E-2</v>
      </c>
      <c r="AB597" s="120"/>
      <c r="AC597" s="130">
        <f t="shared" si="12"/>
        <v>1.0330000000000001E-3</v>
      </c>
      <c r="AD597" s="131">
        <f t="shared" si="13"/>
        <v>0</v>
      </c>
      <c r="AE597" s="132" t="s">
        <v>403</v>
      </c>
      <c r="AF597" s="119"/>
    </row>
    <row r="598" spans="1:32" ht="12" customHeight="1">
      <c r="A598" s="150">
        <v>44699</v>
      </c>
      <c r="B598" s="151" t="s">
        <v>609</v>
      </c>
      <c r="C598" s="151"/>
      <c r="D598" s="151"/>
      <c r="E598" s="151"/>
      <c r="F598" s="151"/>
      <c r="G598" s="151"/>
      <c r="H598" s="122" t="s">
        <v>446</v>
      </c>
      <c r="I598" s="121" t="s">
        <v>469</v>
      </c>
      <c r="J598" s="122" t="s">
        <v>471</v>
      </c>
      <c r="K598" s="123">
        <v>5</v>
      </c>
      <c r="L598" s="124">
        <v>1245.05</v>
      </c>
      <c r="M598" s="125">
        <f t="shared" si="38"/>
        <v>0</v>
      </c>
      <c r="N598" s="125">
        <f t="shared" si="518"/>
        <v>1245.05</v>
      </c>
      <c r="O598" s="125"/>
      <c r="P598" s="125">
        <f t="shared" si="2"/>
        <v>6225.25</v>
      </c>
      <c r="Q598" s="126">
        <f t="shared" si="3"/>
        <v>1.288</v>
      </c>
      <c r="R598" s="126">
        <f t="shared" si="74"/>
        <v>0</v>
      </c>
      <c r="S598" s="126">
        <f t="shared" si="35"/>
        <v>0.03</v>
      </c>
      <c r="T598" s="126">
        <f t="shared" si="514"/>
        <v>6.23</v>
      </c>
      <c r="U598" s="126">
        <v>0</v>
      </c>
      <c r="V598" s="126">
        <f t="shared" si="505"/>
        <v>0.17</v>
      </c>
      <c r="W598" s="126">
        <f t="shared" si="217"/>
        <v>0.01</v>
      </c>
      <c r="X598" s="126">
        <f t="shared" si="9"/>
        <v>6.44</v>
      </c>
      <c r="Y598" s="127">
        <f t="shared" si="519"/>
        <v>6218.81</v>
      </c>
      <c r="Z598" s="128">
        <f t="shared" si="402"/>
        <v>6219</v>
      </c>
      <c r="AA598" s="129">
        <f t="shared" si="47"/>
        <v>0.18999999999959982</v>
      </c>
      <c r="AB598" s="120"/>
      <c r="AC598" s="130">
        <f t="shared" si="12"/>
        <v>1.034E-3</v>
      </c>
      <c r="AD598" s="131">
        <f t="shared" si="13"/>
        <v>0</v>
      </c>
      <c r="AE598" s="132" t="s">
        <v>403</v>
      </c>
      <c r="AF598" s="119"/>
    </row>
    <row r="599" spans="1:32" ht="12" customHeight="1">
      <c r="A599" s="150">
        <v>44699</v>
      </c>
      <c r="B599" s="151" t="s">
        <v>483</v>
      </c>
      <c r="C599" s="151"/>
      <c r="D599" s="151"/>
      <c r="E599" s="151"/>
      <c r="F599" s="151"/>
      <c r="G599" s="151"/>
      <c r="H599" s="122" t="s">
        <v>446</v>
      </c>
      <c r="I599" s="121" t="s">
        <v>469</v>
      </c>
      <c r="J599" s="122" t="s">
        <v>471</v>
      </c>
      <c r="K599" s="123">
        <v>20</v>
      </c>
      <c r="L599" s="124">
        <v>641</v>
      </c>
      <c r="M599" s="125">
        <f t="shared" si="38"/>
        <v>0</v>
      </c>
      <c r="N599" s="125">
        <f t="shared" si="518"/>
        <v>641</v>
      </c>
      <c r="O599" s="125"/>
      <c r="P599" s="125">
        <f t="shared" si="2"/>
        <v>12820</v>
      </c>
      <c r="Q599" s="126">
        <f t="shared" si="3"/>
        <v>0.66200000000000003</v>
      </c>
      <c r="R599" s="126">
        <f t="shared" si="74"/>
        <v>0</v>
      </c>
      <c r="S599" s="126">
        <f t="shared" si="35"/>
        <v>0.06</v>
      </c>
      <c r="T599" s="126">
        <f t="shared" si="514"/>
        <v>12.82</v>
      </c>
      <c r="U599" s="126">
        <v>0</v>
      </c>
      <c r="V599" s="126">
        <f t="shared" si="505"/>
        <v>0.35</v>
      </c>
      <c r="W599" s="126">
        <f t="shared" si="217"/>
        <v>0.01</v>
      </c>
      <c r="X599" s="126">
        <f t="shared" si="9"/>
        <v>13.24</v>
      </c>
      <c r="Y599" s="127">
        <f t="shared" si="519"/>
        <v>12806.76</v>
      </c>
      <c r="Z599" s="128">
        <f t="shared" si="402"/>
        <v>12807</v>
      </c>
      <c r="AA599" s="129">
        <f t="shared" si="47"/>
        <v>0.23999999999978172</v>
      </c>
      <c r="AB599" s="120"/>
      <c r="AC599" s="130">
        <f t="shared" si="12"/>
        <v>1.0330000000000001E-3</v>
      </c>
      <c r="AD599" s="131">
        <f t="shared" si="13"/>
        <v>0</v>
      </c>
      <c r="AE599" s="132" t="s">
        <v>403</v>
      </c>
      <c r="AF599" s="119"/>
    </row>
    <row r="600" spans="1:32" ht="12" customHeight="1">
      <c r="A600" s="150">
        <v>44699</v>
      </c>
      <c r="B600" s="151" t="s">
        <v>601</v>
      </c>
      <c r="C600" s="151"/>
      <c r="D600" s="151"/>
      <c r="E600" s="151"/>
      <c r="F600" s="151"/>
      <c r="G600" s="151"/>
      <c r="H600" s="122" t="s">
        <v>446</v>
      </c>
      <c r="I600" s="121" t="s">
        <v>469</v>
      </c>
      <c r="J600" s="122" t="s">
        <v>471</v>
      </c>
      <c r="K600" s="123">
        <v>20</v>
      </c>
      <c r="L600" s="124">
        <v>1140</v>
      </c>
      <c r="M600" s="125">
        <f t="shared" si="38"/>
        <v>0</v>
      </c>
      <c r="N600" s="125">
        <f t="shared" si="518"/>
        <v>1140</v>
      </c>
      <c r="O600" s="125"/>
      <c r="P600" s="125">
        <f t="shared" si="2"/>
        <v>22800</v>
      </c>
      <c r="Q600" s="126">
        <f t="shared" si="3"/>
        <v>1.1779999999999999</v>
      </c>
      <c r="R600" s="126">
        <f t="shared" si="74"/>
        <v>0</v>
      </c>
      <c r="S600" s="126">
        <f t="shared" si="35"/>
        <v>0.11</v>
      </c>
      <c r="T600" s="126">
        <f t="shared" si="514"/>
        <v>22.8</v>
      </c>
      <c r="U600" s="126">
        <v>0</v>
      </c>
      <c r="V600" s="126">
        <f t="shared" si="505"/>
        <v>0.63</v>
      </c>
      <c r="W600" s="126">
        <f t="shared" si="217"/>
        <v>0.02</v>
      </c>
      <c r="X600" s="126">
        <f t="shared" si="9"/>
        <v>23.56</v>
      </c>
      <c r="Y600" s="127">
        <f t="shared" si="519"/>
        <v>22776.44</v>
      </c>
      <c r="Z600" s="128">
        <f t="shared" si="402"/>
        <v>22776</v>
      </c>
      <c r="AA600" s="129">
        <f t="shared" si="47"/>
        <v>-0.43999999999869033</v>
      </c>
      <c r="AB600" s="120"/>
      <c r="AC600" s="130">
        <f t="shared" si="12"/>
        <v>1.0330000000000001E-3</v>
      </c>
      <c r="AD600" s="131">
        <f t="shared" si="13"/>
        <v>0</v>
      </c>
      <c r="AE600" s="132" t="s">
        <v>403</v>
      </c>
      <c r="AF600" s="119"/>
    </row>
    <row r="601" spans="1:32" ht="12" customHeight="1">
      <c r="A601" s="150">
        <v>44700</v>
      </c>
      <c r="B601" s="151" t="s">
        <v>575</v>
      </c>
      <c r="C601" s="151"/>
      <c r="D601" s="151"/>
      <c r="E601" s="151"/>
      <c r="F601" s="151"/>
      <c r="G601" s="151"/>
      <c r="H601" s="122" t="s">
        <v>446</v>
      </c>
      <c r="I601" s="121" t="s">
        <v>469</v>
      </c>
      <c r="J601" s="122" t="s">
        <v>448</v>
      </c>
      <c r="K601" s="123">
        <v>40</v>
      </c>
      <c r="L601" s="124">
        <v>940</v>
      </c>
      <c r="M601" s="125">
        <f t="shared" si="38"/>
        <v>0</v>
      </c>
      <c r="N601" s="125">
        <f t="shared" si="518"/>
        <v>940</v>
      </c>
      <c r="O601" s="125"/>
      <c r="P601" s="125">
        <f t="shared" si="2"/>
        <v>37600</v>
      </c>
      <c r="Q601" s="126">
        <f t="shared" si="3"/>
        <v>0.97150000000000003</v>
      </c>
      <c r="R601" s="126">
        <f t="shared" si="74"/>
        <v>0</v>
      </c>
      <c r="S601" s="126">
        <f t="shared" si="35"/>
        <v>0.19</v>
      </c>
      <c r="T601" s="126">
        <f t="shared" si="514"/>
        <v>37.6</v>
      </c>
      <c r="U601" s="126">
        <v>0</v>
      </c>
      <c r="V601" s="126">
        <f t="shared" si="505"/>
        <v>1.03</v>
      </c>
      <c r="W601" s="126">
        <f t="shared" si="217"/>
        <v>0.04</v>
      </c>
      <c r="X601" s="126">
        <f t="shared" si="9"/>
        <v>38.86</v>
      </c>
      <c r="Y601" s="127">
        <f t="shared" si="519"/>
        <v>37561.14</v>
      </c>
      <c r="Z601" s="128">
        <f t="shared" si="402"/>
        <v>37561</v>
      </c>
      <c r="AA601" s="129">
        <f t="shared" si="47"/>
        <v>-0.13999999999941792</v>
      </c>
      <c r="AB601" s="120"/>
      <c r="AC601" s="130">
        <f t="shared" si="12"/>
        <v>1.034E-3</v>
      </c>
      <c r="AD601" s="131">
        <f t="shared" si="13"/>
        <v>0</v>
      </c>
      <c r="AE601" s="132" t="s">
        <v>403</v>
      </c>
      <c r="AF601" s="119"/>
    </row>
    <row r="602" spans="1:32" ht="12" customHeight="1">
      <c r="A602" s="150">
        <v>44701</v>
      </c>
      <c r="B602" s="151" t="s">
        <v>575</v>
      </c>
      <c r="C602" s="151"/>
      <c r="D602" s="151"/>
      <c r="E602" s="151"/>
      <c r="F602" s="151"/>
      <c r="G602" s="151"/>
      <c r="H602" s="122" t="s">
        <v>446</v>
      </c>
      <c r="I602" s="121" t="s">
        <v>469</v>
      </c>
      <c r="J602" s="122" t="s">
        <v>448</v>
      </c>
      <c r="K602" s="123">
        <v>355</v>
      </c>
      <c r="L602" s="124">
        <v>979.86181999999997</v>
      </c>
      <c r="M602" s="125">
        <f t="shared" si="38"/>
        <v>0</v>
      </c>
      <c r="N602" s="125">
        <f t="shared" si="518"/>
        <v>979.86181999999997</v>
      </c>
      <c r="O602" s="125"/>
      <c r="P602" s="125">
        <f t="shared" si="2"/>
        <v>347850.95</v>
      </c>
      <c r="Q602" s="126">
        <f t="shared" si="3"/>
        <v>1.012647887323944</v>
      </c>
      <c r="R602" s="126">
        <f t="shared" si="74"/>
        <v>0</v>
      </c>
      <c r="S602" s="126">
        <f t="shared" si="35"/>
        <v>1.72</v>
      </c>
      <c r="T602" s="126">
        <f t="shared" si="514"/>
        <v>347.85</v>
      </c>
      <c r="U602" s="126">
        <v>0</v>
      </c>
      <c r="V602" s="126">
        <f t="shared" si="505"/>
        <v>9.57</v>
      </c>
      <c r="W602" s="126">
        <f t="shared" si="217"/>
        <v>0.35</v>
      </c>
      <c r="X602" s="126">
        <f t="shared" si="9"/>
        <v>359.49000000000007</v>
      </c>
      <c r="Y602" s="127">
        <f t="shared" si="519"/>
        <v>347491.46</v>
      </c>
      <c r="Z602" s="128">
        <f t="shared" si="402"/>
        <v>347491</v>
      </c>
      <c r="AA602" s="129">
        <f t="shared" si="47"/>
        <v>-0.46000000002095476</v>
      </c>
      <c r="AB602" s="120"/>
      <c r="AC602" s="130">
        <f t="shared" si="12"/>
        <v>1.0330000000000001E-3</v>
      </c>
      <c r="AD602" s="131">
        <f t="shared" si="13"/>
        <v>0</v>
      </c>
      <c r="AE602" s="132" t="s">
        <v>403</v>
      </c>
      <c r="AF602" s="119"/>
    </row>
    <row r="603" spans="1:32" ht="12" customHeight="1">
      <c r="A603" s="148">
        <v>44704</v>
      </c>
      <c r="B603" s="149" t="s">
        <v>575</v>
      </c>
      <c r="C603" s="149"/>
      <c r="D603" s="149"/>
      <c r="E603" s="149"/>
      <c r="F603" s="149"/>
      <c r="G603" s="149"/>
      <c r="H603" s="135" t="s">
        <v>453</v>
      </c>
      <c r="I603" s="134" t="s">
        <v>469</v>
      </c>
      <c r="J603" s="135" t="s">
        <v>448</v>
      </c>
      <c r="K603" s="136">
        <v>200</v>
      </c>
      <c r="L603" s="137">
        <v>994.82500000000005</v>
      </c>
      <c r="M603" s="138">
        <f t="shared" si="38"/>
        <v>0</v>
      </c>
      <c r="N603" s="138">
        <f t="shared" ref="N603:N605" si="520">L603+M603</f>
        <v>994.82500000000005</v>
      </c>
      <c r="O603" s="138"/>
      <c r="P603" s="138">
        <f t="shared" si="2"/>
        <v>198965</v>
      </c>
      <c r="Q603" s="139">
        <f t="shared" si="3"/>
        <v>1.1772999999999998</v>
      </c>
      <c r="R603" s="139">
        <f t="shared" si="74"/>
        <v>0</v>
      </c>
      <c r="S603" s="139">
        <f t="shared" si="35"/>
        <v>0.98</v>
      </c>
      <c r="T603" s="139">
        <f t="shared" si="514"/>
        <v>198.97</v>
      </c>
      <c r="U603" s="139">
        <f t="shared" ref="U603:U605" si="521">ROUND(P603*K$1812,2)</f>
        <v>29.84</v>
      </c>
      <c r="V603" s="139">
        <f t="shared" si="505"/>
        <v>5.47</v>
      </c>
      <c r="W603" s="139">
        <f t="shared" si="217"/>
        <v>0.2</v>
      </c>
      <c r="X603" s="140">
        <f t="shared" si="9"/>
        <v>235.45999999999998</v>
      </c>
      <c r="Y603" s="141">
        <f t="shared" ref="Y603:Y605" si="522">-ROUND(P603+SUM(R603:W603),2)</f>
        <v>-199200.46</v>
      </c>
      <c r="Z603" s="142">
        <f t="shared" si="402"/>
        <v>-199200</v>
      </c>
      <c r="AA603" s="143">
        <f t="shared" si="47"/>
        <v>0.45999999999185093</v>
      </c>
      <c r="AB603" s="133"/>
      <c r="AC603" s="144">
        <f t="shared" si="12"/>
        <v>1.183E-3</v>
      </c>
      <c r="AD603" s="145">
        <f t="shared" si="13"/>
        <v>0</v>
      </c>
      <c r="AE603" s="146" t="s">
        <v>403</v>
      </c>
      <c r="AF603" s="119"/>
    </row>
    <row r="604" spans="1:32" ht="12" customHeight="1">
      <c r="A604" s="148">
        <v>44705</v>
      </c>
      <c r="B604" s="149" t="s">
        <v>575</v>
      </c>
      <c r="C604" s="149"/>
      <c r="D604" s="149"/>
      <c r="E604" s="149"/>
      <c r="F604" s="149"/>
      <c r="G604" s="149"/>
      <c r="H604" s="135" t="s">
        <v>453</v>
      </c>
      <c r="I604" s="134" t="s">
        <v>469</v>
      </c>
      <c r="J604" s="135" t="s">
        <v>448</v>
      </c>
      <c r="K604" s="136">
        <v>50</v>
      </c>
      <c r="L604" s="137">
        <v>972.3</v>
      </c>
      <c r="M604" s="138">
        <f t="shared" si="38"/>
        <v>0</v>
      </c>
      <c r="N604" s="138">
        <f t="shared" si="520"/>
        <v>972.3</v>
      </c>
      <c r="O604" s="138"/>
      <c r="P604" s="138">
        <f t="shared" si="2"/>
        <v>48615</v>
      </c>
      <c r="Q604" s="139">
        <f t="shared" si="3"/>
        <v>1.1508</v>
      </c>
      <c r="R604" s="139">
        <f t="shared" si="74"/>
        <v>0</v>
      </c>
      <c r="S604" s="139">
        <f t="shared" si="35"/>
        <v>0.24</v>
      </c>
      <c r="T604" s="139">
        <f t="shared" si="514"/>
        <v>48.62</v>
      </c>
      <c r="U604" s="139">
        <f t="shared" si="521"/>
        <v>7.29</v>
      </c>
      <c r="V604" s="139">
        <f t="shared" si="505"/>
        <v>1.34</v>
      </c>
      <c r="W604" s="139">
        <f t="shared" si="217"/>
        <v>0.05</v>
      </c>
      <c r="X604" s="140">
        <f t="shared" si="9"/>
        <v>57.54</v>
      </c>
      <c r="Y604" s="141">
        <f t="shared" si="522"/>
        <v>-48672.54</v>
      </c>
      <c r="Z604" s="142">
        <f t="shared" si="402"/>
        <v>-48673</v>
      </c>
      <c r="AA604" s="143">
        <f t="shared" si="47"/>
        <v>-0.45999999999912689</v>
      </c>
      <c r="AB604" s="133"/>
      <c r="AC604" s="144">
        <f t="shared" si="12"/>
        <v>1.1839999999999999E-3</v>
      </c>
      <c r="AD604" s="145">
        <f t="shared" si="13"/>
        <v>0</v>
      </c>
      <c r="AE604" s="146" t="s">
        <v>403</v>
      </c>
      <c r="AF604" s="119"/>
    </row>
    <row r="605" spans="1:32" ht="12" customHeight="1">
      <c r="A605" s="148">
        <v>44706</v>
      </c>
      <c r="B605" s="149" t="s">
        <v>575</v>
      </c>
      <c r="C605" s="149"/>
      <c r="D605" s="149"/>
      <c r="E605" s="149"/>
      <c r="F605" s="149"/>
      <c r="G605" s="149"/>
      <c r="H605" s="135" t="s">
        <v>453</v>
      </c>
      <c r="I605" s="134" t="s">
        <v>469</v>
      </c>
      <c r="J605" s="135" t="s">
        <v>448</v>
      </c>
      <c r="K605" s="136">
        <v>180</v>
      </c>
      <c r="L605" s="137">
        <v>966.72220000000004</v>
      </c>
      <c r="M605" s="138">
        <f t="shared" si="38"/>
        <v>0</v>
      </c>
      <c r="N605" s="138">
        <f t="shared" si="520"/>
        <v>966.72220000000004</v>
      </c>
      <c r="O605" s="138"/>
      <c r="P605" s="138">
        <f t="shared" si="2"/>
        <v>174010</v>
      </c>
      <c r="Q605" s="139">
        <f t="shared" si="3"/>
        <v>1.1440555555555554</v>
      </c>
      <c r="R605" s="139">
        <f t="shared" si="74"/>
        <v>0</v>
      </c>
      <c r="S605" s="139">
        <f t="shared" si="35"/>
        <v>0.86</v>
      </c>
      <c r="T605" s="139">
        <f t="shared" si="514"/>
        <v>174.01</v>
      </c>
      <c r="U605" s="139">
        <f t="shared" si="521"/>
        <v>26.1</v>
      </c>
      <c r="V605" s="139">
        <f t="shared" si="505"/>
        <v>4.79</v>
      </c>
      <c r="W605" s="139">
        <f t="shared" si="217"/>
        <v>0.17</v>
      </c>
      <c r="X605" s="140">
        <f t="shared" si="9"/>
        <v>205.92999999999998</v>
      </c>
      <c r="Y605" s="141">
        <f t="shared" si="522"/>
        <v>-174215.93</v>
      </c>
      <c r="Z605" s="142">
        <f t="shared" si="402"/>
        <v>-174216</v>
      </c>
      <c r="AA605" s="143">
        <f t="shared" si="47"/>
        <v>-7.0000000006984919E-2</v>
      </c>
      <c r="AB605" s="133"/>
      <c r="AC605" s="144">
        <f t="shared" si="12"/>
        <v>1.183E-3</v>
      </c>
      <c r="AD605" s="145">
        <f t="shared" si="13"/>
        <v>0</v>
      </c>
      <c r="AE605" s="146" t="s">
        <v>403</v>
      </c>
      <c r="AF605" s="119"/>
    </row>
    <row r="606" spans="1:32" ht="12" customHeight="1">
      <c r="A606" s="150">
        <v>44707</v>
      </c>
      <c r="B606" s="151" t="s">
        <v>575</v>
      </c>
      <c r="C606" s="151"/>
      <c r="D606" s="151"/>
      <c r="E606" s="151"/>
      <c r="F606" s="151"/>
      <c r="G606" s="151"/>
      <c r="H606" s="122" t="s">
        <v>446</v>
      </c>
      <c r="I606" s="121" t="s">
        <v>469</v>
      </c>
      <c r="J606" s="122" t="s">
        <v>448</v>
      </c>
      <c r="K606" s="123">
        <v>125</v>
      </c>
      <c r="L606" s="124">
        <v>969.2</v>
      </c>
      <c r="M606" s="125">
        <f t="shared" si="38"/>
        <v>0</v>
      </c>
      <c r="N606" s="125">
        <f>L606-M606</f>
        <v>969.2</v>
      </c>
      <c r="O606" s="125"/>
      <c r="P606" s="125">
        <f t="shared" si="2"/>
        <v>121150</v>
      </c>
      <c r="Q606" s="126">
        <f t="shared" si="3"/>
        <v>1.0016</v>
      </c>
      <c r="R606" s="126">
        <f t="shared" si="74"/>
        <v>0</v>
      </c>
      <c r="S606" s="126">
        <f t="shared" si="35"/>
        <v>0.6</v>
      </c>
      <c r="T606" s="126">
        <f t="shared" si="514"/>
        <v>121.15</v>
      </c>
      <c r="U606" s="126">
        <v>0</v>
      </c>
      <c r="V606" s="126">
        <f t="shared" si="505"/>
        <v>3.33</v>
      </c>
      <c r="W606" s="126">
        <f t="shared" si="217"/>
        <v>0.12</v>
      </c>
      <c r="X606" s="126">
        <f t="shared" si="9"/>
        <v>125.2</v>
      </c>
      <c r="Y606" s="127">
        <f>ROUND(P606-SUM(R606:W606),2)</f>
        <v>121024.8</v>
      </c>
      <c r="Z606" s="128">
        <f t="shared" si="402"/>
        <v>121025</v>
      </c>
      <c r="AA606" s="129">
        <f t="shared" si="47"/>
        <v>0.19999999999708962</v>
      </c>
      <c r="AB606" s="120"/>
      <c r="AC606" s="130">
        <f t="shared" si="12"/>
        <v>1.0330000000000001E-3</v>
      </c>
      <c r="AD606" s="131">
        <f t="shared" si="13"/>
        <v>0</v>
      </c>
      <c r="AE606" s="132" t="s">
        <v>403</v>
      </c>
      <c r="AF606" s="119"/>
    </row>
    <row r="607" spans="1:32" ht="12" customHeight="1">
      <c r="A607" s="148">
        <v>44708</v>
      </c>
      <c r="B607" s="149" t="s">
        <v>307</v>
      </c>
      <c r="C607" s="149"/>
      <c r="D607" s="149"/>
      <c r="E607" s="149"/>
      <c r="F607" s="149"/>
      <c r="G607" s="149"/>
      <c r="H607" s="135" t="s">
        <v>453</v>
      </c>
      <c r="I607" s="134" t="s">
        <v>469</v>
      </c>
      <c r="J607" s="135" t="s">
        <v>471</v>
      </c>
      <c r="K607" s="136">
        <v>25</v>
      </c>
      <c r="L607" s="137">
        <v>903</v>
      </c>
      <c r="M607" s="138">
        <f t="shared" si="38"/>
        <v>0</v>
      </c>
      <c r="N607" s="138">
        <f>L607+M607</f>
        <v>903</v>
      </c>
      <c r="O607" s="138"/>
      <c r="P607" s="138">
        <f t="shared" si="2"/>
        <v>22575</v>
      </c>
      <c r="Q607" s="139">
        <f t="shared" si="3"/>
        <v>0.61719999999999997</v>
      </c>
      <c r="R607" s="139">
        <f t="shared" si="74"/>
        <v>0</v>
      </c>
      <c r="S607" s="139">
        <f t="shared" si="35"/>
        <v>0.11</v>
      </c>
      <c r="T607" s="139">
        <f>ROUND(P607*K$1806,2)/2</f>
        <v>11.29</v>
      </c>
      <c r="U607" s="139">
        <f>ROUND(P607*K$1812,2)</f>
        <v>3.39</v>
      </c>
      <c r="V607" s="139">
        <f t="shared" si="505"/>
        <v>0.62</v>
      </c>
      <c r="W607" s="139">
        <f t="shared" si="217"/>
        <v>0.02</v>
      </c>
      <c r="X607" s="140">
        <f t="shared" si="9"/>
        <v>15.429999999999998</v>
      </c>
      <c r="Y607" s="141">
        <f>-ROUND(P607+SUM(R607:W607),2)</f>
        <v>-22590.43</v>
      </c>
      <c r="Z607" s="142">
        <f t="shared" si="402"/>
        <v>-22590</v>
      </c>
      <c r="AA607" s="143">
        <f t="shared" si="47"/>
        <v>0.43000000000029104</v>
      </c>
      <c r="AB607" s="133"/>
      <c r="AC607" s="144">
        <f t="shared" si="12"/>
        <v>6.8300000000000001E-4</v>
      </c>
      <c r="AD607" s="145">
        <f t="shared" si="13"/>
        <v>0</v>
      </c>
      <c r="AE607" s="146" t="s">
        <v>403</v>
      </c>
      <c r="AF607" s="119"/>
    </row>
    <row r="608" spans="1:32" ht="12" customHeight="1">
      <c r="A608" s="150">
        <v>44708</v>
      </c>
      <c r="B608" s="151" t="s">
        <v>307</v>
      </c>
      <c r="C608" s="151"/>
      <c r="D608" s="151"/>
      <c r="E608" s="151"/>
      <c r="F608" s="151"/>
      <c r="G608" s="151"/>
      <c r="H608" s="122" t="s">
        <v>446</v>
      </c>
      <c r="I608" s="121" t="s">
        <v>469</v>
      </c>
      <c r="J608" s="122" t="s">
        <v>471</v>
      </c>
      <c r="K608" s="123">
        <v>50</v>
      </c>
      <c r="L608" s="124">
        <v>872.5</v>
      </c>
      <c r="M608" s="125">
        <f t="shared" si="38"/>
        <v>0</v>
      </c>
      <c r="N608" s="125">
        <f>L608-M608</f>
        <v>872.5</v>
      </c>
      <c r="O608" s="125"/>
      <c r="P608" s="125">
        <f t="shared" si="2"/>
        <v>43625</v>
      </c>
      <c r="Q608" s="126">
        <f t="shared" si="3"/>
        <v>0.36549999999999999</v>
      </c>
      <c r="R608" s="126">
        <f t="shared" si="74"/>
        <v>0</v>
      </c>
      <c r="S608" s="126">
        <f t="shared" si="35"/>
        <v>0.22</v>
      </c>
      <c r="T608" s="126">
        <f>ROUND(P608*K$1806,2)/2-5</f>
        <v>16.815000000000001</v>
      </c>
      <c r="U608" s="126">
        <v>0</v>
      </c>
      <c r="V608" s="126">
        <f t="shared" si="505"/>
        <v>1.2</v>
      </c>
      <c r="W608" s="126">
        <f t="shared" si="217"/>
        <v>0.04</v>
      </c>
      <c r="X608" s="126">
        <f t="shared" si="9"/>
        <v>18.274999999999999</v>
      </c>
      <c r="Y608" s="127">
        <f>ROUND(P608-SUM(R608:W608),2)</f>
        <v>43606.73</v>
      </c>
      <c r="Z608" s="128">
        <f t="shared" si="402"/>
        <v>43607</v>
      </c>
      <c r="AA608" s="129">
        <f t="shared" si="47"/>
        <v>0.26999999999679858</v>
      </c>
      <c r="AB608" s="120"/>
      <c r="AC608" s="130">
        <f t="shared" si="12"/>
        <v>4.1899999999999999E-4</v>
      </c>
      <c r="AD608" s="131">
        <f t="shared" si="13"/>
        <v>0</v>
      </c>
      <c r="AE608" s="132" t="s">
        <v>403</v>
      </c>
      <c r="AF608" s="119"/>
    </row>
    <row r="609" spans="1:32" ht="12" customHeight="1">
      <c r="A609" s="148">
        <v>44708</v>
      </c>
      <c r="B609" s="149" t="s">
        <v>575</v>
      </c>
      <c r="C609" s="149"/>
      <c r="D609" s="149"/>
      <c r="E609" s="149"/>
      <c r="F609" s="149"/>
      <c r="G609" s="149"/>
      <c r="H609" s="135" t="s">
        <v>453</v>
      </c>
      <c r="I609" s="134" t="s">
        <v>469</v>
      </c>
      <c r="J609" s="135" t="s">
        <v>448</v>
      </c>
      <c r="K609" s="136">
        <v>125</v>
      </c>
      <c r="L609" s="137">
        <v>967.2</v>
      </c>
      <c r="M609" s="138">
        <f t="shared" si="38"/>
        <v>0</v>
      </c>
      <c r="N609" s="138">
        <f>L609+M609</f>
        <v>967.2</v>
      </c>
      <c r="O609" s="138"/>
      <c r="P609" s="138">
        <f t="shared" si="2"/>
        <v>120900</v>
      </c>
      <c r="Q609" s="139">
        <f t="shared" si="3"/>
        <v>1.1446399999999999</v>
      </c>
      <c r="R609" s="139">
        <f t="shared" si="74"/>
        <v>0</v>
      </c>
      <c r="S609" s="139">
        <f t="shared" si="35"/>
        <v>0.6</v>
      </c>
      <c r="T609" s="139">
        <f t="shared" ref="T609:T637" si="523">ROUND(P609*K$1806,2)</f>
        <v>120.9</v>
      </c>
      <c r="U609" s="139">
        <f>ROUND(P609*K$1812,2)</f>
        <v>18.14</v>
      </c>
      <c r="V609" s="139">
        <f t="shared" si="505"/>
        <v>3.32</v>
      </c>
      <c r="W609" s="139">
        <f t="shared" si="217"/>
        <v>0.12</v>
      </c>
      <c r="X609" s="140">
        <f t="shared" si="9"/>
        <v>143.07999999999998</v>
      </c>
      <c r="Y609" s="141">
        <f>-ROUND(P609+SUM(R609:W609),2)</f>
        <v>-121043.08</v>
      </c>
      <c r="Z609" s="142">
        <f t="shared" si="402"/>
        <v>-121043</v>
      </c>
      <c r="AA609" s="143">
        <f t="shared" si="47"/>
        <v>8.000000000174623E-2</v>
      </c>
      <c r="AB609" s="133"/>
      <c r="AC609" s="144">
        <f t="shared" si="12"/>
        <v>1.183E-3</v>
      </c>
      <c r="AD609" s="145">
        <f t="shared" si="13"/>
        <v>0</v>
      </c>
      <c r="AE609" s="146" t="s">
        <v>403</v>
      </c>
      <c r="AF609" s="119"/>
    </row>
    <row r="610" spans="1:32" ht="12" customHeight="1">
      <c r="A610" s="150">
        <v>44711</v>
      </c>
      <c r="B610" s="151" t="s">
        <v>307</v>
      </c>
      <c r="C610" s="151"/>
      <c r="D610" s="151"/>
      <c r="E610" s="151"/>
      <c r="F610" s="151"/>
      <c r="G610" s="151"/>
      <c r="H610" s="122" t="s">
        <v>446</v>
      </c>
      <c r="I610" s="121" t="s">
        <v>469</v>
      </c>
      <c r="J610" s="122" t="s">
        <v>471</v>
      </c>
      <c r="K610" s="123">
        <v>25</v>
      </c>
      <c r="L610" s="124">
        <v>922</v>
      </c>
      <c r="M610" s="125">
        <f t="shared" si="38"/>
        <v>0</v>
      </c>
      <c r="N610" s="125">
        <f t="shared" ref="N610:N613" si="524">L610-M610</f>
        <v>922</v>
      </c>
      <c r="O610" s="125"/>
      <c r="P610" s="125">
        <f t="shared" si="2"/>
        <v>23050</v>
      </c>
      <c r="Q610" s="126">
        <f t="shared" si="3"/>
        <v>0.95239999999999991</v>
      </c>
      <c r="R610" s="126">
        <f t="shared" si="74"/>
        <v>0</v>
      </c>
      <c r="S610" s="126">
        <f t="shared" si="35"/>
        <v>0.11</v>
      </c>
      <c r="T610" s="126">
        <f t="shared" si="523"/>
        <v>23.05</v>
      </c>
      <c r="U610" s="126">
        <v>0</v>
      </c>
      <c r="V610" s="126">
        <f t="shared" si="505"/>
        <v>0.63</v>
      </c>
      <c r="W610" s="126">
        <f t="shared" si="217"/>
        <v>0.02</v>
      </c>
      <c r="X610" s="126">
        <f t="shared" si="9"/>
        <v>23.81</v>
      </c>
      <c r="Y610" s="127">
        <f t="shared" ref="Y610:Y613" si="525">ROUND(P610-SUM(R610:W610),2)</f>
        <v>23026.19</v>
      </c>
      <c r="Z610" s="128">
        <f t="shared" si="402"/>
        <v>23026</v>
      </c>
      <c r="AA610" s="129">
        <f t="shared" si="47"/>
        <v>-0.18999999999869033</v>
      </c>
      <c r="AB610" s="120"/>
      <c r="AC610" s="130">
        <f t="shared" si="12"/>
        <v>1.0330000000000001E-3</v>
      </c>
      <c r="AD610" s="131">
        <f t="shared" si="13"/>
        <v>0</v>
      </c>
      <c r="AE610" s="132" t="s">
        <v>403</v>
      </c>
      <c r="AF610" s="119"/>
    </row>
    <row r="611" spans="1:32" ht="12" customHeight="1">
      <c r="A611" s="150">
        <v>44711</v>
      </c>
      <c r="B611" s="151" t="s">
        <v>575</v>
      </c>
      <c r="C611" s="151"/>
      <c r="D611" s="151"/>
      <c r="E611" s="151"/>
      <c r="F611" s="151"/>
      <c r="G611" s="151"/>
      <c r="H611" s="122" t="s">
        <v>446</v>
      </c>
      <c r="I611" s="121" t="s">
        <v>469</v>
      </c>
      <c r="J611" s="122" t="s">
        <v>448</v>
      </c>
      <c r="K611" s="123">
        <v>150</v>
      </c>
      <c r="L611" s="124">
        <v>1001.6667</v>
      </c>
      <c r="M611" s="125">
        <f t="shared" si="38"/>
        <v>0</v>
      </c>
      <c r="N611" s="125">
        <f t="shared" si="524"/>
        <v>1001.6667</v>
      </c>
      <c r="O611" s="125"/>
      <c r="P611" s="125">
        <f t="shared" si="2"/>
        <v>150250.01</v>
      </c>
      <c r="Q611" s="126">
        <f t="shared" si="3"/>
        <v>1.0351333333333335</v>
      </c>
      <c r="R611" s="126">
        <f t="shared" si="74"/>
        <v>0</v>
      </c>
      <c r="S611" s="126">
        <f t="shared" si="35"/>
        <v>0.74</v>
      </c>
      <c r="T611" s="126">
        <f t="shared" si="523"/>
        <v>150.25</v>
      </c>
      <c r="U611" s="126">
        <v>0</v>
      </c>
      <c r="V611" s="126">
        <f t="shared" si="505"/>
        <v>4.13</v>
      </c>
      <c r="W611" s="126">
        <f t="shared" si="217"/>
        <v>0.15</v>
      </c>
      <c r="X611" s="126">
        <f t="shared" si="9"/>
        <v>155.27000000000001</v>
      </c>
      <c r="Y611" s="127">
        <f t="shared" si="525"/>
        <v>150094.74</v>
      </c>
      <c r="Z611" s="128">
        <f t="shared" si="402"/>
        <v>150095</v>
      </c>
      <c r="AA611" s="129">
        <f t="shared" si="47"/>
        <v>0.26000000000931323</v>
      </c>
      <c r="AB611" s="120"/>
      <c r="AC611" s="130">
        <f t="shared" si="12"/>
        <v>1.0330000000000001E-3</v>
      </c>
      <c r="AD611" s="131">
        <f t="shared" si="13"/>
        <v>0</v>
      </c>
      <c r="AE611" s="132" t="s">
        <v>403</v>
      </c>
      <c r="AF611" s="119"/>
    </row>
    <row r="612" spans="1:32" ht="12" customHeight="1">
      <c r="A612" s="150">
        <v>44712</v>
      </c>
      <c r="B612" s="151" t="s">
        <v>307</v>
      </c>
      <c r="C612" s="151"/>
      <c r="D612" s="151"/>
      <c r="E612" s="151"/>
      <c r="F612" s="151"/>
      <c r="G612" s="151"/>
      <c r="H612" s="122" t="s">
        <v>446</v>
      </c>
      <c r="I612" s="121" t="s">
        <v>469</v>
      </c>
      <c r="J612" s="122" t="s">
        <v>471</v>
      </c>
      <c r="K612" s="123">
        <v>25</v>
      </c>
      <c r="L612" s="124">
        <v>908</v>
      </c>
      <c r="M612" s="125">
        <f t="shared" si="38"/>
        <v>0</v>
      </c>
      <c r="N612" s="125">
        <f t="shared" si="524"/>
        <v>908</v>
      </c>
      <c r="O612" s="125"/>
      <c r="P612" s="125">
        <f t="shared" si="2"/>
        <v>22700</v>
      </c>
      <c r="Q612" s="126">
        <f t="shared" si="3"/>
        <v>0.93799999999999994</v>
      </c>
      <c r="R612" s="126">
        <f t="shared" si="74"/>
        <v>0</v>
      </c>
      <c r="S612" s="126">
        <f t="shared" si="35"/>
        <v>0.11</v>
      </c>
      <c r="T612" s="126">
        <f t="shared" si="523"/>
        <v>22.7</v>
      </c>
      <c r="U612" s="126">
        <v>0</v>
      </c>
      <c r="V612" s="126">
        <f t="shared" si="505"/>
        <v>0.62</v>
      </c>
      <c r="W612" s="126">
        <f t="shared" si="217"/>
        <v>0.02</v>
      </c>
      <c r="X612" s="126">
        <f t="shared" si="9"/>
        <v>23.45</v>
      </c>
      <c r="Y612" s="127">
        <f t="shared" si="525"/>
        <v>22676.55</v>
      </c>
      <c r="Z612" s="128">
        <f t="shared" si="402"/>
        <v>22677</v>
      </c>
      <c r="AA612" s="129">
        <f t="shared" si="47"/>
        <v>0.4500000000007276</v>
      </c>
      <c r="AB612" s="120"/>
      <c r="AC612" s="130">
        <f t="shared" si="12"/>
        <v>1.0330000000000001E-3</v>
      </c>
      <c r="AD612" s="131">
        <f t="shared" si="13"/>
        <v>0</v>
      </c>
      <c r="AE612" s="132" t="s">
        <v>403</v>
      </c>
      <c r="AF612" s="119"/>
    </row>
    <row r="613" spans="1:32" ht="12" customHeight="1">
      <c r="A613" s="150">
        <v>44714</v>
      </c>
      <c r="B613" s="151" t="s">
        <v>307</v>
      </c>
      <c r="C613" s="151"/>
      <c r="D613" s="151"/>
      <c r="E613" s="151"/>
      <c r="F613" s="151"/>
      <c r="G613" s="151"/>
      <c r="H613" s="122" t="s">
        <v>446</v>
      </c>
      <c r="I613" s="121" t="s">
        <v>469</v>
      </c>
      <c r="J613" s="122" t="s">
        <v>471</v>
      </c>
      <c r="K613" s="123">
        <v>25</v>
      </c>
      <c r="L613" s="124">
        <v>927</v>
      </c>
      <c r="M613" s="125">
        <f t="shared" si="38"/>
        <v>0</v>
      </c>
      <c r="N613" s="125">
        <f t="shared" si="524"/>
        <v>927</v>
      </c>
      <c r="O613" s="125"/>
      <c r="P613" s="125">
        <f t="shared" si="2"/>
        <v>23175</v>
      </c>
      <c r="Q613" s="126">
        <f t="shared" si="3"/>
        <v>0.95840000000000003</v>
      </c>
      <c r="R613" s="126">
        <f t="shared" si="74"/>
        <v>0</v>
      </c>
      <c r="S613" s="126">
        <f t="shared" si="35"/>
        <v>0.12</v>
      </c>
      <c r="T613" s="126">
        <f t="shared" si="523"/>
        <v>23.18</v>
      </c>
      <c r="U613" s="126">
        <v>0</v>
      </c>
      <c r="V613" s="126">
        <f t="shared" si="505"/>
        <v>0.64</v>
      </c>
      <c r="W613" s="126">
        <f t="shared" si="217"/>
        <v>0.02</v>
      </c>
      <c r="X613" s="126">
        <f t="shared" si="9"/>
        <v>23.96</v>
      </c>
      <c r="Y613" s="127">
        <f t="shared" si="525"/>
        <v>23151.040000000001</v>
      </c>
      <c r="Z613" s="128">
        <f t="shared" si="402"/>
        <v>23151</v>
      </c>
      <c r="AA613" s="129">
        <f t="shared" si="47"/>
        <v>-4.0000000000873115E-2</v>
      </c>
      <c r="AB613" s="120"/>
      <c r="AC613" s="130">
        <f t="shared" si="12"/>
        <v>1.034E-3</v>
      </c>
      <c r="AD613" s="131">
        <f t="shared" si="13"/>
        <v>0</v>
      </c>
      <c r="AE613" s="132" t="s">
        <v>403</v>
      </c>
      <c r="AF613" s="119"/>
    </row>
    <row r="614" spans="1:32" ht="12" customHeight="1">
      <c r="A614" s="148">
        <v>44715</v>
      </c>
      <c r="B614" s="149" t="s">
        <v>575</v>
      </c>
      <c r="C614" s="149"/>
      <c r="D614" s="149"/>
      <c r="E614" s="149"/>
      <c r="F614" s="149"/>
      <c r="G614" s="149"/>
      <c r="H614" s="135" t="s">
        <v>453</v>
      </c>
      <c r="I614" s="134" t="s">
        <v>469</v>
      </c>
      <c r="J614" s="135" t="s">
        <v>448</v>
      </c>
      <c r="K614" s="136">
        <v>100</v>
      </c>
      <c r="L614" s="137">
        <v>1010.7615</v>
      </c>
      <c r="M614" s="138">
        <f t="shared" si="38"/>
        <v>0</v>
      </c>
      <c r="N614" s="138">
        <f t="shared" ref="N614:N615" si="526">L614+M614</f>
        <v>1010.7615</v>
      </c>
      <c r="O614" s="138"/>
      <c r="P614" s="138">
        <f t="shared" si="2"/>
        <v>101076.15</v>
      </c>
      <c r="Q614" s="139">
        <f t="shared" si="3"/>
        <v>1.1961999999999999</v>
      </c>
      <c r="R614" s="139">
        <f t="shared" si="74"/>
        <v>0</v>
      </c>
      <c r="S614" s="139">
        <f t="shared" si="35"/>
        <v>0.5</v>
      </c>
      <c r="T614" s="139">
        <f t="shared" si="523"/>
        <v>101.08</v>
      </c>
      <c r="U614" s="139">
        <f t="shared" ref="U614:U615" si="527">ROUND(P614*K$1812,2)</f>
        <v>15.16</v>
      </c>
      <c r="V614" s="139">
        <f t="shared" si="505"/>
        <v>2.78</v>
      </c>
      <c r="W614" s="139">
        <f t="shared" si="217"/>
        <v>0.1</v>
      </c>
      <c r="X614" s="140">
        <f t="shared" si="9"/>
        <v>119.61999999999999</v>
      </c>
      <c r="Y614" s="141">
        <f t="shared" ref="Y614:Y615" si="528">-ROUND(P614+SUM(R614:W614),2)</f>
        <v>-101195.77</v>
      </c>
      <c r="Z614" s="142">
        <f t="shared" si="402"/>
        <v>-101196</v>
      </c>
      <c r="AA614" s="143">
        <f t="shared" si="47"/>
        <v>-0.22999999999592546</v>
      </c>
      <c r="AB614" s="133"/>
      <c r="AC614" s="144">
        <f t="shared" si="12"/>
        <v>1.183E-3</v>
      </c>
      <c r="AD614" s="145">
        <f t="shared" si="13"/>
        <v>0</v>
      </c>
      <c r="AE614" s="146" t="s">
        <v>403</v>
      </c>
      <c r="AF614" s="119"/>
    </row>
    <row r="615" spans="1:32" ht="12" customHeight="1">
      <c r="A615" s="148">
        <v>44719</v>
      </c>
      <c r="B615" s="149" t="s">
        <v>575</v>
      </c>
      <c r="C615" s="149"/>
      <c r="D615" s="149"/>
      <c r="E615" s="149"/>
      <c r="F615" s="149"/>
      <c r="G615" s="149"/>
      <c r="H615" s="135" t="s">
        <v>453</v>
      </c>
      <c r="I615" s="134" t="s">
        <v>469</v>
      </c>
      <c r="J615" s="135" t="s">
        <v>448</v>
      </c>
      <c r="K615" s="136">
        <v>50</v>
      </c>
      <c r="L615" s="137">
        <v>982</v>
      </c>
      <c r="M615" s="138">
        <f t="shared" si="38"/>
        <v>0</v>
      </c>
      <c r="N615" s="138">
        <f t="shared" si="526"/>
        <v>982</v>
      </c>
      <c r="O615" s="138"/>
      <c r="P615" s="138">
        <f t="shared" si="2"/>
        <v>49100</v>
      </c>
      <c r="Q615" s="139">
        <f t="shared" si="3"/>
        <v>1.1621999999999999</v>
      </c>
      <c r="R615" s="139">
        <f t="shared" si="74"/>
        <v>0</v>
      </c>
      <c r="S615" s="139">
        <f t="shared" si="35"/>
        <v>0.24</v>
      </c>
      <c r="T615" s="139">
        <f t="shared" si="523"/>
        <v>49.1</v>
      </c>
      <c r="U615" s="139">
        <f t="shared" si="527"/>
        <v>7.37</v>
      </c>
      <c r="V615" s="139">
        <f t="shared" si="505"/>
        <v>1.35</v>
      </c>
      <c r="W615" s="139">
        <f t="shared" si="217"/>
        <v>0.05</v>
      </c>
      <c r="X615" s="140">
        <f t="shared" si="9"/>
        <v>58.11</v>
      </c>
      <c r="Y615" s="141">
        <f t="shared" si="528"/>
        <v>-49158.11</v>
      </c>
      <c r="Z615" s="142">
        <f t="shared" si="402"/>
        <v>-49158</v>
      </c>
      <c r="AA615" s="143">
        <f t="shared" si="47"/>
        <v>0.11000000000058208</v>
      </c>
      <c r="AB615" s="133"/>
      <c r="AC615" s="144">
        <f t="shared" si="12"/>
        <v>1.1839999999999999E-3</v>
      </c>
      <c r="AD615" s="145">
        <f t="shared" si="13"/>
        <v>0</v>
      </c>
      <c r="AE615" s="146" t="s">
        <v>403</v>
      </c>
      <c r="AF615" s="119"/>
    </row>
    <row r="616" spans="1:32" ht="12" customHeight="1">
      <c r="A616" s="150">
        <v>44720</v>
      </c>
      <c r="B616" s="151" t="s">
        <v>575</v>
      </c>
      <c r="C616" s="151"/>
      <c r="D616" s="151"/>
      <c r="E616" s="151"/>
      <c r="F616" s="151"/>
      <c r="G616" s="151"/>
      <c r="H616" s="122" t="s">
        <v>446</v>
      </c>
      <c r="I616" s="121" t="s">
        <v>469</v>
      </c>
      <c r="J616" s="122" t="s">
        <v>448</v>
      </c>
      <c r="K616" s="123">
        <v>50</v>
      </c>
      <c r="L616" s="124">
        <v>989</v>
      </c>
      <c r="M616" s="125">
        <f t="shared" si="38"/>
        <v>0</v>
      </c>
      <c r="N616" s="125">
        <f>L616-M616</f>
        <v>989</v>
      </c>
      <c r="O616" s="125"/>
      <c r="P616" s="125">
        <f t="shared" si="2"/>
        <v>49450</v>
      </c>
      <c r="Q616" s="126">
        <f t="shared" si="3"/>
        <v>1.022</v>
      </c>
      <c r="R616" s="126">
        <f t="shared" si="74"/>
        <v>0</v>
      </c>
      <c r="S616" s="126">
        <f t="shared" si="35"/>
        <v>0.24</v>
      </c>
      <c r="T616" s="126">
        <f t="shared" si="523"/>
        <v>49.45</v>
      </c>
      <c r="U616" s="126">
        <v>0</v>
      </c>
      <c r="V616" s="126">
        <f t="shared" si="505"/>
        <v>1.36</v>
      </c>
      <c r="W616" s="126">
        <f t="shared" si="217"/>
        <v>0.05</v>
      </c>
      <c r="X616" s="126">
        <f t="shared" si="9"/>
        <v>51.1</v>
      </c>
      <c r="Y616" s="127">
        <f>ROUND(P616-SUM(R616:W616),2)</f>
        <v>49398.9</v>
      </c>
      <c r="Z616" s="128">
        <f t="shared" si="402"/>
        <v>49399</v>
      </c>
      <c r="AA616" s="129">
        <f t="shared" si="47"/>
        <v>9.9999999998544808E-2</v>
      </c>
      <c r="AB616" s="120"/>
      <c r="AC616" s="130">
        <f t="shared" si="12"/>
        <v>1.0330000000000001E-3</v>
      </c>
      <c r="AD616" s="131">
        <f t="shared" si="13"/>
        <v>0</v>
      </c>
      <c r="AE616" s="132" t="s">
        <v>403</v>
      </c>
      <c r="AF616" s="119"/>
    </row>
    <row r="617" spans="1:32" ht="12" customHeight="1">
      <c r="A617" s="148">
        <v>44721</v>
      </c>
      <c r="B617" s="149" t="s">
        <v>575</v>
      </c>
      <c r="C617" s="149"/>
      <c r="D617" s="149"/>
      <c r="E617" s="149"/>
      <c r="F617" s="149"/>
      <c r="G617" s="149"/>
      <c r="H617" s="135" t="s">
        <v>453</v>
      </c>
      <c r="I617" s="134" t="s">
        <v>469</v>
      </c>
      <c r="J617" s="135" t="s">
        <v>448</v>
      </c>
      <c r="K617" s="136">
        <v>50</v>
      </c>
      <c r="L617" s="137">
        <v>982.35</v>
      </c>
      <c r="M617" s="138">
        <f t="shared" si="38"/>
        <v>0</v>
      </c>
      <c r="N617" s="138">
        <f t="shared" ref="N617:N618" si="529">L617+M617</f>
        <v>982.35</v>
      </c>
      <c r="O617" s="138"/>
      <c r="P617" s="138">
        <f t="shared" si="2"/>
        <v>49117.5</v>
      </c>
      <c r="Q617" s="139">
        <f t="shared" si="3"/>
        <v>1.1625999999999999</v>
      </c>
      <c r="R617" s="139">
        <f t="shared" si="74"/>
        <v>0</v>
      </c>
      <c r="S617" s="139">
        <f t="shared" si="35"/>
        <v>0.24</v>
      </c>
      <c r="T617" s="139">
        <f t="shared" si="523"/>
        <v>49.12</v>
      </c>
      <c r="U617" s="139">
        <f t="shared" ref="U617:U618" si="530">ROUND(P617*K$1812,2)</f>
        <v>7.37</v>
      </c>
      <c r="V617" s="139">
        <f t="shared" si="505"/>
        <v>1.35</v>
      </c>
      <c r="W617" s="139">
        <f t="shared" si="217"/>
        <v>0.05</v>
      </c>
      <c r="X617" s="140">
        <f t="shared" si="9"/>
        <v>58.129999999999995</v>
      </c>
      <c r="Y617" s="141">
        <f t="shared" ref="Y617:Y618" si="531">-ROUND(P617+SUM(R617:W617),2)</f>
        <v>-49175.63</v>
      </c>
      <c r="Z617" s="142">
        <f t="shared" si="402"/>
        <v>-49176</v>
      </c>
      <c r="AA617" s="143">
        <f t="shared" si="47"/>
        <v>-0.37000000000261934</v>
      </c>
      <c r="AB617" s="133"/>
      <c r="AC617" s="144">
        <f t="shared" si="12"/>
        <v>1.183E-3</v>
      </c>
      <c r="AD617" s="145">
        <f t="shared" si="13"/>
        <v>0</v>
      </c>
      <c r="AE617" s="146" t="s">
        <v>403</v>
      </c>
      <c r="AF617" s="119"/>
    </row>
    <row r="618" spans="1:32" ht="12" customHeight="1">
      <c r="A618" s="148">
        <v>44725</v>
      </c>
      <c r="B618" s="149" t="s">
        <v>575</v>
      </c>
      <c r="C618" s="149"/>
      <c r="D618" s="149"/>
      <c r="E618" s="149"/>
      <c r="F618" s="149"/>
      <c r="G618" s="149"/>
      <c r="H618" s="135" t="s">
        <v>453</v>
      </c>
      <c r="I618" s="134" t="s">
        <v>469</v>
      </c>
      <c r="J618" s="135" t="s">
        <v>448</v>
      </c>
      <c r="K618" s="136">
        <v>68</v>
      </c>
      <c r="L618" s="137">
        <v>937.5</v>
      </c>
      <c r="M618" s="138">
        <f t="shared" si="38"/>
        <v>0</v>
      </c>
      <c r="N618" s="138">
        <f t="shared" si="529"/>
        <v>937.5</v>
      </c>
      <c r="O618" s="138"/>
      <c r="P618" s="138">
        <f t="shared" si="2"/>
        <v>63750</v>
      </c>
      <c r="Q618" s="139">
        <f t="shared" si="3"/>
        <v>1.1094117647058823</v>
      </c>
      <c r="R618" s="139">
        <f t="shared" si="74"/>
        <v>0</v>
      </c>
      <c r="S618" s="139">
        <f t="shared" si="35"/>
        <v>0.32</v>
      </c>
      <c r="T618" s="139">
        <f t="shared" si="523"/>
        <v>63.75</v>
      </c>
      <c r="U618" s="139">
        <f t="shared" si="530"/>
        <v>9.56</v>
      </c>
      <c r="V618" s="139">
        <f t="shared" si="505"/>
        <v>1.75</v>
      </c>
      <c r="W618" s="139">
        <f t="shared" si="217"/>
        <v>0.06</v>
      </c>
      <c r="X618" s="140">
        <f t="shared" si="9"/>
        <v>75.44</v>
      </c>
      <c r="Y618" s="141">
        <f t="shared" si="531"/>
        <v>-63825.440000000002</v>
      </c>
      <c r="Z618" s="142">
        <f t="shared" si="402"/>
        <v>-63825</v>
      </c>
      <c r="AA618" s="143">
        <f t="shared" si="47"/>
        <v>0.44000000000232831</v>
      </c>
      <c r="AB618" s="133"/>
      <c r="AC618" s="144">
        <f t="shared" si="12"/>
        <v>1.183E-3</v>
      </c>
      <c r="AD618" s="145">
        <f t="shared" si="13"/>
        <v>0</v>
      </c>
      <c r="AE618" s="146" t="s">
        <v>403</v>
      </c>
      <c r="AF618" s="119"/>
    </row>
    <row r="619" spans="1:32" ht="12" customHeight="1">
      <c r="A619" s="150">
        <v>44726</v>
      </c>
      <c r="B619" s="151" t="s">
        <v>558</v>
      </c>
      <c r="C619" s="151"/>
      <c r="D619" s="151"/>
      <c r="E619" s="151"/>
      <c r="F619" s="151"/>
      <c r="G619" s="151"/>
      <c r="H619" s="122" t="s">
        <v>446</v>
      </c>
      <c r="I619" s="121" t="s">
        <v>469</v>
      </c>
      <c r="J619" s="122" t="s">
        <v>471</v>
      </c>
      <c r="K619" s="123">
        <v>4</v>
      </c>
      <c r="L619" s="124">
        <v>822</v>
      </c>
      <c r="M619" s="125">
        <f t="shared" si="38"/>
        <v>0</v>
      </c>
      <c r="N619" s="125">
        <f t="shared" ref="N619:N620" si="532">L619-M619</f>
        <v>822</v>
      </c>
      <c r="O619" s="125"/>
      <c r="P619" s="125">
        <f t="shared" si="2"/>
        <v>3288</v>
      </c>
      <c r="Q619" s="126">
        <f t="shared" si="3"/>
        <v>0.85</v>
      </c>
      <c r="R619" s="126">
        <f t="shared" si="74"/>
        <v>0</v>
      </c>
      <c r="S619" s="126">
        <f t="shared" si="35"/>
        <v>0.02</v>
      </c>
      <c r="T619" s="126">
        <f t="shared" si="523"/>
        <v>3.29</v>
      </c>
      <c r="U619" s="126">
        <v>0</v>
      </c>
      <c r="V619" s="126">
        <f t="shared" si="505"/>
        <v>0.09</v>
      </c>
      <c r="W619" s="126">
        <f t="shared" si="217"/>
        <v>0</v>
      </c>
      <c r="X619" s="126">
        <f t="shared" si="9"/>
        <v>3.4</v>
      </c>
      <c r="Y619" s="127">
        <f t="shared" ref="Y619:Y620" si="533">ROUND(P619-SUM(R619:W619),2)</f>
        <v>3284.6</v>
      </c>
      <c r="Z619" s="128">
        <f t="shared" si="402"/>
        <v>3285</v>
      </c>
      <c r="AA619" s="129">
        <f t="shared" si="47"/>
        <v>0.40000000000009095</v>
      </c>
      <c r="AB619" s="120"/>
      <c r="AC619" s="130">
        <f t="shared" si="12"/>
        <v>1.034E-3</v>
      </c>
      <c r="AD619" s="131">
        <f t="shared" si="13"/>
        <v>0</v>
      </c>
      <c r="AE619" s="132" t="s">
        <v>403</v>
      </c>
      <c r="AF619" s="119"/>
    </row>
    <row r="620" spans="1:32" ht="12" customHeight="1">
      <c r="A620" s="150">
        <v>44727</v>
      </c>
      <c r="B620" s="151" t="s">
        <v>575</v>
      </c>
      <c r="C620" s="151"/>
      <c r="D620" s="151"/>
      <c r="E620" s="151"/>
      <c r="F620" s="151"/>
      <c r="G620" s="151"/>
      <c r="H620" s="122" t="s">
        <v>446</v>
      </c>
      <c r="I620" s="121" t="s">
        <v>469</v>
      </c>
      <c r="J620" s="122" t="s">
        <v>448</v>
      </c>
      <c r="K620" s="123">
        <v>200</v>
      </c>
      <c r="L620" s="124">
        <v>960.75</v>
      </c>
      <c r="M620" s="125">
        <f t="shared" si="38"/>
        <v>0</v>
      </c>
      <c r="N620" s="125">
        <f t="shared" si="532"/>
        <v>960.75</v>
      </c>
      <c r="O620" s="125"/>
      <c r="P620" s="125">
        <f t="shared" si="2"/>
        <v>192150</v>
      </c>
      <c r="Q620" s="126">
        <f t="shared" si="3"/>
        <v>0.99285000000000001</v>
      </c>
      <c r="R620" s="126">
        <f t="shared" si="74"/>
        <v>0</v>
      </c>
      <c r="S620" s="126">
        <f t="shared" si="35"/>
        <v>0.95</v>
      </c>
      <c r="T620" s="126">
        <f t="shared" si="523"/>
        <v>192.15</v>
      </c>
      <c r="U620" s="126">
        <v>0</v>
      </c>
      <c r="V620" s="126">
        <f t="shared" si="505"/>
        <v>5.28</v>
      </c>
      <c r="W620" s="126">
        <f t="shared" si="217"/>
        <v>0.19</v>
      </c>
      <c r="X620" s="126">
        <f t="shared" si="9"/>
        <v>198.57</v>
      </c>
      <c r="Y620" s="127">
        <f t="shared" si="533"/>
        <v>191951.43</v>
      </c>
      <c r="Z620" s="128">
        <f t="shared" si="402"/>
        <v>191951</v>
      </c>
      <c r="AA620" s="129">
        <f t="shared" si="47"/>
        <v>-0.42999999999301508</v>
      </c>
      <c r="AB620" s="120"/>
      <c r="AC620" s="130">
        <f t="shared" si="12"/>
        <v>1.0330000000000001E-3</v>
      </c>
      <c r="AD620" s="131">
        <f t="shared" si="13"/>
        <v>0</v>
      </c>
      <c r="AE620" s="132" t="s">
        <v>403</v>
      </c>
      <c r="AF620" s="119"/>
    </row>
    <row r="621" spans="1:32" ht="12" customHeight="1">
      <c r="A621" s="148">
        <v>44728</v>
      </c>
      <c r="B621" s="149" t="s">
        <v>575</v>
      </c>
      <c r="C621" s="149"/>
      <c r="D621" s="149"/>
      <c r="E621" s="149"/>
      <c r="F621" s="149"/>
      <c r="G621" s="149"/>
      <c r="H621" s="135" t="s">
        <v>453</v>
      </c>
      <c r="I621" s="134" t="s">
        <v>469</v>
      </c>
      <c r="J621" s="135" t="s">
        <v>448</v>
      </c>
      <c r="K621" s="136">
        <v>215</v>
      </c>
      <c r="L621" s="137">
        <v>961.06809999999996</v>
      </c>
      <c r="M621" s="138">
        <f t="shared" si="38"/>
        <v>0</v>
      </c>
      <c r="N621" s="138">
        <f>L621+M621</f>
        <v>961.06809999999996</v>
      </c>
      <c r="O621" s="138"/>
      <c r="P621" s="138">
        <f t="shared" si="2"/>
        <v>206629.64</v>
      </c>
      <c r="Q621" s="139">
        <f t="shared" si="3"/>
        <v>1.1373488372093024</v>
      </c>
      <c r="R621" s="139">
        <f t="shared" si="74"/>
        <v>0</v>
      </c>
      <c r="S621" s="139">
        <f t="shared" si="35"/>
        <v>1.02</v>
      </c>
      <c r="T621" s="139">
        <f t="shared" si="523"/>
        <v>206.63</v>
      </c>
      <c r="U621" s="139">
        <f>ROUND(P621*K$1812,2)</f>
        <v>30.99</v>
      </c>
      <c r="V621" s="139">
        <f t="shared" si="505"/>
        <v>5.68</v>
      </c>
      <c r="W621" s="139">
        <f t="shared" si="217"/>
        <v>0.21</v>
      </c>
      <c r="X621" s="140">
        <f t="shared" si="9"/>
        <v>244.53000000000003</v>
      </c>
      <c r="Y621" s="141">
        <f>-ROUND(P621+SUM(R621:W621),2)</f>
        <v>-206874.17</v>
      </c>
      <c r="Z621" s="142">
        <f t="shared" si="402"/>
        <v>-206874</v>
      </c>
      <c r="AA621" s="143">
        <f t="shared" si="47"/>
        <v>0.17000000001280569</v>
      </c>
      <c r="AB621" s="133"/>
      <c r="AC621" s="144">
        <f t="shared" si="12"/>
        <v>1.183E-3</v>
      </c>
      <c r="AD621" s="145">
        <f t="shared" si="13"/>
        <v>0</v>
      </c>
      <c r="AE621" s="146" t="s">
        <v>403</v>
      </c>
      <c r="AF621" s="119"/>
    </row>
    <row r="622" spans="1:32" ht="12" customHeight="1">
      <c r="A622" s="150">
        <v>44739</v>
      </c>
      <c r="B622" s="151" t="s">
        <v>575</v>
      </c>
      <c r="C622" s="151"/>
      <c r="D622" s="151"/>
      <c r="E622" s="151"/>
      <c r="F622" s="151"/>
      <c r="G622" s="151"/>
      <c r="H622" s="122" t="s">
        <v>446</v>
      </c>
      <c r="I622" s="121" t="s">
        <v>469</v>
      </c>
      <c r="J622" s="122" t="s">
        <v>448</v>
      </c>
      <c r="K622" s="123">
        <v>50</v>
      </c>
      <c r="L622" s="124">
        <v>947</v>
      </c>
      <c r="M622" s="125">
        <f t="shared" si="38"/>
        <v>0</v>
      </c>
      <c r="N622" s="125">
        <f>L622-M622</f>
        <v>947</v>
      </c>
      <c r="O622" s="125"/>
      <c r="P622" s="125">
        <f t="shared" si="2"/>
        <v>47350</v>
      </c>
      <c r="Q622" s="126">
        <f t="shared" si="3"/>
        <v>0.9785999999999998</v>
      </c>
      <c r="R622" s="126">
        <f t="shared" si="74"/>
        <v>0</v>
      </c>
      <c r="S622" s="126">
        <f t="shared" si="35"/>
        <v>0.23</v>
      </c>
      <c r="T622" s="126">
        <f t="shared" si="523"/>
        <v>47.35</v>
      </c>
      <c r="U622" s="126">
        <v>0</v>
      </c>
      <c r="V622" s="126">
        <f t="shared" si="505"/>
        <v>1.3</v>
      </c>
      <c r="W622" s="126">
        <f t="shared" si="217"/>
        <v>0.05</v>
      </c>
      <c r="X622" s="126">
        <f t="shared" si="9"/>
        <v>48.929999999999993</v>
      </c>
      <c r="Y622" s="127">
        <f>ROUND(P622-SUM(R622:W622),2)</f>
        <v>47301.07</v>
      </c>
      <c r="Z622" s="128">
        <f t="shared" si="402"/>
        <v>47301</v>
      </c>
      <c r="AA622" s="129">
        <f t="shared" si="47"/>
        <v>-6.9999999999708962E-2</v>
      </c>
      <c r="AB622" s="120"/>
      <c r="AC622" s="130">
        <f t="shared" si="12"/>
        <v>1.0330000000000001E-3</v>
      </c>
      <c r="AD622" s="131">
        <f t="shared" si="13"/>
        <v>0</v>
      </c>
      <c r="AE622" s="132" t="s">
        <v>403</v>
      </c>
      <c r="AF622" s="119"/>
    </row>
    <row r="623" spans="1:32" ht="12" customHeight="1">
      <c r="A623" s="157">
        <v>44740</v>
      </c>
      <c r="B623" s="149" t="s">
        <v>611</v>
      </c>
      <c r="C623" s="149"/>
      <c r="D623" s="149"/>
      <c r="E623" s="149"/>
      <c r="F623" s="149"/>
      <c r="G623" s="149"/>
      <c r="H623" s="135" t="s">
        <v>453</v>
      </c>
      <c r="I623" s="134" t="s">
        <v>469</v>
      </c>
      <c r="J623" s="135" t="s">
        <v>471</v>
      </c>
      <c r="K623" s="136">
        <v>20</v>
      </c>
      <c r="L623" s="137">
        <v>820</v>
      </c>
      <c r="M623" s="138">
        <f t="shared" si="38"/>
        <v>0</v>
      </c>
      <c r="N623" s="138">
        <f t="shared" ref="N623:N624" si="534">L623+M623</f>
        <v>820</v>
      </c>
      <c r="O623" s="138"/>
      <c r="P623" s="138">
        <f t="shared" si="2"/>
        <v>16400</v>
      </c>
      <c r="Q623" s="139">
        <f t="shared" si="3"/>
        <v>0.97049999999999981</v>
      </c>
      <c r="R623" s="139">
        <f t="shared" si="74"/>
        <v>0</v>
      </c>
      <c r="S623" s="139">
        <f t="shared" si="35"/>
        <v>0.08</v>
      </c>
      <c r="T623" s="139">
        <f t="shared" si="523"/>
        <v>16.399999999999999</v>
      </c>
      <c r="U623" s="139">
        <f t="shared" ref="U623:U624" si="535">ROUND(P623*K$1812,2)</f>
        <v>2.46</v>
      </c>
      <c r="V623" s="139">
        <f t="shared" si="505"/>
        <v>0.45</v>
      </c>
      <c r="W623" s="139">
        <f t="shared" si="217"/>
        <v>0.02</v>
      </c>
      <c r="X623" s="140">
        <f t="shared" si="9"/>
        <v>19.409999999999997</v>
      </c>
      <c r="Y623" s="141">
        <f t="shared" ref="Y623:Y624" si="536">-ROUND(P623+SUM(R623:W623),2)</f>
        <v>-16419.41</v>
      </c>
      <c r="Z623" s="142">
        <f t="shared" si="402"/>
        <v>-16419</v>
      </c>
      <c r="AA623" s="143">
        <f t="shared" si="47"/>
        <v>0.40999999999985448</v>
      </c>
      <c r="AB623" s="133"/>
      <c r="AC623" s="144">
        <f t="shared" si="12"/>
        <v>1.1839999999999999E-3</v>
      </c>
      <c r="AD623" s="145">
        <f t="shared" si="13"/>
        <v>0</v>
      </c>
      <c r="AE623" s="146" t="s">
        <v>403</v>
      </c>
      <c r="AF623" s="119"/>
    </row>
    <row r="624" spans="1:32" ht="12" customHeight="1">
      <c r="A624" s="157">
        <v>44741</v>
      </c>
      <c r="B624" s="149" t="s">
        <v>575</v>
      </c>
      <c r="C624" s="149"/>
      <c r="D624" s="149"/>
      <c r="E624" s="149"/>
      <c r="F624" s="149"/>
      <c r="G624" s="149"/>
      <c r="H624" s="135" t="s">
        <v>453</v>
      </c>
      <c r="I624" s="134" t="s">
        <v>469</v>
      </c>
      <c r="J624" s="135" t="s">
        <v>448</v>
      </c>
      <c r="K624" s="136">
        <v>35</v>
      </c>
      <c r="L624" s="137">
        <v>951</v>
      </c>
      <c r="M624" s="138">
        <f t="shared" si="38"/>
        <v>0</v>
      </c>
      <c r="N624" s="138">
        <f t="shared" si="534"/>
        <v>951</v>
      </c>
      <c r="O624" s="138"/>
      <c r="P624" s="138">
        <f t="shared" si="2"/>
        <v>33285</v>
      </c>
      <c r="Q624" s="139">
        <f t="shared" si="3"/>
        <v>1.1257142857142859</v>
      </c>
      <c r="R624" s="139">
        <f t="shared" si="74"/>
        <v>0</v>
      </c>
      <c r="S624" s="139">
        <f t="shared" si="35"/>
        <v>0.17</v>
      </c>
      <c r="T624" s="139">
        <f t="shared" si="523"/>
        <v>33.29</v>
      </c>
      <c r="U624" s="139">
        <f t="shared" si="535"/>
        <v>4.99</v>
      </c>
      <c r="V624" s="139">
        <f t="shared" si="505"/>
        <v>0.92</v>
      </c>
      <c r="W624" s="139">
        <f t="shared" si="217"/>
        <v>0.03</v>
      </c>
      <c r="X624" s="140">
        <f t="shared" si="9"/>
        <v>39.400000000000006</v>
      </c>
      <c r="Y624" s="141">
        <f t="shared" si="536"/>
        <v>-33324.400000000001</v>
      </c>
      <c r="Z624" s="142">
        <f t="shared" si="402"/>
        <v>-33324</v>
      </c>
      <c r="AA624" s="143">
        <f t="shared" si="47"/>
        <v>0.40000000000145519</v>
      </c>
      <c r="AB624" s="133"/>
      <c r="AC624" s="144">
        <f t="shared" si="12"/>
        <v>1.1839999999999999E-3</v>
      </c>
      <c r="AD624" s="145">
        <f t="shared" si="13"/>
        <v>0</v>
      </c>
      <c r="AE624" s="146" t="s">
        <v>403</v>
      </c>
      <c r="AF624" s="119"/>
    </row>
    <row r="625" spans="1:32" ht="12" customHeight="1">
      <c r="A625" s="150">
        <v>44743</v>
      </c>
      <c r="B625" s="151" t="s">
        <v>575</v>
      </c>
      <c r="C625" s="151"/>
      <c r="D625" s="151"/>
      <c r="E625" s="151"/>
      <c r="F625" s="151"/>
      <c r="G625" s="151"/>
      <c r="H625" s="122" t="s">
        <v>446</v>
      </c>
      <c r="I625" s="121" t="s">
        <v>469</v>
      </c>
      <c r="J625" s="122" t="s">
        <v>448</v>
      </c>
      <c r="K625" s="123">
        <v>38</v>
      </c>
      <c r="L625" s="124">
        <v>946.5</v>
      </c>
      <c r="M625" s="125">
        <f t="shared" si="38"/>
        <v>0</v>
      </c>
      <c r="N625" s="125">
        <f>L625-M625</f>
        <v>946.5</v>
      </c>
      <c r="O625" s="125"/>
      <c r="P625" s="125">
        <f t="shared" si="2"/>
        <v>35967</v>
      </c>
      <c r="Q625" s="126">
        <f t="shared" si="3"/>
        <v>0.97842105263157897</v>
      </c>
      <c r="R625" s="126">
        <f t="shared" si="74"/>
        <v>0</v>
      </c>
      <c r="S625" s="126">
        <f t="shared" si="35"/>
        <v>0.18</v>
      </c>
      <c r="T625" s="126">
        <f t="shared" si="523"/>
        <v>35.97</v>
      </c>
      <c r="U625" s="126">
        <v>0</v>
      </c>
      <c r="V625" s="126">
        <f t="shared" si="505"/>
        <v>0.99</v>
      </c>
      <c r="W625" s="126">
        <f t="shared" si="217"/>
        <v>0.04</v>
      </c>
      <c r="X625" s="126">
        <f t="shared" si="9"/>
        <v>37.18</v>
      </c>
      <c r="Y625" s="127">
        <f>ROUND(P625-SUM(R625:W625),2)</f>
        <v>35929.82</v>
      </c>
      <c r="Z625" s="128">
        <f t="shared" si="402"/>
        <v>35930</v>
      </c>
      <c r="AA625" s="129">
        <f t="shared" si="47"/>
        <v>0.18000000000029104</v>
      </c>
      <c r="AB625" s="120"/>
      <c r="AC625" s="130">
        <f t="shared" si="12"/>
        <v>1.034E-3</v>
      </c>
      <c r="AD625" s="131">
        <f t="shared" si="13"/>
        <v>0</v>
      </c>
      <c r="AE625" s="132" t="s">
        <v>403</v>
      </c>
      <c r="AF625" s="119"/>
    </row>
    <row r="626" spans="1:32" ht="12" customHeight="1">
      <c r="A626" s="157">
        <v>44746</v>
      </c>
      <c r="B626" s="149" t="s">
        <v>575</v>
      </c>
      <c r="C626" s="149"/>
      <c r="D626" s="149"/>
      <c r="E626" s="149"/>
      <c r="F626" s="149"/>
      <c r="G626" s="149"/>
      <c r="H626" s="135" t="s">
        <v>453</v>
      </c>
      <c r="I626" s="134" t="s">
        <v>469</v>
      </c>
      <c r="J626" s="135" t="s">
        <v>448</v>
      </c>
      <c r="K626" s="136">
        <v>25</v>
      </c>
      <c r="L626" s="137">
        <v>951.25</v>
      </c>
      <c r="M626" s="138">
        <f t="shared" si="38"/>
        <v>0</v>
      </c>
      <c r="N626" s="138">
        <f>L626+M626</f>
        <v>951.25</v>
      </c>
      <c r="O626" s="138"/>
      <c r="P626" s="138">
        <f t="shared" si="2"/>
        <v>23781.25</v>
      </c>
      <c r="Q626" s="139">
        <f t="shared" si="3"/>
        <v>1.1255999999999999</v>
      </c>
      <c r="R626" s="139">
        <f t="shared" si="74"/>
        <v>0</v>
      </c>
      <c r="S626" s="139">
        <f t="shared" si="35"/>
        <v>0.12</v>
      </c>
      <c r="T626" s="139">
        <f t="shared" si="523"/>
        <v>23.78</v>
      </c>
      <c r="U626" s="139">
        <f>ROUND(P626*K$1812,2)</f>
        <v>3.57</v>
      </c>
      <c r="V626" s="139">
        <f t="shared" si="505"/>
        <v>0.65</v>
      </c>
      <c r="W626" s="139">
        <f t="shared" si="217"/>
        <v>0.02</v>
      </c>
      <c r="X626" s="140">
        <f t="shared" si="9"/>
        <v>28.14</v>
      </c>
      <c r="Y626" s="141">
        <f>-ROUND(P626+SUM(R626:W626),2)</f>
        <v>-23809.39</v>
      </c>
      <c r="Z626" s="142">
        <f t="shared" si="402"/>
        <v>-23809</v>
      </c>
      <c r="AA626" s="143">
        <f t="shared" si="47"/>
        <v>0.38999999999941792</v>
      </c>
      <c r="AB626" s="133"/>
      <c r="AC626" s="144">
        <f t="shared" si="12"/>
        <v>1.183E-3</v>
      </c>
      <c r="AD626" s="145">
        <f t="shared" si="13"/>
        <v>0</v>
      </c>
      <c r="AE626" s="146" t="s">
        <v>403</v>
      </c>
      <c r="AF626" s="119"/>
    </row>
    <row r="627" spans="1:32" ht="12" customHeight="1">
      <c r="A627" s="150">
        <v>44747</v>
      </c>
      <c r="B627" s="151" t="s">
        <v>575</v>
      </c>
      <c r="C627" s="151"/>
      <c r="D627" s="151"/>
      <c r="E627" s="151"/>
      <c r="F627" s="151"/>
      <c r="G627" s="151"/>
      <c r="H627" s="122" t="s">
        <v>446</v>
      </c>
      <c r="I627" s="121" t="s">
        <v>469</v>
      </c>
      <c r="J627" s="122" t="s">
        <v>448</v>
      </c>
      <c r="K627" s="123">
        <v>25</v>
      </c>
      <c r="L627" s="124">
        <v>955</v>
      </c>
      <c r="M627" s="125">
        <f t="shared" si="38"/>
        <v>0</v>
      </c>
      <c r="N627" s="125">
        <f t="shared" ref="N627:N628" si="537">L627-M627</f>
        <v>955</v>
      </c>
      <c r="O627" s="125"/>
      <c r="P627" s="125">
        <f t="shared" si="2"/>
        <v>23875</v>
      </c>
      <c r="Q627" s="126">
        <f t="shared" si="3"/>
        <v>0.98719999999999997</v>
      </c>
      <c r="R627" s="126">
        <f t="shared" si="74"/>
        <v>0</v>
      </c>
      <c r="S627" s="126">
        <f t="shared" si="35"/>
        <v>0.12</v>
      </c>
      <c r="T627" s="126">
        <f t="shared" si="523"/>
        <v>23.88</v>
      </c>
      <c r="U627" s="126">
        <v>0</v>
      </c>
      <c r="V627" s="126">
        <f t="shared" si="505"/>
        <v>0.66</v>
      </c>
      <c r="W627" s="126">
        <f t="shared" si="217"/>
        <v>0.02</v>
      </c>
      <c r="X627" s="126">
        <f t="shared" si="9"/>
        <v>24.68</v>
      </c>
      <c r="Y627" s="127">
        <f t="shared" ref="Y627:Y628" si="538">ROUND(P627-SUM(R627:W627),2)</f>
        <v>23850.32</v>
      </c>
      <c r="Z627" s="128">
        <f t="shared" si="402"/>
        <v>23850</v>
      </c>
      <c r="AA627" s="129">
        <f t="shared" si="47"/>
        <v>-0.31999999999970896</v>
      </c>
      <c r="AB627" s="120"/>
      <c r="AC627" s="130">
        <f t="shared" si="12"/>
        <v>1.034E-3</v>
      </c>
      <c r="AD627" s="131">
        <f t="shared" si="13"/>
        <v>0</v>
      </c>
      <c r="AE627" s="132" t="s">
        <v>403</v>
      </c>
      <c r="AF627" s="119"/>
    </row>
    <row r="628" spans="1:32" ht="12" customHeight="1">
      <c r="A628" s="150">
        <v>44748</v>
      </c>
      <c r="B628" s="151" t="s">
        <v>575</v>
      </c>
      <c r="C628" s="151"/>
      <c r="D628" s="151"/>
      <c r="E628" s="151"/>
      <c r="F628" s="151"/>
      <c r="G628" s="151"/>
      <c r="H628" s="122" t="s">
        <v>446</v>
      </c>
      <c r="I628" s="121" t="s">
        <v>469</v>
      </c>
      <c r="J628" s="122" t="s">
        <v>448</v>
      </c>
      <c r="K628" s="123">
        <v>100</v>
      </c>
      <c r="L628" s="124">
        <v>961.5</v>
      </c>
      <c r="M628" s="125">
        <f t="shared" si="38"/>
        <v>0</v>
      </c>
      <c r="N628" s="125">
        <f t="shared" si="537"/>
        <v>961.5</v>
      </c>
      <c r="O628" s="125"/>
      <c r="P628" s="125">
        <f t="shared" si="2"/>
        <v>96150</v>
      </c>
      <c r="Q628" s="126">
        <f t="shared" si="3"/>
        <v>0.99370000000000003</v>
      </c>
      <c r="R628" s="126">
        <f t="shared" si="74"/>
        <v>0</v>
      </c>
      <c r="S628" s="126">
        <f t="shared" si="35"/>
        <v>0.48</v>
      </c>
      <c r="T628" s="126">
        <f t="shared" si="523"/>
        <v>96.15</v>
      </c>
      <c r="U628" s="126">
        <v>0</v>
      </c>
      <c r="V628" s="126">
        <f t="shared" si="505"/>
        <v>2.64</v>
      </c>
      <c r="W628" s="126">
        <f t="shared" si="217"/>
        <v>0.1</v>
      </c>
      <c r="X628" s="126">
        <f t="shared" si="9"/>
        <v>99.37</v>
      </c>
      <c r="Y628" s="127">
        <f t="shared" si="538"/>
        <v>96050.63</v>
      </c>
      <c r="Z628" s="128">
        <f t="shared" si="402"/>
        <v>96051</v>
      </c>
      <c r="AA628" s="129">
        <f t="shared" si="47"/>
        <v>0.36999999999534339</v>
      </c>
      <c r="AB628" s="120"/>
      <c r="AC628" s="130">
        <f t="shared" si="12"/>
        <v>1.0330000000000001E-3</v>
      </c>
      <c r="AD628" s="131">
        <f t="shared" si="13"/>
        <v>0</v>
      </c>
      <c r="AE628" s="132" t="s">
        <v>403</v>
      </c>
      <c r="AF628" s="119"/>
    </row>
    <row r="629" spans="1:32" ht="12" customHeight="1">
      <c r="A629" s="157">
        <v>44749</v>
      </c>
      <c r="B629" s="149" t="s">
        <v>611</v>
      </c>
      <c r="C629" s="149"/>
      <c r="D629" s="149"/>
      <c r="E629" s="149"/>
      <c r="F629" s="149"/>
      <c r="G629" s="149"/>
      <c r="H629" s="135" t="s">
        <v>453</v>
      </c>
      <c r="I629" s="134" t="s">
        <v>469</v>
      </c>
      <c r="J629" s="135" t="s">
        <v>471</v>
      </c>
      <c r="K629" s="136">
        <v>20</v>
      </c>
      <c r="L629" s="137">
        <v>768</v>
      </c>
      <c r="M629" s="138">
        <f t="shared" si="38"/>
        <v>0</v>
      </c>
      <c r="N629" s="138">
        <f>L629+M629</f>
        <v>768</v>
      </c>
      <c r="O629" s="138"/>
      <c r="P629" s="138">
        <f t="shared" si="2"/>
        <v>15360</v>
      </c>
      <c r="Q629" s="139">
        <f t="shared" si="3"/>
        <v>0.90900000000000003</v>
      </c>
      <c r="R629" s="139">
        <f t="shared" si="74"/>
        <v>0</v>
      </c>
      <c r="S629" s="139">
        <f t="shared" si="35"/>
        <v>0.08</v>
      </c>
      <c r="T629" s="139">
        <f t="shared" si="523"/>
        <v>15.36</v>
      </c>
      <c r="U629" s="139">
        <f>ROUND(P629*K$1812,2)</f>
        <v>2.2999999999999998</v>
      </c>
      <c r="V629" s="139">
        <f t="shared" si="505"/>
        <v>0.42</v>
      </c>
      <c r="W629" s="139">
        <f t="shared" si="217"/>
        <v>0.02</v>
      </c>
      <c r="X629" s="140">
        <f t="shared" si="9"/>
        <v>18.18</v>
      </c>
      <c r="Y629" s="141">
        <f>-ROUND(P629+SUM(R629:W629),2)</f>
        <v>-15378.18</v>
      </c>
      <c r="Z629" s="142">
        <f t="shared" si="402"/>
        <v>-15378</v>
      </c>
      <c r="AA629" s="143">
        <f t="shared" si="47"/>
        <v>0.18000000000029104</v>
      </c>
      <c r="AB629" s="133"/>
      <c r="AC629" s="144">
        <f t="shared" si="12"/>
        <v>1.1839999999999999E-3</v>
      </c>
      <c r="AD629" s="145">
        <f t="shared" si="13"/>
        <v>0</v>
      </c>
      <c r="AE629" s="146" t="s">
        <v>403</v>
      </c>
      <c r="AF629" s="119"/>
    </row>
    <row r="630" spans="1:32" ht="12" customHeight="1">
      <c r="A630" s="150">
        <v>44749</v>
      </c>
      <c r="B630" s="151" t="s">
        <v>307</v>
      </c>
      <c r="C630" s="151"/>
      <c r="D630" s="151"/>
      <c r="E630" s="151"/>
      <c r="F630" s="151"/>
      <c r="G630" s="151"/>
      <c r="H630" s="122" t="s">
        <v>446</v>
      </c>
      <c r="I630" s="121" t="s">
        <v>469</v>
      </c>
      <c r="J630" s="122" t="s">
        <v>471</v>
      </c>
      <c r="K630" s="123">
        <v>20</v>
      </c>
      <c r="L630" s="124">
        <v>809.04</v>
      </c>
      <c r="M630" s="125">
        <f t="shared" si="38"/>
        <v>0</v>
      </c>
      <c r="N630" s="125">
        <f>L630-M630</f>
        <v>809.04</v>
      </c>
      <c r="O630" s="125"/>
      <c r="P630" s="125">
        <f t="shared" si="2"/>
        <v>16180.8</v>
      </c>
      <c r="Q630" s="126">
        <f t="shared" si="3"/>
        <v>0.83599999999999997</v>
      </c>
      <c r="R630" s="126">
        <f t="shared" si="74"/>
        <v>0</v>
      </c>
      <c r="S630" s="126">
        <f t="shared" si="35"/>
        <v>0.08</v>
      </c>
      <c r="T630" s="126">
        <f t="shared" si="523"/>
        <v>16.18</v>
      </c>
      <c r="U630" s="126">
        <v>0</v>
      </c>
      <c r="V630" s="126">
        <f t="shared" si="505"/>
        <v>0.44</v>
      </c>
      <c r="W630" s="126">
        <f t="shared" si="217"/>
        <v>0.02</v>
      </c>
      <c r="X630" s="126">
        <f t="shared" si="9"/>
        <v>16.72</v>
      </c>
      <c r="Y630" s="127">
        <f>ROUND(P630-SUM(R630:W630),2)</f>
        <v>16164.08</v>
      </c>
      <c r="Z630" s="128">
        <f t="shared" si="402"/>
        <v>16164</v>
      </c>
      <c r="AA630" s="129">
        <f t="shared" si="47"/>
        <v>-7.999999999992724E-2</v>
      </c>
      <c r="AB630" s="120"/>
      <c r="AC630" s="130">
        <f t="shared" si="12"/>
        <v>1.0330000000000001E-3</v>
      </c>
      <c r="AD630" s="131">
        <f t="shared" si="13"/>
        <v>0</v>
      </c>
      <c r="AE630" s="132" t="s">
        <v>403</v>
      </c>
      <c r="AF630" s="119"/>
    </row>
    <row r="631" spans="1:32" ht="12" customHeight="1">
      <c r="A631" s="157">
        <v>44749</v>
      </c>
      <c r="B631" s="149" t="s">
        <v>575</v>
      </c>
      <c r="C631" s="149"/>
      <c r="D631" s="149"/>
      <c r="E631" s="149"/>
      <c r="F631" s="149"/>
      <c r="G631" s="149"/>
      <c r="H631" s="135" t="s">
        <v>453</v>
      </c>
      <c r="I631" s="134" t="s">
        <v>469</v>
      </c>
      <c r="J631" s="135" t="s">
        <v>448</v>
      </c>
      <c r="K631" s="136">
        <v>50</v>
      </c>
      <c r="L631" s="137">
        <v>956.5</v>
      </c>
      <c r="M631" s="138">
        <f t="shared" si="38"/>
        <v>0</v>
      </c>
      <c r="N631" s="138">
        <f t="shared" ref="N631:N633" si="539">L631+M631</f>
        <v>956.5</v>
      </c>
      <c r="O631" s="138"/>
      <c r="P631" s="138">
        <f t="shared" si="2"/>
        <v>47825</v>
      </c>
      <c r="Q631" s="139">
        <f t="shared" si="3"/>
        <v>1.1322000000000001</v>
      </c>
      <c r="R631" s="139">
        <f t="shared" si="74"/>
        <v>0</v>
      </c>
      <c r="S631" s="139">
        <f t="shared" si="35"/>
        <v>0.24</v>
      </c>
      <c r="T631" s="139">
        <f t="shared" si="523"/>
        <v>47.83</v>
      </c>
      <c r="U631" s="139">
        <f t="shared" ref="U631:U633" si="540">ROUND(P631*K$1812,2)</f>
        <v>7.17</v>
      </c>
      <c r="V631" s="139">
        <f t="shared" si="505"/>
        <v>1.32</v>
      </c>
      <c r="W631" s="139">
        <f t="shared" si="217"/>
        <v>0.05</v>
      </c>
      <c r="X631" s="140">
        <f t="shared" si="9"/>
        <v>56.61</v>
      </c>
      <c r="Y631" s="141">
        <f t="shared" ref="Y631:Y633" si="541">-ROUND(P631+SUM(R631:W631),2)</f>
        <v>-47881.61</v>
      </c>
      <c r="Z631" s="142">
        <f t="shared" si="402"/>
        <v>-47882</v>
      </c>
      <c r="AA631" s="143">
        <f t="shared" si="47"/>
        <v>-0.38999999999941792</v>
      </c>
      <c r="AB631" s="133"/>
      <c r="AC631" s="144">
        <f t="shared" si="12"/>
        <v>1.1839999999999999E-3</v>
      </c>
      <c r="AD631" s="145">
        <f t="shared" si="13"/>
        <v>0</v>
      </c>
      <c r="AE631" s="146" t="s">
        <v>403</v>
      </c>
      <c r="AF631" s="119"/>
    </row>
    <row r="632" spans="1:32" ht="12" customHeight="1">
      <c r="A632" s="157">
        <v>44750</v>
      </c>
      <c r="B632" s="149" t="s">
        <v>575</v>
      </c>
      <c r="C632" s="149"/>
      <c r="D632" s="149"/>
      <c r="E632" s="149"/>
      <c r="F632" s="149"/>
      <c r="G632" s="149"/>
      <c r="H632" s="135" t="s">
        <v>453</v>
      </c>
      <c r="I632" s="134" t="s">
        <v>469</v>
      </c>
      <c r="J632" s="135" t="s">
        <v>448</v>
      </c>
      <c r="K632" s="136">
        <v>50</v>
      </c>
      <c r="L632" s="137">
        <v>951.34</v>
      </c>
      <c r="M632" s="138">
        <f t="shared" si="38"/>
        <v>0</v>
      </c>
      <c r="N632" s="138">
        <f t="shared" si="539"/>
        <v>951.34</v>
      </c>
      <c r="O632" s="138"/>
      <c r="P632" s="138">
        <f t="shared" si="2"/>
        <v>47567</v>
      </c>
      <c r="Q632" s="139">
        <f t="shared" si="3"/>
        <v>1.1262000000000001</v>
      </c>
      <c r="R632" s="139">
        <f t="shared" si="74"/>
        <v>0</v>
      </c>
      <c r="S632" s="139">
        <f t="shared" si="35"/>
        <v>0.24</v>
      </c>
      <c r="T632" s="139">
        <f t="shared" si="523"/>
        <v>47.57</v>
      </c>
      <c r="U632" s="139">
        <f t="shared" si="540"/>
        <v>7.14</v>
      </c>
      <c r="V632" s="139">
        <f t="shared" si="505"/>
        <v>1.31</v>
      </c>
      <c r="W632" s="139">
        <f t="shared" si="217"/>
        <v>0.05</v>
      </c>
      <c r="X632" s="140">
        <f t="shared" si="9"/>
        <v>56.31</v>
      </c>
      <c r="Y632" s="141">
        <f t="shared" si="541"/>
        <v>-47623.31</v>
      </c>
      <c r="Z632" s="142">
        <f t="shared" si="402"/>
        <v>-47623</v>
      </c>
      <c r="AA632" s="143">
        <f t="shared" si="47"/>
        <v>0.30999999999767169</v>
      </c>
      <c r="AB632" s="133"/>
      <c r="AC632" s="144">
        <f t="shared" si="12"/>
        <v>1.1839999999999999E-3</v>
      </c>
      <c r="AD632" s="145">
        <f t="shared" si="13"/>
        <v>0</v>
      </c>
      <c r="AE632" s="146" t="s">
        <v>403</v>
      </c>
      <c r="AF632" s="119"/>
    </row>
    <row r="633" spans="1:32" ht="12" customHeight="1">
      <c r="A633" s="157">
        <v>44750</v>
      </c>
      <c r="B633" s="149" t="s">
        <v>611</v>
      </c>
      <c r="C633" s="149"/>
      <c r="D633" s="149"/>
      <c r="E633" s="149"/>
      <c r="F633" s="149"/>
      <c r="G633" s="149"/>
      <c r="H633" s="135" t="s">
        <v>453</v>
      </c>
      <c r="I633" s="134" t="s">
        <v>469</v>
      </c>
      <c r="J633" s="135" t="s">
        <v>471</v>
      </c>
      <c r="K633" s="136">
        <v>20</v>
      </c>
      <c r="L633" s="137">
        <v>770</v>
      </c>
      <c r="M633" s="138">
        <f t="shared" si="38"/>
        <v>0</v>
      </c>
      <c r="N633" s="138">
        <f t="shared" si="539"/>
        <v>770</v>
      </c>
      <c r="O633" s="138"/>
      <c r="P633" s="138">
        <f t="shared" si="2"/>
        <v>15400</v>
      </c>
      <c r="Q633" s="139">
        <f t="shared" si="3"/>
        <v>0.91149999999999998</v>
      </c>
      <c r="R633" s="139">
        <f t="shared" si="74"/>
        <v>0</v>
      </c>
      <c r="S633" s="139">
        <f t="shared" si="35"/>
        <v>0.08</v>
      </c>
      <c r="T633" s="139">
        <f t="shared" si="523"/>
        <v>15.4</v>
      </c>
      <c r="U633" s="139">
        <f t="shared" si="540"/>
        <v>2.31</v>
      </c>
      <c r="V633" s="139">
        <f t="shared" si="505"/>
        <v>0.42</v>
      </c>
      <c r="W633" s="139">
        <f t="shared" si="217"/>
        <v>0.02</v>
      </c>
      <c r="X633" s="140">
        <f t="shared" si="9"/>
        <v>18.23</v>
      </c>
      <c r="Y633" s="141">
        <f t="shared" si="541"/>
        <v>-15418.23</v>
      </c>
      <c r="Z633" s="142">
        <f t="shared" si="402"/>
        <v>-15418</v>
      </c>
      <c r="AA633" s="143">
        <f t="shared" si="47"/>
        <v>0.22999999999956344</v>
      </c>
      <c r="AB633" s="133"/>
      <c r="AC633" s="144">
        <f t="shared" si="12"/>
        <v>1.1839999999999999E-3</v>
      </c>
      <c r="AD633" s="145">
        <f t="shared" si="13"/>
        <v>0</v>
      </c>
      <c r="AE633" s="146" t="s">
        <v>403</v>
      </c>
      <c r="AF633" s="119"/>
    </row>
    <row r="634" spans="1:32" ht="12" customHeight="1">
      <c r="A634" s="150">
        <v>44750</v>
      </c>
      <c r="B634" s="151" t="s">
        <v>307</v>
      </c>
      <c r="C634" s="151"/>
      <c r="D634" s="151"/>
      <c r="E634" s="151"/>
      <c r="F634" s="151"/>
      <c r="G634" s="151"/>
      <c r="H634" s="122" t="s">
        <v>446</v>
      </c>
      <c r="I634" s="121" t="s">
        <v>469</v>
      </c>
      <c r="J634" s="122" t="s">
        <v>471</v>
      </c>
      <c r="K634" s="123">
        <v>20</v>
      </c>
      <c r="L634" s="124">
        <v>820</v>
      </c>
      <c r="M634" s="125">
        <f t="shared" si="38"/>
        <v>0</v>
      </c>
      <c r="N634" s="125">
        <f t="shared" ref="N634:N635" si="542">L634-M634</f>
        <v>820</v>
      </c>
      <c r="O634" s="125"/>
      <c r="P634" s="125">
        <f t="shared" si="2"/>
        <v>16400</v>
      </c>
      <c r="Q634" s="126">
        <f t="shared" si="3"/>
        <v>0.84749999999999981</v>
      </c>
      <c r="R634" s="126">
        <f t="shared" si="74"/>
        <v>0</v>
      </c>
      <c r="S634" s="126">
        <f t="shared" si="35"/>
        <v>0.08</v>
      </c>
      <c r="T634" s="126">
        <f t="shared" si="523"/>
        <v>16.399999999999999</v>
      </c>
      <c r="U634" s="126">
        <v>0</v>
      </c>
      <c r="V634" s="126">
        <f t="shared" si="505"/>
        <v>0.45</v>
      </c>
      <c r="W634" s="126">
        <f t="shared" si="217"/>
        <v>0.02</v>
      </c>
      <c r="X634" s="126">
        <f t="shared" si="9"/>
        <v>16.949999999999996</v>
      </c>
      <c r="Y634" s="127">
        <f t="shared" ref="Y634:Y635" si="543">ROUND(P634-SUM(R634:W634),2)</f>
        <v>16383.05</v>
      </c>
      <c r="Z634" s="128">
        <f t="shared" si="402"/>
        <v>16383</v>
      </c>
      <c r="AA634" s="129">
        <f t="shared" si="47"/>
        <v>-4.9999999999272404E-2</v>
      </c>
      <c r="AB634" s="120"/>
      <c r="AC634" s="130">
        <f t="shared" si="12"/>
        <v>1.034E-3</v>
      </c>
      <c r="AD634" s="131">
        <f t="shared" si="13"/>
        <v>0</v>
      </c>
      <c r="AE634" s="132" t="s">
        <v>403</v>
      </c>
      <c r="AF634" s="119"/>
    </row>
    <row r="635" spans="1:32" ht="12" customHeight="1">
      <c r="A635" s="150">
        <v>44753</v>
      </c>
      <c r="B635" s="151" t="s">
        <v>307</v>
      </c>
      <c r="C635" s="151"/>
      <c r="D635" s="151"/>
      <c r="E635" s="151"/>
      <c r="F635" s="151"/>
      <c r="G635" s="151"/>
      <c r="H635" s="122" t="s">
        <v>446</v>
      </c>
      <c r="I635" s="121" t="s">
        <v>469</v>
      </c>
      <c r="J635" s="122" t="s">
        <v>471</v>
      </c>
      <c r="K635" s="123">
        <v>41</v>
      </c>
      <c r="L635" s="124">
        <v>858.04880000000003</v>
      </c>
      <c r="M635" s="125">
        <f t="shared" si="38"/>
        <v>0</v>
      </c>
      <c r="N635" s="125">
        <f t="shared" si="542"/>
        <v>858.04880000000003</v>
      </c>
      <c r="O635" s="125"/>
      <c r="P635" s="125">
        <f t="shared" si="2"/>
        <v>35180</v>
      </c>
      <c r="Q635" s="126">
        <f t="shared" si="3"/>
        <v>0.88682926829268294</v>
      </c>
      <c r="R635" s="126">
        <f t="shared" si="74"/>
        <v>0</v>
      </c>
      <c r="S635" s="126">
        <f t="shared" si="35"/>
        <v>0.17</v>
      </c>
      <c r="T635" s="126">
        <f t="shared" si="523"/>
        <v>35.18</v>
      </c>
      <c r="U635" s="126">
        <v>0</v>
      </c>
      <c r="V635" s="126">
        <f t="shared" si="505"/>
        <v>0.97</v>
      </c>
      <c r="W635" s="126">
        <f t="shared" si="217"/>
        <v>0.04</v>
      </c>
      <c r="X635" s="126">
        <f t="shared" si="9"/>
        <v>36.36</v>
      </c>
      <c r="Y635" s="127">
        <f t="shared" si="543"/>
        <v>35143.64</v>
      </c>
      <c r="Z635" s="128">
        <f t="shared" si="402"/>
        <v>35144</v>
      </c>
      <c r="AA635" s="129">
        <f t="shared" si="47"/>
        <v>0.36000000000058208</v>
      </c>
      <c r="AB635" s="120"/>
      <c r="AC635" s="130">
        <f t="shared" si="12"/>
        <v>1.034E-3</v>
      </c>
      <c r="AD635" s="131">
        <f t="shared" si="13"/>
        <v>0</v>
      </c>
      <c r="AE635" s="132" t="s">
        <v>403</v>
      </c>
      <c r="AF635" s="119"/>
    </row>
    <row r="636" spans="1:32" ht="12" customHeight="1">
      <c r="A636" s="157">
        <v>44753</v>
      </c>
      <c r="B636" s="149" t="s">
        <v>611</v>
      </c>
      <c r="C636" s="149"/>
      <c r="D636" s="149"/>
      <c r="E636" s="149"/>
      <c r="F636" s="149"/>
      <c r="G636" s="149"/>
      <c r="H636" s="135" t="s">
        <v>453</v>
      </c>
      <c r="I636" s="134" t="s">
        <v>469</v>
      </c>
      <c r="J636" s="135" t="s">
        <v>471</v>
      </c>
      <c r="K636" s="136">
        <v>10</v>
      </c>
      <c r="L636" s="137">
        <v>760</v>
      </c>
      <c r="M636" s="138">
        <f t="shared" si="38"/>
        <v>0</v>
      </c>
      <c r="N636" s="138">
        <f>L636+M636</f>
        <v>760</v>
      </c>
      <c r="O636" s="138"/>
      <c r="P636" s="138">
        <f t="shared" si="2"/>
        <v>7600</v>
      </c>
      <c r="Q636" s="139">
        <f t="shared" si="3"/>
        <v>0.9</v>
      </c>
      <c r="R636" s="139">
        <f t="shared" si="74"/>
        <v>0</v>
      </c>
      <c r="S636" s="139">
        <f t="shared" si="35"/>
        <v>0.04</v>
      </c>
      <c r="T636" s="139">
        <f t="shared" si="523"/>
        <v>7.6</v>
      </c>
      <c r="U636" s="139">
        <f>ROUND(P636*K$1812,2)</f>
        <v>1.1399999999999999</v>
      </c>
      <c r="V636" s="139">
        <f t="shared" si="505"/>
        <v>0.21</v>
      </c>
      <c r="W636" s="139">
        <f t="shared" si="217"/>
        <v>0.01</v>
      </c>
      <c r="X636" s="140">
        <f t="shared" si="9"/>
        <v>9</v>
      </c>
      <c r="Y636" s="141">
        <f>-ROUND(P636+SUM(R636:W636),2)</f>
        <v>-7609</v>
      </c>
      <c r="Z636" s="142">
        <f t="shared" si="402"/>
        <v>-7609</v>
      </c>
      <c r="AA636" s="143">
        <f t="shared" si="47"/>
        <v>0</v>
      </c>
      <c r="AB636" s="133"/>
      <c r="AC636" s="144">
        <f t="shared" si="12"/>
        <v>1.1839999999999999E-3</v>
      </c>
      <c r="AD636" s="145">
        <f t="shared" si="13"/>
        <v>0</v>
      </c>
      <c r="AE636" s="146" t="s">
        <v>403</v>
      </c>
      <c r="AF636" s="119"/>
    </row>
    <row r="637" spans="1:32" ht="12" customHeight="1">
      <c r="A637" s="150">
        <v>44753</v>
      </c>
      <c r="B637" s="151" t="s">
        <v>575</v>
      </c>
      <c r="C637" s="151"/>
      <c r="D637" s="151"/>
      <c r="E637" s="151"/>
      <c r="F637" s="151"/>
      <c r="G637" s="151"/>
      <c r="H637" s="122" t="s">
        <v>446</v>
      </c>
      <c r="I637" s="121" t="s">
        <v>469</v>
      </c>
      <c r="J637" s="122" t="s">
        <v>448</v>
      </c>
      <c r="K637" s="123">
        <v>140</v>
      </c>
      <c r="L637" s="124">
        <v>966.17639999999994</v>
      </c>
      <c r="M637" s="125">
        <f t="shared" si="38"/>
        <v>0</v>
      </c>
      <c r="N637" s="125">
        <f>L637-M637</f>
        <v>966.17639999999994</v>
      </c>
      <c r="O637" s="125"/>
      <c r="P637" s="125">
        <f t="shared" si="2"/>
        <v>135264.70000000001</v>
      </c>
      <c r="Q637" s="126">
        <f t="shared" si="3"/>
        <v>0.99849999999999972</v>
      </c>
      <c r="R637" s="126">
        <f t="shared" si="74"/>
        <v>0</v>
      </c>
      <c r="S637" s="126">
        <f t="shared" si="35"/>
        <v>0.67</v>
      </c>
      <c r="T637" s="126">
        <f t="shared" si="523"/>
        <v>135.26</v>
      </c>
      <c r="U637" s="126">
        <v>0</v>
      </c>
      <c r="V637" s="126">
        <f t="shared" si="505"/>
        <v>3.72</v>
      </c>
      <c r="W637" s="126">
        <f t="shared" si="217"/>
        <v>0.14000000000000001</v>
      </c>
      <c r="X637" s="126">
        <f t="shared" si="9"/>
        <v>139.78999999999996</v>
      </c>
      <c r="Y637" s="127">
        <f>ROUND(P637-SUM(R637:W637),2)</f>
        <v>135124.91</v>
      </c>
      <c r="Z637" s="128">
        <f t="shared" si="402"/>
        <v>135125</v>
      </c>
      <c r="AA637" s="129">
        <f t="shared" si="47"/>
        <v>8.999999999650754E-2</v>
      </c>
      <c r="AB637" s="120"/>
      <c r="AC637" s="130">
        <f t="shared" si="12"/>
        <v>1.0330000000000001E-3</v>
      </c>
      <c r="AD637" s="131">
        <f t="shared" si="13"/>
        <v>0</v>
      </c>
      <c r="AE637" s="132" t="s">
        <v>403</v>
      </c>
      <c r="AF637" s="119"/>
    </row>
    <row r="638" spans="1:32" ht="12" customHeight="1">
      <c r="A638" s="157">
        <v>44754</v>
      </c>
      <c r="B638" s="149" t="s">
        <v>575</v>
      </c>
      <c r="C638" s="149"/>
      <c r="D638" s="149"/>
      <c r="E638" s="149"/>
      <c r="F638" s="149"/>
      <c r="G638" s="149"/>
      <c r="H638" s="135" t="s">
        <v>453</v>
      </c>
      <c r="I638" s="134" t="s">
        <v>469</v>
      </c>
      <c r="J638" s="135" t="s">
        <v>448</v>
      </c>
      <c r="K638" s="136">
        <v>140</v>
      </c>
      <c r="L638" s="137">
        <v>969.92857142857144</v>
      </c>
      <c r="M638" s="138">
        <f t="shared" si="38"/>
        <v>0</v>
      </c>
      <c r="N638" s="138">
        <f>L638+M638</f>
        <v>969.92857142857144</v>
      </c>
      <c r="O638" s="138"/>
      <c r="P638" s="138">
        <f t="shared" si="2"/>
        <v>135790</v>
      </c>
      <c r="Q638" s="139">
        <f t="shared" si="3"/>
        <v>0.10499999999999995</v>
      </c>
      <c r="R638" s="139">
        <f t="shared" si="74"/>
        <v>0</v>
      </c>
      <c r="S638" s="139">
        <f t="shared" si="35"/>
        <v>0.67</v>
      </c>
      <c r="T638" s="139">
        <f>ROUND(P638*K$1806,2)-135</f>
        <v>0.78999999999999204</v>
      </c>
      <c r="U638" s="139">
        <f>ROUND(P638*K$1812,2)-11</f>
        <v>9.370000000000001</v>
      </c>
      <c r="V638" s="139">
        <f t="shared" si="505"/>
        <v>3.73</v>
      </c>
      <c r="W638" s="139">
        <f t="shared" si="217"/>
        <v>0.14000000000000001</v>
      </c>
      <c r="X638" s="140">
        <f t="shared" si="9"/>
        <v>14.699999999999994</v>
      </c>
      <c r="Y638" s="141">
        <f>-ROUND(P638+SUM(R638:W638),2)</f>
        <v>-135804.70000000001</v>
      </c>
      <c r="Z638" s="142">
        <f t="shared" si="402"/>
        <v>-135805</v>
      </c>
      <c r="AA638" s="143">
        <f t="shared" si="47"/>
        <v>-0.29999999998835847</v>
      </c>
      <c r="AB638" s="133"/>
      <c r="AC638" s="144">
        <f t="shared" si="12"/>
        <v>1.08E-4</v>
      </c>
      <c r="AD638" s="145">
        <f t="shared" si="13"/>
        <v>0</v>
      </c>
      <c r="AE638" s="146" t="s">
        <v>403</v>
      </c>
      <c r="AF638" s="119"/>
    </row>
    <row r="639" spans="1:32" ht="12" customHeight="1">
      <c r="A639" s="150">
        <v>44754</v>
      </c>
      <c r="B639" s="151" t="s">
        <v>575</v>
      </c>
      <c r="C639" s="151"/>
      <c r="D639" s="151"/>
      <c r="E639" s="151"/>
      <c r="F639" s="151"/>
      <c r="G639" s="151"/>
      <c r="H639" s="122" t="s">
        <v>446</v>
      </c>
      <c r="I639" s="121" t="s">
        <v>469</v>
      </c>
      <c r="J639" s="122" t="s">
        <v>448</v>
      </c>
      <c r="K639" s="123">
        <v>100</v>
      </c>
      <c r="L639" s="124">
        <v>995</v>
      </c>
      <c r="M639" s="125">
        <f t="shared" si="38"/>
        <v>0</v>
      </c>
      <c r="N639" s="125">
        <f>L639-M639</f>
        <v>995</v>
      </c>
      <c r="O639" s="125"/>
      <c r="P639" s="125">
        <f t="shared" si="2"/>
        <v>99500</v>
      </c>
      <c r="Q639" s="126">
        <f t="shared" si="3"/>
        <v>0.66830000000000001</v>
      </c>
      <c r="R639" s="126">
        <f t="shared" si="74"/>
        <v>0</v>
      </c>
      <c r="S639" s="126">
        <f t="shared" si="35"/>
        <v>0.49</v>
      </c>
      <c r="T639" s="126">
        <f>ROUND(P639*K$1806,2)-36</f>
        <v>63.5</v>
      </c>
      <c r="U639" s="126">
        <v>0</v>
      </c>
      <c r="V639" s="126">
        <f t="shared" si="505"/>
        <v>2.74</v>
      </c>
      <c r="W639" s="126">
        <f t="shared" si="217"/>
        <v>0.1</v>
      </c>
      <c r="X639" s="126">
        <f t="shared" si="9"/>
        <v>66.83</v>
      </c>
      <c r="Y639" s="127">
        <f>ROUND(P639-SUM(R639:W639),2)</f>
        <v>99433.17</v>
      </c>
      <c r="Z639" s="128">
        <f t="shared" si="402"/>
        <v>99433</v>
      </c>
      <c r="AA639" s="129">
        <f t="shared" si="47"/>
        <v>-0.16999999999825377</v>
      </c>
      <c r="AB639" s="120"/>
      <c r="AC639" s="130">
        <f t="shared" si="12"/>
        <v>6.7199999999999996E-4</v>
      </c>
      <c r="AD639" s="131">
        <f t="shared" si="13"/>
        <v>0</v>
      </c>
      <c r="AE639" s="132" t="s">
        <v>403</v>
      </c>
      <c r="AF639" s="119"/>
    </row>
    <row r="640" spans="1:32" ht="12" customHeight="1">
      <c r="A640" s="157">
        <v>44756</v>
      </c>
      <c r="B640" s="149" t="s">
        <v>612</v>
      </c>
      <c r="C640" s="149"/>
      <c r="D640" s="149"/>
      <c r="E640" s="149"/>
      <c r="F640" s="149"/>
      <c r="G640" s="149"/>
      <c r="H640" s="135" t="s">
        <v>453</v>
      </c>
      <c r="I640" s="134" t="s">
        <v>469</v>
      </c>
      <c r="J640" s="135" t="s">
        <v>471</v>
      </c>
      <c r="K640" s="136">
        <v>50</v>
      </c>
      <c r="L640" s="137">
        <v>110</v>
      </c>
      <c r="M640" s="138">
        <f t="shared" si="38"/>
        <v>0</v>
      </c>
      <c r="N640" s="138">
        <f t="shared" ref="N640:N641" si="544">L640+M640</f>
        <v>110</v>
      </c>
      <c r="O640" s="138"/>
      <c r="P640" s="138">
        <f t="shared" si="2"/>
        <v>5500</v>
      </c>
      <c r="Q640" s="139">
        <f t="shared" si="3"/>
        <v>0.13040000000000002</v>
      </c>
      <c r="R640" s="139">
        <f t="shared" si="74"/>
        <v>0</v>
      </c>
      <c r="S640" s="139">
        <f t="shared" si="35"/>
        <v>0.03</v>
      </c>
      <c r="T640" s="139">
        <f t="shared" ref="T640:T827" si="545">ROUND(P640*K$1806,2)</f>
        <v>5.5</v>
      </c>
      <c r="U640" s="139">
        <f t="shared" ref="U640:U641" si="546">ROUND(P640*K$1812,2)</f>
        <v>0.83</v>
      </c>
      <c r="V640" s="139">
        <f t="shared" si="505"/>
        <v>0.15</v>
      </c>
      <c r="W640" s="139">
        <f t="shared" si="217"/>
        <v>0.01</v>
      </c>
      <c r="X640" s="140">
        <f t="shared" si="9"/>
        <v>6.5200000000000005</v>
      </c>
      <c r="Y640" s="141">
        <f t="shared" ref="Y640:Y641" si="547">-ROUND(P640+SUM(R640:W640),2)</f>
        <v>-5506.52</v>
      </c>
      <c r="Z640" s="142">
        <f t="shared" si="402"/>
        <v>-5507</v>
      </c>
      <c r="AA640" s="143">
        <f t="shared" si="47"/>
        <v>-0.47999999999956344</v>
      </c>
      <c r="AB640" s="133"/>
      <c r="AC640" s="144">
        <f t="shared" si="12"/>
        <v>1.1850000000000001E-3</v>
      </c>
      <c r="AD640" s="145">
        <f t="shared" si="13"/>
        <v>0</v>
      </c>
      <c r="AE640" s="146" t="s">
        <v>403</v>
      </c>
      <c r="AF640" s="119"/>
    </row>
    <row r="641" spans="1:32" ht="12" customHeight="1">
      <c r="A641" s="157">
        <v>44756</v>
      </c>
      <c r="B641" s="149" t="s">
        <v>613</v>
      </c>
      <c r="C641" s="149"/>
      <c r="D641" s="149"/>
      <c r="E641" s="149"/>
      <c r="F641" s="149"/>
      <c r="G641" s="149"/>
      <c r="H641" s="135" t="s">
        <v>453</v>
      </c>
      <c r="I641" s="134" t="s">
        <v>469</v>
      </c>
      <c r="J641" s="135" t="s">
        <v>471</v>
      </c>
      <c r="K641" s="136">
        <v>100</v>
      </c>
      <c r="L641" s="137">
        <v>34</v>
      </c>
      <c r="M641" s="138">
        <f t="shared" si="38"/>
        <v>0</v>
      </c>
      <c r="N641" s="138">
        <f t="shared" si="544"/>
        <v>34</v>
      </c>
      <c r="O641" s="138"/>
      <c r="P641" s="138">
        <f t="shared" si="2"/>
        <v>3400</v>
      </c>
      <c r="Q641" s="139">
        <f t="shared" si="3"/>
        <v>4.0199999999999993E-2</v>
      </c>
      <c r="R641" s="139">
        <f t="shared" si="74"/>
        <v>0</v>
      </c>
      <c r="S641" s="139">
        <f t="shared" si="35"/>
        <v>0.02</v>
      </c>
      <c r="T641" s="139">
        <f t="shared" si="545"/>
        <v>3.4</v>
      </c>
      <c r="U641" s="139">
        <f t="shared" si="546"/>
        <v>0.51</v>
      </c>
      <c r="V641" s="139">
        <f t="shared" si="505"/>
        <v>0.09</v>
      </c>
      <c r="W641" s="139">
        <f t="shared" si="217"/>
        <v>0</v>
      </c>
      <c r="X641" s="140">
        <f t="shared" si="9"/>
        <v>4.0199999999999996</v>
      </c>
      <c r="Y641" s="141">
        <f t="shared" si="547"/>
        <v>-3404.02</v>
      </c>
      <c r="Z641" s="142">
        <f t="shared" si="402"/>
        <v>-3404</v>
      </c>
      <c r="AA641" s="143">
        <f t="shared" si="47"/>
        <v>1.999999999998181E-2</v>
      </c>
      <c r="AB641" s="133"/>
      <c r="AC641" s="144">
        <f t="shared" si="12"/>
        <v>1.1820000000000001E-3</v>
      </c>
      <c r="AD641" s="145">
        <f t="shared" si="13"/>
        <v>0</v>
      </c>
      <c r="AE641" s="146" t="s">
        <v>403</v>
      </c>
      <c r="AF641" s="119"/>
    </row>
    <row r="642" spans="1:32" ht="12" customHeight="1">
      <c r="A642" s="150">
        <v>44757</v>
      </c>
      <c r="B642" s="151" t="s">
        <v>575</v>
      </c>
      <c r="C642" s="151"/>
      <c r="D642" s="151"/>
      <c r="E642" s="151"/>
      <c r="F642" s="151"/>
      <c r="G642" s="151"/>
      <c r="H642" s="122" t="s">
        <v>446</v>
      </c>
      <c r="I642" s="121" t="s">
        <v>469</v>
      </c>
      <c r="J642" s="122" t="s">
        <v>448</v>
      </c>
      <c r="K642" s="123">
        <v>275</v>
      </c>
      <c r="L642" s="124">
        <v>993.31818181818187</v>
      </c>
      <c r="M642" s="125">
        <f t="shared" si="38"/>
        <v>0</v>
      </c>
      <c r="N642" s="125">
        <f>L642-M642</f>
        <v>993.31818181818187</v>
      </c>
      <c r="O642" s="125"/>
      <c r="P642" s="125">
        <f t="shared" si="2"/>
        <v>273162.5</v>
      </c>
      <c r="Q642" s="126">
        <f t="shared" si="3"/>
        <v>1.026509090909091</v>
      </c>
      <c r="R642" s="126">
        <f t="shared" si="74"/>
        <v>0</v>
      </c>
      <c r="S642" s="126">
        <f t="shared" si="35"/>
        <v>1.35</v>
      </c>
      <c r="T642" s="126">
        <f t="shared" si="545"/>
        <v>273.16000000000003</v>
      </c>
      <c r="U642" s="126">
        <v>0</v>
      </c>
      <c r="V642" s="126">
        <f t="shared" si="505"/>
        <v>7.51</v>
      </c>
      <c r="W642" s="126">
        <f t="shared" si="217"/>
        <v>0.27</v>
      </c>
      <c r="X642" s="126">
        <f t="shared" si="9"/>
        <v>282.29000000000002</v>
      </c>
      <c r="Y642" s="127">
        <f>ROUND(P642-SUM(R642:W642),2)</f>
        <v>272880.21000000002</v>
      </c>
      <c r="Z642" s="128">
        <f t="shared" si="402"/>
        <v>272880</v>
      </c>
      <c r="AA642" s="129">
        <f t="shared" si="47"/>
        <v>-0.21000000002095476</v>
      </c>
      <c r="AB642" s="120"/>
      <c r="AC642" s="130">
        <f t="shared" si="12"/>
        <v>1.0330000000000001E-3</v>
      </c>
      <c r="AD642" s="131">
        <f t="shared" si="13"/>
        <v>0</v>
      </c>
      <c r="AE642" s="132" t="s">
        <v>403</v>
      </c>
      <c r="AF642" s="119"/>
    </row>
    <row r="643" spans="1:32" ht="12" customHeight="1">
      <c r="A643" s="157">
        <v>44760</v>
      </c>
      <c r="B643" s="149" t="s">
        <v>575</v>
      </c>
      <c r="C643" s="149"/>
      <c r="D643" s="149"/>
      <c r="E643" s="149"/>
      <c r="F643" s="149"/>
      <c r="G643" s="149"/>
      <c r="H643" s="135" t="s">
        <v>453</v>
      </c>
      <c r="I643" s="134" t="s">
        <v>469</v>
      </c>
      <c r="J643" s="135" t="s">
        <v>448</v>
      </c>
      <c r="K643" s="136">
        <v>30</v>
      </c>
      <c r="L643" s="137">
        <v>1018.1</v>
      </c>
      <c r="M643" s="138">
        <f t="shared" si="38"/>
        <v>0</v>
      </c>
      <c r="N643" s="138">
        <f>L643+M643</f>
        <v>1018.1</v>
      </c>
      <c r="O643" s="138"/>
      <c r="P643" s="138">
        <f t="shared" si="2"/>
        <v>30543</v>
      </c>
      <c r="Q643" s="139">
        <f t="shared" si="3"/>
        <v>1.2046666666666668</v>
      </c>
      <c r="R643" s="139">
        <f t="shared" si="74"/>
        <v>0</v>
      </c>
      <c r="S643" s="139">
        <f t="shared" si="35"/>
        <v>0.15</v>
      </c>
      <c r="T643" s="139">
        <f t="shared" si="545"/>
        <v>30.54</v>
      </c>
      <c r="U643" s="139">
        <f>ROUND(P643*K$1812,2)</f>
        <v>4.58</v>
      </c>
      <c r="V643" s="139">
        <f t="shared" si="505"/>
        <v>0.84</v>
      </c>
      <c r="W643" s="139">
        <f t="shared" si="217"/>
        <v>0.03</v>
      </c>
      <c r="X643" s="140">
        <f t="shared" si="9"/>
        <v>36.14</v>
      </c>
      <c r="Y643" s="141">
        <f>-ROUND(P643+SUM(R643:W643),2)</f>
        <v>-30579.14</v>
      </c>
      <c r="Z643" s="142">
        <f t="shared" si="402"/>
        <v>-30579</v>
      </c>
      <c r="AA643" s="143">
        <f t="shared" si="47"/>
        <v>0.13999999999941792</v>
      </c>
      <c r="AB643" s="133"/>
      <c r="AC643" s="144">
        <f t="shared" si="12"/>
        <v>1.183E-3</v>
      </c>
      <c r="AD643" s="145">
        <f t="shared" si="13"/>
        <v>0</v>
      </c>
      <c r="AE643" s="146" t="s">
        <v>403</v>
      </c>
      <c r="AF643" s="119"/>
    </row>
    <row r="644" spans="1:32" ht="12" customHeight="1">
      <c r="A644" s="150">
        <v>44763</v>
      </c>
      <c r="B644" s="151" t="s">
        <v>307</v>
      </c>
      <c r="C644" s="151"/>
      <c r="D644" s="151"/>
      <c r="E644" s="151"/>
      <c r="F644" s="151"/>
      <c r="G644" s="151"/>
      <c r="H644" s="122" t="s">
        <v>446</v>
      </c>
      <c r="I644" s="121" t="s">
        <v>469</v>
      </c>
      <c r="J644" s="122" t="s">
        <v>471</v>
      </c>
      <c r="K644" s="123">
        <v>10</v>
      </c>
      <c r="L644" s="124">
        <v>870</v>
      </c>
      <c r="M644" s="125">
        <f t="shared" si="38"/>
        <v>0</v>
      </c>
      <c r="N644" s="125">
        <f>L644-M644</f>
        <v>870</v>
      </c>
      <c r="O644" s="125"/>
      <c r="P644" s="125">
        <f t="shared" si="2"/>
        <v>8700</v>
      </c>
      <c r="Q644" s="126">
        <f t="shared" si="3"/>
        <v>0.8989999999999998</v>
      </c>
      <c r="R644" s="126">
        <f t="shared" si="74"/>
        <v>0</v>
      </c>
      <c r="S644" s="126">
        <f t="shared" si="35"/>
        <v>0.04</v>
      </c>
      <c r="T644" s="126">
        <f t="shared" si="545"/>
        <v>8.6999999999999993</v>
      </c>
      <c r="U644" s="126">
        <v>0</v>
      </c>
      <c r="V644" s="126">
        <f t="shared" si="505"/>
        <v>0.24</v>
      </c>
      <c r="W644" s="126">
        <f t="shared" si="217"/>
        <v>0.01</v>
      </c>
      <c r="X644" s="126">
        <f t="shared" si="9"/>
        <v>8.9899999999999984</v>
      </c>
      <c r="Y644" s="127">
        <f>ROUND(P644-SUM(R644:W644),2)</f>
        <v>8691.01</v>
      </c>
      <c r="Z644" s="128">
        <f t="shared" si="402"/>
        <v>8691</v>
      </c>
      <c r="AA644" s="129">
        <f t="shared" si="47"/>
        <v>-1.0000000000218279E-2</v>
      </c>
      <c r="AB644" s="120"/>
      <c r="AC644" s="130">
        <f t="shared" si="12"/>
        <v>1.0330000000000001E-3</v>
      </c>
      <c r="AD644" s="131">
        <f t="shared" si="13"/>
        <v>0</v>
      </c>
      <c r="AE644" s="132" t="s">
        <v>403</v>
      </c>
      <c r="AF644" s="119"/>
    </row>
    <row r="645" spans="1:32" ht="12" customHeight="1">
      <c r="A645" s="157">
        <v>44763</v>
      </c>
      <c r="B645" s="149" t="s">
        <v>575</v>
      </c>
      <c r="C645" s="149"/>
      <c r="D645" s="149"/>
      <c r="E645" s="149"/>
      <c r="F645" s="149"/>
      <c r="G645" s="149"/>
      <c r="H645" s="135" t="s">
        <v>453</v>
      </c>
      <c r="I645" s="134" t="s">
        <v>469</v>
      </c>
      <c r="J645" s="135" t="s">
        <v>448</v>
      </c>
      <c r="K645" s="136">
        <v>408</v>
      </c>
      <c r="L645" s="137">
        <v>969.98869999999999</v>
      </c>
      <c r="M645" s="138">
        <f t="shared" si="38"/>
        <v>0</v>
      </c>
      <c r="N645" s="138">
        <f>L645+M645</f>
        <v>969.98869999999999</v>
      </c>
      <c r="O645" s="138"/>
      <c r="P645" s="138">
        <f t="shared" si="2"/>
        <v>395755.39</v>
      </c>
      <c r="Q645" s="139">
        <f t="shared" si="3"/>
        <v>1.147941176470588</v>
      </c>
      <c r="R645" s="139">
        <f t="shared" si="74"/>
        <v>0</v>
      </c>
      <c r="S645" s="139">
        <f t="shared" si="35"/>
        <v>1.96</v>
      </c>
      <c r="T645" s="139">
        <f t="shared" si="545"/>
        <v>395.76</v>
      </c>
      <c r="U645" s="139">
        <f>ROUND(P645*K$1812,2)</f>
        <v>59.36</v>
      </c>
      <c r="V645" s="139">
        <f t="shared" si="505"/>
        <v>10.88</v>
      </c>
      <c r="W645" s="139">
        <f t="shared" si="217"/>
        <v>0.4</v>
      </c>
      <c r="X645" s="140">
        <f t="shared" si="9"/>
        <v>468.35999999999996</v>
      </c>
      <c r="Y645" s="141">
        <f>-ROUND(P645+SUM(R645:W645),2)</f>
        <v>-396223.75</v>
      </c>
      <c r="Z645" s="142">
        <f t="shared" si="402"/>
        <v>-396224</v>
      </c>
      <c r="AA645" s="143">
        <f t="shared" si="47"/>
        <v>-0.25</v>
      </c>
      <c r="AB645" s="133"/>
      <c r="AC645" s="144">
        <f t="shared" si="12"/>
        <v>1.183E-3</v>
      </c>
      <c r="AD645" s="145">
        <f t="shared" si="13"/>
        <v>0</v>
      </c>
      <c r="AE645" s="146" t="s">
        <v>403</v>
      </c>
      <c r="AF645" s="119"/>
    </row>
    <row r="646" spans="1:32" ht="12" customHeight="1">
      <c r="A646" s="150">
        <v>44764</v>
      </c>
      <c r="B646" s="151" t="s">
        <v>307</v>
      </c>
      <c r="C646" s="151"/>
      <c r="D646" s="151"/>
      <c r="E646" s="151"/>
      <c r="F646" s="151"/>
      <c r="G646" s="151"/>
      <c r="H646" s="122" t="s">
        <v>446</v>
      </c>
      <c r="I646" s="121" t="s">
        <v>469</v>
      </c>
      <c r="J646" s="122" t="s">
        <v>471</v>
      </c>
      <c r="K646" s="123">
        <v>9</v>
      </c>
      <c r="L646" s="124">
        <v>880</v>
      </c>
      <c r="M646" s="125">
        <f t="shared" si="38"/>
        <v>0</v>
      </c>
      <c r="N646" s="125">
        <f t="shared" ref="N646:N647" si="548">L646-M646</f>
        <v>880</v>
      </c>
      <c r="O646" s="125"/>
      <c r="P646" s="125">
        <f t="shared" si="2"/>
        <v>7920</v>
      </c>
      <c r="Q646" s="126">
        <f t="shared" si="3"/>
        <v>0.90999999999999992</v>
      </c>
      <c r="R646" s="126">
        <f t="shared" si="74"/>
        <v>0</v>
      </c>
      <c r="S646" s="126">
        <f t="shared" si="35"/>
        <v>0.04</v>
      </c>
      <c r="T646" s="126">
        <f t="shared" si="545"/>
        <v>7.92</v>
      </c>
      <c r="U646" s="126">
        <v>0</v>
      </c>
      <c r="V646" s="126">
        <f t="shared" si="505"/>
        <v>0.22</v>
      </c>
      <c r="W646" s="126">
        <f t="shared" si="217"/>
        <v>0.01</v>
      </c>
      <c r="X646" s="126">
        <f t="shared" si="9"/>
        <v>8.19</v>
      </c>
      <c r="Y646" s="127">
        <f t="shared" ref="Y646:Y647" si="549">ROUND(P646-SUM(R646:W646),2)</f>
        <v>7911.81</v>
      </c>
      <c r="Z646" s="128">
        <f t="shared" si="402"/>
        <v>7912</v>
      </c>
      <c r="AA646" s="129">
        <f t="shared" si="47"/>
        <v>0.18999999999959982</v>
      </c>
      <c r="AB646" s="120"/>
      <c r="AC646" s="130">
        <f t="shared" si="12"/>
        <v>1.034E-3</v>
      </c>
      <c r="AD646" s="131">
        <f t="shared" si="13"/>
        <v>0</v>
      </c>
      <c r="AE646" s="132" t="s">
        <v>403</v>
      </c>
      <c r="AF646" s="119"/>
    </row>
    <row r="647" spans="1:32" ht="12" customHeight="1">
      <c r="A647" s="150">
        <v>44764</v>
      </c>
      <c r="B647" s="151" t="s">
        <v>575</v>
      </c>
      <c r="C647" s="151"/>
      <c r="D647" s="151"/>
      <c r="E647" s="151"/>
      <c r="F647" s="151"/>
      <c r="G647" s="151"/>
      <c r="H647" s="122" t="s">
        <v>446</v>
      </c>
      <c r="I647" s="121" t="s">
        <v>469</v>
      </c>
      <c r="J647" s="122" t="s">
        <v>448</v>
      </c>
      <c r="K647" s="123">
        <v>58</v>
      </c>
      <c r="L647" s="124">
        <v>976.5</v>
      </c>
      <c r="M647" s="125">
        <f t="shared" si="38"/>
        <v>0</v>
      </c>
      <c r="N647" s="125">
        <f t="shared" si="548"/>
        <v>976.5</v>
      </c>
      <c r="O647" s="125"/>
      <c r="P647" s="125">
        <f t="shared" si="2"/>
        <v>56637</v>
      </c>
      <c r="Q647" s="126">
        <f t="shared" si="3"/>
        <v>1.0093103448275864</v>
      </c>
      <c r="R647" s="126">
        <f t="shared" si="74"/>
        <v>0</v>
      </c>
      <c r="S647" s="126">
        <f t="shared" si="35"/>
        <v>0.28000000000000003</v>
      </c>
      <c r="T647" s="126">
        <f t="shared" si="545"/>
        <v>56.64</v>
      </c>
      <c r="U647" s="126">
        <v>0</v>
      </c>
      <c r="V647" s="126">
        <f t="shared" si="505"/>
        <v>1.56</v>
      </c>
      <c r="W647" s="126">
        <f t="shared" si="217"/>
        <v>0.06</v>
      </c>
      <c r="X647" s="126">
        <f t="shared" si="9"/>
        <v>58.540000000000006</v>
      </c>
      <c r="Y647" s="127">
        <f t="shared" si="549"/>
        <v>56578.46</v>
      </c>
      <c r="Z647" s="128">
        <f t="shared" si="402"/>
        <v>56578</v>
      </c>
      <c r="AA647" s="129">
        <f t="shared" si="47"/>
        <v>-0.45999999999912689</v>
      </c>
      <c r="AB647" s="120"/>
      <c r="AC647" s="130">
        <f t="shared" si="12"/>
        <v>1.034E-3</v>
      </c>
      <c r="AD647" s="131">
        <f t="shared" si="13"/>
        <v>0</v>
      </c>
      <c r="AE647" s="132" t="s">
        <v>403</v>
      </c>
      <c r="AF647" s="119"/>
    </row>
    <row r="648" spans="1:32" ht="12" customHeight="1">
      <c r="A648" s="157">
        <v>44767</v>
      </c>
      <c r="B648" s="149" t="s">
        <v>614</v>
      </c>
      <c r="C648" s="149"/>
      <c r="D648" s="149"/>
      <c r="E648" s="149"/>
      <c r="F648" s="149"/>
      <c r="G648" s="149"/>
      <c r="H648" s="135" t="s">
        <v>453</v>
      </c>
      <c r="I648" s="134" t="s">
        <v>469</v>
      </c>
      <c r="J648" s="135" t="s">
        <v>471</v>
      </c>
      <c r="K648" s="136">
        <v>5</v>
      </c>
      <c r="L648" s="137">
        <v>1300</v>
      </c>
      <c r="M648" s="138">
        <f t="shared" si="38"/>
        <v>0</v>
      </c>
      <c r="N648" s="138">
        <f t="shared" ref="N648:N656" si="550">L648+M648</f>
        <v>1300</v>
      </c>
      <c r="O648" s="138"/>
      <c r="P648" s="138">
        <f t="shared" si="2"/>
        <v>6500</v>
      </c>
      <c r="Q648" s="139">
        <f t="shared" si="3"/>
        <v>1.5399999999999998</v>
      </c>
      <c r="R648" s="139">
        <f t="shared" si="74"/>
        <v>0</v>
      </c>
      <c r="S648" s="139">
        <f t="shared" si="35"/>
        <v>0.03</v>
      </c>
      <c r="T648" s="139">
        <f t="shared" si="545"/>
        <v>6.5</v>
      </c>
      <c r="U648" s="139">
        <f t="shared" ref="U648:U656" si="551">ROUND(P648*K$1812,2)</f>
        <v>0.98</v>
      </c>
      <c r="V648" s="139">
        <f t="shared" si="505"/>
        <v>0.18</v>
      </c>
      <c r="W648" s="139">
        <f t="shared" si="217"/>
        <v>0.01</v>
      </c>
      <c r="X648" s="140">
        <f t="shared" si="9"/>
        <v>7.6999999999999993</v>
      </c>
      <c r="Y648" s="141">
        <f t="shared" ref="Y648:Y656" si="552">-ROUND(P648+SUM(R648:W648),2)</f>
        <v>-6507.7</v>
      </c>
      <c r="Z648" s="142">
        <f t="shared" si="402"/>
        <v>-6508</v>
      </c>
      <c r="AA648" s="143">
        <f t="shared" si="47"/>
        <v>-0.3000000000001819</v>
      </c>
      <c r="AB648" s="133"/>
      <c r="AC648" s="144">
        <f t="shared" si="12"/>
        <v>1.1850000000000001E-3</v>
      </c>
      <c r="AD648" s="145">
        <f t="shared" si="13"/>
        <v>0</v>
      </c>
      <c r="AE648" s="146" t="s">
        <v>403</v>
      </c>
      <c r="AF648" s="119"/>
    </row>
    <row r="649" spans="1:32" ht="12" customHeight="1">
      <c r="A649" s="157">
        <v>44768</v>
      </c>
      <c r="B649" s="149" t="s">
        <v>575</v>
      </c>
      <c r="C649" s="149"/>
      <c r="D649" s="149"/>
      <c r="E649" s="149"/>
      <c r="F649" s="149"/>
      <c r="G649" s="149"/>
      <c r="H649" s="135" t="s">
        <v>453</v>
      </c>
      <c r="I649" s="134" t="s">
        <v>469</v>
      </c>
      <c r="J649" s="135" t="s">
        <v>448</v>
      </c>
      <c r="K649" s="136">
        <v>40</v>
      </c>
      <c r="L649" s="137">
        <v>961.21879999999999</v>
      </c>
      <c r="M649" s="138">
        <f t="shared" si="38"/>
        <v>0</v>
      </c>
      <c r="N649" s="138">
        <f t="shared" si="550"/>
        <v>961.21879999999999</v>
      </c>
      <c r="O649" s="138"/>
      <c r="P649" s="138">
        <f t="shared" si="2"/>
        <v>38448.75</v>
      </c>
      <c r="Q649" s="139">
        <f t="shared" si="3"/>
        <v>1.13775</v>
      </c>
      <c r="R649" s="139">
        <f t="shared" si="74"/>
        <v>0</v>
      </c>
      <c r="S649" s="139">
        <f t="shared" si="35"/>
        <v>0.19</v>
      </c>
      <c r="T649" s="139">
        <f t="shared" si="545"/>
        <v>38.450000000000003</v>
      </c>
      <c r="U649" s="139">
        <f t="shared" si="551"/>
        <v>5.77</v>
      </c>
      <c r="V649" s="139">
        <f t="shared" si="505"/>
        <v>1.06</v>
      </c>
      <c r="W649" s="139">
        <f t="shared" si="217"/>
        <v>0.04</v>
      </c>
      <c r="X649" s="140">
        <f t="shared" si="9"/>
        <v>45.51</v>
      </c>
      <c r="Y649" s="141">
        <f t="shared" si="552"/>
        <v>-38494.26</v>
      </c>
      <c r="Z649" s="142">
        <f t="shared" si="402"/>
        <v>-38494</v>
      </c>
      <c r="AA649" s="143">
        <f t="shared" si="47"/>
        <v>0.26000000000203727</v>
      </c>
      <c r="AB649" s="133"/>
      <c r="AC649" s="144">
        <f t="shared" si="12"/>
        <v>1.1839999999999999E-3</v>
      </c>
      <c r="AD649" s="145">
        <f t="shared" si="13"/>
        <v>0</v>
      </c>
      <c r="AE649" s="146" t="s">
        <v>403</v>
      </c>
      <c r="AF649" s="119"/>
    </row>
    <row r="650" spans="1:32" ht="12" customHeight="1">
      <c r="A650" s="157">
        <v>44768</v>
      </c>
      <c r="B650" s="149" t="s">
        <v>592</v>
      </c>
      <c r="C650" s="149"/>
      <c r="D650" s="149"/>
      <c r="E650" s="149"/>
      <c r="F650" s="149"/>
      <c r="G650" s="149"/>
      <c r="H650" s="135" t="s">
        <v>453</v>
      </c>
      <c r="I650" s="134" t="s">
        <v>469</v>
      </c>
      <c r="J650" s="135" t="s">
        <v>471</v>
      </c>
      <c r="K650" s="136">
        <v>50</v>
      </c>
      <c r="L650" s="137">
        <v>21</v>
      </c>
      <c r="M650" s="138">
        <f t="shared" si="38"/>
        <v>0</v>
      </c>
      <c r="N650" s="138">
        <f t="shared" si="550"/>
        <v>21</v>
      </c>
      <c r="O650" s="138"/>
      <c r="P650" s="138">
        <f t="shared" si="2"/>
        <v>1050</v>
      </c>
      <c r="Q650" s="139">
        <f t="shared" si="3"/>
        <v>2.5000000000000001E-2</v>
      </c>
      <c r="R650" s="139">
        <f t="shared" si="74"/>
        <v>0</v>
      </c>
      <c r="S650" s="139">
        <f t="shared" si="35"/>
        <v>0.01</v>
      </c>
      <c r="T650" s="139">
        <f t="shared" si="545"/>
        <v>1.05</v>
      </c>
      <c r="U650" s="139">
        <f t="shared" si="551"/>
        <v>0.16</v>
      </c>
      <c r="V650" s="139">
        <f t="shared" si="505"/>
        <v>0.03</v>
      </c>
      <c r="W650" s="139">
        <f t="shared" si="217"/>
        <v>0</v>
      </c>
      <c r="X650" s="140">
        <f t="shared" si="9"/>
        <v>1.25</v>
      </c>
      <c r="Y650" s="141">
        <f t="shared" si="552"/>
        <v>-1051.25</v>
      </c>
      <c r="Z650" s="142">
        <f t="shared" si="402"/>
        <v>-1051</v>
      </c>
      <c r="AA650" s="143">
        <f t="shared" si="47"/>
        <v>0.25</v>
      </c>
      <c r="AB650" s="133"/>
      <c r="AC650" s="144">
        <f t="shared" si="12"/>
        <v>1.1900000000000001E-3</v>
      </c>
      <c r="AD650" s="145">
        <f t="shared" si="13"/>
        <v>0</v>
      </c>
      <c r="AE650" s="146" t="s">
        <v>403</v>
      </c>
      <c r="AF650" s="119"/>
    </row>
    <row r="651" spans="1:32" ht="12" customHeight="1">
      <c r="A651" s="157">
        <v>44768</v>
      </c>
      <c r="B651" s="149" t="s">
        <v>598</v>
      </c>
      <c r="C651" s="149"/>
      <c r="D651" s="149"/>
      <c r="E651" s="149"/>
      <c r="F651" s="149"/>
      <c r="G651" s="149"/>
      <c r="H651" s="135" t="s">
        <v>453</v>
      </c>
      <c r="I651" s="134" t="s">
        <v>469</v>
      </c>
      <c r="J651" s="135" t="s">
        <v>471</v>
      </c>
      <c r="K651" s="136">
        <v>88</v>
      </c>
      <c r="L651" s="137">
        <v>144.75569999999999</v>
      </c>
      <c r="M651" s="138">
        <f t="shared" si="38"/>
        <v>0</v>
      </c>
      <c r="N651" s="138">
        <f t="shared" si="550"/>
        <v>144.75569999999999</v>
      </c>
      <c r="O651" s="138"/>
      <c r="P651" s="138">
        <f t="shared" si="2"/>
        <v>12738.5</v>
      </c>
      <c r="Q651" s="139">
        <f t="shared" si="3"/>
        <v>0.17125000000000001</v>
      </c>
      <c r="R651" s="139">
        <f t="shared" si="74"/>
        <v>0</v>
      </c>
      <c r="S651" s="139">
        <f t="shared" si="35"/>
        <v>0.06</v>
      </c>
      <c r="T651" s="139">
        <f t="shared" si="545"/>
        <v>12.74</v>
      </c>
      <c r="U651" s="139">
        <f t="shared" si="551"/>
        <v>1.91</v>
      </c>
      <c r="V651" s="139">
        <f t="shared" si="505"/>
        <v>0.35</v>
      </c>
      <c r="W651" s="139">
        <f t="shared" si="217"/>
        <v>0.01</v>
      </c>
      <c r="X651" s="140">
        <f t="shared" si="9"/>
        <v>15.07</v>
      </c>
      <c r="Y651" s="141">
        <f t="shared" si="552"/>
        <v>-12753.57</v>
      </c>
      <c r="Z651" s="142">
        <f t="shared" si="402"/>
        <v>-12754</v>
      </c>
      <c r="AA651" s="143">
        <f t="shared" si="47"/>
        <v>-0.43000000000029104</v>
      </c>
      <c r="AB651" s="133"/>
      <c r="AC651" s="144">
        <f t="shared" si="12"/>
        <v>1.183E-3</v>
      </c>
      <c r="AD651" s="145">
        <f t="shared" si="13"/>
        <v>0</v>
      </c>
      <c r="AE651" s="146" t="s">
        <v>403</v>
      </c>
      <c r="AF651" s="119"/>
    </row>
    <row r="652" spans="1:32" ht="12" customHeight="1">
      <c r="A652" s="157">
        <v>44768</v>
      </c>
      <c r="B652" s="149" t="s">
        <v>606</v>
      </c>
      <c r="C652" s="149"/>
      <c r="D652" s="149"/>
      <c r="E652" s="149"/>
      <c r="F652" s="149"/>
      <c r="G652" s="149"/>
      <c r="H652" s="135" t="s">
        <v>453</v>
      </c>
      <c r="I652" s="134" t="s">
        <v>469</v>
      </c>
      <c r="J652" s="135" t="s">
        <v>471</v>
      </c>
      <c r="K652" s="136">
        <v>1</v>
      </c>
      <c r="L652" s="137">
        <v>903</v>
      </c>
      <c r="M652" s="138">
        <f t="shared" si="38"/>
        <v>0</v>
      </c>
      <c r="N652" s="138">
        <f t="shared" si="550"/>
        <v>903</v>
      </c>
      <c r="O652" s="138"/>
      <c r="P652" s="138">
        <f t="shared" si="2"/>
        <v>903</v>
      </c>
      <c r="Q652" s="139">
        <f t="shared" si="3"/>
        <v>1.06</v>
      </c>
      <c r="R652" s="139">
        <f t="shared" si="74"/>
        <v>0</v>
      </c>
      <c r="S652" s="139">
        <f t="shared" si="35"/>
        <v>0</v>
      </c>
      <c r="T652" s="139">
        <f t="shared" si="545"/>
        <v>0.9</v>
      </c>
      <c r="U652" s="139">
        <f t="shared" si="551"/>
        <v>0.14000000000000001</v>
      </c>
      <c r="V652" s="139">
        <f t="shared" si="505"/>
        <v>0.02</v>
      </c>
      <c r="W652" s="139">
        <f t="shared" si="217"/>
        <v>0</v>
      </c>
      <c r="X652" s="140">
        <f t="shared" si="9"/>
        <v>1.06</v>
      </c>
      <c r="Y652" s="141">
        <f t="shared" si="552"/>
        <v>-904.06</v>
      </c>
      <c r="Z652" s="142">
        <f t="shared" si="402"/>
        <v>-904</v>
      </c>
      <c r="AA652" s="143">
        <f t="shared" si="47"/>
        <v>5.999999999994543E-2</v>
      </c>
      <c r="AB652" s="133"/>
      <c r="AC652" s="144">
        <f t="shared" si="12"/>
        <v>1.1739999999999999E-3</v>
      </c>
      <c r="AD652" s="145">
        <f t="shared" si="13"/>
        <v>0</v>
      </c>
      <c r="AE652" s="146" t="s">
        <v>403</v>
      </c>
      <c r="AF652" s="119"/>
    </row>
    <row r="653" spans="1:32" ht="12" customHeight="1">
      <c r="A653" s="157">
        <v>44769</v>
      </c>
      <c r="B653" s="149" t="s">
        <v>614</v>
      </c>
      <c r="C653" s="149"/>
      <c r="D653" s="149"/>
      <c r="E653" s="149"/>
      <c r="F653" s="149"/>
      <c r="G653" s="149"/>
      <c r="H653" s="135" t="s">
        <v>453</v>
      </c>
      <c r="I653" s="134" t="s">
        <v>469</v>
      </c>
      <c r="J653" s="135" t="s">
        <v>471</v>
      </c>
      <c r="K653" s="136">
        <v>5</v>
      </c>
      <c r="L653" s="137">
        <v>1250</v>
      </c>
      <c r="M653" s="138">
        <f t="shared" si="38"/>
        <v>0</v>
      </c>
      <c r="N653" s="138">
        <f t="shared" si="550"/>
        <v>1250</v>
      </c>
      <c r="O653" s="138"/>
      <c r="P653" s="138">
        <f t="shared" si="2"/>
        <v>6250</v>
      </c>
      <c r="Q653" s="139">
        <f t="shared" si="3"/>
        <v>1.48</v>
      </c>
      <c r="R653" s="139">
        <f t="shared" si="74"/>
        <v>0</v>
      </c>
      <c r="S653" s="139">
        <f t="shared" si="35"/>
        <v>0.03</v>
      </c>
      <c r="T653" s="139">
        <f t="shared" si="545"/>
        <v>6.25</v>
      </c>
      <c r="U653" s="139">
        <f t="shared" si="551"/>
        <v>0.94</v>
      </c>
      <c r="V653" s="139">
        <f t="shared" si="505"/>
        <v>0.17</v>
      </c>
      <c r="W653" s="139">
        <f t="shared" si="217"/>
        <v>0.01</v>
      </c>
      <c r="X653" s="140">
        <f t="shared" si="9"/>
        <v>7.4</v>
      </c>
      <c r="Y653" s="141">
        <f t="shared" si="552"/>
        <v>-6257.4</v>
      </c>
      <c r="Z653" s="142">
        <f t="shared" si="402"/>
        <v>-6257</v>
      </c>
      <c r="AA653" s="143">
        <f t="shared" si="47"/>
        <v>0.3999999999996362</v>
      </c>
      <c r="AB653" s="133"/>
      <c r="AC653" s="144">
        <f t="shared" si="12"/>
        <v>1.1839999999999999E-3</v>
      </c>
      <c r="AD653" s="145">
        <f t="shared" si="13"/>
        <v>0</v>
      </c>
      <c r="AE653" s="146" t="s">
        <v>403</v>
      </c>
      <c r="AF653" s="119"/>
    </row>
    <row r="654" spans="1:32" ht="12" customHeight="1">
      <c r="A654" s="157">
        <v>44769</v>
      </c>
      <c r="B654" s="149" t="s">
        <v>465</v>
      </c>
      <c r="C654" s="149"/>
      <c r="D654" s="149"/>
      <c r="E654" s="149"/>
      <c r="F654" s="149"/>
      <c r="G654" s="149"/>
      <c r="H654" s="135" t="s">
        <v>453</v>
      </c>
      <c r="I654" s="134" t="s">
        <v>469</v>
      </c>
      <c r="J654" s="135" t="s">
        <v>471</v>
      </c>
      <c r="K654" s="136">
        <v>10</v>
      </c>
      <c r="L654" s="137">
        <v>216</v>
      </c>
      <c r="M654" s="138">
        <f t="shared" si="38"/>
        <v>0</v>
      </c>
      <c r="N654" s="138">
        <f t="shared" si="550"/>
        <v>216</v>
      </c>
      <c r="O654" s="138"/>
      <c r="P654" s="138">
        <f t="shared" si="2"/>
        <v>2160</v>
      </c>
      <c r="Q654" s="139">
        <f t="shared" si="3"/>
        <v>0.255</v>
      </c>
      <c r="R654" s="139">
        <f t="shared" si="74"/>
        <v>0</v>
      </c>
      <c r="S654" s="139">
        <f t="shared" si="35"/>
        <v>0.01</v>
      </c>
      <c r="T654" s="139">
        <f t="shared" si="545"/>
        <v>2.16</v>
      </c>
      <c r="U654" s="139">
        <f t="shared" si="551"/>
        <v>0.32</v>
      </c>
      <c r="V654" s="139">
        <f t="shared" si="505"/>
        <v>0.06</v>
      </c>
      <c r="W654" s="139">
        <f t="shared" si="217"/>
        <v>0</v>
      </c>
      <c r="X654" s="140">
        <f t="shared" si="9"/>
        <v>2.5499999999999998</v>
      </c>
      <c r="Y654" s="141">
        <f t="shared" si="552"/>
        <v>-2162.5500000000002</v>
      </c>
      <c r="Z654" s="142">
        <f t="shared" si="402"/>
        <v>-2163</v>
      </c>
      <c r="AA654" s="143">
        <f t="shared" si="47"/>
        <v>-0.4499999999998181</v>
      </c>
      <c r="AB654" s="133"/>
      <c r="AC654" s="144">
        <f t="shared" si="12"/>
        <v>1.181E-3</v>
      </c>
      <c r="AD654" s="145">
        <f t="shared" si="13"/>
        <v>0</v>
      </c>
      <c r="AE654" s="146" t="s">
        <v>403</v>
      </c>
      <c r="AF654" s="119"/>
    </row>
    <row r="655" spans="1:32" ht="12" customHeight="1">
      <c r="A655" s="157">
        <v>44769</v>
      </c>
      <c r="B655" s="149" t="s">
        <v>615</v>
      </c>
      <c r="C655" s="149"/>
      <c r="D655" s="149"/>
      <c r="E655" s="149"/>
      <c r="F655" s="149"/>
      <c r="G655" s="149"/>
      <c r="H655" s="135" t="s">
        <v>453</v>
      </c>
      <c r="I655" s="134" t="s">
        <v>469</v>
      </c>
      <c r="J655" s="135" t="s">
        <v>471</v>
      </c>
      <c r="K655" s="136">
        <v>10</v>
      </c>
      <c r="L655" s="137">
        <v>560</v>
      </c>
      <c r="M655" s="138">
        <f t="shared" si="38"/>
        <v>0</v>
      </c>
      <c r="N655" s="138">
        <f t="shared" si="550"/>
        <v>560</v>
      </c>
      <c r="O655" s="138"/>
      <c r="P655" s="138">
        <f t="shared" si="2"/>
        <v>5600</v>
      </c>
      <c r="Q655" s="139">
        <f t="shared" si="3"/>
        <v>0.66300000000000003</v>
      </c>
      <c r="R655" s="139">
        <f t="shared" si="74"/>
        <v>0</v>
      </c>
      <c r="S655" s="139">
        <f t="shared" si="35"/>
        <v>0.03</v>
      </c>
      <c r="T655" s="139">
        <f t="shared" si="545"/>
        <v>5.6</v>
      </c>
      <c r="U655" s="139">
        <f t="shared" si="551"/>
        <v>0.84</v>
      </c>
      <c r="V655" s="139">
        <f t="shared" si="505"/>
        <v>0.15</v>
      </c>
      <c r="W655" s="139">
        <f t="shared" si="217"/>
        <v>0.01</v>
      </c>
      <c r="X655" s="140">
        <f t="shared" si="9"/>
        <v>6.63</v>
      </c>
      <c r="Y655" s="141">
        <f t="shared" si="552"/>
        <v>-5606.63</v>
      </c>
      <c r="Z655" s="142">
        <f t="shared" si="402"/>
        <v>-5607</v>
      </c>
      <c r="AA655" s="143">
        <f t="shared" si="47"/>
        <v>-0.36999999999989086</v>
      </c>
      <c r="AB655" s="133"/>
      <c r="AC655" s="144">
        <f t="shared" si="12"/>
        <v>1.1839999999999999E-3</v>
      </c>
      <c r="AD655" s="145">
        <f t="shared" si="13"/>
        <v>0</v>
      </c>
      <c r="AE655" s="146" t="s">
        <v>403</v>
      </c>
      <c r="AF655" s="119"/>
    </row>
    <row r="656" spans="1:32" ht="12" customHeight="1">
      <c r="A656" s="157">
        <v>44769</v>
      </c>
      <c r="B656" s="149" t="s">
        <v>616</v>
      </c>
      <c r="C656" s="149"/>
      <c r="D656" s="149"/>
      <c r="E656" s="149"/>
      <c r="F656" s="149"/>
      <c r="G656" s="149"/>
      <c r="H656" s="135" t="s">
        <v>453</v>
      </c>
      <c r="I656" s="134" t="s">
        <v>469</v>
      </c>
      <c r="J656" s="135" t="s">
        <v>471</v>
      </c>
      <c r="K656" s="136">
        <v>2</v>
      </c>
      <c r="L656" s="137">
        <v>3245</v>
      </c>
      <c r="M656" s="138">
        <f t="shared" si="38"/>
        <v>0</v>
      </c>
      <c r="N656" s="138">
        <f t="shared" si="550"/>
        <v>3245</v>
      </c>
      <c r="O656" s="138"/>
      <c r="P656" s="138">
        <f t="shared" si="2"/>
        <v>6490</v>
      </c>
      <c r="Q656" s="139">
        <f t="shared" si="3"/>
        <v>3.84</v>
      </c>
      <c r="R656" s="139">
        <f t="shared" si="74"/>
        <v>0</v>
      </c>
      <c r="S656" s="139">
        <f t="shared" si="35"/>
        <v>0.03</v>
      </c>
      <c r="T656" s="139">
        <f t="shared" si="545"/>
        <v>6.49</v>
      </c>
      <c r="U656" s="139">
        <f t="shared" si="551"/>
        <v>0.97</v>
      </c>
      <c r="V656" s="139">
        <f t="shared" si="505"/>
        <v>0.18</v>
      </c>
      <c r="W656" s="139">
        <f t="shared" si="217"/>
        <v>0.01</v>
      </c>
      <c r="X656" s="140">
        <f t="shared" si="9"/>
        <v>7.68</v>
      </c>
      <c r="Y656" s="141">
        <f t="shared" si="552"/>
        <v>-6497.68</v>
      </c>
      <c r="Z656" s="142">
        <f t="shared" si="402"/>
        <v>-6498</v>
      </c>
      <c r="AA656" s="143">
        <f t="shared" si="47"/>
        <v>-0.31999999999970896</v>
      </c>
      <c r="AB656" s="133"/>
      <c r="AC656" s="144">
        <f t="shared" si="12"/>
        <v>1.183E-3</v>
      </c>
      <c r="AD656" s="145">
        <f t="shared" si="13"/>
        <v>0</v>
      </c>
      <c r="AE656" s="146" t="s">
        <v>403</v>
      </c>
      <c r="AF656" s="119"/>
    </row>
    <row r="657" spans="1:32" ht="12" customHeight="1">
      <c r="A657" s="150">
        <v>44769</v>
      </c>
      <c r="B657" s="151" t="s">
        <v>587</v>
      </c>
      <c r="C657" s="151"/>
      <c r="D657" s="151"/>
      <c r="E657" s="151"/>
      <c r="F657" s="151"/>
      <c r="G657" s="151"/>
      <c r="H657" s="122" t="s">
        <v>446</v>
      </c>
      <c r="I657" s="121" t="s">
        <v>469</v>
      </c>
      <c r="J657" s="122" t="s">
        <v>471</v>
      </c>
      <c r="K657" s="123">
        <v>50</v>
      </c>
      <c r="L657" s="124">
        <v>107.2</v>
      </c>
      <c r="M657" s="125">
        <f t="shared" si="38"/>
        <v>0</v>
      </c>
      <c r="N657" s="125">
        <f t="shared" ref="N657:N658" si="553">L657-M657</f>
        <v>107.2</v>
      </c>
      <c r="O657" s="125"/>
      <c r="P657" s="125">
        <f t="shared" si="2"/>
        <v>5360</v>
      </c>
      <c r="Q657" s="126">
        <f t="shared" si="3"/>
        <v>0.11100000000000002</v>
      </c>
      <c r="R657" s="126">
        <f t="shared" si="74"/>
        <v>0</v>
      </c>
      <c r="S657" s="126">
        <f t="shared" si="35"/>
        <v>0.03</v>
      </c>
      <c r="T657" s="126">
        <f t="shared" si="545"/>
        <v>5.36</v>
      </c>
      <c r="U657" s="126">
        <v>0</v>
      </c>
      <c r="V657" s="126">
        <f t="shared" si="505"/>
        <v>0.15</v>
      </c>
      <c r="W657" s="126">
        <f t="shared" si="217"/>
        <v>0.01</v>
      </c>
      <c r="X657" s="126">
        <f t="shared" si="9"/>
        <v>5.5500000000000007</v>
      </c>
      <c r="Y657" s="127">
        <f t="shared" ref="Y657:Y658" si="554">ROUND(P657-SUM(R657:W657),2)</f>
        <v>5354.45</v>
      </c>
      <c r="Z657" s="128">
        <f t="shared" si="402"/>
        <v>5354</v>
      </c>
      <c r="AA657" s="129">
        <f t="shared" si="47"/>
        <v>-0.4499999999998181</v>
      </c>
      <c r="AB657" s="120"/>
      <c r="AC657" s="130">
        <f t="shared" si="12"/>
        <v>1.0349999999999999E-3</v>
      </c>
      <c r="AD657" s="131">
        <f t="shared" si="13"/>
        <v>0</v>
      </c>
      <c r="AE657" s="132" t="s">
        <v>403</v>
      </c>
      <c r="AF657" s="119"/>
    </row>
    <row r="658" spans="1:32" ht="12" customHeight="1">
      <c r="A658" s="150">
        <v>44769</v>
      </c>
      <c r="B658" s="151" t="s">
        <v>479</v>
      </c>
      <c r="C658" s="151"/>
      <c r="D658" s="151"/>
      <c r="E658" s="151"/>
      <c r="F658" s="151"/>
      <c r="G658" s="151"/>
      <c r="H658" s="122" t="s">
        <v>446</v>
      </c>
      <c r="I658" s="121" t="s">
        <v>469</v>
      </c>
      <c r="J658" s="122" t="s">
        <v>471</v>
      </c>
      <c r="K658" s="123">
        <v>25</v>
      </c>
      <c r="L658" s="124">
        <v>523</v>
      </c>
      <c r="M658" s="125">
        <f t="shared" si="38"/>
        <v>0</v>
      </c>
      <c r="N658" s="125">
        <f t="shared" si="553"/>
        <v>523</v>
      </c>
      <c r="O658" s="125"/>
      <c r="P658" s="125">
        <f t="shared" si="2"/>
        <v>13075</v>
      </c>
      <c r="Q658" s="126">
        <f t="shared" si="3"/>
        <v>0.54039999999999999</v>
      </c>
      <c r="R658" s="126">
        <f t="shared" si="74"/>
        <v>0</v>
      </c>
      <c r="S658" s="126">
        <f t="shared" si="35"/>
        <v>0.06</v>
      </c>
      <c r="T658" s="126">
        <f t="shared" si="545"/>
        <v>13.08</v>
      </c>
      <c r="U658" s="126">
        <v>0</v>
      </c>
      <c r="V658" s="126">
        <f t="shared" si="505"/>
        <v>0.36</v>
      </c>
      <c r="W658" s="126">
        <f t="shared" si="217"/>
        <v>0.01</v>
      </c>
      <c r="X658" s="126">
        <f t="shared" si="9"/>
        <v>13.51</v>
      </c>
      <c r="Y658" s="127">
        <f t="shared" si="554"/>
        <v>13061.49</v>
      </c>
      <c r="Z658" s="128">
        <f t="shared" si="402"/>
        <v>13061</v>
      </c>
      <c r="AA658" s="129">
        <f t="shared" si="47"/>
        <v>-0.48999999999978172</v>
      </c>
      <c r="AB658" s="120"/>
      <c r="AC658" s="130">
        <f t="shared" si="12"/>
        <v>1.0330000000000001E-3</v>
      </c>
      <c r="AD658" s="131">
        <f t="shared" si="13"/>
        <v>0</v>
      </c>
      <c r="AE658" s="132" t="s">
        <v>403</v>
      </c>
      <c r="AF658" s="119"/>
    </row>
    <row r="659" spans="1:32" ht="12" customHeight="1">
      <c r="A659" s="157">
        <v>44770</v>
      </c>
      <c r="B659" s="149" t="s">
        <v>307</v>
      </c>
      <c r="C659" s="149"/>
      <c r="D659" s="149"/>
      <c r="E659" s="149"/>
      <c r="F659" s="149"/>
      <c r="G659" s="149"/>
      <c r="H659" s="135" t="s">
        <v>453</v>
      </c>
      <c r="I659" s="134" t="s">
        <v>469</v>
      </c>
      <c r="J659" s="135" t="s">
        <v>471</v>
      </c>
      <c r="K659" s="136">
        <v>5</v>
      </c>
      <c r="L659" s="137">
        <v>839.6</v>
      </c>
      <c r="M659" s="138">
        <f t="shared" si="38"/>
        <v>0</v>
      </c>
      <c r="N659" s="138">
        <f>L659+M659</f>
        <v>839.6</v>
      </c>
      <c r="O659" s="138"/>
      <c r="P659" s="138">
        <f t="shared" si="2"/>
        <v>4198</v>
      </c>
      <c r="Q659" s="139">
        <f t="shared" si="3"/>
        <v>0.99399999999999999</v>
      </c>
      <c r="R659" s="139">
        <f t="shared" si="74"/>
        <v>0</v>
      </c>
      <c r="S659" s="139">
        <f t="shared" si="35"/>
        <v>0.02</v>
      </c>
      <c r="T659" s="139">
        <f t="shared" si="545"/>
        <v>4.2</v>
      </c>
      <c r="U659" s="139">
        <f>ROUND(P659*K$1812,2)</f>
        <v>0.63</v>
      </c>
      <c r="V659" s="139">
        <f t="shared" si="505"/>
        <v>0.12</v>
      </c>
      <c r="W659" s="139">
        <f t="shared" si="217"/>
        <v>0</v>
      </c>
      <c r="X659" s="140">
        <f t="shared" si="9"/>
        <v>4.97</v>
      </c>
      <c r="Y659" s="141">
        <f>-ROUND(P659+SUM(R659:W659),2)</f>
        <v>-4202.97</v>
      </c>
      <c r="Z659" s="142">
        <f t="shared" si="402"/>
        <v>-4203</v>
      </c>
      <c r="AA659" s="143">
        <f t="shared" si="47"/>
        <v>-2.9999999999745341E-2</v>
      </c>
      <c r="AB659" s="133"/>
      <c r="AC659" s="144">
        <f t="shared" si="12"/>
        <v>1.1839999999999999E-3</v>
      </c>
      <c r="AD659" s="145">
        <f t="shared" si="13"/>
        <v>0</v>
      </c>
      <c r="AE659" s="146" t="s">
        <v>403</v>
      </c>
      <c r="AF659" s="119"/>
    </row>
    <row r="660" spans="1:32" ht="12" customHeight="1">
      <c r="A660" s="150">
        <v>44771</v>
      </c>
      <c r="B660" s="151" t="s">
        <v>575</v>
      </c>
      <c r="C660" s="151"/>
      <c r="D660" s="151"/>
      <c r="E660" s="151"/>
      <c r="F660" s="151"/>
      <c r="G660" s="151"/>
      <c r="H660" s="122" t="s">
        <v>446</v>
      </c>
      <c r="I660" s="121" t="s">
        <v>469</v>
      </c>
      <c r="J660" s="122" t="s">
        <v>448</v>
      </c>
      <c r="K660" s="123">
        <v>240</v>
      </c>
      <c r="L660" s="124">
        <v>989.02269999999999</v>
      </c>
      <c r="M660" s="125">
        <f t="shared" si="38"/>
        <v>0</v>
      </c>
      <c r="N660" s="125">
        <f t="shared" ref="N660:N664" si="555">L660-M660</f>
        <v>989.02269999999999</v>
      </c>
      <c r="O660" s="125"/>
      <c r="P660" s="125">
        <f t="shared" si="2"/>
        <v>237365.45</v>
      </c>
      <c r="Q660" s="126">
        <f t="shared" si="3"/>
        <v>1.0221666666666667</v>
      </c>
      <c r="R660" s="126">
        <f t="shared" si="74"/>
        <v>0</v>
      </c>
      <c r="S660" s="126">
        <f t="shared" si="35"/>
        <v>1.18</v>
      </c>
      <c r="T660" s="126">
        <f t="shared" si="545"/>
        <v>237.37</v>
      </c>
      <c r="U660" s="126">
        <v>0</v>
      </c>
      <c r="V660" s="126">
        <f t="shared" si="505"/>
        <v>6.53</v>
      </c>
      <c r="W660" s="126">
        <f t="shared" si="217"/>
        <v>0.24</v>
      </c>
      <c r="X660" s="126">
        <f t="shared" si="9"/>
        <v>245.32000000000002</v>
      </c>
      <c r="Y660" s="127">
        <f t="shared" ref="Y660:Y664" si="556">ROUND(P660-SUM(R660:W660),2)</f>
        <v>237120.13</v>
      </c>
      <c r="Z660" s="128">
        <f t="shared" si="402"/>
        <v>237120</v>
      </c>
      <c r="AA660" s="129">
        <f t="shared" si="47"/>
        <v>-0.13000000000465661</v>
      </c>
      <c r="AB660" s="120"/>
      <c r="AC660" s="130">
        <f t="shared" si="12"/>
        <v>1.034E-3</v>
      </c>
      <c r="AD660" s="131">
        <f t="shared" si="13"/>
        <v>0</v>
      </c>
      <c r="AE660" s="132" t="s">
        <v>403</v>
      </c>
      <c r="AF660" s="119"/>
    </row>
    <row r="661" spans="1:32" ht="12" customHeight="1">
      <c r="A661" s="150">
        <v>44775</v>
      </c>
      <c r="B661" s="151" t="s">
        <v>504</v>
      </c>
      <c r="C661" s="151"/>
      <c r="D661" s="151"/>
      <c r="E661" s="151"/>
      <c r="F661" s="151"/>
      <c r="G661" s="151"/>
      <c r="H661" s="122" t="s">
        <v>446</v>
      </c>
      <c r="I661" s="121" t="s">
        <v>469</v>
      </c>
      <c r="J661" s="122" t="s">
        <v>471</v>
      </c>
      <c r="K661" s="123">
        <v>30</v>
      </c>
      <c r="L661" s="124">
        <v>478</v>
      </c>
      <c r="M661" s="125">
        <f t="shared" si="38"/>
        <v>0</v>
      </c>
      <c r="N661" s="125">
        <f t="shared" si="555"/>
        <v>478</v>
      </c>
      <c r="O661" s="125"/>
      <c r="P661" s="125">
        <f t="shared" si="2"/>
        <v>14340</v>
      </c>
      <c r="Q661" s="126">
        <f t="shared" si="3"/>
        <v>0.4936666666666667</v>
      </c>
      <c r="R661" s="126">
        <f t="shared" si="74"/>
        <v>0</v>
      </c>
      <c r="S661" s="126">
        <f t="shared" si="35"/>
        <v>7.0000000000000007E-2</v>
      </c>
      <c r="T661" s="126">
        <f t="shared" si="545"/>
        <v>14.34</v>
      </c>
      <c r="U661" s="126">
        <v>0</v>
      </c>
      <c r="V661" s="126">
        <f t="shared" si="505"/>
        <v>0.39</v>
      </c>
      <c r="W661" s="126">
        <f t="shared" si="217"/>
        <v>0.01</v>
      </c>
      <c r="X661" s="126">
        <f t="shared" si="9"/>
        <v>14.81</v>
      </c>
      <c r="Y661" s="127">
        <f t="shared" si="556"/>
        <v>14325.19</v>
      </c>
      <c r="Z661" s="128">
        <f t="shared" si="402"/>
        <v>14325</v>
      </c>
      <c r="AA661" s="129">
        <f t="shared" si="47"/>
        <v>-0.19000000000050932</v>
      </c>
      <c r="AB661" s="120"/>
      <c r="AC661" s="130">
        <f t="shared" si="12"/>
        <v>1.0330000000000001E-3</v>
      </c>
      <c r="AD661" s="131">
        <f t="shared" si="13"/>
        <v>0</v>
      </c>
      <c r="AE661" s="132" t="s">
        <v>403</v>
      </c>
      <c r="AF661" s="119"/>
    </row>
    <row r="662" spans="1:32" ht="12" customHeight="1">
      <c r="A662" s="150">
        <v>44775</v>
      </c>
      <c r="B662" s="151" t="s">
        <v>584</v>
      </c>
      <c r="C662" s="151"/>
      <c r="D662" s="151"/>
      <c r="E662" s="151"/>
      <c r="F662" s="151"/>
      <c r="G662" s="151"/>
      <c r="H662" s="122" t="s">
        <v>446</v>
      </c>
      <c r="I662" s="121" t="s">
        <v>469</v>
      </c>
      <c r="J662" s="122" t="s">
        <v>471</v>
      </c>
      <c r="K662" s="123">
        <v>1250</v>
      </c>
      <c r="L662" s="124">
        <v>13.05</v>
      </c>
      <c r="M662" s="125">
        <f t="shared" si="38"/>
        <v>0</v>
      </c>
      <c r="N662" s="125">
        <f t="shared" si="555"/>
        <v>13.05</v>
      </c>
      <c r="O662" s="125"/>
      <c r="P662" s="125">
        <f t="shared" si="2"/>
        <v>16312.5</v>
      </c>
      <c r="Q662" s="126">
        <f t="shared" si="3"/>
        <v>1.3487999999999997E-2</v>
      </c>
      <c r="R662" s="126">
        <f t="shared" si="74"/>
        <v>0</v>
      </c>
      <c r="S662" s="126">
        <f t="shared" si="35"/>
        <v>0.08</v>
      </c>
      <c r="T662" s="126">
        <f t="shared" si="545"/>
        <v>16.309999999999999</v>
      </c>
      <c r="U662" s="126">
        <v>0</v>
      </c>
      <c r="V662" s="126">
        <f t="shared" si="505"/>
        <v>0.45</v>
      </c>
      <c r="W662" s="126">
        <f t="shared" si="217"/>
        <v>0.02</v>
      </c>
      <c r="X662" s="126">
        <f t="shared" si="9"/>
        <v>16.859999999999996</v>
      </c>
      <c r="Y662" s="127">
        <f t="shared" si="556"/>
        <v>16295.64</v>
      </c>
      <c r="Z662" s="128">
        <f t="shared" si="402"/>
        <v>16296</v>
      </c>
      <c r="AA662" s="129">
        <f t="shared" si="47"/>
        <v>0.36000000000058208</v>
      </c>
      <c r="AB662" s="120"/>
      <c r="AC662" s="130">
        <f t="shared" si="12"/>
        <v>1.034E-3</v>
      </c>
      <c r="AD662" s="131">
        <f t="shared" si="13"/>
        <v>0</v>
      </c>
      <c r="AE662" s="132" t="s">
        <v>403</v>
      </c>
      <c r="AF662" s="119"/>
    </row>
    <row r="663" spans="1:32" ht="12" customHeight="1">
      <c r="A663" s="150">
        <v>44775</v>
      </c>
      <c r="B663" s="151" t="s">
        <v>587</v>
      </c>
      <c r="C663" s="151"/>
      <c r="D663" s="151"/>
      <c r="E663" s="151"/>
      <c r="F663" s="151"/>
      <c r="G663" s="151"/>
      <c r="H663" s="122" t="s">
        <v>446</v>
      </c>
      <c r="I663" s="121" t="s">
        <v>469</v>
      </c>
      <c r="J663" s="122" t="s">
        <v>471</v>
      </c>
      <c r="K663" s="123">
        <v>50</v>
      </c>
      <c r="L663" s="124">
        <v>107.375</v>
      </c>
      <c r="M663" s="125">
        <f t="shared" si="38"/>
        <v>0</v>
      </c>
      <c r="N663" s="125">
        <f t="shared" si="555"/>
        <v>107.375</v>
      </c>
      <c r="O663" s="125"/>
      <c r="P663" s="125">
        <f t="shared" si="2"/>
        <v>5368.75</v>
      </c>
      <c r="Q663" s="126">
        <f t="shared" si="3"/>
        <v>0.11120000000000001</v>
      </c>
      <c r="R663" s="126">
        <f t="shared" si="74"/>
        <v>0</v>
      </c>
      <c r="S663" s="126">
        <f t="shared" si="35"/>
        <v>0.03</v>
      </c>
      <c r="T663" s="126">
        <f t="shared" si="545"/>
        <v>5.37</v>
      </c>
      <c r="U663" s="126">
        <v>0</v>
      </c>
      <c r="V663" s="126">
        <f t="shared" si="505"/>
        <v>0.15</v>
      </c>
      <c r="W663" s="126">
        <f t="shared" si="217"/>
        <v>0.01</v>
      </c>
      <c r="X663" s="126">
        <f t="shared" si="9"/>
        <v>5.5600000000000005</v>
      </c>
      <c r="Y663" s="127">
        <f t="shared" si="556"/>
        <v>5363.19</v>
      </c>
      <c r="Z663" s="128">
        <f t="shared" si="402"/>
        <v>5363</v>
      </c>
      <c r="AA663" s="129">
        <f t="shared" si="47"/>
        <v>-0.18999999999959982</v>
      </c>
      <c r="AB663" s="120"/>
      <c r="AC663" s="130">
        <f t="shared" si="12"/>
        <v>1.036E-3</v>
      </c>
      <c r="AD663" s="131">
        <f t="shared" si="13"/>
        <v>0</v>
      </c>
      <c r="AE663" s="132" t="s">
        <v>403</v>
      </c>
      <c r="AF663" s="119"/>
    </row>
    <row r="664" spans="1:32" ht="12" customHeight="1">
      <c r="A664" s="150">
        <v>44775</v>
      </c>
      <c r="B664" s="151" t="s">
        <v>479</v>
      </c>
      <c r="C664" s="151"/>
      <c r="D664" s="151"/>
      <c r="E664" s="151"/>
      <c r="F664" s="151"/>
      <c r="G664" s="151"/>
      <c r="H664" s="122" t="s">
        <v>446</v>
      </c>
      <c r="I664" s="121" t="s">
        <v>469</v>
      </c>
      <c r="J664" s="122" t="s">
        <v>471</v>
      </c>
      <c r="K664" s="123">
        <v>25</v>
      </c>
      <c r="L664" s="124">
        <v>542</v>
      </c>
      <c r="M664" s="125">
        <f t="shared" si="38"/>
        <v>0</v>
      </c>
      <c r="N664" s="125">
        <f t="shared" si="555"/>
        <v>542</v>
      </c>
      <c r="O664" s="125"/>
      <c r="P664" s="125">
        <f t="shared" si="2"/>
        <v>13550</v>
      </c>
      <c r="Q664" s="126">
        <f t="shared" si="3"/>
        <v>0.56000000000000005</v>
      </c>
      <c r="R664" s="126">
        <f t="shared" si="74"/>
        <v>0</v>
      </c>
      <c r="S664" s="126">
        <f t="shared" si="35"/>
        <v>7.0000000000000007E-2</v>
      </c>
      <c r="T664" s="126">
        <f t="shared" si="545"/>
        <v>13.55</v>
      </c>
      <c r="U664" s="126">
        <v>0</v>
      </c>
      <c r="V664" s="126">
        <f t="shared" si="505"/>
        <v>0.37</v>
      </c>
      <c r="W664" s="126">
        <f t="shared" si="217"/>
        <v>0.01</v>
      </c>
      <c r="X664" s="126">
        <f t="shared" si="9"/>
        <v>14</v>
      </c>
      <c r="Y664" s="127">
        <f t="shared" si="556"/>
        <v>13536</v>
      </c>
      <c r="Z664" s="128">
        <f t="shared" si="402"/>
        <v>13536</v>
      </c>
      <c r="AA664" s="129">
        <f t="shared" si="47"/>
        <v>0</v>
      </c>
      <c r="AB664" s="120"/>
      <c r="AC664" s="130">
        <f t="shared" si="12"/>
        <v>1.0330000000000001E-3</v>
      </c>
      <c r="AD664" s="131">
        <f t="shared" si="13"/>
        <v>0</v>
      </c>
      <c r="AE664" s="132" t="s">
        <v>403</v>
      </c>
      <c r="AF664" s="119"/>
    </row>
    <row r="665" spans="1:32" ht="12" customHeight="1">
      <c r="A665" s="157">
        <v>44775</v>
      </c>
      <c r="B665" s="149" t="s">
        <v>617</v>
      </c>
      <c r="C665" s="149"/>
      <c r="D665" s="149"/>
      <c r="E665" s="149"/>
      <c r="F665" s="149"/>
      <c r="G665" s="149"/>
      <c r="H665" s="135" t="s">
        <v>453</v>
      </c>
      <c r="I665" s="134" t="s">
        <v>469</v>
      </c>
      <c r="J665" s="135" t="s">
        <v>471</v>
      </c>
      <c r="K665" s="136">
        <v>50</v>
      </c>
      <c r="L665" s="137">
        <v>133.19999999999999</v>
      </c>
      <c r="M665" s="138">
        <f t="shared" si="38"/>
        <v>0</v>
      </c>
      <c r="N665" s="138">
        <f t="shared" ref="N665:N666" si="557">L665+M665</f>
        <v>133.19999999999999</v>
      </c>
      <c r="O665" s="138"/>
      <c r="P665" s="138">
        <f t="shared" si="2"/>
        <v>6660</v>
      </c>
      <c r="Q665" s="139">
        <f t="shared" si="3"/>
        <v>0.15759999999999999</v>
      </c>
      <c r="R665" s="139">
        <f t="shared" si="74"/>
        <v>0</v>
      </c>
      <c r="S665" s="139">
        <f t="shared" si="35"/>
        <v>0.03</v>
      </c>
      <c r="T665" s="139">
        <f t="shared" si="545"/>
        <v>6.66</v>
      </c>
      <c r="U665" s="139">
        <f t="shared" ref="U665:U666" si="558">ROUND(P665*K$1812,2)</f>
        <v>1</v>
      </c>
      <c r="V665" s="139">
        <f t="shared" si="505"/>
        <v>0.18</v>
      </c>
      <c r="W665" s="139">
        <f t="shared" si="217"/>
        <v>0.01</v>
      </c>
      <c r="X665" s="140">
        <f t="shared" si="9"/>
        <v>7.88</v>
      </c>
      <c r="Y665" s="141">
        <f t="shared" ref="Y665:Y666" si="559">-ROUND(P665+SUM(R665:W665),2)</f>
        <v>-6667.88</v>
      </c>
      <c r="Z665" s="142">
        <f t="shared" si="402"/>
        <v>-6668</v>
      </c>
      <c r="AA665" s="143">
        <f t="shared" si="47"/>
        <v>-0.11999999999989086</v>
      </c>
      <c r="AB665" s="133"/>
      <c r="AC665" s="144">
        <f t="shared" si="12"/>
        <v>1.183E-3</v>
      </c>
      <c r="AD665" s="145">
        <f t="shared" si="13"/>
        <v>0</v>
      </c>
      <c r="AE665" s="146" t="s">
        <v>403</v>
      </c>
      <c r="AF665" s="119"/>
    </row>
    <row r="666" spans="1:32" ht="12" customHeight="1">
      <c r="A666" s="157">
        <v>44775</v>
      </c>
      <c r="B666" s="149" t="s">
        <v>618</v>
      </c>
      <c r="C666" s="149"/>
      <c r="D666" s="149"/>
      <c r="E666" s="149"/>
      <c r="F666" s="149"/>
      <c r="G666" s="149"/>
      <c r="H666" s="135" t="s">
        <v>453</v>
      </c>
      <c r="I666" s="134" t="s">
        <v>469</v>
      </c>
      <c r="J666" s="135" t="s">
        <v>471</v>
      </c>
      <c r="K666" s="136">
        <v>10</v>
      </c>
      <c r="L666" s="137">
        <v>1790</v>
      </c>
      <c r="M666" s="138">
        <f t="shared" si="38"/>
        <v>0</v>
      </c>
      <c r="N666" s="138">
        <f t="shared" si="557"/>
        <v>1790</v>
      </c>
      <c r="O666" s="138"/>
      <c r="P666" s="138">
        <f t="shared" si="2"/>
        <v>17900</v>
      </c>
      <c r="Q666" s="139">
        <f t="shared" si="3"/>
        <v>2.1189999999999998</v>
      </c>
      <c r="R666" s="139">
        <f t="shared" si="74"/>
        <v>0</v>
      </c>
      <c r="S666" s="139">
        <f t="shared" si="35"/>
        <v>0.09</v>
      </c>
      <c r="T666" s="139">
        <f t="shared" si="545"/>
        <v>17.899999999999999</v>
      </c>
      <c r="U666" s="139">
        <f t="shared" si="558"/>
        <v>2.69</v>
      </c>
      <c r="V666" s="139">
        <f t="shared" si="505"/>
        <v>0.49</v>
      </c>
      <c r="W666" s="139">
        <f t="shared" si="217"/>
        <v>0.02</v>
      </c>
      <c r="X666" s="140">
        <f t="shared" si="9"/>
        <v>21.189999999999998</v>
      </c>
      <c r="Y666" s="141">
        <f t="shared" si="559"/>
        <v>-17921.189999999999</v>
      </c>
      <c r="Z666" s="142">
        <f t="shared" si="402"/>
        <v>-17921</v>
      </c>
      <c r="AA666" s="143">
        <f t="shared" si="47"/>
        <v>0.18999999999869033</v>
      </c>
      <c r="AB666" s="133"/>
      <c r="AC666" s="144">
        <f t="shared" si="12"/>
        <v>1.1839999999999999E-3</v>
      </c>
      <c r="AD666" s="145">
        <f t="shared" si="13"/>
        <v>0</v>
      </c>
      <c r="AE666" s="146" t="s">
        <v>403</v>
      </c>
      <c r="AF666" s="119"/>
    </row>
    <row r="667" spans="1:32" ht="12" customHeight="1">
      <c r="A667" s="150">
        <v>44776</v>
      </c>
      <c r="B667" s="151" t="s">
        <v>600</v>
      </c>
      <c r="C667" s="151"/>
      <c r="D667" s="151"/>
      <c r="E667" s="151"/>
      <c r="F667" s="151"/>
      <c r="G667" s="151"/>
      <c r="H667" s="122" t="s">
        <v>446</v>
      </c>
      <c r="I667" s="121" t="s">
        <v>469</v>
      </c>
      <c r="J667" s="122" t="s">
        <v>471</v>
      </c>
      <c r="K667" s="123">
        <v>5</v>
      </c>
      <c r="L667" s="124">
        <v>850</v>
      </c>
      <c r="M667" s="125">
        <f t="shared" si="38"/>
        <v>0</v>
      </c>
      <c r="N667" s="125">
        <f t="shared" ref="N667:N668" si="560">L667-M667</f>
        <v>850</v>
      </c>
      <c r="O667" s="125"/>
      <c r="P667" s="125">
        <f t="shared" si="2"/>
        <v>4250</v>
      </c>
      <c r="Q667" s="126">
        <f t="shared" si="3"/>
        <v>0.87799999999999989</v>
      </c>
      <c r="R667" s="126">
        <f t="shared" si="74"/>
        <v>0</v>
      </c>
      <c r="S667" s="126">
        <f t="shared" si="35"/>
        <v>0.02</v>
      </c>
      <c r="T667" s="126">
        <f t="shared" si="545"/>
        <v>4.25</v>
      </c>
      <c r="U667" s="126">
        <v>0</v>
      </c>
      <c r="V667" s="126">
        <f t="shared" si="505"/>
        <v>0.12</v>
      </c>
      <c r="W667" s="126">
        <f t="shared" si="217"/>
        <v>0</v>
      </c>
      <c r="X667" s="126">
        <f t="shared" si="9"/>
        <v>4.3899999999999997</v>
      </c>
      <c r="Y667" s="127">
        <f t="shared" ref="Y667:Y668" si="561">ROUND(P667-SUM(R667:W667),2)</f>
        <v>4245.6099999999997</v>
      </c>
      <c r="Z667" s="128">
        <f t="shared" si="402"/>
        <v>4246</v>
      </c>
      <c r="AA667" s="129">
        <f t="shared" si="47"/>
        <v>0.39000000000032742</v>
      </c>
      <c r="AB667" s="120"/>
      <c r="AC667" s="130">
        <f t="shared" si="12"/>
        <v>1.0330000000000001E-3</v>
      </c>
      <c r="AD667" s="131">
        <f t="shared" si="13"/>
        <v>0</v>
      </c>
      <c r="AE667" s="132" t="s">
        <v>403</v>
      </c>
      <c r="AF667" s="119"/>
    </row>
    <row r="668" spans="1:32" ht="12" customHeight="1">
      <c r="A668" s="150">
        <v>44777</v>
      </c>
      <c r="B668" s="151" t="s">
        <v>575</v>
      </c>
      <c r="C668" s="151"/>
      <c r="D668" s="151"/>
      <c r="E668" s="151"/>
      <c r="F668" s="151"/>
      <c r="G668" s="151"/>
      <c r="H668" s="122" t="s">
        <v>446</v>
      </c>
      <c r="I668" s="121" t="s">
        <v>469</v>
      </c>
      <c r="J668" s="122" t="s">
        <v>448</v>
      </c>
      <c r="K668" s="123">
        <v>230</v>
      </c>
      <c r="L668" s="124">
        <v>1030.4346</v>
      </c>
      <c r="M668" s="125">
        <f t="shared" si="38"/>
        <v>0</v>
      </c>
      <c r="N668" s="125">
        <f t="shared" si="560"/>
        <v>1030.4346</v>
      </c>
      <c r="O668" s="125"/>
      <c r="P668" s="125">
        <f t="shared" si="2"/>
        <v>236999.96</v>
      </c>
      <c r="Q668" s="126">
        <f t="shared" si="3"/>
        <v>1.064913043478261</v>
      </c>
      <c r="R668" s="126">
        <f t="shared" si="74"/>
        <v>0</v>
      </c>
      <c r="S668" s="126">
        <f t="shared" si="35"/>
        <v>1.17</v>
      </c>
      <c r="T668" s="126">
        <f t="shared" si="545"/>
        <v>237</v>
      </c>
      <c r="U668" s="126">
        <v>0</v>
      </c>
      <c r="V668" s="126">
        <f t="shared" si="505"/>
        <v>6.52</v>
      </c>
      <c r="W668" s="126">
        <f t="shared" si="217"/>
        <v>0.24</v>
      </c>
      <c r="X668" s="126">
        <f t="shared" si="9"/>
        <v>244.93</v>
      </c>
      <c r="Y668" s="127">
        <f t="shared" si="561"/>
        <v>236755.03</v>
      </c>
      <c r="Z668" s="128">
        <f t="shared" si="402"/>
        <v>236755</v>
      </c>
      <c r="AA668" s="129">
        <f t="shared" si="47"/>
        <v>-2.9999999998835847E-2</v>
      </c>
      <c r="AB668" s="120"/>
      <c r="AC668" s="130">
        <f t="shared" si="12"/>
        <v>1.0330000000000001E-3</v>
      </c>
      <c r="AD668" s="131">
        <f t="shared" si="13"/>
        <v>0</v>
      </c>
      <c r="AE668" s="132" t="s">
        <v>403</v>
      </c>
      <c r="AF668" s="119"/>
    </row>
    <row r="669" spans="1:32" ht="12" customHeight="1">
      <c r="A669" s="157">
        <v>44778</v>
      </c>
      <c r="B669" s="149" t="s">
        <v>575</v>
      </c>
      <c r="C669" s="149"/>
      <c r="D669" s="149"/>
      <c r="E669" s="149"/>
      <c r="F669" s="149"/>
      <c r="G669" s="149"/>
      <c r="H669" s="135" t="s">
        <v>453</v>
      </c>
      <c r="I669" s="134" t="s">
        <v>469</v>
      </c>
      <c r="J669" s="135" t="s">
        <v>448</v>
      </c>
      <c r="K669" s="136">
        <v>25</v>
      </c>
      <c r="L669" s="137">
        <v>1053</v>
      </c>
      <c r="M669" s="138">
        <f t="shared" si="38"/>
        <v>0</v>
      </c>
      <c r="N669" s="138">
        <f t="shared" ref="N669:N671" si="562">L669+M669</f>
        <v>1053</v>
      </c>
      <c r="O669" s="138"/>
      <c r="P669" s="138">
        <f t="shared" si="2"/>
        <v>26325</v>
      </c>
      <c r="Q669" s="139">
        <f t="shared" si="3"/>
        <v>1.2464</v>
      </c>
      <c r="R669" s="139">
        <f t="shared" si="74"/>
        <v>0</v>
      </c>
      <c r="S669" s="139">
        <f t="shared" si="35"/>
        <v>0.13</v>
      </c>
      <c r="T669" s="139">
        <f t="shared" si="545"/>
        <v>26.33</v>
      </c>
      <c r="U669" s="139">
        <f t="shared" ref="U669:U671" si="563">ROUND(P669*K$1812,2)</f>
        <v>3.95</v>
      </c>
      <c r="V669" s="139">
        <f t="shared" si="505"/>
        <v>0.72</v>
      </c>
      <c r="W669" s="139">
        <f t="shared" si="217"/>
        <v>0.03</v>
      </c>
      <c r="X669" s="140">
        <f t="shared" si="9"/>
        <v>31.159999999999997</v>
      </c>
      <c r="Y669" s="141">
        <f t="shared" ref="Y669:Y671" si="564">-ROUND(P669+SUM(R669:W669),2)</f>
        <v>-26356.16</v>
      </c>
      <c r="Z669" s="142">
        <f t="shared" si="402"/>
        <v>-26356</v>
      </c>
      <c r="AA669" s="143">
        <f t="shared" si="47"/>
        <v>0.15999999999985448</v>
      </c>
      <c r="AB669" s="133"/>
      <c r="AC669" s="144">
        <f t="shared" si="12"/>
        <v>1.1839999999999999E-3</v>
      </c>
      <c r="AD669" s="145">
        <f t="shared" si="13"/>
        <v>0</v>
      </c>
      <c r="AE669" s="146" t="s">
        <v>403</v>
      </c>
      <c r="AF669" s="119"/>
    </row>
    <row r="670" spans="1:32" ht="12" customHeight="1">
      <c r="A670" s="157">
        <v>44781</v>
      </c>
      <c r="B670" s="149" t="s">
        <v>575</v>
      </c>
      <c r="C670" s="149"/>
      <c r="D670" s="149"/>
      <c r="E670" s="149"/>
      <c r="F670" s="149"/>
      <c r="G670" s="149"/>
      <c r="H670" s="135" t="s">
        <v>453</v>
      </c>
      <c r="I670" s="134" t="s">
        <v>469</v>
      </c>
      <c r="J670" s="135" t="s">
        <v>448</v>
      </c>
      <c r="K670" s="136">
        <v>50</v>
      </c>
      <c r="L670" s="137">
        <v>1052.125</v>
      </c>
      <c r="M670" s="138">
        <f t="shared" si="38"/>
        <v>0</v>
      </c>
      <c r="N670" s="138">
        <f t="shared" si="562"/>
        <v>1052.125</v>
      </c>
      <c r="O670" s="138"/>
      <c r="P670" s="138">
        <f t="shared" si="2"/>
        <v>52606.25</v>
      </c>
      <c r="Q670" s="139">
        <f t="shared" si="3"/>
        <v>1.2451999999999999</v>
      </c>
      <c r="R670" s="139">
        <f t="shared" si="74"/>
        <v>0</v>
      </c>
      <c r="S670" s="139">
        <f t="shared" si="35"/>
        <v>0.26</v>
      </c>
      <c r="T670" s="139">
        <f t="shared" si="545"/>
        <v>52.61</v>
      </c>
      <c r="U670" s="139">
        <f t="shared" si="563"/>
        <v>7.89</v>
      </c>
      <c r="V670" s="139">
        <f t="shared" si="505"/>
        <v>1.45</v>
      </c>
      <c r="W670" s="139">
        <f t="shared" si="217"/>
        <v>0.05</v>
      </c>
      <c r="X670" s="140">
        <f t="shared" si="9"/>
        <v>62.26</v>
      </c>
      <c r="Y670" s="141">
        <f t="shared" si="564"/>
        <v>-52668.51</v>
      </c>
      <c r="Z670" s="142">
        <f t="shared" si="402"/>
        <v>-52669</v>
      </c>
      <c r="AA670" s="143">
        <f t="shared" si="47"/>
        <v>-0.48999999999796273</v>
      </c>
      <c r="AB670" s="133"/>
      <c r="AC670" s="144">
        <f t="shared" si="12"/>
        <v>1.1839999999999999E-3</v>
      </c>
      <c r="AD670" s="145">
        <f t="shared" si="13"/>
        <v>0</v>
      </c>
      <c r="AE670" s="146" t="s">
        <v>403</v>
      </c>
      <c r="AF670" s="119"/>
    </row>
    <row r="671" spans="1:32" ht="12" customHeight="1">
      <c r="A671" s="157">
        <v>44783</v>
      </c>
      <c r="B671" s="149" t="s">
        <v>575</v>
      </c>
      <c r="C671" s="149"/>
      <c r="D671" s="149"/>
      <c r="E671" s="149"/>
      <c r="F671" s="149"/>
      <c r="G671" s="149"/>
      <c r="H671" s="135" t="s">
        <v>453</v>
      </c>
      <c r="I671" s="134" t="s">
        <v>469</v>
      </c>
      <c r="J671" s="135" t="s">
        <v>448</v>
      </c>
      <c r="K671" s="136">
        <v>125</v>
      </c>
      <c r="L671" s="137">
        <v>1011</v>
      </c>
      <c r="M671" s="138">
        <f t="shared" si="38"/>
        <v>0</v>
      </c>
      <c r="N671" s="138">
        <f t="shared" si="562"/>
        <v>1011</v>
      </c>
      <c r="O671" s="138"/>
      <c r="P671" s="138">
        <f t="shared" si="2"/>
        <v>126375</v>
      </c>
      <c r="Q671" s="139">
        <f t="shared" si="3"/>
        <v>1.1966399999999999</v>
      </c>
      <c r="R671" s="139">
        <f t="shared" si="74"/>
        <v>0</v>
      </c>
      <c r="S671" s="139">
        <f t="shared" si="35"/>
        <v>0.63</v>
      </c>
      <c r="T671" s="139">
        <f t="shared" si="545"/>
        <v>126.38</v>
      </c>
      <c r="U671" s="139">
        <f t="shared" si="563"/>
        <v>18.96</v>
      </c>
      <c r="V671" s="139">
        <f t="shared" si="505"/>
        <v>3.48</v>
      </c>
      <c r="W671" s="139">
        <f t="shared" si="217"/>
        <v>0.13</v>
      </c>
      <c r="X671" s="140">
        <f t="shared" si="9"/>
        <v>149.57999999999998</v>
      </c>
      <c r="Y671" s="141">
        <f t="shared" si="564"/>
        <v>-126524.58</v>
      </c>
      <c r="Z671" s="142">
        <f t="shared" si="402"/>
        <v>-126525</v>
      </c>
      <c r="AA671" s="143">
        <f t="shared" si="47"/>
        <v>-0.41999999999825377</v>
      </c>
      <c r="AB671" s="133"/>
      <c r="AC671" s="144">
        <f t="shared" si="12"/>
        <v>1.1839999999999999E-3</v>
      </c>
      <c r="AD671" s="145">
        <f t="shared" si="13"/>
        <v>0</v>
      </c>
      <c r="AE671" s="146" t="s">
        <v>403</v>
      </c>
      <c r="AF671" s="119"/>
    </row>
    <row r="672" spans="1:32" ht="12" customHeight="1">
      <c r="A672" s="150">
        <v>44785</v>
      </c>
      <c r="B672" s="151" t="s">
        <v>307</v>
      </c>
      <c r="C672" s="151"/>
      <c r="D672" s="151"/>
      <c r="E672" s="151"/>
      <c r="F672" s="151"/>
      <c r="G672" s="151"/>
      <c r="H672" s="122" t="s">
        <v>446</v>
      </c>
      <c r="I672" s="121" t="s">
        <v>469</v>
      </c>
      <c r="J672" s="122" t="s">
        <v>471</v>
      </c>
      <c r="K672" s="123">
        <v>5</v>
      </c>
      <c r="L672" s="124">
        <v>829</v>
      </c>
      <c r="M672" s="125">
        <f t="shared" si="38"/>
        <v>0</v>
      </c>
      <c r="N672" s="125">
        <f t="shared" ref="N672:N677" si="565">L672-M672</f>
        <v>829</v>
      </c>
      <c r="O672" s="125"/>
      <c r="P672" s="125">
        <f t="shared" si="2"/>
        <v>4145</v>
      </c>
      <c r="Q672" s="126">
        <f t="shared" si="3"/>
        <v>0.85600000000000009</v>
      </c>
      <c r="R672" s="126">
        <f t="shared" si="74"/>
        <v>0</v>
      </c>
      <c r="S672" s="126">
        <f t="shared" si="35"/>
        <v>0.02</v>
      </c>
      <c r="T672" s="126">
        <f t="shared" si="545"/>
        <v>4.1500000000000004</v>
      </c>
      <c r="U672" s="126">
        <v>0</v>
      </c>
      <c r="V672" s="126">
        <f t="shared" si="505"/>
        <v>0.11</v>
      </c>
      <c r="W672" s="126">
        <f t="shared" si="217"/>
        <v>0</v>
      </c>
      <c r="X672" s="126">
        <f t="shared" si="9"/>
        <v>4.28</v>
      </c>
      <c r="Y672" s="127">
        <f t="shared" ref="Y672:Y677" si="566">ROUND(P672-SUM(R672:W672),2)</f>
        <v>4140.72</v>
      </c>
      <c r="Z672" s="128">
        <f t="shared" si="402"/>
        <v>4141</v>
      </c>
      <c r="AA672" s="129">
        <f t="shared" si="47"/>
        <v>0.27999999999974534</v>
      </c>
      <c r="AB672" s="120"/>
      <c r="AC672" s="130">
        <f t="shared" si="12"/>
        <v>1.0330000000000001E-3</v>
      </c>
      <c r="AD672" s="131">
        <f t="shared" si="13"/>
        <v>0</v>
      </c>
      <c r="AE672" s="132" t="s">
        <v>403</v>
      </c>
      <c r="AF672" s="119"/>
    </row>
    <row r="673" spans="1:32" ht="12" customHeight="1">
      <c r="A673" s="150">
        <v>44785</v>
      </c>
      <c r="B673" s="151" t="s">
        <v>603</v>
      </c>
      <c r="C673" s="151"/>
      <c r="D673" s="151"/>
      <c r="E673" s="151"/>
      <c r="F673" s="151"/>
      <c r="G673" s="151"/>
      <c r="H673" s="122" t="s">
        <v>446</v>
      </c>
      <c r="I673" s="121" t="s">
        <v>469</v>
      </c>
      <c r="J673" s="122" t="s">
        <v>471</v>
      </c>
      <c r="K673" s="123">
        <v>1000</v>
      </c>
      <c r="L673" s="124">
        <v>13.8</v>
      </c>
      <c r="M673" s="125">
        <f t="shared" si="38"/>
        <v>0</v>
      </c>
      <c r="N673" s="125">
        <f t="shared" si="565"/>
        <v>13.8</v>
      </c>
      <c r="O673" s="125"/>
      <c r="P673" s="125">
        <f t="shared" si="2"/>
        <v>13800</v>
      </c>
      <c r="Q673" s="126">
        <f t="shared" si="3"/>
        <v>1.4260000000000002E-2</v>
      </c>
      <c r="R673" s="126">
        <f t="shared" si="74"/>
        <v>0</v>
      </c>
      <c r="S673" s="126">
        <f t="shared" si="35"/>
        <v>7.0000000000000007E-2</v>
      </c>
      <c r="T673" s="126">
        <f t="shared" si="545"/>
        <v>13.8</v>
      </c>
      <c r="U673" s="126">
        <v>0</v>
      </c>
      <c r="V673" s="126">
        <f t="shared" si="505"/>
        <v>0.38</v>
      </c>
      <c r="W673" s="126">
        <f t="shared" si="217"/>
        <v>0.01</v>
      </c>
      <c r="X673" s="126">
        <f t="shared" si="9"/>
        <v>14.260000000000002</v>
      </c>
      <c r="Y673" s="127">
        <f t="shared" si="566"/>
        <v>13785.74</v>
      </c>
      <c r="Z673" s="128">
        <f t="shared" si="402"/>
        <v>13786</v>
      </c>
      <c r="AA673" s="129">
        <f t="shared" si="47"/>
        <v>0.26000000000021828</v>
      </c>
      <c r="AB673" s="120"/>
      <c r="AC673" s="130">
        <f t="shared" si="12"/>
        <v>1.0330000000000001E-3</v>
      </c>
      <c r="AD673" s="131">
        <f t="shared" si="13"/>
        <v>0</v>
      </c>
      <c r="AE673" s="132" t="s">
        <v>403</v>
      </c>
      <c r="AF673" s="119"/>
    </row>
    <row r="674" spans="1:32" ht="12" customHeight="1">
      <c r="A674" s="150">
        <v>44785</v>
      </c>
      <c r="B674" s="151" t="s">
        <v>465</v>
      </c>
      <c r="C674" s="151"/>
      <c r="D674" s="151"/>
      <c r="E674" s="151"/>
      <c r="F674" s="151"/>
      <c r="G674" s="151"/>
      <c r="H674" s="122" t="s">
        <v>446</v>
      </c>
      <c r="I674" s="121" t="s">
        <v>469</v>
      </c>
      <c r="J674" s="122" t="s">
        <v>471</v>
      </c>
      <c r="K674" s="123">
        <v>10</v>
      </c>
      <c r="L674" s="124">
        <v>234.95</v>
      </c>
      <c r="M674" s="125">
        <f t="shared" si="38"/>
        <v>0</v>
      </c>
      <c r="N674" s="125">
        <f t="shared" si="565"/>
        <v>234.95</v>
      </c>
      <c r="O674" s="125"/>
      <c r="P674" s="125">
        <f t="shared" si="2"/>
        <v>2349.5</v>
      </c>
      <c r="Q674" s="126">
        <f t="shared" si="3"/>
        <v>0.24199999999999999</v>
      </c>
      <c r="R674" s="126">
        <f t="shared" si="74"/>
        <v>0</v>
      </c>
      <c r="S674" s="126">
        <f t="shared" si="35"/>
        <v>0.01</v>
      </c>
      <c r="T674" s="126">
        <f t="shared" si="545"/>
        <v>2.35</v>
      </c>
      <c r="U674" s="126">
        <v>0</v>
      </c>
      <c r="V674" s="126">
        <f t="shared" si="505"/>
        <v>0.06</v>
      </c>
      <c r="W674" s="126">
        <f t="shared" si="217"/>
        <v>0</v>
      </c>
      <c r="X674" s="126">
        <f t="shared" si="9"/>
        <v>2.42</v>
      </c>
      <c r="Y674" s="127">
        <f t="shared" si="566"/>
        <v>2347.08</v>
      </c>
      <c r="Z674" s="128">
        <f t="shared" si="402"/>
        <v>2347</v>
      </c>
      <c r="AA674" s="129">
        <f t="shared" si="47"/>
        <v>-7.999999999992724E-2</v>
      </c>
      <c r="AB674" s="120"/>
      <c r="AC674" s="130">
        <f t="shared" si="12"/>
        <v>1.0300000000000001E-3</v>
      </c>
      <c r="AD674" s="131">
        <f t="shared" si="13"/>
        <v>0</v>
      </c>
      <c r="AE674" s="132" t="s">
        <v>403</v>
      </c>
      <c r="AF674" s="119"/>
    </row>
    <row r="675" spans="1:32" ht="12" customHeight="1">
      <c r="A675" s="150">
        <v>44789</v>
      </c>
      <c r="B675" s="151" t="s">
        <v>575</v>
      </c>
      <c r="C675" s="151"/>
      <c r="D675" s="151"/>
      <c r="E675" s="151"/>
      <c r="F675" s="151"/>
      <c r="G675" s="151"/>
      <c r="H675" s="122" t="s">
        <v>446</v>
      </c>
      <c r="I675" s="121" t="s">
        <v>469</v>
      </c>
      <c r="J675" s="122" t="s">
        <v>448</v>
      </c>
      <c r="K675" s="123">
        <v>225</v>
      </c>
      <c r="L675" s="124">
        <v>1061.5333000000001</v>
      </c>
      <c r="M675" s="125">
        <f t="shared" si="38"/>
        <v>0</v>
      </c>
      <c r="N675" s="125">
        <f t="shared" si="565"/>
        <v>1061.5333000000001</v>
      </c>
      <c r="O675" s="125"/>
      <c r="P675" s="125">
        <f t="shared" si="2"/>
        <v>238844.99</v>
      </c>
      <c r="Q675" s="126">
        <f t="shared" si="3"/>
        <v>1.0970222222222223</v>
      </c>
      <c r="R675" s="126">
        <f t="shared" si="74"/>
        <v>0</v>
      </c>
      <c r="S675" s="126">
        <f t="shared" si="35"/>
        <v>1.18</v>
      </c>
      <c r="T675" s="126">
        <f t="shared" si="545"/>
        <v>238.84</v>
      </c>
      <c r="U675" s="126">
        <v>0</v>
      </c>
      <c r="V675" s="126">
        <f t="shared" si="505"/>
        <v>6.57</v>
      </c>
      <c r="W675" s="126">
        <f t="shared" si="217"/>
        <v>0.24</v>
      </c>
      <c r="X675" s="126">
        <f t="shared" si="9"/>
        <v>246.83</v>
      </c>
      <c r="Y675" s="127">
        <f t="shared" si="566"/>
        <v>238598.16</v>
      </c>
      <c r="Z675" s="128">
        <f t="shared" si="402"/>
        <v>238598</v>
      </c>
      <c r="AA675" s="129">
        <f t="shared" si="47"/>
        <v>-0.16000000000349246</v>
      </c>
      <c r="AB675" s="120"/>
      <c r="AC675" s="130">
        <f t="shared" si="12"/>
        <v>1.0330000000000001E-3</v>
      </c>
      <c r="AD675" s="131">
        <f t="shared" si="13"/>
        <v>0</v>
      </c>
      <c r="AE675" s="132" t="s">
        <v>403</v>
      </c>
      <c r="AF675" s="119"/>
    </row>
    <row r="676" spans="1:32" ht="12" customHeight="1">
      <c r="A676" s="150">
        <v>44790</v>
      </c>
      <c r="B676" s="151" t="s">
        <v>584</v>
      </c>
      <c r="C676" s="151"/>
      <c r="D676" s="151"/>
      <c r="E676" s="151"/>
      <c r="F676" s="151"/>
      <c r="G676" s="151"/>
      <c r="H676" s="122" t="s">
        <v>446</v>
      </c>
      <c r="I676" s="121" t="s">
        <v>469</v>
      </c>
      <c r="J676" s="122" t="s">
        <v>471</v>
      </c>
      <c r="K676" s="123">
        <v>1000</v>
      </c>
      <c r="L676" s="124">
        <v>13.49</v>
      </c>
      <c r="M676" s="125">
        <f t="shared" si="38"/>
        <v>0</v>
      </c>
      <c r="N676" s="125">
        <f t="shared" si="565"/>
        <v>13.49</v>
      </c>
      <c r="O676" s="125"/>
      <c r="P676" s="125">
        <f t="shared" si="2"/>
        <v>13490</v>
      </c>
      <c r="Q676" s="126">
        <f t="shared" si="3"/>
        <v>1.3939999999999999E-2</v>
      </c>
      <c r="R676" s="126">
        <f t="shared" si="74"/>
        <v>0</v>
      </c>
      <c r="S676" s="126">
        <f t="shared" si="35"/>
        <v>7.0000000000000007E-2</v>
      </c>
      <c r="T676" s="126">
        <f t="shared" si="545"/>
        <v>13.49</v>
      </c>
      <c r="U676" s="126">
        <v>0</v>
      </c>
      <c r="V676" s="126">
        <f t="shared" si="505"/>
        <v>0.37</v>
      </c>
      <c r="W676" s="126">
        <f t="shared" si="217"/>
        <v>0.01</v>
      </c>
      <c r="X676" s="126">
        <f t="shared" si="9"/>
        <v>13.94</v>
      </c>
      <c r="Y676" s="127">
        <f t="shared" si="566"/>
        <v>13476.06</v>
      </c>
      <c r="Z676" s="128">
        <f t="shared" si="402"/>
        <v>13476</v>
      </c>
      <c r="AA676" s="129">
        <f t="shared" si="47"/>
        <v>-5.9999999999490683E-2</v>
      </c>
      <c r="AB676" s="120"/>
      <c r="AC676" s="130">
        <f t="shared" si="12"/>
        <v>1.0330000000000001E-3</v>
      </c>
      <c r="AD676" s="131">
        <f t="shared" si="13"/>
        <v>0</v>
      </c>
      <c r="AE676" s="132" t="s">
        <v>403</v>
      </c>
      <c r="AF676" s="119"/>
    </row>
    <row r="677" spans="1:32" ht="12" customHeight="1">
      <c r="A677" s="150">
        <v>44792</v>
      </c>
      <c r="B677" s="151" t="s">
        <v>618</v>
      </c>
      <c r="C677" s="151"/>
      <c r="D677" s="151"/>
      <c r="E677" s="151"/>
      <c r="F677" s="151"/>
      <c r="G677" s="151"/>
      <c r="H677" s="122" t="s">
        <v>446</v>
      </c>
      <c r="I677" s="121" t="s">
        <v>469</v>
      </c>
      <c r="J677" s="122" t="s">
        <v>471</v>
      </c>
      <c r="K677" s="123">
        <v>10</v>
      </c>
      <c r="L677" s="124">
        <v>1910</v>
      </c>
      <c r="M677" s="125">
        <f t="shared" si="38"/>
        <v>0</v>
      </c>
      <c r="N677" s="125">
        <f t="shared" si="565"/>
        <v>1910</v>
      </c>
      <c r="O677" s="125"/>
      <c r="P677" s="125">
        <f t="shared" si="2"/>
        <v>19100</v>
      </c>
      <c r="Q677" s="126">
        <f t="shared" si="3"/>
        <v>1.9750000000000003</v>
      </c>
      <c r="R677" s="126">
        <f t="shared" si="74"/>
        <v>0</v>
      </c>
      <c r="S677" s="126">
        <f t="shared" si="35"/>
        <v>0.1</v>
      </c>
      <c r="T677" s="126">
        <f t="shared" si="545"/>
        <v>19.100000000000001</v>
      </c>
      <c r="U677" s="126">
        <v>0</v>
      </c>
      <c r="V677" s="126">
        <f t="shared" si="505"/>
        <v>0.53</v>
      </c>
      <c r="W677" s="126">
        <f t="shared" si="217"/>
        <v>0.02</v>
      </c>
      <c r="X677" s="126">
        <f t="shared" si="9"/>
        <v>19.750000000000004</v>
      </c>
      <c r="Y677" s="127">
        <f t="shared" si="566"/>
        <v>19080.25</v>
      </c>
      <c r="Z677" s="128">
        <f t="shared" si="402"/>
        <v>19080</v>
      </c>
      <c r="AA677" s="129">
        <f t="shared" si="47"/>
        <v>-0.25</v>
      </c>
      <c r="AB677" s="120"/>
      <c r="AC677" s="130">
        <f t="shared" si="12"/>
        <v>1.034E-3</v>
      </c>
      <c r="AD677" s="131">
        <f t="shared" si="13"/>
        <v>0</v>
      </c>
      <c r="AE677" s="132" t="s">
        <v>403</v>
      </c>
      <c r="AF677" s="119"/>
    </row>
    <row r="678" spans="1:32" ht="12" customHeight="1">
      <c r="A678" s="157">
        <v>44795</v>
      </c>
      <c r="B678" s="149" t="s">
        <v>618</v>
      </c>
      <c r="C678" s="149"/>
      <c r="D678" s="149"/>
      <c r="E678" s="149"/>
      <c r="F678" s="149"/>
      <c r="G678" s="149"/>
      <c r="H678" s="135" t="s">
        <v>453</v>
      </c>
      <c r="I678" s="134" t="s">
        <v>469</v>
      </c>
      <c r="J678" s="135" t="s">
        <v>471</v>
      </c>
      <c r="K678" s="136">
        <v>20</v>
      </c>
      <c r="L678" s="137">
        <v>1904.5</v>
      </c>
      <c r="M678" s="138">
        <f>ROUND(L678*L$1799,2)</f>
        <v>0</v>
      </c>
      <c r="N678" s="138">
        <f t="shared" ref="N678:N682" si="567">L678+M678</f>
        <v>1904.5</v>
      </c>
      <c r="O678" s="138"/>
      <c r="P678" s="138">
        <f t="shared" si="2"/>
        <v>38090</v>
      </c>
      <c r="Q678" s="139">
        <f t="shared" si="3"/>
        <v>2.2444999999999999</v>
      </c>
      <c r="R678" s="139">
        <f t="shared" si="74"/>
        <v>0</v>
      </c>
      <c r="S678" s="139">
        <f>ROUND((R678+V678)*M$1802,2)</f>
        <v>0</v>
      </c>
      <c r="T678" s="139">
        <f t="shared" si="545"/>
        <v>38.090000000000003</v>
      </c>
      <c r="U678" s="139">
        <f t="shared" ref="U678:U682" si="568">ROUND(P678*K$1812,2)</f>
        <v>5.71</v>
      </c>
      <c r="V678" s="139">
        <f t="shared" si="505"/>
        <v>1.05</v>
      </c>
      <c r="W678" s="139">
        <f t="shared" si="217"/>
        <v>0.04</v>
      </c>
      <c r="X678" s="140">
        <f t="shared" si="9"/>
        <v>44.89</v>
      </c>
      <c r="Y678" s="141">
        <f t="shared" ref="Y678:Y682" si="569">-ROUND(P678+SUM(R678:W678),2)</f>
        <v>-38134.89</v>
      </c>
      <c r="Z678" s="142">
        <f t="shared" si="402"/>
        <v>-38135</v>
      </c>
      <c r="AA678" s="143">
        <f t="shared" si="47"/>
        <v>-0.11000000000058208</v>
      </c>
      <c r="AB678" s="133"/>
      <c r="AC678" s="144">
        <f t="shared" si="12"/>
        <v>1.1789999999999999E-3</v>
      </c>
      <c r="AD678" s="145">
        <f t="shared" si="13"/>
        <v>0</v>
      </c>
      <c r="AE678" s="146" t="s">
        <v>403</v>
      </c>
      <c r="AF678" s="119"/>
    </row>
    <row r="679" spans="1:32" ht="12" customHeight="1">
      <c r="A679" s="157">
        <v>44795</v>
      </c>
      <c r="B679" s="149" t="s">
        <v>619</v>
      </c>
      <c r="C679" s="149"/>
      <c r="D679" s="149"/>
      <c r="E679" s="149"/>
      <c r="F679" s="149"/>
      <c r="G679" s="149"/>
      <c r="H679" s="135" t="s">
        <v>453</v>
      </c>
      <c r="I679" s="134" t="s">
        <v>469</v>
      </c>
      <c r="J679" s="135" t="s">
        <v>471</v>
      </c>
      <c r="K679" s="136">
        <v>100</v>
      </c>
      <c r="L679" s="137">
        <v>8.4</v>
      </c>
      <c r="M679" s="138">
        <f t="shared" ref="M679:M680" si="570">ROUND(L679*L$1800,2)</f>
        <v>0</v>
      </c>
      <c r="N679" s="138">
        <f t="shared" si="567"/>
        <v>8.4</v>
      </c>
      <c r="O679" s="138"/>
      <c r="P679" s="138">
        <f t="shared" si="2"/>
        <v>840</v>
      </c>
      <c r="Q679" s="139">
        <f t="shared" si="3"/>
        <v>9.8999999999999991E-3</v>
      </c>
      <c r="R679" s="139">
        <f t="shared" si="74"/>
        <v>0</v>
      </c>
      <c r="S679" s="139">
        <f t="shared" ref="S679:S680" si="571">ROUND((R679+V679)*M$1803,2)</f>
        <v>0</v>
      </c>
      <c r="T679" s="139">
        <f t="shared" si="545"/>
        <v>0.84</v>
      </c>
      <c r="U679" s="139">
        <f t="shared" si="568"/>
        <v>0.13</v>
      </c>
      <c r="V679" s="139">
        <f t="shared" si="505"/>
        <v>0.02</v>
      </c>
      <c r="W679" s="139">
        <f t="shared" si="217"/>
        <v>0</v>
      </c>
      <c r="X679" s="140">
        <f t="shared" si="9"/>
        <v>0.99</v>
      </c>
      <c r="Y679" s="141">
        <f t="shared" si="569"/>
        <v>-840.99</v>
      </c>
      <c r="Z679" s="142">
        <f t="shared" si="402"/>
        <v>-841</v>
      </c>
      <c r="AA679" s="143">
        <f t="shared" si="47"/>
        <v>-9.9999999999909051E-3</v>
      </c>
      <c r="AB679" s="133"/>
      <c r="AC679" s="144">
        <f t="shared" si="12"/>
        <v>1.1789999999999999E-3</v>
      </c>
      <c r="AD679" s="145">
        <f t="shared" si="13"/>
        <v>0</v>
      </c>
      <c r="AE679" s="146" t="s">
        <v>403</v>
      </c>
      <c r="AF679" s="119"/>
    </row>
    <row r="680" spans="1:32" ht="12" customHeight="1">
      <c r="A680" s="157">
        <v>44795</v>
      </c>
      <c r="B680" s="149" t="s">
        <v>620</v>
      </c>
      <c r="C680" s="149"/>
      <c r="D680" s="149"/>
      <c r="E680" s="149"/>
      <c r="F680" s="149"/>
      <c r="G680" s="149"/>
      <c r="H680" s="135" t="s">
        <v>453</v>
      </c>
      <c r="I680" s="134" t="s">
        <v>469</v>
      </c>
      <c r="J680" s="135" t="s">
        <v>471</v>
      </c>
      <c r="K680" s="136">
        <v>1</v>
      </c>
      <c r="L680" s="137">
        <v>9800</v>
      </c>
      <c r="M680" s="138">
        <f t="shared" si="570"/>
        <v>0</v>
      </c>
      <c r="N680" s="138">
        <f t="shared" si="567"/>
        <v>9800</v>
      </c>
      <c r="O680" s="138"/>
      <c r="P680" s="138">
        <f t="shared" si="2"/>
        <v>9800</v>
      </c>
      <c r="Q680" s="139">
        <f t="shared" si="3"/>
        <v>11.55</v>
      </c>
      <c r="R680" s="139">
        <f t="shared" si="74"/>
        <v>0</v>
      </c>
      <c r="S680" s="139">
        <f t="shared" si="571"/>
        <v>0</v>
      </c>
      <c r="T680" s="139">
        <f t="shared" si="545"/>
        <v>9.8000000000000007</v>
      </c>
      <c r="U680" s="139">
        <f t="shared" si="568"/>
        <v>1.47</v>
      </c>
      <c r="V680" s="139">
        <f t="shared" si="505"/>
        <v>0.27</v>
      </c>
      <c r="W680" s="139">
        <f t="shared" si="217"/>
        <v>0.01</v>
      </c>
      <c r="X680" s="140">
        <f t="shared" si="9"/>
        <v>11.55</v>
      </c>
      <c r="Y680" s="141">
        <f t="shared" si="569"/>
        <v>-9811.5499999999993</v>
      </c>
      <c r="Z680" s="142">
        <f t="shared" si="402"/>
        <v>-9812</v>
      </c>
      <c r="AA680" s="143">
        <f t="shared" si="47"/>
        <v>-0.4500000000007276</v>
      </c>
      <c r="AB680" s="133"/>
      <c r="AC680" s="144">
        <f t="shared" si="12"/>
        <v>1.1789999999999999E-3</v>
      </c>
      <c r="AD680" s="145">
        <f t="shared" si="13"/>
        <v>0</v>
      </c>
      <c r="AE680" s="146" t="s">
        <v>403</v>
      </c>
      <c r="AF680" s="119"/>
    </row>
    <row r="681" spans="1:32" ht="12" customHeight="1">
      <c r="A681" s="157">
        <v>44795</v>
      </c>
      <c r="B681" s="149" t="s">
        <v>590</v>
      </c>
      <c r="C681" s="149"/>
      <c r="D681" s="149"/>
      <c r="E681" s="149"/>
      <c r="F681" s="149"/>
      <c r="G681" s="149"/>
      <c r="H681" s="135" t="s">
        <v>453</v>
      </c>
      <c r="I681" s="134" t="s">
        <v>469</v>
      </c>
      <c r="J681" s="135" t="s">
        <v>471</v>
      </c>
      <c r="K681" s="136">
        <v>50</v>
      </c>
      <c r="L681" s="137">
        <v>107.5</v>
      </c>
      <c r="M681" s="138">
        <f>ROUND(L681*L$1801,2)</f>
        <v>0</v>
      </c>
      <c r="N681" s="138">
        <f t="shared" si="567"/>
        <v>107.5</v>
      </c>
      <c r="O681" s="138"/>
      <c r="P681" s="138">
        <f t="shared" si="2"/>
        <v>5375</v>
      </c>
      <c r="Q681" s="139">
        <f t="shared" si="3"/>
        <v>0.127</v>
      </c>
      <c r="R681" s="139">
        <f t="shared" si="74"/>
        <v>0</v>
      </c>
      <c r="S681" s="139">
        <f>ROUND((R681+V681)*M$1804,2)</f>
        <v>0</v>
      </c>
      <c r="T681" s="139">
        <f t="shared" si="545"/>
        <v>5.38</v>
      </c>
      <c r="U681" s="139">
        <f t="shared" si="568"/>
        <v>0.81</v>
      </c>
      <c r="V681" s="139">
        <f t="shared" si="505"/>
        <v>0.15</v>
      </c>
      <c r="W681" s="139">
        <f t="shared" si="217"/>
        <v>0.01</v>
      </c>
      <c r="X681" s="140">
        <f t="shared" si="9"/>
        <v>6.35</v>
      </c>
      <c r="Y681" s="141">
        <f t="shared" si="569"/>
        <v>-5381.35</v>
      </c>
      <c r="Z681" s="142">
        <f t="shared" si="402"/>
        <v>-5381</v>
      </c>
      <c r="AA681" s="143">
        <f t="shared" si="47"/>
        <v>0.3500000000003638</v>
      </c>
      <c r="AB681" s="133"/>
      <c r="AC681" s="144">
        <f t="shared" si="12"/>
        <v>1.181E-3</v>
      </c>
      <c r="AD681" s="145">
        <f t="shared" si="13"/>
        <v>0</v>
      </c>
      <c r="AE681" s="146" t="s">
        <v>403</v>
      </c>
      <c r="AF681" s="119"/>
    </row>
    <row r="682" spans="1:32" ht="12" customHeight="1">
      <c r="A682" s="157">
        <v>44795</v>
      </c>
      <c r="B682" s="149" t="s">
        <v>575</v>
      </c>
      <c r="C682" s="149"/>
      <c r="D682" s="149"/>
      <c r="E682" s="149"/>
      <c r="F682" s="149"/>
      <c r="G682" s="149"/>
      <c r="H682" s="135" t="s">
        <v>453</v>
      </c>
      <c r="I682" s="134" t="s">
        <v>469</v>
      </c>
      <c r="J682" s="135" t="s">
        <v>448</v>
      </c>
      <c r="K682" s="136">
        <v>430</v>
      </c>
      <c r="L682" s="137">
        <v>1020.7477</v>
      </c>
      <c r="M682" s="138">
        <f t="shared" ref="M682:M827" si="572">ROUND(L682*L$1802,2)</f>
        <v>0</v>
      </c>
      <c r="N682" s="138">
        <f t="shared" si="567"/>
        <v>1020.7477</v>
      </c>
      <c r="O682" s="138"/>
      <c r="P682" s="138">
        <f t="shared" si="2"/>
        <v>438921.51</v>
      </c>
      <c r="Q682" s="139">
        <f t="shared" si="3"/>
        <v>1.2080000000000004</v>
      </c>
      <c r="R682" s="139">
        <f t="shared" si="74"/>
        <v>0</v>
      </c>
      <c r="S682" s="139">
        <f t="shared" ref="S682:S827" si="573">ROUND((R682+V682)*M$1805,2)</f>
        <v>2.17</v>
      </c>
      <c r="T682" s="139">
        <f t="shared" si="545"/>
        <v>438.92</v>
      </c>
      <c r="U682" s="139">
        <f t="shared" si="568"/>
        <v>65.84</v>
      </c>
      <c r="V682" s="139">
        <f t="shared" si="505"/>
        <v>12.07</v>
      </c>
      <c r="W682" s="139">
        <f t="shared" si="217"/>
        <v>0.44</v>
      </c>
      <c r="X682" s="140">
        <f t="shared" si="9"/>
        <v>519.44000000000017</v>
      </c>
      <c r="Y682" s="141">
        <f t="shared" si="569"/>
        <v>-439440.95</v>
      </c>
      <c r="Z682" s="142">
        <f t="shared" si="402"/>
        <v>-439441</v>
      </c>
      <c r="AA682" s="143">
        <f t="shared" si="47"/>
        <v>-4.9999999988358468E-2</v>
      </c>
      <c r="AB682" s="133"/>
      <c r="AC682" s="144">
        <f t="shared" si="12"/>
        <v>1.183E-3</v>
      </c>
      <c r="AD682" s="145">
        <f t="shared" si="13"/>
        <v>0</v>
      </c>
      <c r="AE682" s="146" t="s">
        <v>403</v>
      </c>
      <c r="AF682" s="119"/>
    </row>
    <row r="683" spans="1:32" ht="12" customHeight="1">
      <c r="A683" s="150">
        <v>44796</v>
      </c>
      <c r="B683" s="151" t="s">
        <v>614</v>
      </c>
      <c r="C683" s="151"/>
      <c r="D683" s="151"/>
      <c r="E683" s="151"/>
      <c r="F683" s="151"/>
      <c r="G683" s="151"/>
      <c r="H683" s="122" t="s">
        <v>446</v>
      </c>
      <c r="I683" s="121" t="s">
        <v>469</v>
      </c>
      <c r="J683" s="122" t="s">
        <v>471</v>
      </c>
      <c r="K683" s="123">
        <v>5</v>
      </c>
      <c r="L683" s="124">
        <v>1339</v>
      </c>
      <c r="M683" s="125">
        <f t="shared" si="572"/>
        <v>0</v>
      </c>
      <c r="N683" s="125">
        <f t="shared" ref="N683:N685" si="574">L683-M683</f>
        <v>1339</v>
      </c>
      <c r="O683" s="125"/>
      <c r="P683" s="125">
        <f t="shared" si="2"/>
        <v>6695</v>
      </c>
      <c r="Q683" s="126">
        <f t="shared" si="3"/>
        <v>1.3839999999999999</v>
      </c>
      <c r="R683" s="126">
        <f t="shared" si="74"/>
        <v>0</v>
      </c>
      <c r="S683" s="126">
        <f t="shared" si="573"/>
        <v>0.03</v>
      </c>
      <c r="T683" s="126">
        <f t="shared" si="545"/>
        <v>6.7</v>
      </c>
      <c r="U683" s="126">
        <v>0</v>
      </c>
      <c r="V683" s="126">
        <f t="shared" si="505"/>
        <v>0.18</v>
      </c>
      <c r="W683" s="126">
        <f t="shared" si="217"/>
        <v>0.01</v>
      </c>
      <c r="X683" s="126">
        <f t="shared" si="9"/>
        <v>6.92</v>
      </c>
      <c r="Y683" s="127">
        <f t="shared" ref="Y683:Y685" si="575">ROUND(P683-SUM(R683:W683),2)</f>
        <v>6688.08</v>
      </c>
      <c r="Z683" s="128">
        <f t="shared" si="402"/>
        <v>6688</v>
      </c>
      <c r="AA683" s="129">
        <f t="shared" si="47"/>
        <v>-7.999999999992724E-2</v>
      </c>
      <c r="AB683" s="120"/>
      <c r="AC683" s="130">
        <f t="shared" si="12"/>
        <v>1.034E-3</v>
      </c>
      <c r="AD683" s="131">
        <f t="shared" si="13"/>
        <v>0</v>
      </c>
      <c r="AE683" s="132" t="s">
        <v>403</v>
      </c>
      <c r="AF683" s="119"/>
    </row>
    <row r="684" spans="1:32" ht="12" customHeight="1">
      <c r="A684" s="150">
        <v>44796</v>
      </c>
      <c r="B684" s="151" t="s">
        <v>600</v>
      </c>
      <c r="C684" s="151"/>
      <c r="D684" s="151"/>
      <c r="E684" s="151"/>
      <c r="F684" s="151"/>
      <c r="G684" s="151"/>
      <c r="H684" s="122" t="s">
        <v>446</v>
      </c>
      <c r="I684" s="121" t="s">
        <v>469</v>
      </c>
      <c r="J684" s="122" t="s">
        <v>471</v>
      </c>
      <c r="K684" s="123">
        <v>10</v>
      </c>
      <c r="L684" s="124">
        <v>820</v>
      </c>
      <c r="M684" s="125">
        <f t="shared" si="572"/>
        <v>0</v>
      </c>
      <c r="N684" s="125">
        <f t="shared" si="574"/>
        <v>820</v>
      </c>
      <c r="O684" s="125"/>
      <c r="P684" s="125">
        <f t="shared" si="2"/>
        <v>8200</v>
      </c>
      <c r="Q684" s="126">
        <f t="shared" si="3"/>
        <v>0.84799999999999986</v>
      </c>
      <c r="R684" s="126">
        <f t="shared" si="74"/>
        <v>0</v>
      </c>
      <c r="S684" s="126">
        <f t="shared" si="573"/>
        <v>0.04</v>
      </c>
      <c r="T684" s="126">
        <f t="shared" si="545"/>
        <v>8.1999999999999993</v>
      </c>
      <c r="U684" s="126">
        <v>0</v>
      </c>
      <c r="V684" s="126">
        <f t="shared" si="505"/>
        <v>0.23</v>
      </c>
      <c r="W684" s="126">
        <f t="shared" si="217"/>
        <v>0.01</v>
      </c>
      <c r="X684" s="126">
        <f t="shared" si="9"/>
        <v>8.4799999999999986</v>
      </c>
      <c r="Y684" s="127">
        <f t="shared" si="575"/>
        <v>8191.52</v>
      </c>
      <c r="Z684" s="128">
        <f t="shared" si="402"/>
        <v>8192</v>
      </c>
      <c r="AA684" s="129">
        <f t="shared" si="47"/>
        <v>0.47999999999956344</v>
      </c>
      <c r="AB684" s="120"/>
      <c r="AC684" s="130">
        <f t="shared" si="12"/>
        <v>1.034E-3</v>
      </c>
      <c r="AD684" s="131">
        <f t="shared" si="13"/>
        <v>0</v>
      </c>
      <c r="AE684" s="132" t="s">
        <v>403</v>
      </c>
      <c r="AF684" s="119"/>
    </row>
    <row r="685" spans="1:32" ht="12" customHeight="1">
      <c r="A685" s="150">
        <v>44796</v>
      </c>
      <c r="B685" s="151" t="s">
        <v>612</v>
      </c>
      <c r="C685" s="151"/>
      <c r="D685" s="151"/>
      <c r="E685" s="151"/>
      <c r="F685" s="151"/>
      <c r="G685" s="151"/>
      <c r="H685" s="122" t="s">
        <v>446</v>
      </c>
      <c r="I685" s="121" t="s">
        <v>469</v>
      </c>
      <c r="J685" s="122" t="s">
        <v>471</v>
      </c>
      <c r="K685" s="123">
        <v>50</v>
      </c>
      <c r="L685" s="124">
        <v>113.85</v>
      </c>
      <c r="M685" s="125">
        <f t="shared" si="572"/>
        <v>0</v>
      </c>
      <c r="N685" s="125">
        <f t="shared" si="574"/>
        <v>113.85</v>
      </c>
      <c r="O685" s="125"/>
      <c r="P685" s="125">
        <f t="shared" si="2"/>
        <v>5692.5</v>
      </c>
      <c r="Q685" s="126">
        <f t="shared" si="3"/>
        <v>0.11780000000000002</v>
      </c>
      <c r="R685" s="126">
        <f t="shared" si="74"/>
        <v>0</v>
      </c>
      <c r="S685" s="126">
        <f t="shared" si="573"/>
        <v>0.03</v>
      </c>
      <c r="T685" s="126">
        <f t="shared" si="545"/>
        <v>5.69</v>
      </c>
      <c r="U685" s="126">
        <v>0</v>
      </c>
      <c r="V685" s="126">
        <f t="shared" si="505"/>
        <v>0.16</v>
      </c>
      <c r="W685" s="126">
        <f t="shared" si="217"/>
        <v>0.01</v>
      </c>
      <c r="X685" s="126">
        <f t="shared" si="9"/>
        <v>5.8900000000000006</v>
      </c>
      <c r="Y685" s="127">
        <f t="shared" si="575"/>
        <v>5686.61</v>
      </c>
      <c r="Z685" s="128">
        <f t="shared" si="402"/>
        <v>5687</v>
      </c>
      <c r="AA685" s="129">
        <f t="shared" si="47"/>
        <v>0.39000000000032742</v>
      </c>
      <c r="AB685" s="120"/>
      <c r="AC685" s="130">
        <f t="shared" si="12"/>
        <v>1.0349999999999999E-3</v>
      </c>
      <c r="AD685" s="131">
        <f t="shared" si="13"/>
        <v>0</v>
      </c>
      <c r="AE685" s="132" t="s">
        <v>403</v>
      </c>
      <c r="AF685" s="119"/>
    </row>
    <row r="686" spans="1:32" ht="12" customHeight="1">
      <c r="A686" s="157">
        <v>44796</v>
      </c>
      <c r="B686" s="149" t="s">
        <v>466</v>
      </c>
      <c r="C686" s="149"/>
      <c r="D686" s="149"/>
      <c r="E686" s="149"/>
      <c r="F686" s="149"/>
      <c r="G686" s="149"/>
      <c r="H686" s="135" t="s">
        <v>453</v>
      </c>
      <c r="I686" s="134" t="s">
        <v>469</v>
      </c>
      <c r="J686" s="135" t="s">
        <v>471</v>
      </c>
      <c r="K686" s="136">
        <v>1</v>
      </c>
      <c r="L686" s="137">
        <v>3050</v>
      </c>
      <c r="M686" s="138">
        <f t="shared" si="572"/>
        <v>0</v>
      </c>
      <c r="N686" s="138">
        <f t="shared" ref="N686:N692" si="576">L686+M686</f>
        <v>3050</v>
      </c>
      <c r="O686" s="138"/>
      <c r="P686" s="138">
        <f t="shared" si="2"/>
        <v>3050</v>
      </c>
      <c r="Q686" s="139">
        <f t="shared" si="3"/>
        <v>3.5999999999999996</v>
      </c>
      <c r="R686" s="139">
        <f t="shared" si="74"/>
        <v>0</v>
      </c>
      <c r="S686" s="139">
        <f t="shared" si="573"/>
        <v>0.01</v>
      </c>
      <c r="T686" s="139">
        <f t="shared" si="545"/>
        <v>3.05</v>
      </c>
      <c r="U686" s="139">
        <f t="shared" ref="U686:U692" si="577">ROUND(P686*K$1812,2)</f>
        <v>0.46</v>
      </c>
      <c r="V686" s="139">
        <f t="shared" si="505"/>
        <v>0.08</v>
      </c>
      <c r="W686" s="139">
        <f t="shared" si="217"/>
        <v>0</v>
      </c>
      <c r="X686" s="140">
        <f t="shared" si="9"/>
        <v>3.5999999999999996</v>
      </c>
      <c r="Y686" s="141">
        <f t="shared" ref="Y686:Y692" si="578">-ROUND(P686+SUM(R686:W686),2)</f>
        <v>-3053.6</v>
      </c>
      <c r="Z686" s="142">
        <f t="shared" si="402"/>
        <v>-3054</v>
      </c>
      <c r="AA686" s="143">
        <f t="shared" si="47"/>
        <v>-0.40000000000009095</v>
      </c>
      <c r="AB686" s="133"/>
      <c r="AC686" s="144">
        <f t="shared" si="12"/>
        <v>1.1800000000000001E-3</v>
      </c>
      <c r="AD686" s="145">
        <f t="shared" si="13"/>
        <v>0</v>
      </c>
      <c r="AE686" s="146" t="s">
        <v>403</v>
      </c>
      <c r="AF686" s="119"/>
    </row>
    <row r="687" spans="1:32" ht="12" customHeight="1">
      <c r="A687" s="157">
        <v>44796</v>
      </c>
      <c r="B687" s="149" t="s">
        <v>470</v>
      </c>
      <c r="C687" s="149"/>
      <c r="D687" s="149"/>
      <c r="E687" s="149"/>
      <c r="F687" s="149"/>
      <c r="G687" s="149"/>
      <c r="H687" s="135" t="s">
        <v>453</v>
      </c>
      <c r="I687" s="134" t="s">
        <v>469</v>
      </c>
      <c r="J687" s="135" t="s">
        <v>471</v>
      </c>
      <c r="K687" s="136">
        <v>3</v>
      </c>
      <c r="L687" s="137">
        <v>2222</v>
      </c>
      <c r="M687" s="138">
        <f t="shared" si="572"/>
        <v>0</v>
      </c>
      <c r="N687" s="138">
        <f t="shared" si="576"/>
        <v>2222</v>
      </c>
      <c r="O687" s="138"/>
      <c r="P687" s="138">
        <f t="shared" si="2"/>
        <v>6666</v>
      </c>
      <c r="Q687" s="139">
        <f t="shared" si="3"/>
        <v>2.63</v>
      </c>
      <c r="R687" s="139">
        <f t="shared" si="74"/>
        <v>0</v>
      </c>
      <c r="S687" s="139">
        <f t="shared" si="573"/>
        <v>0.03</v>
      </c>
      <c r="T687" s="139">
        <f t="shared" si="545"/>
        <v>6.67</v>
      </c>
      <c r="U687" s="139">
        <f t="shared" si="577"/>
        <v>1</v>
      </c>
      <c r="V687" s="139">
        <f t="shared" si="505"/>
        <v>0.18</v>
      </c>
      <c r="W687" s="139">
        <f t="shared" si="217"/>
        <v>0.01</v>
      </c>
      <c r="X687" s="140">
        <f t="shared" si="9"/>
        <v>7.89</v>
      </c>
      <c r="Y687" s="141">
        <f t="shared" si="578"/>
        <v>-6673.89</v>
      </c>
      <c r="Z687" s="142">
        <f t="shared" si="402"/>
        <v>-6674</v>
      </c>
      <c r="AA687" s="143">
        <f t="shared" si="47"/>
        <v>-0.10999999999967258</v>
      </c>
      <c r="AB687" s="133"/>
      <c r="AC687" s="144">
        <f t="shared" si="12"/>
        <v>1.1839999999999999E-3</v>
      </c>
      <c r="AD687" s="145">
        <f t="shared" si="13"/>
        <v>0</v>
      </c>
      <c r="AE687" s="146" t="s">
        <v>403</v>
      </c>
      <c r="AF687" s="119"/>
    </row>
    <row r="688" spans="1:32" ht="12" customHeight="1">
      <c r="A688" s="157">
        <v>44796</v>
      </c>
      <c r="B688" s="149" t="s">
        <v>598</v>
      </c>
      <c r="C688" s="149"/>
      <c r="D688" s="149"/>
      <c r="E688" s="149"/>
      <c r="F688" s="149"/>
      <c r="G688" s="149"/>
      <c r="H688" s="135" t="s">
        <v>453</v>
      </c>
      <c r="I688" s="134" t="s">
        <v>469</v>
      </c>
      <c r="J688" s="135" t="s">
        <v>471</v>
      </c>
      <c r="K688" s="136">
        <v>30</v>
      </c>
      <c r="L688" s="137">
        <v>131.69999999999999</v>
      </c>
      <c r="M688" s="138">
        <f t="shared" si="572"/>
        <v>0</v>
      </c>
      <c r="N688" s="138">
        <f t="shared" si="576"/>
        <v>131.69999999999999</v>
      </c>
      <c r="O688" s="138"/>
      <c r="P688" s="138">
        <f t="shared" si="2"/>
        <v>3951</v>
      </c>
      <c r="Q688" s="139">
        <f t="shared" si="3"/>
        <v>0.1556666666666667</v>
      </c>
      <c r="R688" s="139">
        <f t="shared" si="74"/>
        <v>0</v>
      </c>
      <c r="S688" s="139">
        <f t="shared" si="573"/>
        <v>0.02</v>
      </c>
      <c r="T688" s="139">
        <f t="shared" si="545"/>
        <v>3.95</v>
      </c>
      <c r="U688" s="139">
        <f t="shared" si="577"/>
        <v>0.59</v>
      </c>
      <c r="V688" s="139">
        <f t="shared" si="505"/>
        <v>0.11</v>
      </c>
      <c r="W688" s="139">
        <f t="shared" si="217"/>
        <v>0</v>
      </c>
      <c r="X688" s="140">
        <f t="shared" si="9"/>
        <v>4.6700000000000008</v>
      </c>
      <c r="Y688" s="141">
        <f t="shared" si="578"/>
        <v>-3955.67</v>
      </c>
      <c r="Z688" s="142">
        <f t="shared" si="402"/>
        <v>-3956</v>
      </c>
      <c r="AA688" s="143">
        <f t="shared" si="47"/>
        <v>-0.32999999999992724</v>
      </c>
      <c r="AB688" s="133"/>
      <c r="AC688" s="144">
        <f t="shared" si="12"/>
        <v>1.1820000000000001E-3</v>
      </c>
      <c r="AD688" s="145">
        <f t="shared" si="13"/>
        <v>0</v>
      </c>
      <c r="AE688" s="146" t="s">
        <v>403</v>
      </c>
      <c r="AF688" s="119"/>
    </row>
    <row r="689" spans="1:32" ht="12" customHeight="1">
      <c r="A689" s="157">
        <v>44796</v>
      </c>
      <c r="B689" s="149" t="s">
        <v>458</v>
      </c>
      <c r="C689" s="149"/>
      <c r="D689" s="149"/>
      <c r="E689" s="149"/>
      <c r="F689" s="149"/>
      <c r="G689" s="149"/>
      <c r="H689" s="135" t="s">
        <v>453</v>
      </c>
      <c r="I689" s="134" t="s">
        <v>469</v>
      </c>
      <c r="J689" s="135" t="s">
        <v>471</v>
      </c>
      <c r="K689" s="136">
        <v>3</v>
      </c>
      <c r="L689" s="137">
        <v>1545</v>
      </c>
      <c r="M689" s="138">
        <f t="shared" si="572"/>
        <v>0</v>
      </c>
      <c r="N689" s="138">
        <f t="shared" si="576"/>
        <v>1545</v>
      </c>
      <c r="O689" s="138"/>
      <c r="P689" s="138">
        <f t="shared" si="2"/>
        <v>4635</v>
      </c>
      <c r="Q689" s="139">
        <f t="shared" si="3"/>
        <v>1.8299999999999998</v>
      </c>
      <c r="R689" s="139">
        <f t="shared" si="74"/>
        <v>0</v>
      </c>
      <c r="S689" s="139">
        <f t="shared" si="573"/>
        <v>0.02</v>
      </c>
      <c r="T689" s="139">
        <f t="shared" si="545"/>
        <v>4.6399999999999997</v>
      </c>
      <c r="U689" s="139">
        <f t="shared" si="577"/>
        <v>0.7</v>
      </c>
      <c r="V689" s="139">
        <f t="shared" si="505"/>
        <v>0.13</v>
      </c>
      <c r="W689" s="139">
        <f t="shared" si="217"/>
        <v>0</v>
      </c>
      <c r="X689" s="140">
        <f t="shared" si="9"/>
        <v>5.4899999999999993</v>
      </c>
      <c r="Y689" s="141">
        <f t="shared" si="578"/>
        <v>-4640.49</v>
      </c>
      <c r="Z689" s="142">
        <f t="shared" si="402"/>
        <v>-4640</v>
      </c>
      <c r="AA689" s="143">
        <f t="shared" si="47"/>
        <v>0.48999999999978172</v>
      </c>
      <c r="AB689" s="133"/>
      <c r="AC689" s="144">
        <f t="shared" si="12"/>
        <v>1.1839999999999999E-3</v>
      </c>
      <c r="AD689" s="145">
        <f t="shared" si="13"/>
        <v>0</v>
      </c>
      <c r="AE689" s="146" t="s">
        <v>403</v>
      </c>
      <c r="AF689" s="119"/>
    </row>
    <row r="690" spans="1:32" ht="12" customHeight="1">
      <c r="A690" s="157">
        <v>44796</v>
      </c>
      <c r="B690" s="149" t="s">
        <v>576</v>
      </c>
      <c r="C690" s="149"/>
      <c r="D690" s="149"/>
      <c r="E690" s="149"/>
      <c r="F690" s="149"/>
      <c r="G690" s="149"/>
      <c r="H690" s="135" t="s">
        <v>453</v>
      </c>
      <c r="I690" s="134" t="s">
        <v>469</v>
      </c>
      <c r="J690" s="135" t="s">
        <v>471</v>
      </c>
      <c r="K690" s="136">
        <v>5</v>
      </c>
      <c r="L690" s="137">
        <v>314.75</v>
      </c>
      <c r="M690" s="138">
        <f t="shared" si="572"/>
        <v>0</v>
      </c>
      <c r="N690" s="138">
        <f t="shared" si="576"/>
        <v>314.75</v>
      </c>
      <c r="O690" s="138"/>
      <c r="P690" s="138">
        <f t="shared" si="2"/>
        <v>1573.75</v>
      </c>
      <c r="Q690" s="139">
        <f t="shared" si="3"/>
        <v>0.372</v>
      </c>
      <c r="R690" s="139">
        <f t="shared" si="74"/>
        <v>0</v>
      </c>
      <c r="S690" s="139">
        <f t="shared" si="573"/>
        <v>0.01</v>
      </c>
      <c r="T690" s="139">
        <f t="shared" si="545"/>
        <v>1.57</v>
      </c>
      <c r="U690" s="139">
        <f t="shared" si="577"/>
        <v>0.24</v>
      </c>
      <c r="V690" s="139">
        <f t="shared" si="505"/>
        <v>0.04</v>
      </c>
      <c r="W690" s="139">
        <f t="shared" si="217"/>
        <v>0</v>
      </c>
      <c r="X690" s="140">
        <f t="shared" si="9"/>
        <v>1.86</v>
      </c>
      <c r="Y690" s="141">
        <f t="shared" si="578"/>
        <v>-1575.61</v>
      </c>
      <c r="Z690" s="142">
        <f t="shared" si="402"/>
        <v>-1576</v>
      </c>
      <c r="AA690" s="143">
        <f t="shared" si="47"/>
        <v>-0.39000000000010004</v>
      </c>
      <c r="AB690" s="133"/>
      <c r="AC690" s="144">
        <f t="shared" si="12"/>
        <v>1.1820000000000001E-3</v>
      </c>
      <c r="AD690" s="145">
        <f t="shared" si="13"/>
        <v>0</v>
      </c>
      <c r="AE690" s="146" t="s">
        <v>403</v>
      </c>
      <c r="AF690" s="119"/>
    </row>
    <row r="691" spans="1:32" ht="12" customHeight="1">
      <c r="A691" s="157">
        <v>44796</v>
      </c>
      <c r="B691" s="149" t="s">
        <v>575</v>
      </c>
      <c r="C691" s="149"/>
      <c r="D691" s="149"/>
      <c r="E691" s="149"/>
      <c r="F691" s="149"/>
      <c r="G691" s="149"/>
      <c r="H691" s="135" t="s">
        <v>453</v>
      </c>
      <c r="I691" s="134" t="s">
        <v>469</v>
      </c>
      <c r="J691" s="135" t="s">
        <v>448</v>
      </c>
      <c r="K691" s="136">
        <v>50</v>
      </c>
      <c r="L691" s="137">
        <v>1002.45</v>
      </c>
      <c r="M691" s="138">
        <f t="shared" si="572"/>
        <v>0</v>
      </c>
      <c r="N691" s="138">
        <f t="shared" si="576"/>
        <v>1002.45</v>
      </c>
      <c r="O691" s="138"/>
      <c r="P691" s="138">
        <f t="shared" si="2"/>
        <v>50122.5</v>
      </c>
      <c r="Q691" s="139">
        <f t="shared" si="3"/>
        <v>1.1863999999999999</v>
      </c>
      <c r="R691" s="139">
        <f t="shared" si="74"/>
        <v>0</v>
      </c>
      <c r="S691" s="139">
        <f t="shared" si="573"/>
        <v>0.25</v>
      </c>
      <c r="T691" s="139">
        <f t="shared" si="545"/>
        <v>50.12</v>
      </c>
      <c r="U691" s="139">
        <f t="shared" si="577"/>
        <v>7.52</v>
      </c>
      <c r="V691" s="139">
        <f t="shared" si="505"/>
        <v>1.38</v>
      </c>
      <c r="W691" s="139">
        <f t="shared" si="217"/>
        <v>0.05</v>
      </c>
      <c r="X691" s="140">
        <f t="shared" si="9"/>
        <v>59.32</v>
      </c>
      <c r="Y691" s="141">
        <f t="shared" si="578"/>
        <v>-50181.82</v>
      </c>
      <c r="Z691" s="142">
        <f t="shared" si="402"/>
        <v>-50182</v>
      </c>
      <c r="AA691" s="143">
        <f t="shared" si="47"/>
        <v>-0.18000000000029104</v>
      </c>
      <c r="AB691" s="133"/>
      <c r="AC691" s="144">
        <f t="shared" si="12"/>
        <v>1.1839999999999999E-3</v>
      </c>
      <c r="AD691" s="145">
        <f t="shared" si="13"/>
        <v>0</v>
      </c>
      <c r="AE691" s="146" t="s">
        <v>403</v>
      </c>
      <c r="AF691" s="119"/>
    </row>
    <row r="692" spans="1:32" ht="12" customHeight="1">
      <c r="A692" s="157">
        <v>44797</v>
      </c>
      <c r="B692" s="149" t="s">
        <v>573</v>
      </c>
      <c r="C692" s="149"/>
      <c r="D692" s="149"/>
      <c r="E692" s="149"/>
      <c r="F692" s="149"/>
      <c r="G692" s="149"/>
      <c r="H692" s="135" t="s">
        <v>453</v>
      </c>
      <c r="I692" s="134" t="s">
        <v>469</v>
      </c>
      <c r="J692" s="135" t="s">
        <v>471</v>
      </c>
      <c r="K692" s="136">
        <v>10</v>
      </c>
      <c r="L692" s="137">
        <v>785</v>
      </c>
      <c r="M692" s="138">
        <f t="shared" si="572"/>
        <v>0</v>
      </c>
      <c r="N692" s="138">
        <f t="shared" si="576"/>
        <v>785</v>
      </c>
      <c r="O692" s="138"/>
      <c r="P692" s="138">
        <f t="shared" si="2"/>
        <v>7850</v>
      </c>
      <c r="Q692" s="139">
        <f t="shared" si="3"/>
        <v>0.93</v>
      </c>
      <c r="R692" s="139">
        <f t="shared" si="74"/>
        <v>0</v>
      </c>
      <c r="S692" s="139">
        <f t="shared" si="573"/>
        <v>0.04</v>
      </c>
      <c r="T692" s="139">
        <f t="shared" si="545"/>
        <v>7.85</v>
      </c>
      <c r="U692" s="139">
        <f t="shared" si="577"/>
        <v>1.18</v>
      </c>
      <c r="V692" s="139">
        <f t="shared" si="505"/>
        <v>0.22</v>
      </c>
      <c r="W692" s="139">
        <f t="shared" si="217"/>
        <v>0.01</v>
      </c>
      <c r="X692" s="140">
        <f t="shared" si="9"/>
        <v>9.3000000000000007</v>
      </c>
      <c r="Y692" s="141">
        <f t="shared" si="578"/>
        <v>-7859.3</v>
      </c>
      <c r="Z692" s="142">
        <f t="shared" si="402"/>
        <v>-7859</v>
      </c>
      <c r="AA692" s="143">
        <f t="shared" si="47"/>
        <v>0.3000000000001819</v>
      </c>
      <c r="AB692" s="133"/>
      <c r="AC692" s="144">
        <f t="shared" si="12"/>
        <v>1.1850000000000001E-3</v>
      </c>
      <c r="AD692" s="145">
        <f t="shared" si="13"/>
        <v>0</v>
      </c>
      <c r="AE692" s="146" t="s">
        <v>403</v>
      </c>
      <c r="AF692" s="119"/>
    </row>
    <row r="693" spans="1:32" ht="12" customHeight="1">
      <c r="A693" s="150">
        <v>44797</v>
      </c>
      <c r="B693" s="151" t="s">
        <v>600</v>
      </c>
      <c r="C693" s="151"/>
      <c r="D693" s="151" t="s">
        <v>131</v>
      </c>
      <c r="E693" s="151" t="s">
        <v>131</v>
      </c>
      <c r="F693" s="151"/>
      <c r="G693" s="151"/>
      <c r="H693" s="122" t="s">
        <v>446</v>
      </c>
      <c r="I693" s="121" t="s">
        <v>469</v>
      </c>
      <c r="J693" s="122" t="s">
        <v>471</v>
      </c>
      <c r="K693" s="123">
        <v>10</v>
      </c>
      <c r="L693" s="124">
        <v>830</v>
      </c>
      <c r="M693" s="125">
        <f t="shared" si="572"/>
        <v>0</v>
      </c>
      <c r="N693" s="125">
        <f t="shared" ref="N693:N697" si="579">L693-M693</f>
        <v>830</v>
      </c>
      <c r="O693" s="125"/>
      <c r="P693" s="125">
        <f t="shared" si="2"/>
        <v>8300</v>
      </c>
      <c r="Q693" s="126">
        <f t="shared" si="3"/>
        <v>0.85799999999999998</v>
      </c>
      <c r="R693" s="126">
        <f t="shared" si="74"/>
        <v>0</v>
      </c>
      <c r="S693" s="126">
        <f t="shared" si="573"/>
        <v>0.04</v>
      </c>
      <c r="T693" s="126">
        <f t="shared" si="545"/>
        <v>8.3000000000000007</v>
      </c>
      <c r="U693" s="126">
        <v>0</v>
      </c>
      <c r="V693" s="126">
        <f t="shared" si="505"/>
        <v>0.23</v>
      </c>
      <c r="W693" s="126">
        <f t="shared" si="217"/>
        <v>0.01</v>
      </c>
      <c r="X693" s="126">
        <f t="shared" si="9"/>
        <v>8.58</v>
      </c>
      <c r="Y693" s="127">
        <f t="shared" ref="Y693:Y697" si="580">ROUND(P693-SUM(R693:W693),2)</f>
        <v>8291.42</v>
      </c>
      <c r="Z693" s="128">
        <f t="shared" si="402"/>
        <v>8291</v>
      </c>
      <c r="AA693" s="129">
        <f t="shared" si="47"/>
        <v>-0.42000000000007276</v>
      </c>
      <c r="AB693" s="120"/>
      <c r="AC693" s="130">
        <f t="shared" si="12"/>
        <v>1.034E-3</v>
      </c>
      <c r="AD693" s="131">
        <f t="shared" si="13"/>
        <v>0</v>
      </c>
      <c r="AE693" s="132" t="s">
        <v>403</v>
      </c>
      <c r="AF693" s="119"/>
    </row>
    <row r="694" spans="1:32" ht="12" customHeight="1">
      <c r="A694" s="150">
        <v>44797</v>
      </c>
      <c r="B694" s="151" t="s">
        <v>605</v>
      </c>
      <c r="C694" s="151"/>
      <c r="D694" s="151"/>
      <c r="E694" s="151"/>
      <c r="F694" s="151"/>
      <c r="G694" s="151"/>
      <c r="H694" s="122" t="s">
        <v>446</v>
      </c>
      <c r="I694" s="121" t="s">
        <v>469</v>
      </c>
      <c r="J694" s="122" t="s">
        <v>471</v>
      </c>
      <c r="K694" s="123">
        <v>150</v>
      </c>
      <c r="L694" s="124">
        <v>77.349999999999994</v>
      </c>
      <c r="M694" s="125">
        <f t="shared" si="572"/>
        <v>0</v>
      </c>
      <c r="N694" s="125">
        <f t="shared" si="579"/>
        <v>77.349999999999994</v>
      </c>
      <c r="O694" s="125"/>
      <c r="P694" s="125">
        <f t="shared" si="2"/>
        <v>11602.5</v>
      </c>
      <c r="Q694" s="126">
        <f t="shared" si="3"/>
        <v>0.16866666666666666</v>
      </c>
      <c r="R694" s="126">
        <f t="shared" si="74"/>
        <v>0</v>
      </c>
      <c r="S694" s="126">
        <f t="shared" si="573"/>
        <v>2.09</v>
      </c>
      <c r="T694" s="126">
        <f t="shared" si="545"/>
        <v>11.6</v>
      </c>
      <c r="U694" s="126">
        <v>0</v>
      </c>
      <c r="V694" s="126">
        <f>ROUND(P694*0.001,2)</f>
        <v>11.6</v>
      </c>
      <c r="W694" s="126">
        <f t="shared" si="217"/>
        <v>0.01</v>
      </c>
      <c r="X694" s="126">
        <f t="shared" si="9"/>
        <v>25.3</v>
      </c>
      <c r="Y694" s="127">
        <f t="shared" si="580"/>
        <v>11577.2</v>
      </c>
      <c r="Z694" s="128">
        <f t="shared" si="402"/>
        <v>11577</v>
      </c>
      <c r="AA694" s="129">
        <f t="shared" si="47"/>
        <v>-0.2000000000007276</v>
      </c>
      <c r="AB694" s="120"/>
      <c r="AC694" s="130">
        <f t="shared" si="12"/>
        <v>2.1810000000000002E-3</v>
      </c>
      <c r="AD694" s="131">
        <f t="shared" si="13"/>
        <v>0</v>
      </c>
      <c r="AE694" s="132" t="s">
        <v>403</v>
      </c>
      <c r="AF694" s="119"/>
    </row>
    <row r="695" spans="1:32" ht="12" customHeight="1">
      <c r="A695" s="150">
        <v>44797</v>
      </c>
      <c r="B695" s="151" t="s">
        <v>614</v>
      </c>
      <c r="C695" s="151"/>
      <c r="D695" s="151"/>
      <c r="E695" s="151"/>
      <c r="F695" s="151"/>
      <c r="G695" s="151"/>
      <c r="H695" s="122" t="s">
        <v>446</v>
      </c>
      <c r="I695" s="121" t="s">
        <v>469</v>
      </c>
      <c r="J695" s="122" t="s">
        <v>471</v>
      </c>
      <c r="K695" s="123">
        <v>5</v>
      </c>
      <c r="L695" s="124">
        <v>1398</v>
      </c>
      <c r="M695" s="125">
        <f t="shared" si="572"/>
        <v>0</v>
      </c>
      <c r="N695" s="125">
        <f t="shared" si="579"/>
        <v>1398</v>
      </c>
      <c r="O695" s="125"/>
      <c r="P695" s="125">
        <f t="shared" si="2"/>
        <v>6990</v>
      </c>
      <c r="Q695" s="126">
        <f t="shared" si="3"/>
        <v>1.4440000000000002</v>
      </c>
      <c r="R695" s="126">
        <f t="shared" si="74"/>
        <v>0</v>
      </c>
      <c r="S695" s="126">
        <f t="shared" si="573"/>
        <v>0.03</v>
      </c>
      <c r="T695" s="126">
        <f t="shared" si="545"/>
        <v>6.99</v>
      </c>
      <c r="U695" s="126">
        <v>0</v>
      </c>
      <c r="V695" s="126">
        <f t="shared" ref="V695:V827" si="581">ROUND(P695*L$1809,2)</f>
        <v>0.19</v>
      </c>
      <c r="W695" s="126">
        <f t="shared" si="217"/>
        <v>0.01</v>
      </c>
      <c r="X695" s="126">
        <f t="shared" si="9"/>
        <v>7.2200000000000006</v>
      </c>
      <c r="Y695" s="127">
        <f t="shared" si="580"/>
        <v>6982.78</v>
      </c>
      <c r="Z695" s="128">
        <f t="shared" si="402"/>
        <v>6983</v>
      </c>
      <c r="AA695" s="129">
        <f t="shared" si="47"/>
        <v>0.22000000000025466</v>
      </c>
      <c r="AB695" s="120"/>
      <c r="AC695" s="130">
        <f t="shared" si="12"/>
        <v>1.0330000000000001E-3</v>
      </c>
      <c r="AD695" s="131">
        <f t="shared" si="13"/>
        <v>0</v>
      </c>
      <c r="AE695" s="132" t="s">
        <v>403</v>
      </c>
      <c r="AF695" s="119"/>
    </row>
    <row r="696" spans="1:32" ht="12" customHeight="1">
      <c r="A696" s="150">
        <v>44797</v>
      </c>
      <c r="B696" s="151" t="s">
        <v>607</v>
      </c>
      <c r="C696" s="151"/>
      <c r="D696" s="151"/>
      <c r="E696" s="151"/>
      <c r="F696" s="151"/>
      <c r="G696" s="151"/>
      <c r="H696" s="122" t="s">
        <v>446</v>
      </c>
      <c r="I696" s="121" t="s">
        <v>469</v>
      </c>
      <c r="J696" s="122" t="s">
        <v>471</v>
      </c>
      <c r="K696" s="123">
        <v>200</v>
      </c>
      <c r="L696" s="124">
        <v>21.1</v>
      </c>
      <c r="M696" s="125">
        <f t="shared" si="572"/>
        <v>0</v>
      </c>
      <c r="N696" s="125">
        <f t="shared" si="579"/>
        <v>21.1</v>
      </c>
      <c r="O696" s="125"/>
      <c r="P696" s="125">
        <f t="shared" si="2"/>
        <v>4220</v>
      </c>
      <c r="Q696" s="126">
        <f t="shared" si="3"/>
        <v>2.1799999999999996E-2</v>
      </c>
      <c r="R696" s="126">
        <f t="shared" si="74"/>
        <v>0</v>
      </c>
      <c r="S696" s="126">
        <f t="shared" si="573"/>
        <v>0.02</v>
      </c>
      <c r="T696" s="126">
        <f t="shared" si="545"/>
        <v>4.22</v>
      </c>
      <c r="U696" s="126">
        <v>0</v>
      </c>
      <c r="V696" s="126">
        <f t="shared" si="581"/>
        <v>0.12</v>
      </c>
      <c r="W696" s="126">
        <f t="shared" si="217"/>
        <v>0</v>
      </c>
      <c r="X696" s="126">
        <f t="shared" si="9"/>
        <v>4.3599999999999994</v>
      </c>
      <c r="Y696" s="127">
        <f t="shared" si="580"/>
        <v>4215.6400000000003</v>
      </c>
      <c r="Z696" s="128">
        <f t="shared" si="402"/>
        <v>4216</v>
      </c>
      <c r="AA696" s="129">
        <f t="shared" si="47"/>
        <v>0.35999999999967258</v>
      </c>
      <c r="AB696" s="120"/>
      <c r="AC696" s="130">
        <f t="shared" si="12"/>
        <v>1.0330000000000001E-3</v>
      </c>
      <c r="AD696" s="131">
        <f t="shared" si="13"/>
        <v>0</v>
      </c>
      <c r="AE696" s="132" t="s">
        <v>403</v>
      </c>
      <c r="AF696" s="119"/>
    </row>
    <row r="697" spans="1:32" ht="12" customHeight="1">
      <c r="A697" s="150">
        <v>44798</v>
      </c>
      <c r="B697" s="151" t="s">
        <v>613</v>
      </c>
      <c r="C697" s="151"/>
      <c r="D697" s="151"/>
      <c r="E697" s="151"/>
      <c r="F697" s="151"/>
      <c r="G697" s="151"/>
      <c r="H697" s="122" t="s">
        <v>446</v>
      </c>
      <c r="I697" s="121" t="s">
        <v>469</v>
      </c>
      <c r="J697" s="122" t="s">
        <v>471</v>
      </c>
      <c r="K697" s="123">
        <v>100</v>
      </c>
      <c r="L697" s="124">
        <v>35.299999999999997</v>
      </c>
      <c r="M697" s="125">
        <f t="shared" si="572"/>
        <v>0</v>
      </c>
      <c r="N697" s="125">
        <f t="shared" si="579"/>
        <v>35.299999999999997</v>
      </c>
      <c r="O697" s="125"/>
      <c r="P697" s="125">
        <f t="shared" si="2"/>
        <v>3530</v>
      </c>
      <c r="Q697" s="126">
        <f t="shared" si="3"/>
        <v>3.6499999999999998E-2</v>
      </c>
      <c r="R697" s="126">
        <f t="shared" si="74"/>
        <v>0</v>
      </c>
      <c r="S697" s="126">
        <f t="shared" si="573"/>
        <v>0.02</v>
      </c>
      <c r="T697" s="126">
        <f t="shared" si="545"/>
        <v>3.53</v>
      </c>
      <c r="U697" s="126">
        <v>0</v>
      </c>
      <c r="V697" s="126">
        <f t="shared" si="581"/>
        <v>0.1</v>
      </c>
      <c r="W697" s="126">
        <f t="shared" si="217"/>
        <v>0</v>
      </c>
      <c r="X697" s="126">
        <f t="shared" si="9"/>
        <v>3.65</v>
      </c>
      <c r="Y697" s="127">
        <f t="shared" si="580"/>
        <v>3526.35</v>
      </c>
      <c r="Z697" s="128">
        <f t="shared" si="402"/>
        <v>3526</v>
      </c>
      <c r="AA697" s="129">
        <f t="shared" si="47"/>
        <v>-0.34999999999990905</v>
      </c>
      <c r="AB697" s="120"/>
      <c r="AC697" s="130">
        <f t="shared" si="12"/>
        <v>1.034E-3</v>
      </c>
      <c r="AD697" s="131">
        <f t="shared" si="13"/>
        <v>0</v>
      </c>
      <c r="AE697" s="132" t="s">
        <v>403</v>
      </c>
      <c r="AF697" s="119"/>
    </row>
    <row r="698" spans="1:32" ht="12" customHeight="1">
      <c r="A698" s="157">
        <v>44799</v>
      </c>
      <c r="B698" s="149" t="s">
        <v>533</v>
      </c>
      <c r="C698" s="149"/>
      <c r="D698" s="149"/>
      <c r="E698" s="149"/>
      <c r="F698" s="149"/>
      <c r="G698" s="149"/>
      <c r="H698" s="135" t="s">
        <v>453</v>
      </c>
      <c r="I698" s="134" t="s">
        <v>469</v>
      </c>
      <c r="J698" s="135" t="s">
        <v>471</v>
      </c>
      <c r="K698" s="136">
        <v>50</v>
      </c>
      <c r="L698" s="137">
        <v>69.5</v>
      </c>
      <c r="M698" s="138">
        <f t="shared" si="572"/>
        <v>0</v>
      </c>
      <c r="N698" s="138">
        <f t="shared" ref="N698:N700" si="582">L698+M698</f>
        <v>69.5</v>
      </c>
      <c r="O698" s="138"/>
      <c r="P698" s="138">
        <f t="shared" si="2"/>
        <v>3475</v>
      </c>
      <c r="Q698" s="139">
        <f t="shared" si="3"/>
        <v>8.2399999999999987E-2</v>
      </c>
      <c r="R698" s="139">
        <f t="shared" si="74"/>
        <v>0</v>
      </c>
      <c r="S698" s="139">
        <f t="shared" si="573"/>
        <v>0.02</v>
      </c>
      <c r="T698" s="139">
        <f t="shared" si="545"/>
        <v>3.48</v>
      </c>
      <c r="U698" s="139">
        <f t="shared" ref="U698:U700" si="583">ROUND(P698*K$1812,2)</f>
        <v>0.52</v>
      </c>
      <c r="V698" s="139">
        <f t="shared" si="581"/>
        <v>0.1</v>
      </c>
      <c r="W698" s="139">
        <f t="shared" si="217"/>
        <v>0</v>
      </c>
      <c r="X698" s="140">
        <f t="shared" si="9"/>
        <v>4.1199999999999992</v>
      </c>
      <c r="Y698" s="141">
        <f t="shared" ref="Y698:Y700" si="584">-ROUND(P698+SUM(R698:W698),2)</f>
        <v>-3479.12</v>
      </c>
      <c r="Z698" s="142">
        <f t="shared" si="402"/>
        <v>-3479</v>
      </c>
      <c r="AA698" s="143">
        <f t="shared" si="47"/>
        <v>0.11999999999989086</v>
      </c>
      <c r="AB698" s="133"/>
      <c r="AC698" s="144">
        <f t="shared" si="12"/>
        <v>1.186E-3</v>
      </c>
      <c r="AD698" s="145">
        <f t="shared" si="13"/>
        <v>0</v>
      </c>
      <c r="AE698" s="146" t="s">
        <v>403</v>
      </c>
      <c r="AF698" s="119"/>
    </row>
    <row r="699" spans="1:32" ht="12" customHeight="1">
      <c r="A699" s="157">
        <v>44802</v>
      </c>
      <c r="B699" s="149" t="s">
        <v>617</v>
      </c>
      <c r="C699" s="149"/>
      <c r="D699" s="149"/>
      <c r="E699" s="149"/>
      <c r="F699" s="149"/>
      <c r="G699" s="149"/>
      <c r="H699" s="135" t="s">
        <v>453</v>
      </c>
      <c r="I699" s="134" t="s">
        <v>469</v>
      </c>
      <c r="J699" s="135" t="s">
        <v>471</v>
      </c>
      <c r="K699" s="136">
        <v>50</v>
      </c>
      <c r="L699" s="137">
        <v>121.35</v>
      </c>
      <c r="M699" s="138">
        <f t="shared" si="572"/>
        <v>0</v>
      </c>
      <c r="N699" s="138">
        <f t="shared" si="582"/>
        <v>121.35</v>
      </c>
      <c r="O699" s="138"/>
      <c r="P699" s="138">
        <f t="shared" si="2"/>
        <v>6067.5</v>
      </c>
      <c r="Q699" s="139">
        <f t="shared" si="3"/>
        <v>0.14380000000000001</v>
      </c>
      <c r="R699" s="139">
        <f t="shared" si="74"/>
        <v>0</v>
      </c>
      <c r="S699" s="139">
        <f t="shared" si="573"/>
        <v>0.03</v>
      </c>
      <c r="T699" s="139">
        <f t="shared" si="545"/>
        <v>6.07</v>
      </c>
      <c r="U699" s="139">
        <f t="shared" si="583"/>
        <v>0.91</v>
      </c>
      <c r="V699" s="139">
        <f t="shared" si="581"/>
        <v>0.17</v>
      </c>
      <c r="W699" s="139">
        <f t="shared" si="217"/>
        <v>0.01</v>
      </c>
      <c r="X699" s="140">
        <f t="shared" si="9"/>
        <v>7.19</v>
      </c>
      <c r="Y699" s="141">
        <f t="shared" si="584"/>
        <v>-6074.69</v>
      </c>
      <c r="Z699" s="142">
        <f t="shared" si="402"/>
        <v>-6075</v>
      </c>
      <c r="AA699" s="143">
        <f t="shared" si="47"/>
        <v>-0.31000000000040018</v>
      </c>
      <c r="AB699" s="133"/>
      <c r="AC699" s="144">
        <f t="shared" si="12"/>
        <v>1.1850000000000001E-3</v>
      </c>
      <c r="AD699" s="145">
        <f t="shared" si="13"/>
        <v>0</v>
      </c>
      <c r="AE699" s="146" t="s">
        <v>403</v>
      </c>
      <c r="AF699" s="119"/>
    </row>
    <row r="700" spans="1:32" ht="12" customHeight="1">
      <c r="A700" s="157">
        <v>44802</v>
      </c>
      <c r="B700" s="149" t="s">
        <v>619</v>
      </c>
      <c r="C700" s="149"/>
      <c r="D700" s="149"/>
      <c r="E700" s="149"/>
      <c r="F700" s="149"/>
      <c r="G700" s="149"/>
      <c r="H700" s="135" t="s">
        <v>453</v>
      </c>
      <c r="I700" s="134" t="s">
        <v>469</v>
      </c>
      <c r="J700" s="135" t="s">
        <v>471</v>
      </c>
      <c r="K700" s="136">
        <v>900</v>
      </c>
      <c r="L700" s="137">
        <v>8.1</v>
      </c>
      <c r="M700" s="138">
        <f t="shared" si="572"/>
        <v>0</v>
      </c>
      <c r="N700" s="138">
        <f t="shared" si="582"/>
        <v>8.1</v>
      </c>
      <c r="O700" s="138"/>
      <c r="P700" s="138">
        <f t="shared" si="2"/>
        <v>7290</v>
      </c>
      <c r="Q700" s="139">
        <f t="shared" si="3"/>
        <v>9.5888888888888881E-3</v>
      </c>
      <c r="R700" s="139">
        <f t="shared" si="74"/>
        <v>0</v>
      </c>
      <c r="S700" s="139">
        <f t="shared" si="573"/>
        <v>0.04</v>
      </c>
      <c r="T700" s="139">
        <f t="shared" si="545"/>
        <v>7.29</v>
      </c>
      <c r="U700" s="139">
        <f t="shared" si="583"/>
        <v>1.0900000000000001</v>
      </c>
      <c r="V700" s="139">
        <f t="shared" si="581"/>
        <v>0.2</v>
      </c>
      <c r="W700" s="139">
        <f t="shared" si="217"/>
        <v>0.01</v>
      </c>
      <c r="X700" s="140">
        <f t="shared" si="9"/>
        <v>8.629999999999999</v>
      </c>
      <c r="Y700" s="141">
        <f t="shared" si="584"/>
        <v>-7298.63</v>
      </c>
      <c r="Z700" s="142">
        <f t="shared" si="402"/>
        <v>-7299</v>
      </c>
      <c r="AA700" s="143">
        <f t="shared" si="47"/>
        <v>-0.36999999999989086</v>
      </c>
      <c r="AB700" s="133"/>
      <c r="AC700" s="144">
        <f t="shared" si="12"/>
        <v>1.1839999999999999E-3</v>
      </c>
      <c r="AD700" s="145">
        <f t="shared" si="13"/>
        <v>0</v>
      </c>
      <c r="AE700" s="146" t="s">
        <v>403</v>
      </c>
      <c r="AF700" s="119"/>
    </row>
    <row r="701" spans="1:32" ht="12" customHeight="1">
      <c r="A701" s="150">
        <v>44802</v>
      </c>
      <c r="B701" s="151" t="s">
        <v>575</v>
      </c>
      <c r="C701" s="151"/>
      <c r="D701" s="151"/>
      <c r="E701" s="151"/>
      <c r="F701" s="151"/>
      <c r="G701" s="151"/>
      <c r="H701" s="122" t="s">
        <v>446</v>
      </c>
      <c r="I701" s="121" t="s">
        <v>469</v>
      </c>
      <c r="J701" s="122" t="s">
        <v>448</v>
      </c>
      <c r="K701" s="123">
        <v>100</v>
      </c>
      <c r="L701" s="124">
        <v>1027.626</v>
      </c>
      <c r="M701" s="125">
        <f t="shared" si="572"/>
        <v>0</v>
      </c>
      <c r="N701" s="125">
        <f>L701-M701</f>
        <v>1027.626</v>
      </c>
      <c r="O701" s="125"/>
      <c r="P701" s="125">
        <f t="shared" si="2"/>
        <v>102762.6</v>
      </c>
      <c r="Q701" s="126">
        <f t="shared" si="3"/>
        <v>1.0620000000000001</v>
      </c>
      <c r="R701" s="126">
        <f t="shared" si="74"/>
        <v>0</v>
      </c>
      <c r="S701" s="126">
        <f t="shared" si="573"/>
        <v>0.51</v>
      </c>
      <c r="T701" s="126">
        <f t="shared" si="545"/>
        <v>102.76</v>
      </c>
      <c r="U701" s="126">
        <v>0</v>
      </c>
      <c r="V701" s="126">
        <f t="shared" si="581"/>
        <v>2.83</v>
      </c>
      <c r="W701" s="126">
        <f t="shared" si="217"/>
        <v>0.1</v>
      </c>
      <c r="X701" s="126">
        <f t="shared" si="9"/>
        <v>106.2</v>
      </c>
      <c r="Y701" s="127">
        <f>ROUND(P701-SUM(R701:W701),2)</f>
        <v>102656.4</v>
      </c>
      <c r="Z701" s="128">
        <f t="shared" si="402"/>
        <v>102656</v>
      </c>
      <c r="AA701" s="129">
        <f t="shared" si="47"/>
        <v>-0.39999999999417923</v>
      </c>
      <c r="AB701" s="120"/>
      <c r="AC701" s="130">
        <f t="shared" si="12"/>
        <v>1.0330000000000001E-3</v>
      </c>
      <c r="AD701" s="131">
        <f t="shared" si="13"/>
        <v>0</v>
      </c>
      <c r="AE701" s="132" t="s">
        <v>403</v>
      </c>
      <c r="AF701" s="119"/>
    </row>
    <row r="702" spans="1:32" ht="12" customHeight="1">
      <c r="A702" s="157">
        <v>44803</v>
      </c>
      <c r="B702" s="149" t="s">
        <v>575</v>
      </c>
      <c r="C702" s="149"/>
      <c r="D702" s="149"/>
      <c r="E702" s="149"/>
      <c r="F702" s="149"/>
      <c r="G702" s="149"/>
      <c r="H702" s="135" t="s">
        <v>453</v>
      </c>
      <c r="I702" s="134" t="s">
        <v>469</v>
      </c>
      <c r="J702" s="135" t="s">
        <v>448</v>
      </c>
      <c r="K702" s="136">
        <v>8</v>
      </c>
      <c r="L702" s="137">
        <v>1026</v>
      </c>
      <c r="M702" s="138">
        <f t="shared" si="572"/>
        <v>0</v>
      </c>
      <c r="N702" s="138">
        <f>L702+M702</f>
        <v>1026</v>
      </c>
      <c r="O702" s="138"/>
      <c r="P702" s="138">
        <f t="shared" si="2"/>
        <v>8208</v>
      </c>
      <c r="Q702" s="139">
        <f t="shared" si="3"/>
        <v>1.2150000000000001</v>
      </c>
      <c r="R702" s="139">
        <f t="shared" si="74"/>
        <v>0</v>
      </c>
      <c r="S702" s="139">
        <f t="shared" si="573"/>
        <v>0.04</v>
      </c>
      <c r="T702" s="139">
        <f t="shared" si="545"/>
        <v>8.2100000000000009</v>
      </c>
      <c r="U702" s="139">
        <f>ROUND(P702*K$1812,2)</f>
        <v>1.23</v>
      </c>
      <c r="V702" s="139">
        <f t="shared" si="581"/>
        <v>0.23</v>
      </c>
      <c r="W702" s="139">
        <f t="shared" si="217"/>
        <v>0.01</v>
      </c>
      <c r="X702" s="140">
        <f t="shared" si="9"/>
        <v>9.7200000000000006</v>
      </c>
      <c r="Y702" s="141">
        <f>-ROUND(P702+SUM(R702:W702),2)</f>
        <v>-8217.7199999999993</v>
      </c>
      <c r="Z702" s="142">
        <f t="shared" si="402"/>
        <v>-8218</v>
      </c>
      <c r="AA702" s="143">
        <f t="shared" si="47"/>
        <v>-0.28000000000065484</v>
      </c>
      <c r="AB702" s="133"/>
      <c r="AC702" s="144">
        <f t="shared" si="12"/>
        <v>1.1839999999999999E-3</v>
      </c>
      <c r="AD702" s="145">
        <f t="shared" si="13"/>
        <v>0</v>
      </c>
      <c r="AE702" s="146" t="s">
        <v>403</v>
      </c>
      <c r="AF702" s="119"/>
    </row>
    <row r="703" spans="1:32" ht="12" customHeight="1">
      <c r="A703" s="150">
        <v>44803</v>
      </c>
      <c r="B703" s="151" t="s">
        <v>616</v>
      </c>
      <c r="C703" s="151"/>
      <c r="D703" s="151"/>
      <c r="E703" s="151"/>
      <c r="F703" s="151"/>
      <c r="G703" s="151"/>
      <c r="H703" s="122" t="s">
        <v>446</v>
      </c>
      <c r="I703" s="121" t="s">
        <v>469</v>
      </c>
      <c r="J703" s="122" t="s">
        <v>471</v>
      </c>
      <c r="K703" s="123">
        <v>2</v>
      </c>
      <c r="L703" s="124">
        <v>3345</v>
      </c>
      <c r="M703" s="125">
        <f t="shared" si="572"/>
        <v>0</v>
      </c>
      <c r="N703" s="125">
        <f>L703-M703</f>
        <v>3345</v>
      </c>
      <c r="O703" s="125"/>
      <c r="P703" s="125">
        <f t="shared" si="2"/>
        <v>6690</v>
      </c>
      <c r="Q703" s="126">
        <f t="shared" si="3"/>
        <v>3.4550000000000001</v>
      </c>
      <c r="R703" s="126">
        <f t="shared" si="74"/>
        <v>0</v>
      </c>
      <c r="S703" s="126">
        <f t="shared" si="573"/>
        <v>0.03</v>
      </c>
      <c r="T703" s="126">
        <f t="shared" si="545"/>
        <v>6.69</v>
      </c>
      <c r="U703" s="126">
        <v>0</v>
      </c>
      <c r="V703" s="126">
        <f t="shared" si="581"/>
        <v>0.18</v>
      </c>
      <c r="W703" s="126">
        <f t="shared" si="217"/>
        <v>0.01</v>
      </c>
      <c r="X703" s="126">
        <f t="shared" si="9"/>
        <v>6.91</v>
      </c>
      <c r="Y703" s="127">
        <f>ROUND(P703-SUM(R703:W703),2)</f>
        <v>6683.09</v>
      </c>
      <c r="Z703" s="128">
        <f t="shared" si="402"/>
        <v>6683</v>
      </c>
      <c r="AA703" s="129">
        <f t="shared" si="47"/>
        <v>-9.0000000000145519E-2</v>
      </c>
      <c r="AB703" s="120"/>
      <c r="AC703" s="130">
        <f t="shared" si="12"/>
        <v>1.0330000000000001E-3</v>
      </c>
      <c r="AD703" s="131">
        <f t="shared" si="13"/>
        <v>0</v>
      </c>
      <c r="AE703" s="132" t="s">
        <v>403</v>
      </c>
      <c r="AF703" s="119"/>
    </row>
    <row r="704" spans="1:32" ht="12" customHeight="1">
      <c r="A704" s="157">
        <v>44803</v>
      </c>
      <c r="B704" s="149" t="s">
        <v>562</v>
      </c>
      <c r="C704" s="149"/>
      <c r="D704" s="149"/>
      <c r="E704" s="149"/>
      <c r="F704" s="149"/>
      <c r="G704" s="149"/>
      <c r="H704" s="135" t="s">
        <v>453</v>
      </c>
      <c r="I704" s="134" t="s">
        <v>469</v>
      </c>
      <c r="J704" s="135" t="s">
        <v>471</v>
      </c>
      <c r="K704" s="136">
        <v>6</v>
      </c>
      <c r="L704" s="137">
        <v>1256.6669999999999</v>
      </c>
      <c r="M704" s="138">
        <f t="shared" si="572"/>
        <v>0</v>
      </c>
      <c r="N704" s="138">
        <f t="shared" ref="N704:N712" si="585">L704+M704</f>
        <v>1256.6669999999999</v>
      </c>
      <c r="O704" s="138"/>
      <c r="P704" s="138">
        <f t="shared" si="2"/>
        <v>7540</v>
      </c>
      <c r="Q704" s="139">
        <f t="shared" si="3"/>
        <v>1.4883333333333335</v>
      </c>
      <c r="R704" s="139">
        <f t="shared" si="74"/>
        <v>0</v>
      </c>
      <c r="S704" s="139">
        <f t="shared" si="573"/>
        <v>0.04</v>
      </c>
      <c r="T704" s="139">
        <f t="shared" si="545"/>
        <v>7.54</v>
      </c>
      <c r="U704" s="139">
        <f t="shared" ref="U704:U712" si="586">ROUND(P704*K$1812,2)</f>
        <v>1.1299999999999999</v>
      </c>
      <c r="V704" s="139">
        <f t="shared" si="581"/>
        <v>0.21</v>
      </c>
      <c r="W704" s="139">
        <f t="shared" si="217"/>
        <v>0.01</v>
      </c>
      <c r="X704" s="140">
        <f t="shared" si="9"/>
        <v>8.9300000000000015</v>
      </c>
      <c r="Y704" s="141">
        <f t="shared" ref="Y704:Y712" si="587">-ROUND(P704+SUM(R704:W704),2)</f>
        <v>-7548.93</v>
      </c>
      <c r="Z704" s="142">
        <f t="shared" si="402"/>
        <v>-7549</v>
      </c>
      <c r="AA704" s="143">
        <f t="shared" si="47"/>
        <v>-6.9999999999708962E-2</v>
      </c>
      <c r="AB704" s="133"/>
      <c r="AC704" s="144">
        <f t="shared" si="12"/>
        <v>1.1839999999999999E-3</v>
      </c>
      <c r="AD704" s="145">
        <f t="shared" si="13"/>
        <v>0</v>
      </c>
      <c r="AE704" s="146" t="s">
        <v>403</v>
      </c>
      <c r="AF704" s="119"/>
    </row>
    <row r="705" spans="1:32" ht="12" customHeight="1">
      <c r="A705" s="157">
        <v>44803</v>
      </c>
      <c r="B705" s="149" t="s">
        <v>620</v>
      </c>
      <c r="C705" s="149"/>
      <c r="D705" s="149"/>
      <c r="E705" s="149"/>
      <c r="F705" s="149"/>
      <c r="G705" s="149"/>
      <c r="H705" s="135" t="s">
        <v>453</v>
      </c>
      <c r="I705" s="134" t="s">
        <v>469</v>
      </c>
      <c r="J705" s="135" t="s">
        <v>471</v>
      </c>
      <c r="K705" s="136">
        <v>1</v>
      </c>
      <c r="L705" s="137">
        <v>8990</v>
      </c>
      <c r="M705" s="138">
        <f t="shared" si="572"/>
        <v>0</v>
      </c>
      <c r="N705" s="138">
        <f t="shared" si="585"/>
        <v>8990</v>
      </c>
      <c r="O705" s="138"/>
      <c r="P705" s="138">
        <f t="shared" si="2"/>
        <v>8990</v>
      </c>
      <c r="Q705" s="139">
        <f t="shared" si="3"/>
        <v>10.65</v>
      </c>
      <c r="R705" s="139">
        <f t="shared" si="74"/>
        <v>0</v>
      </c>
      <c r="S705" s="139">
        <f t="shared" si="573"/>
        <v>0.05</v>
      </c>
      <c r="T705" s="139">
        <f t="shared" si="545"/>
        <v>8.99</v>
      </c>
      <c r="U705" s="139">
        <f t="shared" si="586"/>
        <v>1.35</v>
      </c>
      <c r="V705" s="139">
        <f t="shared" si="581"/>
        <v>0.25</v>
      </c>
      <c r="W705" s="139">
        <f t="shared" si="217"/>
        <v>0.01</v>
      </c>
      <c r="X705" s="140">
        <f t="shared" si="9"/>
        <v>10.65</v>
      </c>
      <c r="Y705" s="141">
        <f t="shared" si="587"/>
        <v>-9000.65</v>
      </c>
      <c r="Z705" s="142">
        <f t="shared" si="402"/>
        <v>-9001</v>
      </c>
      <c r="AA705" s="143">
        <f t="shared" si="47"/>
        <v>-0.3500000000003638</v>
      </c>
      <c r="AB705" s="133"/>
      <c r="AC705" s="144">
        <f t="shared" si="12"/>
        <v>1.1850000000000001E-3</v>
      </c>
      <c r="AD705" s="145">
        <f t="shared" si="13"/>
        <v>0</v>
      </c>
      <c r="AE705" s="146" t="s">
        <v>403</v>
      </c>
      <c r="AF705" s="119"/>
    </row>
    <row r="706" spans="1:32" ht="12" customHeight="1">
      <c r="A706" s="157">
        <v>44805</v>
      </c>
      <c r="B706" s="149" t="s">
        <v>621</v>
      </c>
      <c r="C706" s="149"/>
      <c r="D706" s="149"/>
      <c r="E706" s="149"/>
      <c r="F706" s="149"/>
      <c r="G706" s="149"/>
      <c r="H706" s="135" t="s">
        <v>453</v>
      </c>
      <c r="I706" s="134" t="s">
        <v>469</v>
      </c>
      <c r="J706" s="135" t="s">
        <v>471</v>
      </c>
      <c r="K706" s="136">
        <v>20</v>
      </c>
      <c r="L706" s="137">
        <v>409</v>
      </c>
      <c r="M706" s="138">
        <f t="shared" si="572"/>
        <v>0</v>
      </c>
      <c r="N706" s="138">
        <f t="shared" si="585"/>
        <v>409</v>
      </c>
      <c r="O706" s="138"/>
      <c r="P706" s="138">
        <f t="shared" si="2"/>
        <v>8180</v>
      </c>
      <c r="Q706" s="139">
        <f t="shared" si="3"/>
        <v>0.48399999999999999</v>
      </c>
      <c r="R706" s="139">
        <f t="shared" si="74"/>
        <v>0</v>
      </c>
      <c r="S706" s="139">
        <f t="shared" si="573"/>
        <v>0.04</v>
      </c>
      <c r="T706" s="139">
        <f t="shared" si="545"/>
        <v>8.18</v>
      </c>
      <c r="U706" s="139">
        <f t="shared" si="586"/>
        <v>1.23</v>
      </c>
      <c r="V706" s="139">
        <f t="shared" si="581"/>
        <v>0.22</v>
      </c>
      <c r="W706" s="139">
        <f t="shared" si="217"/>
        <v>0.01</v>
      </c>
      <c r="X706" s="140">
        <f t="shared" si="9"/>
        <v>9.68</v>
      </c>
      <c r="Y706" s="141">
        <f t="shared" si="587"/>
        <v>-8189.68</v>
      </c>
      <c r="Z706" s="142">
        <f t="shared" si="402"/>
        <v>-8190</v>
      </c>
      <c r="AA706" s="143">
        <f t="shared" si="47"/>
        <v>-0.31999999999970896</v>
      </c>
      <c r="AB706" s="133"/>
      <c r="AC706" s="144">
        <f t="shared" si="12"/>
        <v>1.183E-3</v>
      </c>
      <c r="AD706" s="145">
        <f t="shared" si="13"/>
        <v>0</v>
      </c>
      <c r="AE706" s="146" t="s">
        <v>403</v>
      </c>
      <c r="AF706" s="119"/>
    </row>
    <row r="707" spans="1:32" ht="12" customHeight="1">
      <c r="A707" s="157">
        <v>44805</v>
      </c>
      <c r="B707" s="149" t="s">
        <v>562</v>
      </c>
      <c r="C707" s="149"/>
      <c r="D707" s="149"/>
      <c r="E707" s="149"/>
      <c r="F707" s="149"/>
      <c r="G707" s="149"/>
      <c r="H707" s="135" t="s">
        <v>453</v>
      </c>
      <c r="I707" s="134" t="s">
        <v>469</v>
      </c>
      <c r="J707" s="135" t="s">
        <v>471</v>
      </c>
      <c r="K707" s="136">
        <v>5</v>
      </c>
      <c r="L707" s="137">
        <v>1243</v>
      </c>
      <c r="M707" s="138">
        <f t="shared" si="572"/>
        <v>0</v>
      </c>
      <c r="N707" s="138">
        <f t="shared" si="585"/>
        <v>1243</v>
      </c>
      <c r="O707" s="138"/>
      <c r="P707" s="138">
        <f t="shared" si="2"/>
        <v>6215</v>
      </c>
      <c r="Q707" s="139">
        <f t="shared" si="3"/>
        <v>1.472</v>
      </c>
      <c r="R707" s="139">
        <f t="shared" si="74"/>
        <v>0</v>
      </c>
      <c r="S707" s="139">
        <f t="shared" si="573"/>
        <v>0.03</v>
      </c>
      <c r="T707" s="139">
        <f t="shared" si="545"/>
        <v>6.22</v>
      </c>
      <c r="U707" s="139">
        <f t="shared" si="586"/>
        <v>0.93</v>
      </c>
      <c r="V707" s="139">
        <f t="shared" si="581"/>
        <v>0.17</v>
      </c>
      <c r="W707" s="139">
        <f t="shared" si="217"/>
        <v>0.01</v>
      </c>
      <c r="X707" s="140">
        <f t="shared" si="9"/>
        <v>7.3599999999999994</v>
      </c>
      <c r="Y707" s="141">
        <f t="shared" si="587"/>
        <v>-6222.36</v>
      </c>
      <c r="Z707" s="142">
        <f t="shared" si="402"/>
        <v>-6222</v>
      </c>
      <c r="AA707" s="143">
        <f t="shared" si="47"/>
        <v>0.35999999999967258</v>
      </c>
      <c r="AB707" s="133"/>
      <c r="AC707" s="144">
        <f t="shared" si="12"/>
        <v>1.1839999999999999E-3</v>
      </c>
      <c r="AD707" s="145">
        <f t="shared" si="13"/>
        <v>0</v>
      </c>
      <c r="AE707" s="146" t="s">
        <v>403</v>
      </c>
      <c r="AF707" s="119"/>
    </row>
    <row r="708" spans="1:32" ht="12" customHeight="1">
      <c r="A708" s="157">
        <v>44805</v>
      </c>
      <c r="B708" s="149" t="s">
        <v>490</v>
      </c>
      <c r="C708" s="149"/>
      <c r="D708" s="149"/>
      <c r="E708" s="149"/>
      <c r="F708" s="149"/>
      <c r="G708" s="149"/>
      <c r="H708" s="135" t="s">
        <v>453</v>
      </c>
      <c r="I708" s="134" t="s">
        <v>469</v>
      </c>
      <c r="J708" s="135" t="s">
        <v>471</v>
      </c>
      <c r="K708" s="136">
        <v>4</v>
      </c>
      <c r="L708" s="137">
        <v>2625</v>
      </c>
      <c r="M708" s="138">
        <f t="shared" si="572"/>
        <v>0</v>
      </c>
      <c r="N708" s="138">
        <f t="shared" si="585"/>
        <v>2625</v>
      </c>
      <c r="O708" s="138"/>
      <c r="P708" s="138">
        <f t="shared" si="2"/>
        <v>10500</v>
      </c>
      <c r="Q708" s="139">
        <f t="shared" si="3"/>
        <v>3.1074999999999999</v>
      </c>
      <c r="R708" s="139">
        <f t="shared" si="74"/>
        <v>0</v>
      </c>
      <c r="S708" s="139">
        <f t="shared" si="573"/>
        <v>0.05</v>
      </c>
      <c r="T708" s="139">
        <f t="shared" si="545"/>
        <v>10.5</v>
      </c>
      <c r="U708" s="139">
        <f t="shared" si="586"/>
        <v>1.58</v>
      </c>
      <c r="V708" s="139">
        <f t="shared" si="581"/>
        <v>0.28999999999999998</v>
      </c>
      <c r="W708" s="139">
        <f t="shared" si="217"/>
        <v>0.01</v>
      </c>
      <c r="X708" s="140">
        <f t="shared" si="9"/>
        <v>12.43</v>
      </c>
      <c r="Y708" s="141">
        <f t="shared" si="587"/>
        <v>-10512.43</v>
      </c>
      <c r="Z708" s="142">
        <f t="shared" si="402"/>
        <v>-10512</v>
      </c>
      <c r="AA708" s="143">
        <f t="shared" si="47"/>
        <v>0.43000000000029104</v>
      </c>
      <c r="AB708" s="133"/>
      <c r="AC708" s="144">
        <f t="shared" si="12"/>
        <v>1.1839999999999999E-3</v>
      </c>
      <c r="AD708" s="145">
        <f t="shared" si="13"/>
        <v>0</v>
      </c>
      <c r="AE708" s="146" t="s">
        <v>403</v>
      </c>
      <c r="AF708" s="119"/>
    </row>
    <row r="709" spans="1:32" ht="12" customHeight="1">
      <c r="A709" s="157">
        <v>44805</v>
      </c>
      <c r="B709" s="149" t="s">
        <v>618</v>
      </c>
      <c r="C709" s="149"/>
      <c r="D709" s="149"/>
      <c r="E709" s="149"/>
      <c r="F709" s="149"/>
      <c r="G709" s="149"/>
      <c r="H709" s="135" t="s">
        <v>453</v>
      </c>
      <c r="I709" s="134" t="s">
        <v>469</v>
      </c>
      <c r="J709" s="135" t="s">
        <v>471</v>
      </c>
      <c r="K709" s="136">
        <v>5</v>
      </c>
      <c r="L709" s="137">
        <v>1900</v>
      </c>
      <c r="M709" s="138">
        <f t="shared" si="572"/>
        <v>0</v>
      </c>
      <c r="N709" s="138">
        <f t="shared" si="585"/>
        <v>1900</v>
      </c>
      <c r="O709" s="138"/>
      <c r="P709" s="138">
        <f t="shared" si="2"/>
        <v>9500</v>
      </c>
      <c r="Q709" s="139">
        <f t="shared" si="3"/>
        <v>2.25</v>
      </c>
      <c r="R709" s="139">
        <f t="shared" si="74"/>
        <v>0</v>
      </c>
      <c r="S709" s="139">
        <f t="shared" si="573"/>
        <v>0.05</v>
      </c>
      <c r="T709" s="139">
        <f t="shared" si="545"/>
        <v>9.5</v>
      </c>
      <c r="U709" s="139">
        <f t="shared" si="586"/>
        <v>1.43</v>
      </c>
      <c r="V709" s="139">
        <f t="shared" si="581"/>
        <v>0.26</v>
      </c>
      <c r="W709" s="139">
        <f t="shared" si="217"/>
        <v>0.01</v>
      </c>
      <c r="X709" s="140">
        <f t="shared" si="9"/>
        <v>11.25</v>
      </c>
      <c r="Y709" s="141">
        <f t="shared" si="587"/>
        <v>-9511.25</v>
      </c>
      <c r="Z709" s="142">
        <f t="shared" si="402"/>
        <v>-9511</v>
      </c>
      <c r="AA709" s="143">
        <f t="shared" si="47"/>
        <v>0.25</v>
      </c>
      <c r="AB709" s="133"/>
      <c r="AC709" s="144">
        <f t="shared" si="12"/>
        <v>1.1839999999999999E-3</v>
      </c>
      <c r="AD709" s="145">
        <f t="shared" si="13"/>
        <v>0</v>
      </c>
      <c r="AE709" s="146" t="s">
        <v>403</v>
      </c>
      <c r="AF709" s="119"/>
    </row>
    <row r="710" spans="1:32" ht="12" customHeight="1">
      <c r="A710" s="157">
        <v>44805</v>
      </c>
      <c r="B710" s="149" t="s">
        <v>622</v>
      </c>
      <c r="C710" s="149"/>
      <c r="D710" s="149"/>
      <c r="E710" s="149"/>
      <c r="F710" s="149"/>
      <c r="G710" s="149"/>
      <c r="H710" s="135" t="s">
        <v>453</v>
      </c>
      <c r="I710" s="134" t="s">
        <v>469</v>
      </c>
      <c r="J710" s="135" t="s">
        <v>471</v>
      </c>
      <c r="K710" s="136">
        <v>10</v>
      </c>
      <c r="L710" s="137">
        <v>515</v>
      </c>
      <c r="M710" s="138">
        <f t="shared" si="572"/>
        <v>0</v>
      </c>
      <c r="N710" s="138">
        <f t="shared" si="585"/>
        <v>515</v>
      </c>
      <c r="O710" s="138"/>
      <c r="P710" s="138">
        <f t="shared" si="2"/>
        <v>5150</v>
      </c>
      <c r="Q710" s="139">
        <f t="shared" si="3"/>
        <v>0.6100000000000001</v>
      </c>
      <c r="R710" s="139">
        <f t="shared" si="74"/>
        <v>0</v>
      </c>
      <c r="S710" s="139">
        <f t="shared" si="573"/>
        <v>0.03</v>
      </c>
      <c r="T710" s="139">
        <f t="shared" si="545"/>
        <v>5.15</v>
      </c>
      <c r="U710" s="139">
        <f t="shared" si="586"/>
        <v>0.77</v>
      </c>
      <c r="V710" s="139">
        <f t="shared" si="581"/>
        <v>0.14000000000000001</v>
      </c>
      <c r="W710" s="139">
        <f t="shared" si="217"/>
        <v>0.01</v>
      </c>
      <c r="X710" s="140">
        <f t="shared" si="9"/>
        <v>6.1000000000000005</v>
      </c>
      <c r="Y710" s="141">
        <f t="shared" si="587"/>
        <v>-5156.1000000000004</v>
      </c>
      <c r="Z710" s="142">
        <f t="shared" si="402"/>
        <v>-5156</v>
      </c>
      <c r="AA710" s="143">
        <f t="shared" si="47"/>
        <v>0.1000000000003638</v>
      </c>
      <c r="AB710" s="133"/>
      <c r="AC710" s="144">
        <f t="shared" si="12"/>
        <v>1.1839999999999999E-3</v>
      </c>
      <c r="AD710" s="145">
        <f t="shared" si="13"/>
        <v>0</v>
      </c>
      <c r="AE710" s="146" t="s">
        <v>403</v>
      </c>
      <c r="AF710" s="119"/>
    </row>
    <row r="711" spans="1:32" ht="12" customHeight="1">
      <c r="A711" s="157">
        <v>44805</v>
      </c>
      <c r="B711" s="149" t="s">
        <v>620</v>
      </c>
      <c r="C711" s="149"/>
      <c r="D711" s="149"/>
      <c r="E711" s="149"/>
      <c r="F711" s="149"/>
      <c r="G711" s="149"/>
      <c r="H711" s="135" t="s">
        <v>453</v>
      </c>
      <c r="I711" s="134" t="s">
        <v>469</v>
      </c>
      <c r="J711" s="135" t="s">
        <v>471</v>
      </c>
      <c r="K711" s="136">
        <v>2</v>
      </c>
      <c r="L711" s="137">
        <v>8900</v>
      </c>
      <c r="M711" s="138">
        <f t="shared" si="572"/>
        <v>0</v>
      </c>
      <c r="N711" s="138">
        <f t="shared" si="585"/>
        <v>8900</v>
      </c>
      <c r="O711" s="138"/>
      <c r="P711" s="138">
        <f t="shared" si="2"/>
        <v>17800</v>
      </c>
      <c r="Q711" s="139">
        <f t="shared" si="3"/>
        <v>10.535</v>
      </c>
      <c r="R711" s="139">
        <f t="shared" si="74"/>
        <v>0</v>
      </c>
      <c r="S711" s="139">
        <f t="shared" si="573"/>
        <v>0.09</v>
      </c>
      <c r="T711" s="139">
        <f t="shared" si="545"/>
        <v>17.8</v>
      </c>
      <c r="U711" s="139">
        <f t="shared" si="586"/>
        <v>2.67</v>
      </c>
      <c r="V711" s="139">
        <f t="shared" si="581"/>
        <v>0.49</v>
      </c>
      <c r="W711" s="139">
        <f t="shared" si="217"/>
        <v>0.02</v>
      </c>
      <c r="X711" s="140">
        <f t="shared" si="9"/>
        <v>21.07</v>
      </c>
      <c r="Y711" s="141">
        <f t="shared" si="587"/>
        <v>-17821.07</v>
      </c>
      <c r="Z711" s="142">
        <f t="shared" si="402"/>
        <v>-17821</v>
      </c>
      <c r="AA711" s="143">
        <f t="shared" si="47"/>
        <v>6.9999999999708962E-2</v>
      </c>
      <c r="AB711" s="133"/>
      <c r="AC711" s="144">
        <f t="shared" si="12"/>
        <v>1.1839999999999999E-3</v>
      </c>
      <c r="AD711" s="145">
        <f t="shared" si="13"/>
        <v>0</v>
      </c>
      <c r="AE711" s="146" t="s">
        <v>403</v>
      </c>
      <c r="AF711" s="119"/>
    </row>
    <row r="712" spans="1:32" ht="12" customHeight="1">
      <c r="A712" s="157">
        <v>44806</v>
      </c>
      <c r="B712" s="149" t="s">
        <v>623</v>
      </c>
      <c r="C712" s="149"/>
      <c r="D712" s="149"/>
      <c r="E712" s="149"/>
      <c r="F712" s="149"/>
      <c r="G712" s="149"/>
      <c r="H712" s="135" t="s">
        <v>453</v>
      </c>
      <c r="I712" s="134" t="s">
        <v>469</v>
      </c>
      <c r="J712" s="135" t="s">
        <v>471</v>
      </c>
      <c r="K712" s="136">
        <v>25</v>
      </c>
      <c r="L712" s="137">
        <v>132</v>
      </c>
      <c r="M712" s="138">
        <f t="shared" si="572"/>
        <v>0</v>
      </c>
      <c r="N712" s="138">
        <f t="shared" si="585"/>
        <v>132</v>
      </c>
      <c r="O712" s="138"/>
      <c r="P712" s="138">
        <f t="shared" si="2"/>
        <v>3300</v>
      </c>
      <c r="Q712" s="139">
        <f t="shared" si="3"/>
        <v>0.15639999999999998</v>
      </c>
      <c r="R712" s="139">
        <f t="shared" si="74"/>
        <v>0</v>
      </c>
      <c r="S712" s="139">
        <f t="shared" si="573"/>
        <v>0.02</v>
      </c>
      <c r="T712" s="139">
        <f t="shared" si="545"/>
        <v>3.3</v>
      </c>
      <c r="U712" s="139">
        <f t="shared" si="586"/>
        <v>0.5</v>
      </c>
      <c r="V712" s="139">
        <f t="shared" si="581"/>
        <v>0.09</v>
      </c>
      <c r="W712" s="139">
        <f t="shared" si="217"/>
        <v>0</v>
      </c>
      <c r="X712" s="140">
        <f t="shared" si="9"/>
        <v>3.9099999999999997</v>
      </c>
      <c r="Y712" s="141">
        <f t="shared" si="587"/>
        <v>-3303.91</v>
      </c>
      <c r="Z712" s="142">
        <f t="shared" si="402"/>
        <v>-3304</v>
      </c>
      <c r="AA712" s="143">
        <f t="shared" si="47"/>
        <v>-9.0000000000145519E-2</v>
      </c>
      <c r="AB712" s="133"/>
      <c r="AC712" s="144">
        <f t="shared" si="12"/>
        <v>1.1850000000000001E-3</v>
      </c>
      <c r="AD712" s="145">
        <f t="shared" si="13"/>
        <v>0</v>
      </c>
      <c r="AE712" s="146" t="s">
        <v>403</v>
      </c>
      <c r="AF712" s="119"/>
    </row>
    <row r="713" spans="1:32" ht="12" customHeight="1">
      <c r="A713" s="150">
        <v>44809</v>
      </c>
      <c r="B713" s="151" t="s">
        <v>575</v>
      </c>
      <c r="C713" s="151"/>
      <c r="D713" s="151"/>
      <c r="E713" s="151"/>
      <c r="F713" s="151"/>
      <c r="G713" s="151"/>
      <c r="H713" s="122" t="s">
        <v>446</v>
      </c>
      <c r="I713" s="121" t="s">
        <v>469</v>
      </c>
      <c r="J713" s="122" t="s">
        <v>448</v>
      </c>
      <c r="K713" s="123">
        <v>163</v>
      </c>
      <c r="L713" s="124">
        <v>1046.4110000000001</v>
      </c>
      <c r="M713" s="125">
        <f t="shared" si="572"/>
        <v>0</v>
      </c>
      <c r="N713" s="125">
        <f t="shared" ref="N713:N715" si="588">L713-M713</f>
        <v>1046.4110000000001</v>
      </c>
      <c r="O713" s="125"/>
      <c r="P713" s="125">
        <f t="shared" si="2"/>
        <v>170564.99</v>
      </c>
      <c r="Q713" s="126">
        <f t="shared" si="3"/>
        <v>1.0813496932515336</v>
      </c>
      <c r="R713" s="126">
        <f t="shared" si="74"/>
        <v>0</v>
      </c>
      <c r="S713" s="126">
        <f t="shared" si="573"/>
        <v>0.84</v>
      </c>
      <c r="T713" s="126">
        <f t="shared" si="545"/>
        <v>170.56</v>
      </c>
      <c r="U713" s="126">
        <v>0</v>
      </c>
      <c r="V713" s="126">
        <f t="shared" si="581"/>
        <v>4.6900000000000004</v>
      </c>
      <c r="W713" s="126">
        <f t="shared" si="217"/>
        <v>0.17</v>
      </c>
      <c r="X713" s="126">
        <f t="shared" si="9"/>
        <v>176.26</v>
      </c>
      <c r="Y713" s="127">
        <f t="shared" ref="Y713:Y715" si="589">ROUND(P713-SUM(R713:W713),2)</f>
        <v>170388.73</v>
      </c>
      <c r="Z713" s="128">
        <f t="shared" si="402"/>
        <v>170389</v>
      </c>
      <c r="AA713" s="129">
        <f t="shared" si="47"/>
        <v>0.26999999998952262</v>
      </c>
      <c r="AB713" s="120"/>
      <c r="AC713" s="130">
        <f t="shared" si="12"/>
        <v>1.0330000000000001E-3</v>
      </c>
      <c r="AD713" s="131">
        <f t="shared" si="13"/>
        <v>0</v>
      </c>
      <c r="AE713" s="132" t="s">
        <v>403</v>
      </c>
      <c r="AF713" s="119"/>
    </row>
    <row r="714" spans="1:32" ht="12" customHeight="1">
      <c r="A714" s="150">
        <v>44809</v>
      </c>
      <c r="B714" s="151" t="s">
        <v>619</v>
      </c>
      <c r="C714" s="151"/>
      <c r="D714" s="151"/>
      <c r="E714" s="151"/>
      <c r="F714" s="151"/>
      <c r="G714" s="151"/>
      <c r="H714" s="122" t="s">
        <v>446</v>
      </c>
      <c r="I714" s="121" t="s">
        <v>469</v>
      </c>
      <c r="J714" s="122" t="s">
        <v>471</v>
      </c>
      <c r="K714" s="123">
        <v>1000</v>
      </c>
      <c r="L714" s="124">
        <v>9.6</v>
      </c>
      <c r="M714" s="125">
        <f t="shared" si="572"/>
        <v>0</v>
      </c>
      <c r="N714" s="125">
        <f t="shared" si="588"/>
        <v>9.6</v>
      </c>
      <c r="O714" s="125"/>
      <c r="P714" s="125">
        <f t="shared" si="2"/>
        <v>9600</v>
      </c>
      <c r="Q714" s="126">
        <f t="shared" si="3"/>
        <v>9.92E-3</v>
      </c>
      <c r="R714" s="126">
        <f t="shared" si="74"/>
        <v>0</v>
      </c>
      <c r="S714" s="126">
        <f t="shared" si="573"/>
        <v>0.05</v>
      </c>
      <c r="T714" s="126">
        <f t="shared" si="545"/>
        <v>9.6</v>
      </c>
      <c r="U714" s="126">
        <v>0</v>
      </c>
      <c r="V714" s="126">
        <f t="shared" si="581"/>
        <v>0.26</v>
      </c>
      <c r="W714" s="126">
        <f t="shared" si="217"/>
        <v>0.01</v>
      </c>
      <c r="X714" s="126">
        <f t="shared" si="9"/>
        <v>9.92</v>
      </c>
      <c r="Y714" s="127">
        <f t="shared" si="589"/>
        <v>9590.08</v>
      </c>
      <c r="Z714" s="128">
        <f t="shared" si="402"/>
        <v>9590</v>
      </c>
      <c r="AA714" s="129">
        <f t="shared" si="47"/>
        <v>-7.999999999992724E-2</v>
      </c>
      <c r="AB714" s="120"/>
      <c r="AC714" s="130">
        <f t="shared" si="12"/>
        <v>1.0330000000000001E-3</v>
      </c>
      <c r="AD714" s="131">
        <f t="shared" si="13"/>
        <v>0</v>
      </c>
      <c r="AE714" s="132" t="s">
        <v>403</v>
      </c>
      <c r="AF714" s="119"/>
    </row>
    <row r="715" spans="1:32" ht="12" customHeight="1">
      <c r="A715" s="150">
        <v>44810</v>
      </c>
      <c r="B715" s="151" t="s">
        <v>465</v>
      </c>
      <c r="C715" s="151"/>
      <c r="D715" s="151"/>
      <c r="E715" s="151"/>
      <c r="F715" s="151"/>
      <c r="G715" s="151"/>
      <c r="H715" s="122" t="s">
        <v>446</v>
      </c>
      <c r="I715" s="121" t="s">
        <v>469</v>
      </c>
      <c r="J715" s="122" t="s">
        <v>471</v>
      </c>
      <c r="K715" s="123">
        <v>30</v>
      </c>
      <c r="L715" s="124">
        <v>245.5</v>
      </c>
      <c r="M715" s="125">
        <f t="shared" si="572"/>
        <v>0</v>
      </c>
      <c r="N715" s="125">
        <f t="shared" si="588"/>
        <v>245.5</v>
      </c>
      <c r="O715" s="125"/>
      <c r="P715" s="125">
        <f t="shared" si="2"/>
        <v>7365</v>
      </c>
      <c r="Q715" s="126">
        <f t="shared" si="3"/>
        <v>0.254</v>
      </c>
      <c r="R715" s="126">
        <f t="shared" si="74"/>
        <v>0</v>
      </c>
      <c r="S715" s="126">
        <f t="shared" si="573"/>
        <v>0.04</v>
      </c>
      <c r="T715" s="126">
        <f t="shared" si="545"/>
        <v>7.37</v>
      </c>
      <c r="U715" s="126">
        <v>0</v>
      </c>
      <c r="V715" s="126">
        <f t="shared" si="581"/>
        <v>0.2</v>
      </c>
      <c r="W715" s="126">
        <f t="shared" si="217"/>
        <v>0.01</v>
      </c>
      <c r="X715" s="126">
        <f t="shared" si="9"/>
        <v>7.62</v>
      </c>
      <c r="Y715" s="127">
        <f t="shared" si="589"/>
        <v>7357.38</v>
      </c>
      <c r="Z715" s="128">
        <f t="shared" si="402"/>
        <v>7357</v>
      </c>
      <c r="AA715" s="129">
        <f t="shared" si="47"/>
        <v>-0.38000000000010914</v>
      </c>
      <c r="AB715" s="120"/>
      <c r="AC715" s="130">
        <f t="shared" si="12"/>
        <v>1.0349999999999999E-3</v>
      </c>
      <c r="AD715" s="131">
        <f t="shared" si="13"/>
        <v>0</v>
      </c>
      <c r="AE715" s="132" t="s">
        <v>403</v>
      </c>
      <c r="AF715" s="119"/>
    </row>
    <row r="716" spans="1:32" ht="12" customHeight="1">
      <c r="A716" s="157">
        <v>44810</v>
      </c>
      <c r="B716" s="149" t="s">
        <v>458</v>
      </c>
      <c r="C716" s="149"/>
      <c r="D716" s="149"/>
      <c r="E716" s="149"/>
      <c r="F716" s="149"/>
      <c r="G716" s="149"/>
      <c r="H716" s="135" t="s">
        <v>453</v>
      </c>
      <c r="I716" s="134" t="s">
        <v>469</v>
      </c>
      <c r="J716" s="135" t="s">
        <v>471</v>
      </c>
      <c r="K716" s="136">
        <v>2</v>
      </c>
      <c r="L716" s="137">
        <v>1455</v>
      </c>
      <c r="M716" s="138">
        <f t="shared" si="572"/>
        <v>0</v>
      </c>
      <c r="N716" s="138">
        <f t="shared" ref="N716:N717" si="590">L716+M716</f>
        <v>1455</v>
      </c>
      <c r="O716" s="138"/>
      <c r="P716" s="138">
        <f t="shared" si="2"/>
        <v>2910</v>
      </c>
      <c r="Q716" s="139">
        <f t="shared" si="3"/>
        <v>1.72</v>
      </c>
      <c r="R716" s="139">
        <f t="shared" si="74"/>
        <v>0</v>
      </c>
      <c r="S716" s="139">
        <f t="shared" si="573"/>
        <v>0.01</v>
      </c>
      <c r="T716" s="139">
        <f t="shared" si="545"/>
        <v>2.91</v>
      </c>
      <c r="U716" s="139">
        <f t="shared" ref="U716:U717" si="591">ROUND(P716*K$1812,2)</f>
        <v>0.44</v>
      </c>
      <c r="V716" s="139">
        <f t="shared" si="581"/>
        <v>0.08</v>
      </c>
      <c r="W716" s="139">
        <f t="shared" si="217"/>
        <v>0</v>
      </c>
      <c r="X716" s="140">
        <f t="shared" si="9"/>
        <v>3.44</v>
      </c>
      <c r="Y716" s="141">
        <f t="shared" ref="Y716:Y717" si="592">-ROUND(P716+SUM(R716:W716),2)</f>
        <v>-2913.44</v>
      </c>
      <c r="Z716" s="142">
        <f t="shared" si="402"/>
        <v>-2913</v>
      </c>
      <c r="AA716" s="143">
        <f t="shared" si="47"/>
        <v>0.44000000000005457</v>
      </c>
      <c r="AB716" s="133"/>
      <c r="AC716" s="144">
        <f t="shared" si="12"/>
        <v>1.1820000000000001E-3</v>
      </c>
      <c r="AD716" s="145">
        <f t="shared" si="13"/>
        <v>0</v>
      </c>
      <c r="AE716" s="146" t="s">
        <v>403</v>
      </c>
      <c r="AF716" s="119"/>
    </row>
    <row r="717" spans="1:32" ht="12" customHeight="1">
      <c r="A717" s="157">
        <v>44810</v>
      </c>
      <c r="B717" s="149" t="s">
        <v>490</v>
      </c>
      <c r="C717" s="149"/>
      <c r="D717" s="149"/>
      <c r="E717" s="149"/>
      <c r="F717" s="149"/>
      <c r="G717" s="149"/>
      <c r="H717" s="135" t="s">
        <v>453</v>
      </c>
      <c r="I717" s="134" t="s">
        <v>469</v>
      </c>
      <c r="J717" s="135" t="s">
        <v>471</v>
      </c>
      <c r="K717" s="136">
        <v>2</v>
      </c>
      <c r="L717" s="137">
        <v>2564.4</v>
      </c>
      <c r="M717" s="138">
        <f t="shared" si="572"/>
        <v>0</v>
      </c>
      <c r="N717" s="138">
        <f t="shared" si="590"/>
        <v>2564.4</v>
      </c>
      <c r="O717" s="138"/>
      <c r="P717" s="138">
        <f t="shared" si="2"/>
        <v>5128.8</v>
      </c>
      <c r="Q717" s="139">
        <f t="shared" si="3"/>
        <v>3.0399999999999996</v>
      </c>
      <c r="R717" s="139">
        <f t="shared" si="74"/>
        <v>0</v>
      </c>
      <c r="S717" s="139">
        <f t="shared" si="573"/>
        <v>0.03</v>
      </c>
      <c r="T717" s="139">
        <f t="shared" si="545"/>
        <v>5.13</v>
      </c>
      <c r="U717" s="139">
        <f t="shared" si="591"/>
        <v>0.77</v>
      </c>
      <c r="V717" s="139">
        <f t="shared" si="581"/>
        <v>0.14000000000000001</v>
      </c>
      <c r="W717" s="139">
        <f t="shared" si="217"/>
        <v>0.01</v>
      </c>
      <c r="X717" s="140">
        <f t="shared" si="9"/>
        <v>6.0799999999999992</v>
      </c>
      <c r="Y717" s="141">
        <f t="shared" si="592"/>
        <v>-5134.88</v>
      </c>
      <c r="Z717" s="142">
        <f t="shared" si="402"/>
        <v>-5135</v>
      </c>
      <c r="AA717" s="143">
        <f t="shared" si="47"/>
        <v>-0.11999999999989086</v>
      </c>
      <c r="AB717" s="133"/>
      <c r="AC717" s="144">
        <f t="shared" si="12"/>
        <v>1.1850000000000001E-3</v>
      </c>
      <c r="AD717" s="145">
        <f t="shared" si="13"/>
        <v>0</v>
      </c>
      <c r="AE717" s="146" t="s">
        <v>403</v>
      </c>
      <c r="AF717" s="119"/>
    </row>
    <row r="718" spans="1:32" ht="12" customHeight="1">
      <c r="A718" s="150">
        <v>44813</v>
      </c>
      <c r="B718" s="151" t="s">
        <v>575</v>
      </c>
      <c r="C718" s="151"/>
      <c r="D718" s="151"/>
      <c r="E718" s="151"/>
      <c r="F718" s="151"/>
      <c r="G718" s="151"/>
      <c r="H718" s="122" t="s">
        <v>446</v>
      </c>
      <c r="I718" s="121" t="s">
        <v>469</v>
      </c>
      <c r="J718" s="122" t="s">
        <v>448</v>
      </c>
      <c r="K718" s="123">
        <v>200</v>
      </c>
      <c r="L718" s="124">
        <v>1075</v>
      </c>
      <c r="M718" s="125">
        <f t="shared" si="572"/>
        <v>0</v>
      </c>
      <c r="N718" s="125">
        <f t="shared" ref="N718:N722" si="593">L718-M718</f>
        <v>1075</v>
      </c>
      <c r="O718" s="125"/>
      <c r="P718" s="125">
        <f t="shared" si="2"/>
        <v>215000</v>
      </c>
      <c r="Q718" s="126">
        <f t="shared" si="3"/>
        <v>1.1109499999999999</v>
      </c>
      <c r="R718" s="126">
        <f t="shared" si="74"/>
        <v>0</v>
      </c>
      <c r="S718" s="126">
        <f t="shared" si="573"/>
        <v>1.06</v>
      </c>
      <c r="T718" s="126">
        <f t="shared" si="545"/>
        <v>215</v>
      </c>
      <c r="U718" s="126">
        <v>0</v>
      </c>
      <c r="V718" s="126">
        <f t="shared" si="581"/>
        <v>5.91</v>
      </c>
      <c r="W718" s="126">
        <f t="shared" si="217"/>
        <v>0.22</v>
      </c>
      <c r="X718" s="126">
        <f t="shared" si="9"/>
        <v>222.19</v>
      </c>
      <c r="Y718" s="127">
        <f t="shared" ref="Y718:Y722" si="594">ROUND(P718-SUM(R718:W718),2)</f>
        <v>214777.81</v>
      </c>
      <c r="Z718" s="128">
        <f t="shared" si="402"/>
        <v>214778</v>
      </c>
      <c r="AA718" s="129">
        <f t="shared" si="47"/>
        <v>0.19000000000232831</v>
      </c>
      <c r="AB718" s="120"/>
      <c r="AC718" s="130">
        <f t="shared" si="12"/>
        <v>1.0330000000000001E-3</v>
      </c>
      <c r="AD718" s="131">
        <f t="shared" si="13"/>
        <v>0</v>
      </c>
      <c r="AE718" s="132" t="s">
        <v>403</v>
      </c>
      <c r="AF718" s="119"/>
    </row>
    <row r="719" spans="1:32" ht="12" customHeight="1">
      <c r="A719" s="150">
        <v>44817</v>
      </c>
      <c r="B719" s="151" t="s">
        <v>624</v>
      </c>
      <c r="C719" s="151"/>
      <c r="D719" s="151"/>
      <c r="E719" s="151"/>
      <c r="F719" s="151"/>
      <c r="G719" s="151"/>
      <c r="H719" s="122" t="s">
        <v>446</v>
      </c>
      <c r="I719" s="121" t="s">
        <v>469</v>
      </c>
      <c r="J719" s="122" t="s">
        <v>471</v>
      </c>
      <c r="K719" s="123">
        <v>46</v>
      </c>
      <c r="L719" s="124">
        <v>425</v>
      </c>
      <c r="M719" s="125">
        <f t="shared" si="572"/>
        <v>0</v>
      </c>
      <c r="N719" s="125">
        <f t="shared" si="593"/>
        <v>425</v>
      </c>
      <c r="O719" s="125"/>
      <c r="P719" s="125">
        <f t="shared" si="2"/>
        <v>19550</v>
      </c>
      <c r="Q719" s="126">
        <f t="shared" si="3"/>
        <v>0.43934782608695655</v>
      </c>
      <c r="R719" s="126">
        <f t="shared" si="74"/>
        <v>0</v>
      </c>
      <c r="S719" s="126">
        <f t="shared" si="573"/>
        <v>0.1</v>
      </c>
      <c r="T719" s="126">
        <f t="shared" si="545"/>
        <v>19.55</v>
      </c>
      <c r="U719" s="126">
        <v>0</v>
      </c>
      <c r="V719" s="126">
        <f t="shared" si="581"/>
        <v>0.54</v>
      </c>
      <c r="W719" s="126">
        <f t="shared" si="217"/>
        <v>0.02</v>
      </c>
      <c r="X719" s="126">
        <f t="shared" si="9"/>
        <v>20.21</v>
      </c>
      <c r="Y719" s="127">
        <f t="shared" si="594"/>
        <v>19529.79</v>
      </c>
      <c r="Z719" s="128">
        <f t="shared" si="402"/>
        <v>19530</v>
      </c>
      <c r="AA719" s="129">
        <f t="shared" si="47"/>
        <v>0.20999999999912689</v>
      </c>
      <c r="AB719" s="120"/>
      <c r="AC719" s="130">
        <f t="shared" si="12"/>
        <v>1.034E-3</v>
      </c>
      <c r="AD719" s="131">
        <f t="shared" si="13"/>
        <v>0</v>
      </c>
      <c r="AE719" s="132" t="s">
        <v>403</v>
      </c>
      <c r="AF719" s="119"/>
    </row>
    <row r="720" spans="1:32" ht="12" customHeight="1">
      <c r="A720" s="150">
        <v>44817</v>
      </c>
      <c r="B720" s="151" t="s">
        <v>618</v>
      </c>
      <c r="C720" s="151"/>
      <c r="D720" s="151"/>
      <c r="E720" s="151"/>
      <c r="F720" s="151"/>
      <c r="G720" s="151"/>
      <c r="H720" s="122" t="s">
        <v>446</v>
      </c>
      <c r="I720" s="121" t="s">
        <v>469</v>
      </c>
      <c r="J720" s="122" t="s">
        <v>471</v>
      </c>
      <c r="K720" s="123">
        <v>5</v>
      </c>
      <c r="L720" s="124">
        <v>1980</v>
      </c>
      <c r="M720" s="125">
        <f t="shared" si="572"/>
        <v>0</v>
      </c>
      <c r="N720" s="125">
        <f t="shared" si="593"/>
        <v>1980</v>
      </c>
      <c r="O720" s="125"/>
      <c r="P720" s="125">
        <f t="shared" si="2"/>
        <v>9900</v>
      </c>
      <c r="Q720" s="126">
        <f t="shared" si="3"/>
        <v>2.0460000000000003</v>
      </c>
      <c r="R720" s="126">
        <f t="shared" si="74"/>
        <v>0</v>
      </c>
      <c r="S720" s="126">
        <f t="shared" si="573"/>
        <v>0.05</v>
      </c>
      <c r="T720" s="126">
        <f t="shared" si="545"/>
        <v>9.9</v>
      </c>
      <c r="U720" s="126">
        <v>0</v>
      </c>
      <c r="V720" s="126">
        <f t="shared" si="581"/>
        <v>0.27</v>
      </c>
      <c r="W720" s="126">
        <f t="shared" si="217"/>
        <v>0.01</v>
      </c>
      <c r="X720" s="126">
        <f t="shared" si="9"/>
        <v>10.23</v>
      </c>
      <c r="Y720" s="127">
        <f t="shared" si="594"/>
        <v>9889.77</v>
      </c>
      <c r="Z720" s="128">
        <f t="shared" si="402"/>
        <v>9890</v>
      </c>
      <c r="AA720" s="129">
        <f t="shared" si="47"/>
        <v>0.22999999999956344</v>
      </c>
      <c r="AB720" s="120"/>
      <c r="AC720" s="130">
        <f t="shared" si="12"/>
        <v>1.0330000000000001E-3</v>
      </c>
      <c r="AD720" s="131">
        <f t="shared" si="13"/>
        <v>0</v>
      </c>
      <c r="AE720" s="132" t="s">
        <v>403</v>
      </c>
      <c r="AF720" s="119"/>
    </row>
    <row r="721" spans="1:32" ht="12" customHeight="1">
      <c r="A721" s="150">
        <v>44817</v>
      </c>
      <c r="B721" s="151" t="s">
        <v>617</v>
      </c>
      <c r="C721" s="151"/>
      <c r="D721" s="151"/>
      <c r="E721" s="151"/>
      <c r="F721" s="151"/>
      <c r="G721" s="151"/>
      <c r="H721" s="122" t="s">
        <v>446</v>
      </c>
      <c r="I721" s="121" t="s">
        <v>469</v>
      </c>
      <c r="J721" s="122" t="s">
        <v>471</v>
      </c>
      <c r="K721" s="123">
        <v>50</v>
      </c>
      <c r="L721" s="124">
        <v>128.5</v>
      </c>
      <c r="M721" s="125">
        <f t="shared" si="572"/>
        <v>0</v>
      </c>
      <c r="N721" s="125">
        <f t="shared" si="593"/>
        <v>128.5</v>
      </c>
      <c r="O721" s="125"/>
      <c r="P721" s="125">
        <f t="shared" si="2"/>
        <v>6425</v>
      </c>
      <c r="Q721" s="126">
        <f t="shared" si="3"/>
        <v>0.13299999999999998</v>
      </c>
      <c r="R721" s="126">
        <f t="shared" si="74"/>
        <v>0</v>
      </c>
      <c r="S721" s="126">
        <f t="shared" si="573"/>
        <v>0.03</v>
      </c>
      <c r="T721" s="126">
        <f t="shared" si="545"/>
        <v>6.43</v>
      </c>
      <c r="U721" s="126">
        <v>0</v>
      </c>
      <c r="V721" s="126">
        <f t="shared" si="581"/>
        <v>0.18</v>
      </c>
      <c r="W721" s="126">
        <f t="shared" si="217"/>
        <v>0.01</v>
      </c>
      <c r="X721" s="126">
        <f t="shared" si="9"/>
        <v>6.6499999999999995</v>
      </c>
      <c r="Y721" s="127">
        <f t="shared" si="594"/>
        <v>6418.35</v>
      </c>
      <c r="Z721" s="128">
        <f t="shared" si="402"/>
        <v>6418</v>
      </c>
      <c r="AA721" s="129">
        <f t="shared" si="47"/>
        <v>-0.3500000000003638</v>
      </c>
      <c r="AB721" s="120"/>
      <c r="AC721" s="130">
        <f t="shared" si="12"/>
        <v>1.0349999999999999E-3</v>
      </c>
      <c r="AD721" s="131">
        <f t="shared" si="13"/>
        <v>0</v>
      </c>
      <c r="AE721" s="132" t="s">
        <v>403</v>
      </c>
      <c r="AF721" s="119"/>
    </row>
    <row r="722" spans="1:32" ht="12" customHeight="1">
      <c r="A722" s="150">
        <v>44818</v>
      </c>
      <c r="B722" s="151" t="s">
        <v>615</v>
      </c>
      <c r="C722" s="151"/>
      <c r="D722" s="151"/>
      <c r="E722" s="151"/>
      <c r="F722" s="151"/>
      <c r="G722" s="151"/>
      <c r="H722" s="122" t="s">
        <v>446</v>
      </c>
      <c r="I722" s="121" t="s">
        <v>469</v>
      </c>
      <c r="J722" s="122" t="s">
        <v>471</v>
      </c>
      <c r="K722" s="123">
        <v>10</v>
      </c>
      <c r="L722" s="124">
        <v>565</v>
      </c>
      <c r="M722" s="125">
        <f t="shared" si="572"/>
        <v>0</v>
      </c>
      <c r="N722" s="125">
        <f t="shared" si="593"/>
        <v>565</v>
      </c>
      <c r="O722" s="125"/>
      <c r="P722" s="125">
        <f t="shared" si="2"/>
        <v>5650</v>
      </c>
      <c r="Q722" s="126">
        <f t="shared" si="3"/>
        <v>0.58500000000000008</v>
      </c>
      <c r="R722" s="126">
        <f t="shared" si="74"/>
        <v>0</v>
      </c>
      <c r="S722" s="126">
        <f t="shared" si="573"/>
        <v>0.03</v>
      </c>
      <c r="T722" s="126">
        <f t="shared" si="545"/>
        <v>5.65</v>
      </c>
      <c r="U722" s="126">
        <v>0</v>
      </c>
      <c r="V722" s="126">
        <f t="shared" si="581"/>
        <v>0.16</v>
      </c>
      <c r="W722" s="126">
        <f t="shared" si="217"/>
        <v>0.01</v>
      </c>
      <c r="X722" s="126">
        <f t="shared" si="9"/>
        <v>5.8500000000000005</v>
      </c>
      <c r="Y722" s="127">
        <f t="shared" si="594"/>
        <v>5644.15</v>
      </c>
      <c r="Z722" s="128">
        <f t="shared" si="402"/>
        <v>5644</v>
      </c>
      <c r="AA722" s="129">
        <f t="shared" si="47"/>
        <v>-0.1499999999996362</v>
      </c>
      <c r="AB722" s="120"/>
      <c r="AC722" s="130">
        <f t="shared" si="12"/>
        <v>1.0349999999999999E-3</v>
      </c>
      <c r="AD722" s="131">
        <f t="shared" si="13"/>
        <v>0</v>
      </c>
      <c r="AE722" s="132" t="s">
        <v>403</v>
      </c>
      <c r="AF722" s="119"/>
    </row>
    <row r="723" spans="1:32" ht="12" customHeight="1">
      <c r="A723" s="157">
        <v>44818</v>
      </c>
      <c r="B723" s="149" t="s">
        <v>575</v>
      </c>
      <c r="C723" s="149"/>
      <c r="D723" s="149"/>
      <c r="E723" s="149"/>
      <c r="F723" s="149"/>
      <c r="G723" s="149"/>
      <c r="H723" s="135" t="s">
        <v>453</v>
      </c>
      <c r="I723" s="134" t="s">
        <v>469</v>
      </c>
      <c r="J723" s="135" t="s">
        <v>448</v>
      </c>
      <c r="K723" s="136">
        <v>400</v>
      </c>
      <c r="L723" s="137">
        <v>1047</v>
      </c>
      <c r="M723" s="138">
        <f t="shared" si="572"/>
        <v>0</v>
      </c>
      <c r="N723" s="138">
        <f t="shared" ref="N723:N730" si="595">L723+M723</f>
        <v>1047</v>
      </c>
      <c r="O723" s="138"/>
      <c r="P723" s="138">
        <f t="shared" si="2"/>
        <v>418800</v>
      </c>
      <c r="Q723" s="139">
        <f t="shared" si="3"/>
        <v>1.2390749999999999</v>
      </c>
      <c r="R723" s="139">
        <f t="shared" si="74"/>
        <v>0</v>
      </c>
      <c r="S723" s="139">
        <f t="shared" si="573"/>
        <v>2.0699999999999998</v>
      </c>
      <c r="T723" s="139">
        <f t="shared" si="545"/>
        <v>418.8</v>
      </c>
      <c r="U723" s="139">
        <f t="shared" ref="U723:U730" si="596">ROUND(P723*K$1812,2)</f>
        <v>62.82</v>
      </c>
      <c r="V723" s="139">
        <f t="shared" si="581"/>
        <v>11.52</v>
      </c>
      <c r="W723" s="139">
        <f t="shared" si="217"/>
        <v>0.42</v>
      </c>
      <c r="X723" s="140">
        <f t="shared" si="9"/>
        <v>495.63</v>
      </c>
      <c r="Y723" s="141">
        <f t="shared" ref="Y723:Y730" si="597">-ROUND(P723+SUM(R723:W723),2)</f>
        <v>-419295.63</v>
      </c>
      <c r="Z723" s="142">
        <f t="shared" si="402"/>
        <v>-419296</v>
      </c>
      <c r="AA723" s="143">
        <f t="shared" si="47"/>
        <v>-0.36999999999534339</v>
      </c>
      <c r="AB723" s="133"/>
      <c r="AC723" s="144">
        <f t="shared" si="12"/>
        <v>1.183E-3</v>
      </c>
      <c r="AD723" s="145">
        <f t="shared" si="13"/>
        <v>0</v>
      </c>
      <c r="AE723" s="146" t="s">
        <v>403</v>
      </c>
      <c r="AF723" s="119"/>
    </row>
    <row r="724" spans="1:32" ht="12" customHeight="1">
      <c r="A724" s="157">
        <v>44818</v>
      </c>
      <c r="B724" s="149" t="s">
        <v>458</v>
      </c>
      <c r="C724" s="149"/>
      <c r="D724" s="149"/>
      <c r="E724" s="149"/>
      <c r="F724" s="149"/>
      <c r="G724" s="149"/>
      <c r="H724" s="135" t="s">
        <v>453</v>
      </c>
      <c r="I724" s="134" t="s">
        <v>469</v>
      </c>
      <c r="J724" s="135" t="s">
        <v>471</v>
      </c>
      <c r="K724" s="136">
        <v>5</v>
      </c>
      <c r="L724" s="137">
        <v>1486</v>
      </c>
      <c r="M724" s="138">
        <f t="shared" si="572"/>
        <v>0</v>
      </c>
      <c r="N724" s="138">
        <f t="shared" si="595"/>
        <v>1486</v>
      </c>
      <c r="O724" s="138"/>
      <c r="P724" s="138">
        <f t="shared" si="2"/>
        <v>7430</v>
      </c>
      <c r="Q724" s="139">
        <f t="shared" si="3"/>
        <v>1.7579999999999998</v>
      </c>
      <c r="R724" s="139">
        <f t="shared" si="74"/>
        <v>0</v>
      </c>
      <c r="S724" s="139">
        <f t="shared" si="573"/>
        <v>0.04</v>
      </c>
      <c r="T724" s="139">
        <f t="shared" si="545"/>
        <v>7.43</v>
      </c>
      <c r="U724" s="139">
        <f t="shared" si="596"/>
        <v>1.1100000000000001</v>
      </c>
      <c r="V724" s="139">
        <f t="shared" si="581"/>
        <v>0.2</v>
      </c>
      <c r="W724" s="139">
        <f t="shared" si="217"/>
        <v>0.01</v>
      </c>
      <c r="X724" s="140">
        <f t="shared" si="9"/>
        <v>8.7899999999999991</v>
      </c>
      <c r="Y724" s="141">
        <f t="shared" si="597"/>
        <v>-7438.79</v>
      </c>
      <c r="Z724" s="142">
        <f t="shared" si="402"/>
        <v>-7439</v>
      </c>
      <c r="AA724" s="143">
        <f t="shared" si="47"/>
        <v>-0.21000000000003638</v>
      </c>
      <c r="AB724" s="133"/>
      <c r="AC724" s="144">
        <f t="shared" si="12"/>
        <v>1.183E-3</v>
      </c>
      <c r="AD724" s="145">
        <f t="shared" si="13"/>
        <v>0</v>
      </c>
      <c r="AE724" s="146" t="s">
        <v>403</v>
      </c>
      <c r="AF724" s="119"/>
    </row>
    <row r="725" spans="1:32" ht="12" customHeight="1">
      <c r="A725" s="157">
        <v>44818</v>
      </c>
      <c r="B725" s="149" t="s">
        <v>574</v>
      </c>
      <c r="C725" s="149"/>
      <c r="D725" s="149"/>
      <c r="E725" s="149"/>
      <c r="F725" s="149"/>
      <c r="G725" s="149"/>
      <c r="H725" s="135" t="s">
        <v>453</v>
      </c>
      <c r="I725" s="134" t="s">
        <v>469</v>
      </c>
      <c r="J725" s="135" t="s">
        <v>471</v>
      </c>
      <c r="K725" s="136">
        <v>2</v>
      </c>
      <c r="L725" s="137">
        <v>3130</v>
      </c>
      <c r="M725" s="138">
        <f t="shared" si="572"/>
        <v>0</v>
      </c>
      <c r="N725" s="138">
        <f t="shared" si="595"/>
        <v>3130</v>
      </c>
      <c r="O725" s="138"/>
      <c r="P725" s="138">
        <f t="shared" si="2"/>
        <v>6260</v>
      </c>
      <c r="Q725" s="139">
        <f t="shared" si="3"/>
        <v>3.7050000000000001</v>
      </c>
      <c r="R725" s="139">
        <f t="shared" si="74"/>
        <v>0</v>
      </c>
      <c r="S725" s="139">
        <f t="shared" si="573"/>
        <v>0.03</v>
      </c>
      <c r="T725" s="139">
        <f t="shared" si="545"/>
        <v>6.26</v>
      </c>
      <c r="U725" s="139">
        <f t="shared" si="596"/>
        <v>0.94</v>
      </c>
      <c r="V725" s="139">
        <f t="shared" si="581"/>
        <v>0.17</v>
      </c>
      <c r="W725" s="139">
        <f t="shared" si="217"/>
        <v>0.01</v>
      </c>
      <c r="X725" s="140">
        <f t="shared" si="9"/>
        <v>7.41</v>
      </c>
      <c r="Y725" s="141">
        <f t="shared" si="597"/>
        <v>-6267.41</v>
      </c>
      <c r="Z725" s="142">
        <f t="shared" si="402"/>
        <v>-6267</v>
      </c>
      <c r="AA725" s="143">
        <f t="shared" si="47"/>
        <v>0.40999999999985448</v>
      </c>
      <c r="AB725" s="133"/>
      <c r="AC725" s="144">
        <f t="shared" si="12"/>
        <v>1.1839999999999999E-3</v>
      </c>
      <c r="AD725" s="145">
        <f t="shared" si="13"/>
        <v>0</v>
      </c>
      <c r="AE725" s="146" t="s">
        <v>403</v>
      </c>
      <c r="AF725" s="119"/>
    </row>
    <row r="726" spans="1:32" ht="12" customHeight="1">
      <c r="A726" s="157">
        <v>44818</v>
      </c>
      <c r="B726" s="149" t="s">
        <v>625</v>
      </c>
      <c r="C726" s="149"/>
      <c r="D726" s="149"/>
      <c r="E726" s="149"/>
      <c r="F726" s="149"/>
      <c r="G726" s="149"/>
      <c r="H726" s="135" t="s">
        <v>453</v>
      </c>
      <c r="I726" s="134" t="s">
        <v>469</v>
      </c>
      <c r="J726" s="135" t="s">
        <v>471</v>
      </c>
      <c r="K726" s="136">
        <v>5</v>
      </c>
      <c r="L726" s="137">
        <v>488.95</v>
      </c>
      <c r="M726" s="138">
        <f t="shared" si="572"/>
        <v>0</v>
      </c>
      <c r="N726" s="138">
        <f t="shared" si="595"/>
        <v>488.95</v>
      </c>
      <c r="O726" s="138"/>
      <c r="P726" s="138">
        <f t="shared" si="2"/>
        <v>2444.75</v>
      </c>
      <c r="Q726" s="139">
        <f t="shared" si="3"/>
        <v>0.57799999999999996</v>
      </c>
      <c r="R726" s="139">
        <f t="shared" si="74"/>
        <v>0</v>
      </c>
      <c r="S726" s="139">
        <f t="shared" si="573"/>
        <v>0.01</v>
      </c>
      <c r="T726" s="139">
        <f t="shared" si="545"/>
        <v>2.44</v>
      </c>
      <c r="U726" s="139">
        <f t="shared" si="596"/>
        <v>0.37</v>
      </c>
      <c r="V726" s="139">
        <f t="shared" si="581"/>
        <v>7.0000000000000007E-2</v>
      </c>
      <c r="W726" s="139">
        <f t="shared" si="217"/>
        <v>0</v>
      </c>
      <c r="X726" s="140">
        <f t="shared" si="9"/>
        <v>2.8899999999999997</v>
      </c>
      <c r="Y726" s="141">
        <f t="shared" si="597"/>
        <v>-2447.64</v>
      </c>
      <c r="Z726" s="142">
        <f t="shared" si="402"/>
        <v>-2448</v>
      </c>
      <c r="AA726" s="143">
        <f t="shared" si="47"/>
        <v>-0.36000000000012733</v>
      </c>
      <c r="AB726" s="133"/>
      <c r="AC726" s="144">
        <f t="shared" si="12"/>
        <v>1.1820000000000001E-3</v>
      </c>
      <c r="AD726" s="145">
        <f t="shared" si="13"/>
        <v>0</v>
      </c>
      <c r="AE726" s="146" t="s">
        <v>403</v>
      </c>
      <c r="AF726" s="119"/>
    </row>
    <row r="727" spans="1:32" ht="12" customHeight="1">
      <c r="A727" s="157">
        <v>44818</v>
      </c>
      <c r="B727" s="149" t="s">
        <v>540</v>
      </c>
      <c r="C727" s="149"/>
      <c r="D727" s="149"/>
      <c r="E727" s="149"/>
      <c r="F727" s="149"/>
      <c r="G727" s="149"/>
      <c r="H727" s="135" t="s">
        <v>453</v>
      </c>
      <c r="I727" s="134" t="s">
        <v>469</v>
      </c>
      <c r="J727" s="135" t="s">
        <v>471</v>
      </c>
      <c r="K727" s="136">
        <v>5</v>
      </c>
      <c r="L727" s="137">
        <v>235</v>
      </c>
      <c r="M727" s="138">
        <f t="shared" si="572"/>
        <v>0</v>
      </c>
      <c r="N727" s="138">
        <f t="shared" si="595"/>
        <v>235</v>
      </c>
      <c r="O727" s="138"/>
      <c r="P727" s="138">
        <f t="shared" si="2"/>
        <v>1175</v>
      </c>
      <c r="Q727" s="139">
        <f t="shared" si="3"/>
        <v>0.27999999999999997</v>
      </c>
      <c r="R727" s="139">
        <f t="shared" si="74"/>
        <v>0</v>
      </c>
      <c r="S727" s="139">
        <f t="shared" si="573"/>
        <v>0.01</v>
      </c>
      <c r="T727" s="139">
        <f t="shared" si="545"/>
        <v>1.18</v>
      </c>
      <c r="U727" s="139">
        <f t="shared" si="596"/>
        <v>0.18</v>
      </c>
      <c r="V727" s="139">
        <f t="shared" si="581"/>
        <v>0.03</v>
      </c>
      <c r="W727" s="139">
        <f t="shared" si="217"/>
        <v>0</v>
      </c>
      <c r="X727" s="140">
        <f t="shared" si="9"/>
        <v>1.4</v>
      </c>
      <c r="Y727" s="141">
        <f t="shared" si="597"/>
        <v>-1176.4000000000001</v>
      </c>
      <c r="Z727" s="142">
        <f t="shared" si="402"/>
        <v>-1176</v>
      </c>
      <c r="AA727" s="143">
        <f t="shared" si="47"/>
        <v>0.40000000000009095</v>
      </c>
      <c r="AB727" s="133"/>
      <c r="AC727" s="144">
        <f t="shared" si="12"/>
        <v>1.191E-3</v>
      </c>
      <c r="AD727" s="145">
        <f t="shared" si="13"/>
        <v>0</v>
      </c>
      <c r="AE727" s="146" t="s">
        <v>403</v>
      </c>
      <c r="AF727" s="119"/>
    </row>
    <row r="728" spans="1:32" ht="12" customHeight="1">
      <c r="A728" s="157">
        <v>44818</v>
      </c>
      <c r="B728" s="149" t="s">
        <v>611</v>
      </c>
      <c r="C728" s="149"/>
      <c r="D728" s="149"/>
      <c r="E728" s="149"/>
      <c r="F728" s="149"/>
      <c r="G728" s="149"/>
      <c r="H728" s="135" t="s">
        <v>453</v>
      </c>
      <c r="I728" s="134" t="s">
        <v>469</v>
      </c>
      <c r="J728" s="135" t="s">
        <v>471</v>
      </c>
      <c r="K728" s="136">
        <v>4</v>
      </c>
      <c r="L728" s="137">
        <v>690</v>
      </c>
      <c r="M728" s="138">
        <f t="shared" si="572"/>
        <v>0</v>
      </c>
      <c r="N728" s="138">
        <f t="shared" si="595"/>
        <v>690</v>
      </c>
      <c r="O728" s="138"/>
      <c r="P728" s="138">
        <f t="shared" si="2"/>
        <v>2760</v>
      </c>
      <c r="Q728" s="139">
        <f t="shared" si="3"/>
        <v>0.81499999999999995</v>
      </c>
      <c r="R728" s="139">
        <f t="shared" si="74"/>
        <v>0</v>
      </c>
      <c r="S728" s="139">
        <f t="shared" si="573"/>
        <v>0.01</v>
      </c>
      <c r="T728" s="139">
        <f t="shared" si="545"/>
        <v>2.76</v>
      </c>
      <c r="U728" s="139">
        <f t="shared" si="596"/>
        <v>0.41</v>
      </c>
      <c r="V728" s="139">
        <f t="shared" si="581"/>
        <v>0.08</v>
      </c>
      <c r="W728" s="139">
        <f t="shared" si="217"/>
        <v>0</v>
      </c>
      <c r="X728" s="140">
        <f t="shared" si="9"/>
        <v>3.26</v>
      </c>
      <c r="Y728" s="141">
        <f t="shared" si="597"/>
        <v>-2763.26</v>
      </c>
      <c r="Z728" s="142">
        <f t="shared" si="402"/>
        <v>-2763</v>
      </c>
      <c r="AA728" s="143">
        <f t="shared" si="47"/>
        <v>0.26000000000021828</v>
      </c>
      <c r="AB728" s="133"/>
      <c r="AC728" s="144">
        <f t="shared" si="12"/>
        <v>1.181E-3</v>
      </c>
      <c r="AD728" s="145">
        <f t="shared" si="13"/>
        <v>0</v>
      </c>
      <c r="AE728" s="146" t="s">
        <v>403</v>
      </c>
      <c r="AF728" s="119"/>
    </row>
    <row r="729" spans="1:32" ht="12" customHeight="1">
      <c r="A729" s="157">
        <v>44818</v>
      </c>
      <c r="B729" s="149" t="s">
        <v>626</v>
      </c>
      <c r="C729" s="149"/>
      <c r="D729" s="149"/>
      <c r="E729" s="149"/>
      <c r="F729" s="149"/>
      <c r="G729" s="149"/>
      <c r="H729" s="135" t="s">
        <v>453</v>
      </c>
      <c r="I729" s="134" t="s">
        <v>469</v>
      </c>
      <c r="J729" s="135" t="s">
        <v>471</v>
      </c>
      <c r="K729" s="136">
        <v>20</v>
      </c>
      <c r="L729" s="137">
        <v>170</v>
      </c>
      <c r="M729" s="138">
        <f t="shared" si="572"/>
        <v>0</v>
      </c>
      <c r="N729" s="138">
        <f t="shared" si="595"/>
        <v>170</v>
      </c>
      <c r="O729" s="138"/>
      <c r="P729" s="138">
        <f t="shared" si="2"/>
        <v>3400</v>
      </c>
      <c r="Q729" s="139">
        <f t="shared" si="3"/>
        <v>0.20099999999999998</v>
      </c>
      <c r="R729" s="139">
        <f t="shared" si="74"/>
        <v>0</v>
      </c>
      <c r="S729" s="139">
        <f t="shared" si="573"/>
        <v>0.02</v>
      </c>
      <c r="T729" s="139">
        <f t="shared" si="545"/>
        <v>3.4</v>
      </c>
      <c r="U729" s="139">
        <f t="shared" si="596"/>
        <v>0.51</v>
      </c>
      <c r="V729" s="139">
        <f t="shared" si="581"/>
        <v>0.09</v>
      </c>
      <c r="W729" s="139">
        <f t="shared" si="217"/>
        <v>0</v>
      </c>
      <c r="X729" s="140">
        <f t="shared" si="9"/>
        <v>4.0199999999999996</v>
      </c>
      <c r="Y729" s="141">
        <f t="shared" si="597"/>
        <v>-3404.02</v>
      </c>
      <c r="Z729" s="142">
        <f t="shared" si="402"/>
        <v>-3404</v>
      </c>
      <c r="AA729" s="143">
        <f t="shared" si="47"/>
        <v>1.999999999998181E-2</v>
      </c>
      <c r="AB729" s="133"/>
      <c r="AC729" s="144">
        <f t="shared" si="12"/>
        <v>1.1820000000000001E-3</v>
      </c>
      <c r="AD729" s="145">
        <f t="shared" si="13"/>
        <v>0</v>
      </c>
      <c r="AE729" s="146" t="s">
        <v>403</v>
      </c>
      <c r="AF729" s="119"/>
    </row>
    <row r="730" spans="1:32" ht="12" customHeight="1">
      <c r="A730" s="157">
        <v>44818</v>
      </c>
      <c r="B730" s="149" t="s">
        <v>619</v>
      </c>
      <c r="C730" s="149"/>
      <c r="D730" s="149"/>
      <c r="E730" s="149"/>
      <c r="F730" s="149"/>
      <c r="G730" s="149"/>
      <c r="H730" s="135" t="s">
        <v>453</v>
      </c>
      <c r="I730" s="134" t="s">
        <v>469</v>
      </c>
      <c r="J730" s="135" t="s">
        <v>471</v>
      </c>
      <c r="K730" s="136">
        <v>100</v>
      </c>
      <c r="L730" s="137">
        <v>9.1999999999999993</v>
      </c>
      <c r="M730" s="138">
        <f t="shared" si="572"/>
        <v>0</v>
      </c>
      <c r="N730" s="138">
        <f t="shared" si="595"/>
        <v>9.1999999999999993</v>
      </c>
      <c r="O730" s="138"/>
      <c r="P730" s="138">
        <f t="shared" si="2"/>
        <v>920</v>
      </c>
      <c r="Q730" s="139">
        <f t="shared" si="3"/>
        <v>1.1000000000000001E-2</v>
      </c>
      <c r="R730" s="139">
        <f t="shared" si="74"/>
        <v>0</v>
      </c>
      <c r="S730" s="139">
        <f t="shared" si="573"/>
        <v>0.01</v>
      </c>
      <c r="T730" s="139">
        <f t="shared" si="545"/>
        <v>0.92</v>
      </c>
      <c r="U730" s="139">
        <f t="shared" si="596"/>
        <v>0.14000000000000001</v>
      </c>
      <c r="V730" s="139">
        <f t="shared" si="581"/>
        <v>0.03</v>
      </c>
      <c r="W730" s="139">
        <f t="shared" si="217"/>
        <v>0</v>
      </c>
      <c r="X730" s="140">
        <f t="shared" si="9"/>
        <v>1.1000000000000001</v>
      </c>
      <c r="Y730" s="141">
        <f t="shared" si="597"/>
        <v>-921.1</v>
      </c>
      <c r="Z730" s="142">
        <f t="shared" si="402"/>
        <v>-921</v>
      </c>
      <c r="AA730" s="143">
        <f t="shared" si="47"/>
        <v>0.10000000000002274</v>
      </c>
      <c r="AB730" s="133"/>
      <c r="AC730" s="144">
        <f t="shared" si="12"/>
        <v>1.196E-3</v>
      </c>
      <c r="AD730" s="145">
        <f t="shared" si="13"/>
        <v>0</v>
      </c>
      <c r="AE730" s="146" t="s">
        <v>403</v>
      </c>
      <c r="AF730" s="119"/>
    </row>
    <row r="731" spans="1:32" ht="12" customHeight="1">
      <c r="A731" s="150">
        <v>44819</v>
      </c>
      <c r="B731" s="151" t="s">
        <v>575</v>
      </c>
      <c r="C731" s="151"/>
      <c r="D731" s="151"/>
      <c r="E731" s="151"/>
      <c r="F731" s="151"/>
      <c r="G731" s="151"/>
      <c r="H731" s="122" t="s">
        <v>446</v>
      </c>
      <c r="I731" s="121" t="s">
        <v>469</v>
      </c>
      <c r="J731" s="122" t="s">
        <v>448</v>
      </c>
      <c r="K731" s="123">
        <v>109</v>
      </c>
      <c r="L731" s="124">
        <v>1090.0734</v>
      </c>
      <c r="M731" s="125">
        <f t="shared" si="572"/>
        <v>0</v>
      </c>
      <c r="N731" s="125">
        <f>L731-M731</f>
        <v>1090.0734</v>
      </c>
      <c r="O731" s="125"/>
      <c r="P731" s="125">
        <f t="shared" si="2"/>
        <v>118818</v>
      </c>
      <c r="Q731" s="126">
        <f t="shared" si="3"/>
        <v>1.1266055045871559</v>
      </c>
      <c r="R731" s="126">
        <f t="shared" si="74"/>
        <v>0</v>
      </c>
      <c r="S731" s="126">
        <f t="shared" si="573"/>
        <v>0.59</v>
      </c>
      <c r="T731" s="126">
        <f t="shared" si="545"/>
        <v>118.82</v>
      </c>
      <c r="U731" s="126">
        <v>0</v>
      </c>
      <c r="V731" s="126">
        <f t="shared" si="581"/>
        <v>3.27</v>
      </c>
      <c r="W731" s="126">
        <f t="shared" si="217"/>
        <v>0.12</v>
      </c>
      <c r="X731" s="126">
        <f t="shared" si="9"/>
        <v>122.8</v>
      </c>
      <c r="Y731" s="127">
        <f>ROUND(P731-SUM(R731:W731),2)</f>
        <v>118695.2</v>
      </c>
      <c r="Z731" s="128">
        <f t="shared" si="402"/>
        <v>118695</v>
      </c>
      <c r="AA731" s="129">
        <f t="shared" si="47"/>
        <v>-0.19999999999708962</v>
      </c>
      <c r="AB731" s="120"/>
      <c r="AC731" s="130">
        <f t="shared" si="12"/>
        <v>1.034E-3</v>
      </c>
      <c r="AD731" s="131">
        <f t="shared" si="13"/>
        <v>0</v>
      </c>
      <c r="AE731" s="132" t="s">
        <v>403</v>
      </c>
      <c r="AF731" s="119"/>
    </row>
    <row r="732" spans="1:32" ht="12" customHeight="1">
      <c r="A732" s="157">
        <v>44820</v>
      </c>
      <c r="B732" s="149" t="s">
        <v>575</v>
      </c>
      <c r="C732" s="149"/>
      <c r="D732" s="149"/>
      <c r="E732" s="149"/>
      <c r="F732" s="149"/>
      <c r="G732" s="149"/>
      <c r="H732" s="135" t="s">
        <v>453</v>
      </c>
      <c r="I732" s="134" t="s">
        <v>469</v>
      </c>
      <c r="J732" s="135" t="s">
        <v>448</v>
      </c>
      <c r="K732" s="136">
        <v>159</v>
      </c>
      <c r="L732" s="137">
        <v>1084.3081999999999</v>
      </c>
      <c r="M732" s="138">
        <f t="shared" si="572"/>
        <v>0</v>
      </c>
      <c r="N732" s="138">
        <f t="shared" ref="N732:N734" si="598">L732+M732</f>
        <v>1084.3081999999999</v>
      </c>
      <c r="O732" s="138"/>
      <c r="P732" s="138">
        <f t="shared" si="2"/>
        <v>172405</v>
      </c>
      <c r="Q732" s="139">
        <f t="shared" si="3"/>
        <v>1.2832075471698112</v>
      </c>
      <c r="R732" s="139">
        <f t="shared" si="74"/>
        <v>0</v>
      </c>
      <c r="S732" s="139">
        <f t="shared" si="573"/>
        <v>0.85</v>
      </c>
      <c r="T732" s="139">
        <f t="shared" si="545"/>
        <v>172.41</v>
      </c>
      <c r="U732" s="139">
        <f t="shared" ref="U732:U734" si="599">ROUND(P732*K$1812,2)</f>
        <v>25.86</v>
      </c>
      <c r="V732" s="139">
        <f t="shared" si="581"/>
        <v>4.74</v>
      </c>
      <c r="W732" s="139">
        <f t="shared" si="217"/>
        <v>0.17</v>
      </c>
      <c r="X732" s="140">
        <f t="shared" si="9"/>
        <v>204.03</v>
      </c>
      <c r="Y732" s="141">
        <f t="shared" ref="Y732:Y734" si="600">-ROUND(P732+SUM(R732:W732),2)</f>
        <v>-172609.03</v>
      </c>
      <c r="Z732" s="142">
        <f t="shared" si="402"/>
        <v>-172609</v>
      </c>
      <c r="AA732" s="143">
        <f t="shared" si="47"/>
        <v>2.9999999998835847E-2</v>
      </c>
      <c r="AB732" s="133"/>
      <c r="AC732" s="144">
        <f t="shared" si="12"/>
        <v>1.183E-3</v>
      </c>
      <c r="AD732" s="145">
        <f t="shared" si="13"/>
        <v>0</v>
      </c>
      <c r="AE732" s="146" t="s">
        <v>403</v>
      </c>
      <c r="AF732" s="119"/>
    </row>
    <row r="733" spans="1:32" ht="12" customHeight="1">
      <c r="A733" s="157">
        <v>44823</v>
      </c>
      <c r="B733" s="149" t="s">
        <v>575</v>
      </c>
      <c r="C733" s="149"/>
      <c r="D733" s="149"/>
      <c r="E733" s="149"/>
      <c r="F733" s="149"/>
      <c r="G733" s="149"/>
      <c r="H733" s="135" t="s">
        <v>453</v>
      </c>
      <c r="I733" s="134" t="s">
        <v>469</v>
      </c>
      <c r="J733" s="135" t="s">
        <v>448</v>
      </c>
      <c r="K733" s="136">
        <v>40</v>
      </c>
      <c r="L733" s="137">
        <v>1052</v>
      </c>
      <c r="M733" s="138">
        <f t="shared" si="572"/>
        <v>0</v>
      </c>
      <c r="N733" s="138">
        <f t="shared" si="598"/>
        <v>1052</v>
      </c>
      <c r="O733" s="138"/>
      <c r="P733" s="138">
        <f t="shared" si="2"/>
        <v>42080</v>
      </c>
      <c r="Q733" s="139">
        <f t="shared" si="3"/>
        <v>1.2449999999999999</v>
      </c>
      <c r="R733" s="139">
        <f t="shared" si="74"/>
        <v>0</v>
      </c>
      <c r="S733" s="139">
        <f t="shared" si="573"/>
        <v>0.21</v>
      </c>
      <c r="T733" s="139">
        <f t="shared" si="545"/>
        <v>42.08</v>
      </c>
      <c r="U733" s="139">
        <f t="shared" si="599"/>
        <v>6.31</v>
      </c>
      <c r="V733" s="139">
        <f t="shared" si="581"/>
        <v>1.1599999999999999</v>
      </c>
      <c r="W733" s="139">
        <f t="shared" si="217"/>
        <v>0.04</v>
      </c>
      <c r="X733" s="140">
        <f t="shared" si="9"/>
        <v>49.8</v>
      </c>
      <c r="Y733" s="141">
        <f t="shared" si="600"/>
        <v>-42129.8</v>
      </c>
      <c r="Z733" s="142">
        <f t="shared" si="402"/>
        <v>-42130</v>
      </c>
      <c r="AA733" s="143">
        <f t="shared" si="47"/>
        <v>-0.19999999999708962</v>
      </c>
      <c r="AB733" s="133"/>
      <c r="AC733" s="144">
        <f t="shared" si="12"/>
        <v>1.183E-3</v>
      </c>
      <c r="AD733" s="145">
        <f t="shared" si="13"/>
        <v>0</v>
      </c>
      <c r="AE733" s="146" t="s">
        <v>403</v>
      </c>
      <c r="AF733" s="119"/>
    </row>
    <row r="734" spans="1:32" ht="12" customHeight="1">
      <c r="A734" s="157">
        <v>44823</v>
      </c>
      <c r="B734" s="134" t="s">
        <v>584</v>
      </c>
      <c r="C734" s="149"/>
      <c r="D734" s="149"/>
      <c r="E734" s="149"/>
      <c r="F734" s="149"/>
      <c r="G734" s="149"/>
      <c r="H734" s="135" t="s">
        <v>453</v>
      </c>
      <c r="I734" s="134" t="s">
        <v>469</v>
      </c>
      <c r="J734" s="135" t="s">
        <v>471</v>
      </c>
      <c r="K734" s="136">
        <v>1000</v>
      </c>
      <c r="L734" s="137">
        <v>11.65</v>
      </c>
      <c r="M734" s="138">
        <f t="shared" si="572"/>
        <v>0</v>
      </c>
      <c r="N734" s="138">
        <f t="shared" si="598"/>
        <v>11.65</v>
      </c>
      <c r="O734" s="138"/>
      <c r="P734" s="138">
        <f t="shared" si="2"/>
        <v>11650</v>
      </c>
      <c r="Q734" s="139">
        <f t="shared" si="3"/>
        <v>1.379E-2</v>
      </c>
      <c r="R734" s="139">
        <f t="shared" si="74"/>
        <v>0</v>
      </c>
      <c r="S734" s="139">
        <f t="shared" si="573"/>
        <v>0.06</v>
      </c>
      <c r="T734" s="139">
        <f t="shared" si="545"/>
        <v>11.65</v>
      </c>
      <c r="U734" s="139">
        <f t="shared" si="599"/>
        <v>1.75</v>
      </c>
      <c r="V734" s="139">
        <f t="shared" si="581"/>
        <v>0.32</v>
      </c>
      <c r="W734" s="139">
        <f t="shared" si="217"/>
        <v>0.01</v>
      </c>
      <c r="X734" s="140">
        <f t="shared" si="9"/>
        <v>13.790000000000001</v>
      </c>
      <c r="Y734" s="141">
        <f t="shared" si="600"/>
        <v>-11663.79</v>
      </c>
      <c r="Z734" s="142">
        <f t="shared" si="402"/>
        <v>-11664</v>
      </c>
      <c r="AA734" s="143">
        <f t="shared" si="47"/>
        <v>-0.20999999999912689</v>
      </c>
      <c r="AB734" s="133"/>
      <c r="AC734" s="144">
        <f t="shared" si="12"/>
        <v>1.1839999999999999E-3</v>
      </c>
      <c r="AD734" s="145">
        <f t="shared" si="13"/>
        <v>0</v>
      </c>
      <c r="AE734" s="146" t="s">
        <v>403</v>
      </c>
      <c r="AF734" s="119"/>
    </row>
    <row r="735" spans="1:32" ht="12" customHeight="1">
      <c r="A735" s="150">
        <v>44823</v>
      </c>
      <c r="B735" s="151" t="s">
        <v>602</v>
      </c>
      <c r="C735" s="151"/>
      <c r="D735" s="151"/>
      <c r="E735" s="151"/>
      <c r="F735" s="151"/>
      <c r="G735" s="151"/>
      <c r="H735" s="122" t="s">
        <v>446</v>
      </c>
      <c r="I735" s="121" t="s">
        <v>469</v>
      </c>
      <c r="J735" s="122" t="s">
        <v>471</v>
      </c>
      <c r="K735" s="123">
        <v>100</v>
      </c>
      <c r="L735" s="124">
        <v>106</v>
      </c>
      <c r="M735" s="125">
        <f t="shared" si="572"/>
        <v>0</v>
      </c>
      <c r="N735" s="125">
        <f t="shared" ref="N735:N738" si="601">L735-M735</f>
        <v>106</v>
      </c>
      <c r="O735" s="125"/>
      <c r="P735" s="125">
        <f t="shared" si="2"/>
        <v>10600</v>
      </c>
      <c r="Q735" s="126">
        <f t="shared" si="3"/>
        <v>0.10949999999999999</v>
      </c>
      <c r="R735" s="126">
        <f t="shared" si="74"/>
        <v>0</v>
      </c>
      <c r="S735" s="126">
        <f t="shared" si="573"/>
        <v>0.05</v>
      </c>
      <c r="T735" s="126">
        <f t="shared" si="545"/>
        <v>10.6</v>
      </c>
      <c r="U735" s="126">
        <v>0</v>
      </c>
      <c r="V735" s="126">
        <f t="shared" si="581"/>
        <v>0.28999999999999998</v>
      </c>
      <c r="W735" s="126">
        <f t="shared" si="217"/>
        <v>0.01</v>
      </c>
      <c r="X735" s="126">
        <f t="shared" si="9"/>
        <v>10.95</v>
      </c>
      <c r="Y735" s="127">
        <f t="shared" ref="Y735:Y738" si="602">ROUND(P735-SUM(R735:W735),2)</f>
        <v>10589.05</v>
      </c>
      <c r="Z735" s="128">
        <f t="shared" si="402"/>
        <v>10589</v>
      </c>
      <c r="AA735" s="129">
        <f t="shared" si="47"/>
        <v>-4.9999999999272404E-2</v>
      </c>
      <c r="AB735" s="120"/>
      <c r="AC735" s="130">
        <f t="shared" si="12"/>
        <v>1.0330000000000001E-3</v>
      </c>
      <c r="AD735" s="131">
        <f t="shared" si="13"/>
        <v>0</v>
      </c>
      <c r="AE735" s="132" t="s">
        <v>403</v>
      </c>
      <c r="AF735" s="119"/>
    </row>
    <row r="736" spans="1:32" ht="12" customHeight="1">
      <c r="A736" s="150">
        <v>44823</v>
      </c>
      <c r="B736" s="151" t="s">
        <v>592</v>
      </c>
      <c r="C736" s="151"/>
      <c r="D736" s="151"/>
      <c r="E736" s="151"/>
      <c r="F736" s="151"/>
      <c r="G736" s="151"/>
      <c r="H736" s="122" t="s">
        <v>446</v>
      </c>
      <c r="I736" s="121" t="s">
        <v>469</v>
      </c>
      <c r="J736" s="122" t="s">
        <v>471</v>
      </c>
      <c r="K736" s="123">
        <v>350</v>
      </c>
      <c r="L736" s="124">
        <v>34.25</v>
      </c>
      <c r="M736" s="125">
        <f t="shared" si="572"/>
        <v>0</v>
      </c>
      <c r="N736" s="125">
        <f t="shared" si="601"/>
        <v>34.25</v>
      </c>
      <c r="O736" s="125"/>
      <c r="P736" s="125">
        <f t="shared" si="2"/>
        <v>11987.5</v>
      </c>
      <c r="Q736" s="126">
        <f t="shared" si="3"/>
        <v>3.5400000000000001E-2</v>
      </c>
      <c r="R736" s="126">
        <f t="shared" si="74"/>
        <v>0</v>
      </c>
      <c r="S736" s="126">
        <f t="shared" si="573"/>
        <v>0.06</v>
      </c>
      <c r="T736" s="126">
        <f t="shared" si="545"/>
        <v>11.99</v>
      </c>
      <c r="U736" s="126">
        <v>0</v>
      </c>
      <c r="V736" s="126">
        <f t="shared" si="581"/>
        <v>0.33</v>
      </c>
      <c r="W736" s="126">
        <f t="shared" si="217"/>
        <v>0.01</v>
      </c>
      <c r="X736" s="126">
        <f t="shared" si="9"/>
        <v>12.39</v>
      </c>
      <c r="Y736" s="127">
        <f t="shared" si="602"/>
        <v>11975.11</v>
      </c>
      <c r="Z736" s="128">
        <f t="shared" si="402"/>
        <v>11975</v>
      </c>
      <c r="AA736" s="129">
        <f t="shared" si="47"/>
        <v>-0.11000000000058208</v>
      </c>
      <c r="AB736" s="120"/>
      <c r="AC736" s="130">
        <f t="shared" si="12"/>
        <v>1.034E-3</v>
      </c>
      <c r="AD736" s="131">
        <f t="shared" si="13"/>
        <v>0</v>
      </c>
      <c r="AE736" s="132" t="s">
        <v>403</v>
      </c>
      <c r="AF736" s="119"/>
    </row>
    <row r="737" spans="1:32" ht="12" customHeight="1">
      <c r="A737" s="150">
        <v>44824</v>
      </c>
      <c r="B737" s="151" t="s">
        <v>484</v>
      </c>
      <c r="C737" s="151"/>
      <c r="D737" s="151"/>
      <c r="E737" s="151"/>
      <c r="F737" s="151"/>
      <c r="G737" s="151"/>
      <c r="H737" s="122" t="s">
        <v>446</v>
      </c>
      <c r="I737" s="121" t="s">
        <v>469</v>
      </c>
      <c r="J737" s="122" t="s">
        <v>471</v>
      </c>
      <c r="K737" s="123">
        <v>3</v>
      </c>
      <c r="L737" s="124">
        <v>7625.2332999999999</v>
      </c>
      <c r="M737" s="125">
        <f t="shared" si="572"/>
        <v>0</v>
      </c>
      <c r="N737" s="125">
        <f t="shared" si="601"/>
        <v>7625.2332999999999</v>
      </c>
      <c r="O737" s="125"/>
      <c r="P737" s="125">
        <f t="shared" si="2"/>
        <v>22875.7</v>
      </c>
      <c r="Q737" s="126">
        <f t="shared" si="3"/>
        <v>7.879999999999999</v>
      </c>
      <c r="R737" s="126">
        <f t="shared" si="74"/>
        <v>0</v>
      </c>
      <c r="S737" s="126">
        <f t="shared" si="573"/>
        <v>0.11</v>
      </c>
      <c r="T737" s="126">
        <f t="shared" si="545"/>
        <v>22.88</v>
      </c>
      <c r="U737" s="126">
        <v>0</v>
      </c>
      <c r="V737" s="126">
        <f t="shared" si="581"/>
        <v>0.63</v>
      </c>
      <c r="W737" s="126">
        <f t="shared" si="217"/>
        <v>0.02</v>
      </c>
      <c r="X737" s="126">
        <f t="shared" si="9"/>
        <v>23.639999999999997</v>
      </c>
      <c r="Y737" s="127">
        <f t="shared" si="602"/>
        <v>22852.06</v>
      </c>
      <c r="Z737" s="128">
        <f t="shared" si="402"/>
        <v>22852</v>
      </c>
      <c r="AA737" s="129">
        <f t="shared" si="47"/>
        <v>-6.0000000001309672E-2</v>
      </c>
      <c r="AB737" s="120"/>
      <c r="AC737" s="130">
        <f t="shared" si="12"/>
        <v>1.0330000000000001E-3</v>
      </c>
      <c r="AD737" s="131">
        <f t="shared" si="13"/>
        <v>0</v>
      </c>
      <c r="AE737" s="132" t="s">
        <v>403</v>
      </c>
      <c r="AF737" s="119"/>
    </row>
    <row r="738" spans="1:32" ht="12" customHeight="1">
      <c r="A738" s="150">
        <v>44824</v>
      </c>
      <c r="B738" s="151" t="s">
        <v>575</v>
      </c>
      <c r="C738" s="151"/>
      <c r="D738" s="151"/>
      <c r="E738" s="151"/>
      <c r="F738" s="151"/>
      <c r="G738" s="151"/>
      <c r="H738" s="122" t="s">
        <v>446</v>
      </c>
      <c r="I738" s="121" t="s">
        <v>469</v>
      </c>
      <c r="J738" s="122" t="s">
        <v>448</v>
      </c>
      <c r="K738" s="123">
        <v>65</v>
      </c>
      <c r="L738" s="124">
        <v>1069.8499999999999</v>
      </c>
      <c r="M738" s="125">
        <f t="shared" si="572"/>
        <v>0</v>
      </c>
      <c r="N738" s="125">
        <f t="shared" si="601"/>
        <v>1069.8499999999999</v>
      </c>
      <c r="O738" s="125"/>
      <c r="P738" s="125">
        <f t="shared" si="2"/>
        <v>69540.25</v>
      </c>
      <c r="Q738" s="126">
        <f t="shared" si="3"/>
        <v>1.1055384615384616</v>
      </c>
      <c r="R738" s="126">
        <f t="shared" si="74"/>
        <v>0</v>
      </c>
      <c r="S738" s="126">
        <f t="shared" si="573"/>
        <v>0.34</v>
      </c>
      <c r="T738" s="126">
        <f t="shared" si="545"/>
        <v>69.540000000000006</v>
      </c>
      <c r="U738" s="126">
        <v>0</v>
      </c>
      <c r="V738" s="126">
        <f t="shared" si="581"/>
        <v>1.91</v>
      </c>
      <c r="W738" s="126">
        <f t="shared" si="217"/>
        <v>7.0000000000000007E-2</v>
      </c>
      <c r="X738" s="126">
        <f t="shared" si="9"/>
        <v>71.86</v>
      </c>
      <c r="Y738" s="127">
        <f t="shared" si="602"/>
        <v>69468.39</v>
      </c>
      <c r="Z738" s="128">
        <f t="shared" si="402"/>
        <v>69468</v>
      </c>
      <c r="AA738" s="129">
        <f t="shared" si="47"/>
        <v>-0.38999999999941792</v>
      </c>
      <c r="AB738" s="120"/>
      <c r="AC738" s="130">
        <f t="shared" si="12"/>
        <v>1.0330000000000001E-3</v>
      </c>
      <c r="AD738" s="131">
        <f t="shared" si="13"/>
        <v>0</v>
      </c>
      <c r="AE738" s="132" t="s">
        <v>403</v>
      </c>
      <c r="AF738" s="119"/>
    </row>
    <row r="739" spans="1:32" ht="12" customHeight="1">
      <c r="A739" s="157">
        <v>44825</v>
      </c>
      <c r="B739" s="149" t="s">
        <v>575</v>
      </c>
      <c r="C739" s="149"/>
      <c r="D739" s="149"/>
      <c r="E739" s="149"/>
      <c r="F739" s="149"/>
      <c r="G739" s="149"/>
      <c r="H739" s="135" t="s">
        <v>453</v>
      </c>
      <c r="I739" s="134" t="s">
        <v>469</v>
      </c>
      <c r="J739" s="135" t="s">
        <v>448</v>
      </c>
      <c r="K739" s="136">
        <v>25</v>
      </c>
      <c r="L739" s="137">
        <v>1047.0999999999999</v>
      </c>
      <c r="M739" s="138">
        <f t="shared" si="572"/>
        <v>0</v>
      </c>
      <c r="N739" s="138">
        <f t="shared" ref="N739:N742" si="603">L739+M739</f>
        <v>1047.0999999999999</v>
      </c>
      <c r="O739" s="138"/>
      <c r="P739" s="138">
        <f t="shared" si="2"/>
        <v>26177.5</v>
      </c>
      <c r="Q739" s="139">
        <f t="shared" si="3"/>
        <v>1.2396</v>
      </c>
      <c r="R739" s="139">
        <f t="shared" si="74"/>
        <v>0</v>
      </c>
      <c r="S739" s="139">
        <f t="shared" si="573"/>
        <v>0.13</v>
      </c>
      <c r="T739" s="139">
        <f t="shared" si="545"/>
        <v>26.18</v>
      </c>
      <c r="U739" s="139">
        <f t="shared" ref="U739:U742" si="604">ROUND(P739*K$1812,2)</f>
        <v>3.93</v>
      </c>
      <c r="V739" s="139">
        <f t="shared" si="581"/>
        <v>0.72</v>
      </c>
      <c r="W739" s="139">
        <f t="shared" si="217"/>
        <v>0.03</v>
      </c>
      <c r="X739" s="140">
        <f t="shared" si="9"/>
        <v>30.99</v>
      </c>
      <c r="Y739" s="141">
        <f t="shared" ref="Y739:Y742" si="605">-ROUND(P739+SUM(R739:W739),2)</f>
        <v>-26208.49</v>
      </c>
      <c r="Z739" s="142">
        <f t="shared" si="402"/>
        <v>-26208</v>
      </c>
      <c r="AA739" s="143">
        <f t="shared" si="47"/>
        <v>0.49000000000160071</v>
      </c>
      <c r="AB739" s="133"/>
      <c r="AC739" s="144">
        <f t="shared" si="12"/>
        <v>1.1839999999999999E-3</v>
      </c>
      <c r="AD739" s="145">
        <f t="shared" si="13"/>
        <v>0</v>
      </c>
      <c r="AE739" s="146" t="s">
        <v>403</v>
      </c>
      <c r="AF739" s="119"/>
    </row>
    <row r="740" spans="1:32" ht="12" customHeight="1">
      <c r="A740" s="157">
        <v>44826</v>
      </c>
      <c r="B740" s="149" t="s">
        <v>575</v>
      </c>
      <c r="C740" s="149"/>
      <c r="D740" s="149"/>
      <c r="E740" s="149"/>
      <c r="F740" s="149"/>
      <c r="G740" s="149"/>
      <c r="H740" s="135" t="s">
        <v>453</v>
      </c>
      <c r="I740" s="134" t="s">
        <v>469</v>
      </c>
      <c r="J740" s="135" t="s">
        <v>448</v>
      </c>
      <c r="K740" s="136">
        <v>25</v>
      </c>
      <c r="L740" s="137">
        <v>1040</v>
      </c>
      <c r="M740" s="138">
        <f t="shared" si="572"/>
        <v>0</v>
      </c>
      <c r="N740" s="138">
        <f t="shared" si="603"/>
        <v>1040</v>
      </c>
      <c r="O740" s="138"/>
      <c r="P740" s="138">
        <f t="shared" si="2"/>
        <v>26000</v>
      </c>
      <c r="Q740" s="139">
        <f t="shared" si="3"/>
        <v>1.2311999999999999</v>
      </c>
      <c r="R740" s="139">
        <f t="shared" si="74"/>
        <v>0</v>
      </c>
      <c r="S740" s="139">
        <f t="shared" si="573"/>
        <v>0.13</v>
      </c>
      <c r="T740" s="139">
        <f t="shared" si="545"/>
        <v>26</v>
      </c>
      <c r="U740" s="139">
        <f t="shared" si="604"/>
        <v>3.9</v>
      </c>
      <c r="V740" s="139">
        <f t="shared" si="581"/>
        <v>0.72</v>
      </c>
      <c r="W740" s="139">
        <f t="shared" si="217"/>
        <v>0.03</v>
      </c>
      <c r="X740" s="140">
        <f t="shared" si="9"/>
        <v>30.779999999999998</v>
      </c>
      <c r="Y740" s="141">
        <f t="shared" si="605"/>
        <v>-26030.78</v>
      </c>
      <c r="Z740" s="142">
        <f t="shared" si="402"/>
        <v>-26031</v>
      </c>
      <c r="AA740" s="143">
        <f t="shared" si="47"/>
        <v>-0.22000000000116415</v>
      </c>
      <c r="AB740" s="133"/>
      <c r="AC740" s="144">
        <f t="shared" si="12"/>
        <v>1.1839999999999999E-3</v>
      </c>
      <c r="AD740" s="145">
        <f t="shared" si="13"/>
        <v>0</v>
      </c>
      <c r="AE740" s="146" t="s">
        <v>403</v>
      </c>
      <c r="AF740" s="119"/>
    </row>
    <row r="741" spans="1:32" ht="12" customHeight="1">
      <c r="A741" s="157">
        <v>44827</v>
      </c>
      <c r="B741" s="149" t="s">
        <v>575</v>
      </c>
      <c r="C741" s="149"/>
      <c r="D741" s="149"/>
      <c r="E741" s="149"/>
      <c r="F741" s="149"/>
      <c r="G741" s="149"/>
      <c r="H741" s="135" t="s">
        <v>453</v>
      </c>
      <c r="I741" s="134" t="s">
        <v>469</v>
      </c>
      <c r="J741" s="135" t="s">
        <v>448</v>
      </c>
      <c r="K741" s="136">
        <v>10</v>
      </c>
      <c r="L741" s="137">
        <v>1036</v>
      </c>
      <c r="M741" s="138">
        <f t="shared" si="572"/>
        <v>0</v>
      </c>
      <c r="N741" s="138">
        <f t="shared" si="603"/>
        <v>1036</v>
      </c>
      <c r="O741" s="138"/>
      <c r="P741" s="138">
        <f t="shared" si="2"/>
        <v>10360</v>
      </c>
      <c r="Q741" s="139">
        <f t="shared" si="3"/>
        <v>1.2250000000000001</v>
      </c>
      <c r="R741" s="139">
        <f t="shared" si="74"/>
        <v>0</v>
      </c>
      <c r="S741" s="139">
        <f t="shared" si="573"/>
        <v>0.05</v>
      </c>
      <c r="T741" s="139">
        <f t="shared" si="545"/>
        <v>10.36</v>
      </c>
      <c r="U741" s="139">
        <f t="shared" si="604"/>
        <v>1.55</v>
      </c>
      <c r="V741" s="139">
        <f t="shared" si="581"/>
        <v>0.28000000000000003</v>
      </c>
      <c r="W741" s="139">
        <f t="shared" si="217"/>
        <v>0.01</v>
      </c>
      <c r="X741" s="140">
        <f t="shared" si="9"/>
        <v>12.25</v>
      </c>
      <c r="Y741" s="141">
        <f t="shared" si="605"/>
        <v>-10372.25</v>
      </c>
      <c r="Z741" s="142">
        <f t="shared" si="402"/>
        <v>-10372</v>
      </c>
      <c r="AA741" s="143">
        <f t="shared" si="47"/>
        <v>0.25</v>
      </c>
      <c r="AB741" s="133"/>
      <c r="AC741" s="144">
        <f t="shared" si="12"/>
        <v>1.1820000000000001E-3</v>
      </c>
      <c r="AD741" s="145">
        <f t="shared" si="13"/>
        <v>0</v>
      </c>
      <c r="AE741" s="146" t="s">
        <v>403</v>
      </c>
      <c r="AF741" s="119"/>
    </row>
    <row r="742" spans="1:32" ht="12" customHeight="1">
      <c r="A742" s="157">
        <v>44831</v>
      </c>
      <c r="B742" s="149" t="s">
        <v>575</v>
      </c>
      <c r="C742" s="149"/>
      <c r="D742" s="149"/>
      <c r="E742" s="149"/>
      <c r="F742" s="149"/>
      <c r="G742" s="149"/>
      <c r="H742" s="135" t="s">
        <v>453</v>
      </c>
      <c r="I742" s="134" t="s">
        <v>469</v>
      </c>
      <c r="J742" s="135" t="s">
        <v>448</v>
      </c>
      <c r="K742" s="136">
        <v>10</v>
      </c>
      <c r="L742" s="137">
        <v>1006.5</v>
      </c>
      <c r="M742" s="138">
        <f t="shared" si="572"/>
        <v>0</v>
      </c>
      <c r="N742" s="138">
        <f t="shared" si="603"/>
        <v>1006.5</v>
      </c>
      <c r="O742" s="138"/>
      <c r="P742" s="138">
        <f t="shared" si="2"/>
        <v>10065</v>
      </c>
      <c r="Q742" s="139">
        <f t="shared" si="3"/>
        <v>1.1919999999999999</v>
      </c>
      <c r="R742" s="139">
        <f t="shared" si="74"/>
        <v>0</v>
      </c>
      <c r="S742" s="139">
        <f t="shared" si="573"/>
        <v>0.05</v>
      </c>
      <c r="T742" s="139">
        <f t="shared" si="545"/>
        <v>10.07</v>
      </c>
      <c r="U742" s="139">
        <f t="shared" si="604"/>
        <v>1.51</v>
      </c>
      <c r="V742" s="139">
        <f t="shared" si="581"/>
        <v>0.28000000000000003</v>
      </c>
      <c r="W742" s="139">
        <f t="shared" si="217"/>
        <v>0.01</v>
      </c>
      <c r="X742" s="140">
        <f t="shared" si="9"/>
        <v>11.92</v>
      </c>
      <c r="Y742" s="141">
        <f t="shared" si="605"/>
        <v>-10076.92</v>
      </c>
      <c r="Z742" s="142">
        <f t="shared" si="402"/>
        <v>-10077</v>
      </c>
      <c r="AA742" s="143">
        <f t="shared" si="47"/>
        <v>-7.999999999992724E-2</v>
      </c>
      <c r="AB742" s="133"/>
      <c r="AC742" s="144">
        <f t="shared" si="12"/>
        <v>1.1839999999999999E-3</v>
      </c>
      <c r="AD742" s="145">
        <f t="shared" si="13"/>
        <v>0</v>
      </c>
      <c r="AE742" s="146" t="s">
        <v>403</v>
      </c>
      <c r="AF742" s="119"/>
    </row>
    <row r="743" spans="1:32" ht="12" customHeight="1">
      <c r="A743" s="150">
        <v>44832</v>
      </c>
      <c r="B743" s="151" t="s">
        <v>575</v>
      </c>
      <c r="C743" s="151"/>
      <c r="D743" s="151"/>
      <c r="E743" s="151"/>
      <c r="F743" s="151"/>
      <c r="G743" s="151"/>
      <c r="H743" s="122" t="s">
        <v>446</v>
      </c>
      <c r="I743" s="121" t="s">
        <v>469</v>
      </c>
      <c r="J743" s="122" t="s">
        <v>448</v>
      </c>
      <c r="K743" s="123">
        <v>10</v>
      </c>
      <c r="L743" s="124">
        <v>1016</v>
      </c>
      <c r="M743" s="125">
        <f t="shared" si="572"/>
        <v>0</v>
      </c>
      <c r="N743" s="125">
        <f t="shared" ref="N743:N747" si="606">L743-M743</f>
        <v>1016</v>
      </c>
      <c r="O743" s="125"/>
      <c r="P743" s="125">
        <f t="shared" si="2"/>
        <v>10160</v>
      </c>
      <c r="Q743" s="126">
        <f t="shared" si="3"/>
        <v>1.05</v>
      </c>
      <c r="R743" s="126">
        <f t="shared" si="74"/>
        <v>0</v>
      </c>
      <c r="S743" s="126">
        <f t="shared" si="573"/>
        <v>0.05</v>
      </c>
      <c r="T743" s="126">
        <f t="shared" si="545"/>
        <v>10.16</v>
      </c>
      <c r="U743" s="126">
        <v>0</v>
      </c>
      <c r="V743" s="126">
        <f t="shared" si="581"/>
        <v>0.28000000000000003</v>
      </c>
      <c r="W743" s="126">
        <f t="shared" si="217"/>
        <v>0.01</v>
      </c>
      <c r="X743" s="126">
        <f t="shared" si="9"/>
        <v>10.5</v>
      </c>
      <c r="Y743" s="127">
        <f t="shared" ref="Y743:Y747" si="607">ROUND(P743-SUM(R743:W743),2)</f>
        <v>10149.5</v>
      </c>
      <c r="Z743" s="128">
        <f t="shared" si="402"/>
        <v>10150</v>
      </c>
      <c r="AA743" s="129">
        <f t="shared" si="47"/>
        <v>0.5</v>
      </c>
      <c r="AB743" s="120"/>
      <c r="AC743" s="130">
        <f t="shared" si="12"/>
        <v>1.0330000000000001E-3</v>
      </c>
      <c r="AD743" s="131">
        <f t="shared" si="13"/>
        <v>0</v>
      </c>
      <c r="AE743" s="132" t="s">
        <v>403</v>
      </c>
      <c r="AF743" s="119"/>
    </row>
    <row r="744" spans="1:32" ht="12" customHeight="1">
      <c r="A744" s="150">
        <v>44838</v>
      </c>
      <c r="B744" s="151" t="s">
        <v>575</v>
      </c>
      <c r="C744" s="151"/>
      <c r="D744" s="151"/>
      <c r="E744" s="151"/>
      <c r="F744" s="151"/>
      <c r="G744" s="151"/>
      <c r="H744" s="122" t="s">
        <v>446</v>
      </c>
      <c r="I744" s="121" t="s">
        <v>469</v>
      </c>
      <c r="J744" s="122" t="s">
        <v>448</v>
      </c>
      <c r="K744" s="123">
        <v>10</v>
      </c>
      <c r="L744" s="124">
        <v>1019.95</v>
      </c>
      <c r="M744" s="125">
        <f t="shared" si="572"/>
        <v>0</v>
      </c>
      <c r="N744" s="125">
        <f t="shared" si="606"/>
        <v>1019.95</v>
      </c>
      <c r="O744" s="125"/>
      <c r="P744" s="125">
        <f t="shared" si="2"/>
        <v>10199.5</v>
      </c>
      <c r="Q744" s="126">
        <f t="shared" si="3"/>
        <v>1.0539999999999998</v>
      </c>
      <c r="R744" s="126">
        <f t="shared" si="74"/>
        <v>0</v>
      </c>
      <c r="S744" s="126">
        <f t="shared" si="573"/>
        <v>0.05</v>
      </c>
      <c r="T744" s="126">
        <f t="shared" si="545"/>
        <v>10.199999999999999</v>
      </c>
      <c r="U744" s="126">
        <v>0</v>
      </c>
      <c r="V744" s="126">
        <f t="shared" si="581"/>
        <v>0.28000000000000003</v>
      </c>
      <c r="W744" s="126">
        <f t="shared" si="217"/>
        <v>0.01</v>
      </c>
      <c r="X744" s="126">
        <f t="shared" si="9"/>
        <v>10.54</v>
      </c>
      <c r="Y744" s="127">
        <f t="shared" si="607"/>
        <v>10188.959999999999</v>
      </c>
      <c r="Z744" s="128">
        <f t="shared" si="402"/>
        <v>10189</v>
      </c>
      <c r="AA744" s="129">
        <f t="shared" si="47"/>
        <v>4.0000000000873115E-2</v>
      </c>
      <c r="AB744" s="120"/>
      <c r="AC744" s="130">
        <f t="shared" si="12"/>
        <v>1.0330000000000001E-3</v>
      </c>
      <c r="AD744" s="131">
        <f t="shared" si="13"/>
        <v>0</v>
      </c>
      <c r="AE744" s="132" t="s">
        <v>403</v>
      </c>
      <c r="AF744" s="119"/>
    </row>
    <row r="745" spans="1:32" ht="12" customHeight="1">
      <c r="A745" s="150">
        <v>44851</v>
      </c>
      <c r="B745" s="151" t="s">
        <v>575</v>
      </c>
      <c r="C745" s="151"/>
      <c r="D745" s="151"/>
      <c r="E745" s="151"/>
      <c r="F745" s="151"/>
      <c r="G745" s="151"/>
      <c r="H745" s="122" t="s">
        <v>446</v>
      </c>
      <c r="I745" s="121" t="s">
        <v>469</v>
      </c>
      <c r="J745" s="122" t="s">
        <v>448</v>
      </c>
      <c r="K745" s="123">
        <v>130</v>
      </c>
      <c r="L745" s="124">
        <v>1066.7335</v>
      </c>
      <c r="M745" s="125">
        <f t="shared" si="572"/>
        <v>0</v>
      </c>
      <c r="N745" s="125">
        <f t="shared" si="606"/>
        <v>1066.7335</v>
      </c>
      <c r="O745" s="125"/>
      <c r="P745" s="125">
        <f t="shared" si="2"/>
        <v>138675.35999999999</v>
      </c>
      <c r="Q745" s="126">
        <f t="shared" si="3"/>
        <v>1.1024615384615384</v>
      </c>
      <c r="R745" s="126">
        <f t="shared" si="74"/>
        <v>0</v>
      </c>
      <c r="S745" s="126">
        <f t="shared" si="573"/>
        <v>0.69</v>
      </c>
      <c r="T745" s="126">
        <f t="shared" si="545"/>
        <v>138.68</v>
      </c>
      <c r="U745" s="126">
        <v>0</v>
      </c>
      <c r="V745" s="126">
        <f t="shared" si="581"/>
        <v>3.81</v>
      </c>
      <c r="W745" s="126">
        <f t="shared" si="217"/>
        <v>0.14000000000000001</v>
      </c>
      <c r="X745" s="126">
        <f t="shared" si="9"/>
        <v>143.32</v>
      </c>
      <c r="Y745" s="127">
        <f t="shared" si="607"/>
        <v>138532.04</v>
      </c>
      <c r="Z745" s="128">
        <f t="shared" si="402"/>
        <v>138532</v>
      </c>
      <c r="AA745" s="129">
        <f t="shared" si="47"/>
        <v>-4.0000000008149073E-2</v>
      </c>
      <c r="AB745" s="120"/>
      <c r="AC745" s="130">
        <f t="shared" si="12"/>
        <v>1.0330000000000001E-3</v>
      </c>
      <c r="AD745" s="131">
        <f t="shared" si="13"/>
        <v>0</v>
      </c>
      <c r="AE745" s="132" t="s">
        <v>403</v>
      </c>
      <c r="AF745" s="119"/>
    </row>
    <row r="746" spans="1:32" ht="12" customHeight="1">
      <c r="A746" s="150">
        <v>44852</v>
      </c>
      <c r="B746" s="151" t="s">
        <v>575</v>
      </c>
      <c r="C746" s="151"/>
      <c r="D746" s="151"/>
      <c r="E746" s="151"/>
      <c r="F746" s="151"/>
      <c r="G746" s="151"/>
      <c r="H746" s="122" t="s">
        <v>446</v>
      </c>
      <c r="I746" s="121" t="s">
        <v>469</v>
      </c>
      <c r="J746" s="122" t="s">
        <v>448</v>
      </c>
      <c r="K746" s="123">
        <v>250</v>
      </c>
      <c r="L746" s="124">
        <v>1096.96</v>
      </c>
      <c r="M746" s="125">
        <f t="shared" si="572"/>
        <v>0</v>
      </c>
      <c r="N746" s="125">
        <f t="shared" si="606"/>
        <v>1096.96</v>
      </c>
      <c r="O746" s="125"/>
      <c r="P746" s="125">
        <f t="shared" si="2"/>
        <v>274240</v>
      </c>
      <c r="Q746" s="126">
        <f t="shared" si="3"/>
        <v>1.1336400000000002</v>
      </c>
      <c r="R746" s="126">
        <f t="shared" si="74"/>
        <v>0</v>
      </c>
      <c r="S746" s="126">
        <f t="shared" si="573"/>
        <v>1.36</v>
      </c>
      <c r="T746" s="126">
        <f t="shared" si="545"/>
        <v>274.24</v>
      </c>
      <c r="U746" s="126">
        <v>0</v>
      </c>
      <c r="V746" s="126">
        <f t="shared" si="581"/>
        <v>7.54</v>
      </c>
      <c r="W746" s="126">
        <f t="shared" si="217"/>
        <v>0.27</v>
      </c>
      <c r="X746" s="126">
        <f t="shared" si="9"/>
        <v>283.41000000000003</v>
      </c>
      <c r="Y746" s="127">
        <f t="shared" si="607"/>
        <v>273956.59000000003</v>
      </c>
      <c r="Z746" s="128">
        <f t="shared" si="402"/>
        <v>273957</v>
      </c>
      <c r="AA746" s="129">
        <f t="shared" si="47"/>
        <v>0.40999999997438863</v>
      </c>
      <c r="AB746" s="120"/>
      <c r="AC746" s="130">
        <f t="shared" si="12"/>
        <v>1.0330000000000001E-3</v>
      </c>
      <c r="AD746" s="131">
        <f t="shared" si="13"/>
        <v>0</v>
      </c>
      <c r="AE746" s="132" t="s">
        <v>403</v>
      </c>
      <c r="AF746" s="119"/>
    </row>
    <row r="747" spans="1:32" ht="12" customHeight="1">
      <c r="A747" s="150">
        <v>44853</v>
      </c>
      <c r="B747" s="151" t="s">
        <v>575</v>
      </c>
      <c r="C747" s="151"/>
      <c r="D747" s="151"/>
      <c r="E747" s="151"/>
      <c r="F747" s="151"/>
      <c r="G747" s="151"/>
      <c r="H747" s="122" t="s">
        <v>446</v>
      </c>
      <c r="I747" s="121" t="s">
        <v>469</v>
      </c>
      <c r="J747" s="122" t="s">
        <v>448</v>
      </c>
      <c r="K747" s="123">
        <v>70</v>
      </c>
      <c r="L747" s="124">
        <v>1095.7285999999999</v>
      </c>
      <c r="M747" s="125">
        <f t="shared" si="572"/>
        <v>0</v>
      </c>
      <c r="N747" s="125">
        <f t="shared" si="606"/>
        <v>1095.7285999999999</v>
      </c>
      <c r="O747" s="125"/>
      <c r="P747" s="125">
        <f t="shared" si="2"/>
        <v>76701</v>
      </c>
      <c r="Q747" s="126">
        <f t="shared" si="3"/>
        <v>1.1324285714285713</v>
      </c>
      <c r="R747" s="126">
        <f t="shared" si="74"/>
        <v>0</v>
      </c>
      <c r="S747" s="126">
        <f t="shared" si="573"/>
        <v>0.38</v>
      </c>
      <c r="T747" s="126">
        <f t="shared" si="545"/>
        <v>76.7</v>
      </c>
      <c r="U747" s="126">
        <v>0</v>
      </c>
      <c r="V747" s="126">
        <f t="shared" si="581"/>
        <v>2.11</v>
      </c>
      <c r="W747" s="126">
        <f t="shared" si="217"/>
        <v>0.08</v>
      </c>
      <c r="X747" s="126">
        <f t="shared" si="9"/>
        <v>79.27</v>
      </c>
      <c r="Y747" s="127">
        <f t="shared" si="607"/>
        <v>76621.73</v>
      </c>
      <c r="Z747" s="128">
        <f t="shared" si="402"/>
        <v>76622</v>
      </c>
      <c r="AA747" s="129">
        <f t="shared" si="47"/>
        <v>0.27000000000407454</v>
      </c>
      <c r="AB747" s="120"/>
      <c r="AC747" s="130">
        <f t="shared" si="12"/>
        <v>1.0330000000000001E-3</v>
      </c>
      <c r="AD747" s="131">
        <f t="shared" si="13"/>
        <v>0</v>
      </c>
      <c r="AE747" s="132" t="s">
        <v>403</v>
      </c>
      <c r="AF747" s="119"/>
    </row>
    <row r="748" spans="1:32" ht="12" customHeight="1">
      <c r="A748" s="157">
        <v>44854</v>
      </c>
      <c r="B748" s="149" t="s">
        <v>575</v>
      </c>
      <c r="C748" s="149"/>
      <c r="D748" s="149"/>
      <c r="E748" s="149"/>
      <c r="F748" s="149"/>
      <c r="G748" s="149"/>
      <c r="H748" s="135" t="s">
        <v>453</v>
      </c>
      <c r="I748" s="134" t="s">
        <v>469</v>
      </c>
      <c r="J748" s="135" t="s">
        <v>448</v>
      </c>
      <c r="K748" s="136">
        <v>475</v>
      </c>
      <c r="L748" s="137">
        <v>1042.5947000000001</v>
      </c>
      <c r="M748" s="138">
        <f t="shared" si="572"/>
        <v>0</v>
      </c>
      <c r="N748" s="138">
        <f>L748+M748</f>
        <v>1042.5947000000001</v>
      </c>
      <c r="O748" s="138"/>
      <c r="P748" s="138">
        <f t="shared" si="2"/>
        <v>495232.48</v>
      </c>
      <c r="Q748" s="139">
        <f t="shared" si="3"/>
        <v>1.2338526315789475</v>
      </c>
      <c r="R748" s="139">
        <f t="shared" si="74"/>
        <v>0</v>
      </c>
      <c r="S748" s="139">
        <f t="shared" si="573"/>
        <v>2.4500000000000002</v>
      </c>
      <c r="T748" s="139">
        <f t="shared" si="545"/>
        <v>495.23</v>
      </c>
      <c r="U748" s="139">
        <f>ROUND(P748*K$1812,2)</f>
        <v>74.28</v>
      </c>
      <c r="V748" s="139">
        <f t="shared" si="581"/>
        <v>13.62</v>
      </c>
      <c r="W748" s="139">
        <f t="shared" si="217"/>
        <v>0.5</v>
      </c>
      <c r="X748" s="140">
        <f t="shared" si="9"/>
        <v>586.08000000000004</v>
      </c>
      <c r="Y748" s="141">
        <f>-ROUND(P748+SUM(R748:W748),2)</f>
        <v>-495818.56</v>
      </c>
      <c r="Z748" s="142">
        <f t="shared" si="402"/>
        <v>-495819</v>
      </c>
      <c r="AA748" s="143">
        <f t="shared" si="47"/>
        <v>-0.44000000000232831</v>
      </c>
      <c r="AB748" s="133"/>
      <c r="AC748" s="144">
        <f t="shared" si="12"/>
        <v>1.183E-3</v>
      </c>
      <c r="AD748" s="145">
        <f t="shared" si="13"/>
        <v>0</v>
      </c>
      <c r="AE748" s="146" t="s">
        <v>403</v>
      </c>
      <c r="AF748" s="119"/>
    </row>
    <row r="749" spans="1:32" ht="12" customHeight="1">
      <c r="A749" s="150">
        <v>44855</v>
      </c>
      <c r="B749" s="151" t="s">
        <v>575</v>
      </c>
      <c r="C749" s="151"/>
      <c r="D749" s="151"/>
      <c r="E749" s="151"/>
      <c r="F749" s="151"/>
      <c r="G749" s="151"/>
      <c r="H749" s="122" t="s">
        <v>446</v>
      </c>
      <c r="I749" s="121" t="s">
        <v>469</v>
      </c>
      <c r="J749" s="122" t="s">
        <v>448</v>
      </c>
      <c r="K749" s="123">
        <v>25</v>
      </c>
      <c r="L749" s="124">
        <v>1080</v>
      </c>
      <c r="M749" s="125">
        <f t="shared" si="572"/>
        <v>0</v>
      </c>
      <c r="N749" s="125">
        <f t="shared" ref="N749:N752" si="608">L749-M749</f>
        <v>1080</v>
      </c>
      <c r="O749" s="125"/>
      <c r="P749" s="125">
        <f t="shared" si="2"/>
        <v>27000</v>
      </c>
      <c r="Q749" s="126">
        <f t="shared" si="3"/>
        <v>1.1159999999999999</v>
      </c>
      <c r="R749" s="126">
        <f t="shared" si="74"/>
        <v>0</v>
      </c>
      <c r="S749" s="126">
        <f t="shared" si="573"/>
        <v>0.13</v>
      </c>
      <c r="T749" s="126">
        <f t="shared" si="545"/>
        <v>27</v>
      </c>
      <c r="U749" s="126">
        <v>0</v>
      </c>
      <c r="V749" s="126">
        <f t="shared" si="581"/>
        <v>0.74</v>
      </c>
      <c r="W749" s="126">
        <f t="shared" si="217"/>
        <v>0.03</v>
      </c>
      <c r="X749" s="126">
        <f t="shared" si="9"/>
        <v>27.9</v>
      </c>
      <c r="Y749" s="127">
        <f t="shared" ref="Y749:Y752" si="609">ROUND(P749-SUM(R749:W749),2)</f>
        <v>26972.1</v>
      </c>
      <c r="Z749" s="128">
        <f t="shared" si="402"/>
        <v>26972</v>
      </c>
      <c r="AA749" s="129">
        <f t="shared" si="47"/>
        <v>-9.9999999998544808E-2</v>
      </c>
      <c r="AB749" s="120"/>
      <c r="AC749" s="130">
        <f t="shared" si="12"/>
        <v>1.0330000000000001E-3</v>
      </c>
      <c r="AD749" s="131">
        <f t="shared" si="13"/>
        <v>0</v>
      </c>
      <c r="AE749" s="132" t="s">
        <v>403</v>
      </c>
      <c r="AF749" s="119"/>
    </row>
    <row r="750" spans="1:32" ht="12" customHeight="1">
      <c r="A750" s="150">
        <v>44858</v>
      </c>
      <c r="B750" s="151" t="s">
        <v>575</v>
      </c>
      <c r="C750" s="151"/>
      <c r="D750" s="151"/>
      <c r="E750" s="151"/>
      <c r="F750" s="151"/>
      <c r="G750" s="151"/>
      <c r="H750" s="122" t="s">
        <v>446</v>
      </c>
      <c r="I750" s="121" t="s">
        <v>469</v>
      </c>
      <c r="J750" s="122" t="s">
        <v>448</v>
      </c>
      <c r="K750" s="123">
        <v>10</v>
      </c>
      <c r="L750" s="124">
        <v>1069.5</v>
      </c>
      <c r="M750" s="125">
        <f t="shared" si="572"/>
        <v>0</v>
      </c>
      <c r="N750" s="125">
        <f t="shared" si="608"/>
        <v>1069.5</v>
      </c>
      <c r="O750" s="125"/>
      <c r="P750" s="125">
        <f t="shared" si="2"/>
        <v>10695</v>
      </c>
      <c r="Q750" s="126">
        <f t="shared" si="3"/>
        <v>1.105</v>
      </c>
      <c r="R750" s="126">
        <f t="shared" si="74"/>
        <v>0</v>
      </c>
      <c r="S750" s="126">
        <f t="shared" si="573"/>
        <v>0.05</v>
      </c>
      <c r="T750" s="126">
        <f t="shared" si="545"/>
        <v>10.7</v>
      </c>
      <c r="U750" s="126">
        <v>0</v>
      </c>
      <c r="V750" s="126">
        <f t="shared" si="581"/>
        <v>0.28999999999999998</v>
      </c>
      <c r="W750" s="126">
        <f t="shared" si="217"/>
        <v>0.01</v>
      </c>
      <c r="X750" s="126">
        <f t="shared" si="9"/>
        <v>11.049999999999999</v>
      </c>
      <c r="Y750" s="127">
        <f t="shared" si="609"/>
        <v>10683.95</v>
      </c>
      <c r="Z750" s="128">
        <f t="shared" si="402"/>
        <v>10684</v>
      </c>
      <c r="AA750" s="129">
        <f t="shared" si="47"/>
        <v>4.9999999999272404E-2</v>
      </c>
      <c r="AB750" s="120"/>
      <c r="AC750" s="130">
        <f t="shared" si="12"/>
        <v>1.0330000000000001E-3</v>
      </c>
      <c r="AD750" s="131">
        <f t="shared" si="13"/>
        <v>0</v>
      </c>
      <c r="AE750" s="132" t="s">
        <v>403</v>
      </c>
      <c r="AF750" s="119"/>
    </row>
    <row r="751" spans="1:32" ht="12" customHeight="1">
      <c r="A751" s="150">
        <v>44859</v>
      </c>
      <c r="B751" s="151" t="s">
        <v>623</v>
      </c>
      <c r="C751" s="151"/>
      <c r="D751" s="151"/>
      <c r="E751" s="151"/>
      <c r="F751" s="151"/>
      <c r="G751" s="151"/>
      <c r="H751" s="122" t="s">
        <v>446</v>
      </c>
      <c r="I751" s="121" t="s">
        <v>469</v>
      </c>
      <c r="J751" s="122" t="s">
        <v>471</v>
      </c>
      <c r="K751" s="123">
        <v>25</v>
      </c>
      <c r="L751" s="124">
        <v>148.1</v>
      </c>
      <c r="M751" s="125">
        <f t="shared" si="572"/>
        <v>0</v>
      </c>
      <c r="N751" s="125">
        <f t="shared" si="608"/>
        <v>148.1</v>
      </c>
      <c r="O751" s="125"/>
      <c r="P751" s="125">
        <f t="shared" si="2"/>
        <v>3702.5</v>
      </c>
      <c r="Q751" s="126">
        <f t="shared" si="3"/>
        <v>0.15280000000000002</v>
      </c>
      <c r="R751" s="126">
        <f t="shared" si="74"/>
        <v>0</v>
      </c>
      <c r="S751" s="126">
        <f t="shared" si="573"/>
        <v>0.02</v>
      </c>
      <c r="T751" s="126">
        <f t="shared" si="545"/>
        <v>3.7</v>
      </c>
      <c r="U751" s="126">
        <v>0</v>
      </c>
      <c r="V751" s="126">
        <f t="shared" si="581"/>
        <v>0.1</v>
      </c>
      <c r="W751" s="126">
        <f t="shared" si="217"/>
        <v>0</v>
      </c>
      <c r="X751" s="126">
        <f t="shared" si="9"/>
        <v>3.8200000000000003</v>
      </c>
      <c r="Y751" s="127">
        <f t="shared" si="609"/>
        <v>3698.68</v>
      </c>
      <c r="Z751" s="128">
        <f t="shared" si="402"/>
        <v>3699</v>
      </c>
      <c r="AA751" s="129">
        <f t="shared" si="47"/>
        <v>0.32000000000016371</v>
      </c>
      <c r="AB751" s="120"/>
      <c r="AC751" s="130">
        <f t="shared" si="12"/>
        <v>1.0319999999999999E-3</v>
      </c>
      <c r="AD751" s="131">
        <f t="shared" si="13"/>
        <v>0</v>
      </c>
      <c r="AE751" s="132" t="s">
        <v>403</v>
      </c>
      <c r="AF751" s="119"/>
    </row>
    <row r="752" spans="1:32" ht="12" customHeight="1">
      <c r="A752" s="150">
        <v>44865</v>
      </c>
      <c r="B752" s="151" t="s">
        <v>618</v>
      </c>
      <c r="C752" s="151"/>
      <c r="D752" s="151"/>
      <c r="E752" s="151"/>
      <c r="F752" s="151"/>
      <c r="G752" s="151"/>
      <c r="H752" s="122" t="s">
        <v>446</v>
      </c>
      <c r="I752" s="121" t="s">
        <v>469</v>
      </c>
      <c r="J752" s="122" t="s">
        <v>471</v>
      </c>
      <c r="K752" s="123">
        <v>20</v>
      </c>
      <c r="L752" s="124">
        <v>2000</v>
      </c>
      <c r="M752" s="125">
        <f t="shared" si="572"/>
        <v>0</v>
      </c>
      <c r="N752" s="125">
        <f t="shared" si="608"/>
        <v>2000</v>
      </c>
      <c r="O752" s="125"/>
      <c r="P752" s="125">
        <f t="shared" si="2"/>
        <v>40000</v>
      </c>
      <c r="Q752" s="126">
        <f t="shared" si="3"/>
        <v>2.0670000000000002</v>
      </c>
      <c r="R752" s="126">
        <f t="shared" si="74"/>
        <v>0</v>
      </c>
      <c r="S752" s="126">
        <f t="shared" si="573"/>
        <v>0.2</v>
      </c>
      <c r="T752" s="126">
        <f t="shared" si="545"/>
        <v>40</v>
      </c>
      <c r="U752" s="126">
        <v>0</v>
      </c>
      <c r="V752" s="126">
        <f t="shared" si="581"/>
        <v>1.1000000000000001</v>
      </c>
      <c r="W752" s="126">
        <f t="shared" si="217"/>
        <v>0.04</v>
      </c>
      <c r="X752" s="126">
        <f t="shared" si="9"/>
        <v>41.34</v>
      </c>
      <c r="Y752" s="127">
        <f t="shared" si="609"/>
        <v>39958.660000000003</v>
      </c>
      <c r="Z752" s="128">
        <f t="shared" si="402"/>
        <v>39959</v>
      </c>
      <c r="AA752" s="129">
        <f t="shared" si="47"/>
        <v>0.33999999999650754</v>
      </c>
      <c r="AB752" s="120"/>
      <c r="AC752" s="130">
        <f t="shared" si="12"/>
        <v>1.034E-3</v>
      </c>
      <c r="AD752" s="131">
        <f t="shared" si="13"/>
        <v>0</v>
      </c>
      <c r="AE752" s="132" t="s">
        <v>403</v>
      </c>
      <c r="AF752" s="119"/>
    </row>
    <row r="753" spans="1:32" ht="12" customHeight="1">
      <c r="A753" s="157">
        <v>44865</v>
      </c>
      <c r="B753" s="149" t="s">
        <v>575</v>
      </c>
      <c r="C753" s="149"/>
      <c r="D753" s="149"/>
      <c r="E753" s="149"/>
      <c r="F753" s="149"/>
      <c r="G753" s="149"/>
      <c r="H753" s="135" t="s">
        <v>453</v>
      </c>
      <c r="I753" s="134" t="s">
        <v>469</v>
      </c>
      <c r="J753" s="135" t="s">
        <v>448</v>
      </c>
      <c r="K753" s="136">
        <v>20</v>
      </c>
      <c r="L753" s="137">
        <v>1053</v>
      </c>
      <c r="M753" s="138">
        <f t="shared" si="572"/>
        <v>0</v>
      </c>
      <c r="N753" s="138">
        <f t="shared" ref="N753:N755" si="610">L753+M753</f>
        <v>1053</v>
      </c>
      <c r="O753" s="138"/>
      <c r="P753" s="138">
        <f t="shared" si="2"/>
        <v>21060</v>
      </c>
      <c r="Q753" s="139">
        <f t="shared" si="3"/>
        <v>1.246</v>
      </c>
      <c r="R753" s="139">
        <f t="shared" si="74"/>
        <v>0</v>
      </c>
      <c r="S753" s="139">
        <f t="shared" si="573"/>
        <v>0.1</v>
      </c>
      <c r="T753" s="139">
        <f t="shared" si="545"/>
        <v>21.06</v>
      </c>
      <c r="U753" s="139">
        <f t="shared" ref="U753:U755" si="611">ROUND(P753*K$1812,2)</f>
        <v>3.16</v>
      </c>
      <c r="V753" s="139">
        <f t="shared" si="581"/>
        <v>0.57999999999999996</v>
      </c>
      <c r="W753" s="139">
        <f t="shared" si="217"/>
        <v>0.02</v>
      </c>
      <c r="X753" s="140">
        <f t="shared" si="9"/>
        <v>24.919999999999998</v>
      </c>
      <c r="Y753" s="141">
        <f t="shared" ref="Y753:Y755" si="612">-ROUND(P753+SUM(R753:W753),2)</f>
        <v>-21084.92</v>
      </c>
      <c r="Z753" s="142">
        <f t="shared" si="402"/>
        <v>-21085</v>
      </c>
      <c r="AA753" s="143">
        <f t="shared" si="47"/>
        <v>-8.000000000174623E-2</v>
      </c>
      <c r="AB753" s="133"/>
      <c r="AC753" s="144">
        <f t="shared" si="12"/>
        <v>1.183E-3</v>
      </c>
      <c r="AD753" s="145">
        <f t="shared" si="13"/>
        <v>0</v>
      </c>
      <c r="AE753" s="146" t="s">
        <v>403</v>
      </c>
      <c r="AF753" s="119"/>
    </row>
    <row r="754" spans="1:32" ht="12" customHeight="1">
      <c r="A754" s="157">
        <v>44866</v>
      </c>
      <c r="B754" s="149" t="s">
        <v>575</v>
      </c>
      <c r="C754" s="149"/>
      <c r="D754" s="149"/>
      <c r="E754" s="149"/>
      <c r="F754" s="149"/>
      <c r="G754" s="149"/>
      <c r="H754" s="135" t="s">
        <v>453</v>
      </c>
      <c r="I754" s="134" t="s">
        <v>469</v>
      </c>
      <c r="J754" s="135" t="s">
        <v>448</v>
      </c>
      <c r="K754" s="136">
        <v>20</v>
      </c>
      <c r="L754" s="137">
        <v>1044</v>
      </c>
      <c r="M754" s="138">
        <f t="shared" si="572"/>
        <v>0</v>
      </c>
      <c r="N754" s="138">
        <f t="shared" si="610"/>
        <v>1044</v>
      </c>
      <c r="O754" s="138"/>
      <c r="P754" s="138">
        <f t="shared" si="2"/>
        <v>20880</v>
      </c>
      <c r="Q754" s="139">
        <f t="shared" si="3"/>
        <v>1.2349999999999999</v>
      </c>
      <c r="R754" s="139">
        <f t="shared" si="74"/>
        <v>0</v>
      </c>
      <c r="S754" s="139">
        <f t="shared" si="573"/>
        <v>0.1</v>
      </c>
      <c r="T754" s="139">
        <f t="shared" si="545"/>
        <v>20.88</v>
      </c>
      <c r="U754" s="139">
        <f t="shared" si="611"/>
        <v>3.13</v>
      </c>
      <c r="V754" s="139">
        <f t="shared" si="581"/>
        <v>0.56999999999999995</v>
      </c>
      <c r="W754" s="139">
        <f t="shared" si="217"/>
        <v>0.02</v>
      </c>
      <c r="X754" s="140">
        <f t="shared" si="9"/>
        <v>24.7</v>
      </c>
      <c r="Y754" s="141">
        <f t="shared" si="612"/>
        <v>-20904.7</v>
      </c>
      <c r="Z754" s="142">
        <f t="shared" si="402"/>
        <v>-20905</v>
      </c>
      <c r="AA754" s="143">
        <f t="shared" si="47"/>
        <v>-0.2999999999992724</v>
      </c>
      <c r="AB754" s="133"/>
      <c r="AC754" s="144">
        <f t="shared" si="12"/>
        <v>1.183E-3</v>
      </c>
      <c r="AD754" s="145">
        <f t="shared" si="13"/>
        <v>0</v>
      </c>
      <c r="AE754" s="146" t="s">
        <v>403</v>
      </c>
      <c r="AF754" s="119"/>
    </row>
    <row r="755" spans="1:32" ht="12" customHeight="1">
      <c r="A755" s="157">
        <v>44868</v>
      </c>
      <c r="B755" s="149" t="s">
        <v>575</v>
      </c>
      <c r="C755" s="149"/>
      <c r="D755" s="149"/>
      <c r="E755" s="149"/>
      <c r="F755" s="149"/>
      <c r="G755" s="149"/>
      <c r="H755" s="135" t="s">
        <v>453</v>
      </c>
      <c r="I755" s="134" t="s">
        <v>469</v>
      </c>
      <c r="J755" s="135" t="s">
        <v>448</v>
      </c>
      <c r="K755" s="136">
        <v>20</v>
      </c>
      <c r="L755" s="137">
        <v>1030</v>
      </c>
      <c r="M755" s="138">
        <f t="shared" si="572"/>
        <v>0</v>
      </c>
      <c r="N755" s="138">
        <f t="shared" si="610"/>
        <v>1030</v>
      </c>
      <c r="O755" s="138"/>
      <c r="P755" s="138">
        <f t="shared" si="2"/>
        <v>20600</v>
      </c>
      <c r="Q755" s="139">
        <f t="shared" si="3"/>
        <v>1.2190000000000001</v>
      </c>
      <c r="R755" s="139">
        <f t="shared" si="74"/>
        <v>0</v>
      </c>
      <c r="S755" s="139">
        <f t="shared" si="573"/>
        <v>0.1</v>
      </c>
      <c r="T755" s="139">
        <f t="shared" si="545"/>
        <v>20.6</v>
      </c>
      <c r="U755" s="139">
        <f t="shared" si="611"/>
        <v>3.09</v>
      </c>
      <c r="V755" s="139">
        <f t="shared" si="581"/>
        <v>0.56999999999999995</v>
      </c>
      <c r="W755" s="139">
        <f t="shared" si="217"/>
        <v>0.02</v>
      </c>
      <c r="X755" s="140">
        <f t="shared" si="9"/>
        <v>24.380000000000003</v>
      </c>
      <c r="Y755" s="141">
        <f t="shared" si="612"/>
        <v>-20624.38</v>
      </c>
      <c r="Z755" s="142">
        <f t="shared" si="402"/>
        <v>-20624</v>
      </c>
      <c r="AA755" s="143">
        <f t="shared" si="47"/>
        <v>0.38000000000101863</v>
      </c>
      <c r="AB755" s="133"/>
      <c r="AC755" s="144">
        <f t="shared" si="12"/>
        <v>1.183E-3</v>
      </c>
      <c r="AD755" s="145">
        <f t="shared" si="13"/>
        <v>0</v>
      </c>
      <c r="AE755" s="146" t="s">
        <v>403</v>
      </c>
      <c r="AF755" s="119"/>
    </row>
    <row r="756" spans="1:32" ht="12" customHeight="1">
      <c r="A756" s="150">
        <v>44874</v>
      </c>
      <c r="B756" s="151" t="s">
        <v>575</v>
      </c>
      <c r="C756" s="151"/>
      <c r="D756" s="151"/>
      <c r="E756" s="151"/>
      <c r="F756" s="151"/>
      <c r="G756" s="151"/>
      <c r="H756" s="122" t="s">
        <v>446</v>
      </c>
      <c r="I756" s="121" t="s">
        <v>469</v>
      </c>
      <c r="J756" s="122" t="s">
        <v>448</v>
      </c>
      <c r="K756" s="123">
        <v>40</v>
      </c>
      <c r="L756" s="124">
        <v>1046</v>
      </c>
      <c r="M756" s="125">
        <f t="shared" si="572"/>
        <v>0</v>
      </c>
      <c r="N756" s="125">
        <f t="shared" ref="N756:N757" si="613">L756-M756</f>
        <v>1046</v>
      </c>
      <c r="O756" s="125"/>
      <c r="P756" s="125">
        <f t="shared" si="2"/>
        <v>41840</v>
      </c>
      <c r="Q756" s="126">
        <f t="shared" si="3"/>
        <v>1.081</v>
      </c>
      <c r="R756" s="126">
        <f t="shared" si="74"/>
        <v>0</v>
      </c>
      <c r="S756" s="126">
        <f t="shared" si="573"/>
        <v>0.21</v>
      </c>
      <c r="T756" s="126">
        <f t="shared" si="545"/>
        <v>41.84</v>
      </c>
      <c r="U756" s="126">
        <v>0</v>
      </c>
      <c r="V756" s="126">
        <f t="shared" si="581"/>
        <v>1.1499999999999999</v>
      </c>
      <c r="W756" s="126">
        <f t="shared" si="217"/>
        <v>0.04</v>
      </c>
      <c r="X756" s="126">
        <f t="shared" si="9"/>
        <v>43.24</v>
      </c>
      <c r="Y756" s="127">
        <f t="shared" ref="Y756:Y757" si="614">ROUND(P756-SUM(R756:W756),2)</f>
        <v>41796.76</v>
      </c>
      <c r="Z756" s="128">
        <f t="shared" si="402"/>
        <v>41797</v>
      </c>
      <c r="AA756" s="129">
        <f t="shared" si="47"/>
        <v>0.23999999999796273</v>
      </c>
      <c r="AB756" s="120"/>
      <c r="AC756" s="130">
        <f t="shared" si="12"/>
        <v>1.0330000000000001E-3</v>
      </c>
      <c r="AD756" s="131">
        <f t="shared" si="13"/>
        <v>0</v>
      </c>
      <c r="AE756" s="132" t="s">
        <v>403</v>
      </c>
      <c r="AF756" s="119"/>
    </row>
    <row r="757" spans="1:32" ht="12" customHeight="1">
      <c r="A757" s="150">
        <v>44876</v>
      </c>
      <c r="B757" s="151" t="s">
        <v>627</v>
      </c>
      <c r="C757" s="151"/>
      <c r="D757" s="151"/>
      <c r="E757" s="151"/>
      <c r="F757" s="151"/>
      <c r="G757" s="151"/>
      <c r="H757" s="122" t="s">
        <v>446</v>
      </c>
      <c r="I757" s="121" t="s">
        <v>469</v>
      </c>
      <c r="J757" s="122" t="s">
        <v>471</v>
      </c>
      <c r="K757" s="123">
        <v>72</v>
      </c>
      <c r="L757" s="124">
        <v>295</v>
      </c>
      <c r="M757" s="125">
        <f t="shared" si="572"/>
        <v>0</v>
      </c>
      <c r="N757" s="125">
        <f t="shared" si="613"/>
        <v>295</v>
      </c>
      <c r="O757" s="125"/>
      <c r="P757" s="125">
        <f t="shared" si="2"/>
        <v>21240</v>
      </c>
      <c r="Q757" s="126">
        <f t="shared" si="3"/>
        <v>0.30472222222222217</v>
      </c>
      <c r="R757" s="126">
        <f t="shared" si="74"/>
        <v>0</v>
      </c>
      <c r="S757" s="126">
        <f t="shared" si="573"/>
        <v>0.1</v>
      </c>
      <c r="T757" s="126">
        <f t="shared" si="545"/>
        <v>21.24</v>
      </c>
      <c r="U757" s="126">
        <v>0</v>
      </c>
      <c r="V757" s="126">
        <f t="shared" si="581"/>
        <v>0.57999999999999996</v>
      </c>
      <c r="W757" s="126">
        <f t="shared" si="217"/>
        <v>0.02</v>
      </c>
      <c r="X757" s="126">
        <f t="shared" si="9"/>
        <v>21.939999999999998</v>
      </c>
      <c r="Y757" s="127">
        <f t="shared" si="614"/>
        <v>21218.06</v>
      </c>
      <c r="Z757" s="128">
        <f t="shared" si="402"/>
        <v>21218</v>
      </c>
      <c r="AA757" s="129">
        <f t="shared" si="47"/>
        <v>-6.0000000001309672E-2</v>
      </c>
      <c r="AB757" s="120"/>
      <c r="AC757" s="130">
        <f t="shared" si="12"/>
        <v>1.0330000000000001E-3</v>
      </c>
      <c r="AD757" s="131">
        <f t="shared" si="13"/>
        <v>0</v>
      </c>
      <c r="AE757" s="132" t="s">
        <v>403</v>
      </c>
      <c r="AF757" s="119"/>
    </row>
    <row r="758" spans="1:32" ht="12" customHeight="1">
      <c r="A758" s="157">
        <v>44876</v>
      </c>
      <c r="B758" s="149" t="s">
        <v>575</v>
      </c>
      <c r="C758" s="149"/>
      <c r="D758" s="149"/>
      <c r="E758" s="149"/>
      <c r="F758" s="149"/>
      <c r="G758" s="149"/>
      <c r="H758" s="135" t="s">
        <v>453</v>
      </c>
      <c r="I758" s="134" t="s">
        <v>469</v>
      </c>
      <c r="J758" s="135" t="s">
        <v>448</v>
      </c>
      <c r="K758" s="136">
        <v>45</v>
      </c>
      <c r="L758" s="137">
        <v>1027.9111</v>
      </c>
      <c r="M758" s="138">
        <f t="shared" si="572"/>
        <v>0</v>
      </c>
      <c r="N758" s="138">
        <f>L758+M758</f>
        <v>1027.9111</v>
      </c>
      <c r="O758" s="138"/>
      <c r="P758" s="138">
        <f t="shared" si="2"/>
        <v>46256</v>
      </c>
      <c r="Q758" s="139">
        <f t="shared" si="3"/>
        <v>1.2166666666666666</v>
      </c>
      <c r="R758" s="139">
        <f t="shared" si="74"/>
        <v>0</v>
      </c>
      <c r="S758" s="139">
        <f t="shared" si="573"/>
        <v>0.23</v>
      </c>
      <c r="T758" s="139">
        <f t="shared" si="545"/>
        <v>46.26</v>
      </c>
      <c r="U758" s="139">
        <f>ROUND(P758*K$1812,2)</f>
        <v>6.94</v>
      </c>
      <c r="V758" s="139">
        <f t="shared" si="581"/>
        <v>1.27</v>
      </c>
      <c r="W758" s="139">
        <f t="shared" si="217"/>
        <v>0.05</v>
      </c>
      <c r="X758" s="140">
        <f t="shared" si="9"/>
        <v>54.749999999999993</v>
      </c>
      <c r="Y758" s="141">
        <f>-ROUND(P758+SUM(R758:W758),2)</f>
        <v>-46310.75</v>
      </c>
      <c r="Z758" s="142">
        <f t="shared" si="402"/>
        <v>-46311</v>
      </c>
      <c r="AA758" s="143">
        <f t="shared" si="47"/>
        <v>-0.25</v>
      </c>
      <c r="AB758" s="133"/>
      <c r="AC758" s="144">
        <f t="shared" si="12"/>
        <v>1.1839999999999999E-3</v>
      </c>
      <c r="AD758" s="145">
        <f t="shared" si="13"/>
        <v>0</v>
      </c>
      <c r="AE758" s="146" t="s">
        <v>403</v>
      </c>
      <c r="AF758" s="119"/>
    </row>
    <row r="759" spans="1:32" ht="12" customHeight="1">
      <c r="A759" s="150">
        <v>44879</v>
      </c>
      <c r="B759" s="151" t="s">
        <v>466</v>
      </c>
      <c r="C759" s="151"/>
      <c r="D759" s="151"/>
      <c r="E759" s="151"/>
      <c r="F759" s="151"/>
      <c r="G759" s="151"/>
      <c r="H759" s="122" t="s">
        <v>446</v>
      </c>
      <c r="I759" s="121" t="s">
        <v>469</v>
      </c>
      <c r="J759" s="122" t="s">
        <v>471</v>
      </c>
      <c r="K759" s="123">
        <v>1</v>
      </c>
      <c r="L759" s="124">
        <v>4060</v>
      </c>
      <c r="M759" s="125">
        <f t="shared" si="572"/>
        <v>0</v>
      </c>
      <c r="N759" s="125">
        <f t="shared" ref="N759:N760" si="615">L759-M759</f>
        <v>4060</v>
      </c>
      <c r="O759" s="125"/>
      <c r="P759" s="125">
        <f t="shared" si="2"/>
        <v>4060</v>
      </c>
      <c r="Q759" s="126">
        <f t="shared" si="3"/>
        <v>4.1899999999999995</v>
      </c>
      <c r="R759" s="126">
        <f t="shared" si="74"/>
        <v>0</v>
      </c>
      <c r="S759" s="126">
        <f t="shared" si="573"/>
        <v>0.02</v>
      </c>
      <c r="T759" s="126">
        <f t="shared" si="545"/>
        <v>4.0599999999999996</v>
      </c>
      <c r="U759" s="126">
        <v>0</v>
      </c>
      <c r="V759" s="126">
        <f t="shared" si="581"/>
        <v>0.11</v>
      </c>
      <c r="W759" s="126">
        <f t="shared" si="217"/>
        <v>0</v>
      </c>
      <c r="X759" s="126">
        <f t="shared" si="9"/>
        <v>4.1899999999999995</v>
      </c>
      <c r="Y759" s="127">
        <f t="shared" ref="Y759:Y760" si="616">ROUND(P759-SUM(R759:W759),2)</f>
        <v>4055.81</v>
      </c>
      <c r="Z759" s="128">
        <f t="shared" si="402"/>
        <v>4056</v>
      </c>
      <c r="AA759" s="129">
        <f t="shared" si="47"/>
        <v>0.19000000000005457</v>
      </c>
      <c r="AB759" s="120"/>
      <c r="AC759" s="130">
        <f t="shared" si="12"/>
        <v>1.0319999999999999E-3</v>
      </c>
      <c r="AD759" s="131">
        <f t="shared" si="13"/>
        <v>0</v>
      </c>
      <c r="AE759" s="132" t="s">
        <v>403</v>
      </c>
      <c r="AF759" s="119"/>
    </row>
    <row r="760" spans="1:32" ht="12" customHeight="1">
      <c r="A760" s="150">
        <v>44879</v>
      </c>
      <c r="B760" s="151" t="s">
        <v>531</v>
      </c>
      <c r="C760" s="151"/>
      <c r="D760" s="151"/>
      <c r="E760" s="151"/>
      <c r="F760" s="151"/>
      <c r="G760" s="151"/>
      <c r="H760" s="122" t="s">
        <v>446</v>
      </c>
      <c r="I760" s="121" t="s">
        <v>469</v>
      </c>
      <c r="J760" s="122" t="s">
        <v>471</v>
      </c>
      <c r="K760" s="123">
        <v>100</v>
      </c>
      <c r="L760" s="124">
        <v>121</v>
      </c>
      <c r="M760" s="125">
        <f t="shared" si="572"/>
        <v>0</v>
      </c>
      <c r="N760" s="125">
        <f t="shared" si="615"/>
        <v>121</v>
      </c>
      <c r="O760" s="125"/>
      <c r="P760" s="125">
        <f t="shared" si="2"/>
        <v>12100</v>
      </c>
      <c r="Q760" s="126">
        <f t="shared" si="3"/>
        <v>0.125</v>
      </c>
      <c r="R760" s="126">
        <f t="shared" si="74"/>
        <v>0</v>
      </c>
      <c r="S760" s="126">
        <f t="shared" si="573"/>
        <v>0.06</v>
      </c>
      <c r="T760" s="126">
        <f t="shared" si="545"/>
        <v>12.1</v>
      </c>
      <c r="U760" s="126">
        <v>0</v>
      </c>
      <c r="V760" s="126">
        <f t="shared" si="581"/>
        <v>0.33</v>
      </c>
      <c r="W760" s="126">
        <f t="shared" si="217"/>
        <v>0.01</v>
      </c>
      <c r="X760" s="126">
        <f t="shared" si="9"/>
        <v>12.5</v>
      </c>
      <c r="Y760" s="127">
        <f t="shared" si="616"/>
        <v>12087.5</v>
      </c>
      <c r="Z760" s="128">
        <f t="shared" si="402"/>
        <v>12088</v>
      </c>
      <c r="AA760" s="129">
        <f t="shared" si="47"/>
        <v>0.5</v>
      </c>
      <c r="AB760" s="120"/>
      <c r="AC760" s="130">
        <f t="shared" si="12"/>
        <v>1.0330000000000001E-3</v>
      </c>
      <c r="AD760" s="131">
        <f t="shared" si="13"/>
        <v>0</v>
      </c>
      <c r="AE760" s="132" t="s">
        <v>403</v>
      </c>
      <c r="AF760" s="119"/>
    </row>
    <row r="761" spans="1:32" ht="12" customHeight="1">
      <c r="A761" s="157">
        <v>44879</v>
      </c>
      <c r="B761" s="149" t="s">
        <v>575</v>
      </c>
      <c r="C761" s="149"/>
      <c r="D761" s="149"/>
      <c r="E761" s="149"/>
      <c r="F761" s="149"/>
      <c r="G761" s="149"/>
      <c r="H761" s="135" t="s">
        <v>453</v>
      </c>
      <c r="I761" s="134" t="s">
        <v>469</v>
      </c>
      <c r="J761" s="135" t="s">
        <v>448</v>
      </c>
      <c r="K761" s="136">
        <v>3</v>
      </c>
      <c r="L761" s="137">
        <v>937.4</v>
      </c>
      <c r="M761" s="138">
        <f t="shared" si="572"/>
        <v>0</v>
      </c>
      <c r="N761" s="138">
        <f t="shared" ref="N761:N762" si="617">L761+M761</f>
        <v>937.4</v>
      </c>
      <c r="O761" s="138"/>
      <c r="P761" s="138">
        <f t="shared" si="2"/>
        <v>2812.2</v>
      </c>
      <c r="Q761" s="139">
        <f t="shared" si="3"/>
        <v>1.1066666666666667</v>
      </c>
      <c r="R761" s="139">
        <f t="shared" si="74"/>
        <v>0</v>
      </c>
      <c r="S761" s="139">
        <f t="shared" si="573"/>
        <v>0.01</v>
      </c>
      <c r="T761" s="139">
        <f t="shared" si="545"/>
        <v>2.81</v>
      </c>
      <c r="U761" s="139">
        <f t="shared" ref="U761:U762" si="618">ROUND(P761*K$1812,2)</f>
        <v>0.42</v>
      </c>
      <c r="V761" s="139">
        <f t="shared" si="581"/>
        <v>0.08</v>
      </c>
      <c r="W761" s="139">
        <f t="shared" si="217"/>
        <v>0</v>
      </c>
      <c r="X761" s="140">
        <f t="shared" si="9"/>
        <v>3.32</v>
      </c>
      <c r="Y761" s="141">
        <f t="shared" ref="Y761:Y762" si="619">-ROUND(P761+SUM(R761:W761),2)</f>
        <v>-2815.52</v>
      </c>
      <c r="Z761" s="142">
        <f t="shared" si="402"/>
        <v>-2816</v>
      </c>
      <c r="AA761" s="143">
        <f t="shared" si="47"/>
        <v>-0.48000000000001819</v>
      </c>
      <c r="AB761" s="133"/>
      <c r="AC761" s="144">
        <f t="shared" si="12"/>
        <v>1.181E-3</v>
      </c>
      <c r="AD761" s="145">
        <f t="shared" si="13"/>
        <v>0</v>
      </c>
      <c r="AE761" s="146" t="s">
        <v>403</v>
      </c>
      <c r="AF761" s="119"/>
    </row>
    <row r="762" spans="1:32" ht="12" customHeight="1">
      <c r="A762" s="157">
        <v>44880</v>
      </c>
      <c r="B762" s="149" t="s">
        <v>575</v>
      </c>
      <c r="C762" s="149"/>
      <c r="D762" s="149"/>
      <c r="E762" s="149"/>
      <c r="F762" s="149"/>
      <c r="G762" s="149"/>
      <c r="H762" s="135" t="s">
        <v>453</v>
      </c>
      <c r="I762" s="134" t="s">
        <v>469</v>
      </c>
      <c r="J762" s="135" t="s">
        <v>448</v>
      </c>
      <c r="K762" s="136">
        <v>8</v>
      </c>
      <c r="L762" s="137">
        <v>904.01250000000005</v>
      </c>
      <c r="M762" s="138">
        <f t="shared" si="572"/>
        <v>0</v>
      </c>
      <c r="N762" s="138">
        <f t="shared" si="617"/>
        <v>904.01250000000005</v>
      </c>
      <c r="O762" s="138"/>
      <c r="P762" s="138">
        <f t="shared" si="2"/>
        <v>7232.1</v>
      </c>
      <c r="Q762" s="139">
        <f t="shared" si="3"/>
        <v>1.07</v>
      </c>
      <c r="R762" s="139">
        <f t="shared" si="74"/>
        <v>0</v>
      </c>
      <c r="S762" s="139">
        <f t="shared" si="573"/>
        <v>0.04</v>
      </c>
      <c r="T762" s="139">
        <f t="shared" si="545"/>
        <v>7.23</v>
      </c>
      <c r="U762" s="139">
        <f t="shared" si="618"/>
        <v>1.08</v>
      </c>
      <c r="V762" s="139">
        <f t="shared" si="581"/>
        <v>0.2</v>
      </c>
      <c r="W762" s="139">
        <f t="shared" si="217"/>
        <v>0.01</v>
      </c>
      <c r="X762" s="140">
        <f t="shared" si="9"/>
        <v>8.56</v>
      </c>
      <c r="Y762" s="141">
        <f t="shared" si="619"/>
        <v>-7240.66</v>
      </c>
      <c r="Z762" s="142">
        <f t="shared" si="402"/>
        <v>-7241</v>
      </c>
      <c r="AA762" s="143">
        <f t="shared" si="47"/>
        <v>-0.34000000000014552</v>
      </c>
      <c r="AB762" s="133"/>
      <c r="AC762" s="144">
        <f t="shared" si="12"/>
        <v>1.1839999999999999E-3</v>
      </c>
      <c r="AD762" s="145">
        <f t="shared" si="13"/>
        <v>0</v>
      </c>
      <c r="AE762" s="146" t="s">
        <v>403</v>
      </c>
      <c r="AF762" s="119"/>
    </row>
    <row r="763" spans="1:32" ht="12" customHeight="1">
      <c r="A763" s="150">
        <v>44880</v>
      </c>
      <c r="B763" s="151" t="s">
        <v>531</v>
      </c>
      <c r="C763" s="151"/>
      <c r="D763" s="151"/>
      <c r="E763" s="151"/>
      <c r="F763" s="151"/>
      <c r="G763" s="151"/>
      <c r="H763" s="122" t="s">
        <v>446</v>
      </c>
      <c r="I763" s="121" t="s">
        <v>469</v>
      </c>
      <c r="J763" s="122" t="s">
        <v>471</v>
      </c>
      <c r="K763" s="123">
        <v>100</v>
      </c>
      <c r="L763" s="124">
        <v>121.5</v>
      </c>
      <c r="M763" s="125">
        <f t="shared" si="572"/>
        <v>0</v>
      </c>
      <c r="N763" s="125">
        <f t="shared" ref="N763:N765" si="620">L763-M763</f>
        <v>121.5</v>
      </c>
      <c r="O763" s="125"/>
      <c r="P763" s="125">
        <f t="shared" si="2"/>
        <v>12150</v>
      </c>
      <c r="Q763" s="126">
        <f t="shared" si="3"/>
        <v>0.1255</v>
      </c>
      <c r="R763" s="126">
        <f t="shared" si="74"/>
        <v>0</v>
      </c>
      <c r="S763" s="126">
        <f t="shared" si="573"/>
        <v>0.06</v>
      </c>
      <c r="T763" s="126">
        <f t="shared" si="545"/>
        <v>12.15</v>
      </c>
      <c r="U763" s="126">
        <v>0</v>
      </c>
      <c r="V763" s="126">
        <f t="shared" si="581"/>
        <v>0.33</v>
      </c>
      <c r="W763" s="126">
        <f t="shared" si="217"/>
        <v>0.01</v>
      </c>
      <c r="X763" s="126">
        <f t="shared" si="9"/>
        <v>12.55</v>
      </c>
      <c r="Y763" s="127">
        <f t="shared" ref="Y763:Y765" si="621">ROUND(P763-SUM(R763:W763),2)</f>
        <v>12137.45</v>
      </c>
      <c r="Z763" s="128">
        <f t="shared" si="402"/>
        <v>12137</v>
      </c>
      <c r="AA763" s="129">
        <f t="shared" si="47"/>
        <v>-0.4500000000007276</v>
      </c>
      <c r="AB763" s="120"/>
      <c r="AC763" s="130">
        <f t="shared" si="12"/>
        <v>1.0330000000000001E-3</v>
      </c>
      <c r="AD763" s="131">
        <f t="shared" si="13"/>
        <v>0</v>
      </c>
      <c r="AE763" s="132" t="s">
        <v>403</v>
      </c>
      <c r="AF763" s="119"/>
    </row>
    <row r="764" spans="1:32" ht="12" customHeight="1">
      <c r="A764" s="150">
        <v>44880</v>
      </c>
      <c r="B764" s="151" t="s">
        <v>626</v>
      </c>
      <c r="C764" s="151"/>
      <c r="D764" s="151"/>
      <c r="E764" s="151"/>
      <c r="F764" s="151"/>
      <c r="G764" s="151"/>
      <c r="H764" s="122" t="s">
        <v>446</v>
      </c>
      <c r="I764" s="121" t="s">
        <v>469</v>
      </c>
      <c r="J764" s="122" t="s">
        <v>471</v>
      </c>
      <c r="K764" s="123">
        <v>20</v>
      </c>
      <c r="L764" s="124">
        <v>173.5</v>
      </c>
      <c r="M764" s="125">
        <f t="shared" si="572"/>
        <v>0</v>
      </c>
      <c r="N764" s="125">
        <f t="shared" si="620"/>
        <v>173.5</v>
      </c>
      <c r="O764" s="125"/>
      <c r="P764" s="125">
        <f t="shared" si="2"/>
        <v>3470</v>
      </c>
      <c r="Q764" s="126">
        <f t="shared" si="3"/>
        <v>0.17950000000000002</v>
      </c>
      <c r="R764" s="126">
        <f t="shared" si="74"/>
        <v>0</v>
      </c>
      <c r="S764" s="126">
        <f t="shared" si="573"/>
        <v>0.02</v>
      </c>
      <c r="T764" s="126">
        <f t="shared" si="545"/>
        <v>3.47</v>
      </c>
      <c r="U764" s="126">
        <v>0</v>
      </c>
      <c r="V764" s="126">
        <f t="shared" si="581"/>
        <v>0.1</v>
      </c>
      <c r="W764" s="126">
        <f t="shared" si="217"/>
        <v>0</v>
      </c>
      <c r="X764" s="126">
        <f t="shared" si="9"/>
        <v>3.5900000000000003</v>
      </c>
      <c r="Y764" s="127">
        <f t="shared" si="621"/>
        <v>3466.41</v>
      </c>
      <c r="Z764" s="128">
        <f t="shared" si="402"/>
        <v>3466</v>
      </c>
      <c r="AA764" s="129">
        <f t="shared" si="47"/>
        <v>-0.40999999999985448</v>
      </c>
      <c r="AB764" s="120"/>
      <c r="AC764" s="130">
        <f t="shared" si="12"/>
        <v>1.0349999999999999E-3</v>
      </c>
      <c r="AD764" s="131">
        <f t="shared" si="13"/>
        <v>0</v>
      </c>
      <c r="AE764" s="132" t="s">
        <v>403</v>
      </c>
      <c r="AF764" s="119"/>
    </row>
    <row r="765" spans="1:32" ht="12" customHeight="1">
      <c r="A765" s="150">
        <v>44881</v>
      </c>
      <c r="B765" s="151" t="s">
        <v>575</v>
      </c>
      <c r="C765" s="151"/>
      <c r="D765" s="151"/>
      <c r="E765" s="151"/>
      <c r="F765" s="151"/>
      <c r="G765" s="151"/>
      <c r="H765" s="122" t="s">
        <v>446</v>
      </c>
      <c r="I765" s="121" t="s">
        <v>469</v>
      </c>
      <c r="J765" s="122" t="s">
        <v>448</v>
      </c>
      <c r="K765" s="123">
        <v>10</v>
      </c>
      <c r="L765" s="124">
        <v>894</v>
      </c>
      <c r="M765" s="125">
        <f t="shared" si="572"/>
        <v>0</v>
      </c>
      <c r="N765" s="125">
        <f t="shared" si="620"/>
        <v>894</v>
      </c>
      <c r="O765" s="125"/>
      <c r="P765" s="125">
        <f t="shared" si="2"/>
        <v>8940</v>
      </c>
      <c r="Q765" s="126">
        <f t="shared" si="3"/>
        <v>0.92500000000000004</v>
      </c>
      <c r="R765" s="126">
        <f t="shared" si="74"/>
        <v>0</v>
      </c>
      <c r="S765" s="126">
        <f t="shared" si="573"/>
        <v>0.05</v>
      </c>
      <c r="T765" s="126">
        <f t="shared" si="545"/>
        <v>8.94</v>
      </c>
      <c r="U765" s="126">
        <v>0</v>
      </c>
      <c r="V765" s="126">
        <f t="shared" si="581"/>
        <v>0.25</v>
      </c>
      <c r="W765" s="126">
        <f t="shared" si="217"/>
        <v>0.01</v>
      </c>
      <c r="X765" s="126">
        <f t="shared" si="9"/>
        <v>9.25</v>
      </c>
      <c r="Y765" s="127">
        <f t="shared" si="621"/>
        <v>8930.75</v>
      </c>
      <c r="Z765" s="128">
        <f t="shared" si="402"/>
        <v>8931</v>
      </c>
      <c r="AA765" s="129">
        <f t="shared" si="47"/>
        <v>0.25</v>
      </c>
      <c r="AB765" s="120"/>
      <c r="AC765" s="130">
        <f t="shared" si="12"/>
        <v>1.0349999999999999E-3</v>
      </c>
      <c r="AD765" s="131">
        <f t="shared" si="13"/>
        <v>0</v>
      </c>
      <c r="AE765" s="132" t="s">
        <v>403</v>
      </c>
      <c r="AF765" s="119"/>
    </row>
    <row r="766" spans="1:32" ht="12" customHeight="1">
      <c r="A766" s="157">
        <v>44882</v>
      </c>
      <c r="B766" s="149" t="s">
        <v>575</v>
      </c>
      <c r="C766" s="149"/>
      <c r="D766" s="149"/>
      <c r="E766" s="149"/>
      <c r="F766" s="149"/>
      <c r="G766" s="149"/>
      <c r="H766" s="135" t="s">
        <v>453</v>
      </c>
      <c r="I766" s="134" t="s">
        <v>469</v>
      </c>
      <c r="J766" s="135" t="s">
        <v>448</v>
      </c>
      <c r="K766" s="136">
        <v>20</v>
      </c>
      <c r="L766" s="137">
        <v>884</v>
      </c>
      <c r="M766" s="138">
        <f t="shared" si="572"/>
        <v>0</v>
      </c>
      <c r="N766" s="138">
        <f>L766+M766</f>
        <v>884</v>
      </c>
      <c r="O766" s="138"/>
      <c r="P766" s="138">
        <f t="shared" si="2"/>
        <v>17680</v>
      </c>
      <c r="Q766" s="139">
        <f t="shared" si="3"/>
        <v>1.0464999999999998</v>
      </c>
      <c r="R766" s="139">
        <f t="shared" si="74"/>
        <v>0</v>
      </c>
      <c r="S766" s="139">
        <f t="shared" si="573"/>
        <v>0.09</v>
      </c>
      <c r="T766" s="139">
        <f t="shared" si="545"/>
        <v>17.68</v>
      </c>
      <c r="U766" s="139">
        <f>ROUND(P766*K$1812,2)</f>
        <v>2.65</v>
      </c>
      <c r="V766" s="139">
        <f t="shared" si="581"/>
        <v>0.49</v>
      </c>
      <c r="W766" s="139">
        <f t="shared" si="217"/>
        <v>0.02</v>
      </c>
      <c r="X766" s="140">
        <f t="shared" si="9"/>
        <v>20.929999999999996</v>
      </c>
      <c r="Y766" s="141">
        <f>-ROUND(P766+SUM(R766:W766),2)</f>
        <v>-17700.93</v>
      </c>
      <c r="Z766" s="142">
        <f t="shared" si="402"/>
        <v>-17701</v>
      </c>
      <c r="AA766" s="143">
        <f t="shared" si="47"/>
        <v>-6.9999999999708962E-2</v>
      </c>
      <c r="AB766" s="133"/>
      <c r="AC766" s="144">
        <f t="shared" si="12"/>
        <v>1.1839999999999999E-3</v>
      </c>
      <c r="AD766" s="145">
        <f t="shared" si="13"/>
        <v>0</v>
      </c>
      <c r="AE766" s="146" t="s">
        <v>403</v>
      </c>
      <c r="AF766" s="119"/>
    </row>
    <row r="767" spans="1:32" ht="12" customHeight="1">
      <c r="A767" s="150">
        <v>44883</v>
      </c>
      <c r="B767" s="151" t="s">
        <v>575</v>
      </c>
      <c r="C767" s="151"/>
      <c r="D767" s="151"/>
      <c r="E767" s="151"/>
      <c r="F767" s="151"/>
      <c r="G767" s="151"/>
      <c r="H767" s="122" t="s">
        <v>446</v>
      </c>
      <c r="I767" s="121" t="s">
        <v>469</v>
      </c>
      <c r="J767" s="122" t="s">
        <v>448</v>
      </c>
      <c r="K767" s="123">
        <v>10</v>
      </c>
      <c r="L767" s="124">
        <v>896.15</v>
      </c>
      <c r="M767" s="125">
        <f t="shared" si="572"/>
        <v>0</v>
      </c>
      <c r="N767" s="125">
        <f>L767-M767</f>
        <v>896.15</v>
      </c>
      <c r="O767" s="125"/>
      <c r="P767" s="125">
        <f t="shared" si="2"/>
        <v>8961.5</v>
      </c>
      <c r="Q767" s="126">
        <f t="shared" si="3"/>
        <v>0.92700000000000016</v>
      </c>
      <c r="R767" s="126">
        <f t="shared" si="74"/>
        <v>0</v>
      </c>
      <c r="S767" s="126">
        <f t="shared" si="573"/>
        <v>0.05</v>
      </c>
      <c r="T767" s="126">
        <f t="shared" si="545"/>
        <v>8.9600000000000009</v>
      </c>
      <c r="U767" s="126">
        <v>0</v>
      </c>
      <c r="V767" s="126">
        <f t="shared" si="581"/>
        <v>0.25</v>
      </c>
      <c r="W767" s="126">
        <f t="shared" si="217"/>
        <v>0.01</v>
      </c>
      <c r="X767" s="126">
        <f t="shared" si="9"/>
        <v>9.2700000000000014</v>
      </c>
      <c r="Y767" s="127">
        <f>ROUND(P767-SUM(R767:W767),2)</f>
        <v>8952.23</v>
      </c>
      <c r="Z767" s="128">
        <f t="shared" si="402"/>
        <v>8952</v>
      </c>
      <c r="AA767" s="129">
        <f t="shared" si="47"/>
        <v>-0.22999999999956344</v>
      </c>
      <c r="AB767" s="120"/>
      <c r="AC767" s="130">
        <f t="shared" si="12"/>
        <v>1.034E-3</v>
      </c>
      <c r="AD767" s="131">
        <f t="shared" si="13"/>
        <v>0</v>
      </c>
      <c r="AE767" s="132" t="s">
        <v>403</v>
      </c>
      <c r="AF767" s="119"/>
    </row>
    <row r="768" spans="1:32" ht="12" customHeight="1">
      <c r="A768" s="157">
        <v>44888</v>
      </c>
      <c r="B768" s="149" t="s">
        <v>575</v>
      </c>
      <c r="C768" s="149"/>
      <c r="D768" s="149"/>
      <c r="E768" s="149"/>
      <c r="F768" s="149"/>
      <c r="G768" s="149"/>
      <c r="H768" s="135" t="s">
        <v>453</v>
      </c>
      <c r="I768" s="134" t="s">
        <v>469</v>
      </c>
      <c r="J768" s="135" t="s">
        <v>448</v>
      </c>
      <c r="K768" s="136">
        <v>10</v>
      </c>
      <c r="L768" s="137">
        <v>862</v>
      </c>
      <c r="M768" s="138">
        <f t="shared" si="572"/>
        <v>0</v>
      </c>
      <c r="N768" s="138">
        <f>L768+M768</f>
        <v>862</v>
      </c>
      <c r="O768" s="138"/>
      <c r="P768" s="138">
        <f t="shared" si="2"/>
        <v>8620</v>
      </c>
      <c r="Q768" s="139">
        <f t="shared" si="3"/>
        <v>1.02</v>
      </c>
      <c r="R768" s="139">
        <f t="shared" si="74"/>
        <v>0</v>
      </c>
      <c r="S768" s="139">
        <f t="shared" si="573"/>
        <v>0.04</v>
      </c>
      <c r="T768" s="139">
        <f t="shared" si="545"/>
        <v>8.6199999999999992</v>
      </c>
      <c r="U768" s="139">
        <f>ROUND(P768*K$1812,2)</f>
        <v>1.29</v>
      </c>
      <c r="V768" s="139">
        <f t="shared" si="581"/>
        <v>0.24</v>
      </c>
      <c r="W768" s="139">
        <f t="shared" si="217"/>
        <v>0.01</v>
      </c>
      <c r="X768" s="140">
        <f t="shared" si="9"/>
        <v>10.199999999999999</v>
      </c>
      <c r="Y768" s="141">
        <f>-ROUND(P768+SUM(R768:W768),2)</f>
        <v>-8630.2000000000007</v>
      </c>
      <c r="Z768" s="142">
        <f t="shared" si="402"/>
        <v>-8630</v>
      </c>
      <c r="AA768" s="143">
        <f t="shared" si="47"/>
        <v>0.2000000000007276</v>
      </c>
      <c r="AB768" s="133"/>
      <c r="AC768" s="144">
        <f t="shared" si="12"/>
        <v>1.183E-3</v>
      </c>
      <c r="AD768" s="145">
        <f t="shared" si="13"/>
        <v>0</v>
      </c>
      <c r="AE768" s="146" t="s">
        <v>403</v>
      </c>
      <c r="AF768" s="119"/>
    </row>
    <row r="769" spans="1:32" ht="12" customHeight="1">
      <c r="A769" s="150">
        <v>44889</v>
      </c>
      <c r="B769" s="151" t="s">
        <v>458</v>
      </c>
      <c r="C769" s="151"/>
      <c r="D769" s="151"/>
      <c r="E769" s="151"/>
      <c r="F769" s="151"/>
      <c r="G769" s="151"/>
      <c r="H769" s="122" t="s">
        <v>446</v>
      </c>
      <c r="I769" s="121" t="s">
        <v>469</v>
      </c>
      <c r="J769" s="122" t="s">
        <v>471</v>
      </c>
      <c r="K769" s="123">
        <v>7</v>
      </c>
      <c r="L769" s="124">
        <v>1620</v>
      </c>
      <c r="M769" s="125">
        <f t="shared" si="572"/>
        <v>0</v>
      </c>
      <c r="N769" s="125">
        <f t="shared" ref="N769:N771" si="622">L769-M769</f>
        <v>1620</v>
      </c>
      <c r="O769" s="125"/>
      <c r="P769" s="125">
        <f t="shared" si="2"/>
        <v>11340</v>
      </c>
      <c r="Q769" s="126">
        <f t="shared" si="3"/>
        <v>1.6742857142857144</v>
      </c>
      <c r="R769" s="126">
        <f t="shared" si="74"/>
        <v>0</v>
      </c>
      <c r="S769" s="126">
        <f t="shared" si="573"/>
        <v>0.06</v>
      </c>
      <c r="T769" s="126">
        <f t="shared" si="545"/>
        <v>11.34</v>
      </c>
      <c r="U769" s="126">
        <v>0</v>
      </c>
      <c r="V769" s="126">
        <f t="shared" si="581"/>
        <v>0.31</v>
      </c>
      <c r="W769" s="126">
        <f t="shared" si="217"/>
        <v>0.01</v>
      </c>
      <c r="X769" s="126">
        <f t="shared" si="9"/>
        <v>11.72</v>
      </c>
      <c r="Y769" s="127">
        <f t="shared" ref="Y769:Y771" si="623">ROUND(P769-SUM(R769:W769),2)</f>
        <v>11328.28</v>
      </c>
      <c r="Z769" s="128">
        <f t="shared" si="402"/>
        <v>11328</v>
      </c>
      <c r="AA769" s="129">
        <f t="shared" si="47"/>
        <v>-0.28000000000065484</v>
      </c>
      <c r="AB769" s="120"/>
      <c r="AC769" s="130">
        <f t="shared" si="12"/>
        <v>1.034E-3</v>
      </c>
      <c r="AD769" s="131">
        <f t="shared" si="13"/>
        <v>0</v>
      </c>
      <c r="AE769" s="132" t="s">
        <v>403</v>
      </c>
      <c r="AF769" s="119"/>
    </row>
    <row r="770" spans="1:32" ht="12" customHeight="1">
      <c r="A770" s="150">
        <v>44889</v>
      </c>
      <c r="B770" s="151" t="s">
        <v>574</v>
      </c>
      <c r="C770" s="151"/>
      <c r="D770" s="151"/>
      <c r="E770" s="151"/>
      <c r="F770" s="151"/>
      <c r="G770" s="151"/>
      <c r="H770" s="122" t="s">
        <v>446</v>
      </c>
      <c r="I770" s="121" t="s">
        <v>469</v>
      </c>
      <c r="J770" s="122" t="s">
        <v>471</v>
      </c>
      <c r="K770" s="123">
        <v>2</v>
      </c>
      <c r="L770" s="124">
        <v>3360</v>
      </c>
      <c r="M770" s="125">
        <f t="shared" si="572"/>
        <v>0</v>
      </c>
      <c r="N770" s="125">
        <f t="shared" si="622"/>
        <v>3360</v>
      </c>
      <c r="O770" s="125"/>
      <c r="P770" s="125">
        <f t="shared" si="2"/>
        <v>6720</v>
      </c>
      <c r="Q770" s="126">
        <f t="shared" si="3"/>
        <v>3.4699999999999998</v>
      </c>
      <c r="R770" s="126">
        <f t="shared" si="74"/>
        <v>0</v>
      </c>
      <c r="S770" s="126">
        <f t="shared" si="573"/>
        <v>0.03</v>
      </c>
      <c r="T770" s="126">
        <f t="shared" si="545"/>
        <v>6.72</v>
      </c>
      <c r="U770" s="126">
        <v>0</v>
      </c>
      <c r="V770" s="126">
        <f t="shared" si="581"/>
        <v>0.18</v>
      </c>
      <c r="W770" s="126">
        <f t="shared" si="217"/>
        <v>0.01</v>
      </c>
      <c r="X770" s="126">
        <f t="shared" si="9"/>
        <v>6.9399999999999995</v>
      </c>
      <c r="Y770" s="127">
        <f t="shared" si="623"/>
        <v>6713.06</v>
      </c>
      <c r="Z770" s="128">
        <f t="shared" si="402"/>
        <v>6713</v>
      </c>
      <c r="AA770" s="129">
        <f t="shared" si="47"/>
        <v>-6.0000000000400178E-2</v>
      </c>
      <c r="AB770" s="120"/>
      <c r="AC770" s="130">
        <f t="shared" si="12"/>
        <v>1.0330000000000001E-3</v>
      </c>
      <c r="AD770" s="131">
        <f t="shared" si="13"/>
        <v>0</v>
      </c>
      <c r="AE770" s="132" t="s">
        <v>403</v>
      </c>
      <c r="AF770" s="119"/>
    </row>
    <row r="771" spans="1:32" ht="12" customHeight="1">
      <c r="A771" s="150">
        <v>44889</v>
      </c>
      <c r="B771" s="151" t="s">
        <v>628</v>
      </c>
      <c r="C771" s="151"/>
      <c r="D771" s="151"/>
      <c r="E771" s="151"/>
      <c r="F771" s="151"/>
      <c r="G771" s="151"/>
      <c r="H771" s="122" t="s">
        <v>446</v>
      </c>
      <c r="I771" s="121" t="s">
        <v>469</v>
      </c>
      <c r="J771" s="122" t="s">
        <v>471</v>
      </c>
      <c r="K771" s="123">
        <v>36</v>
      </c>
      <c r="L771" s="124">
        <v>475</v>
      </c>
      <c r="M771" s="125">
        <f t="shared" si="572"/>
        <v>0</v>
      </c>
      <c r="N771" s="125">
        <f t="shared" si="622"/>
        <v>475</v>
      </c>
      <c r="O771" s="125"/>
      <c r="P771" s="125">
        <f t="shared" si="2"/>
        <v>17100</v>
      </c>
      <c r="Q771" s="126">
        <f t="shared" si="3"/>
        <v>0.49083333333333329</v>
      </c>
      <c r="R771" s="126">
        <f t="shared" si="74"/>
        <v>0</v>
      </c>
      <c r="S771" s="126">
        <f t="shared" si="573"/>
        <v>0.08</v>
      </c>
      <c r="T771" s="126">
        <f t="shared" si="545"/>
        <v>17.100000000000001</v>
      </c>
      <c r="U771" s="126">
        <v>0</v>
      </c>
      <c r="V771" s="126">
        <f t="shared" si="581"/>
        <v>0.47</v>
      </c>
      <c r="W771" s="126">
        <f t="shared" si="217"/>
        <v>0.02</v>
      </c>
      <c r="X771" s="126">
        <f t="shared" si="9"/>
        <v>17.669999999999998</v>
      </c>
      <c r="Y771" s="127">
        <f t="shared" si="623"/>
        <v>17082.330000000002</v>
      </c>
      <c r="Z771" s="128">
        <f t="shared" si="402"/>
        <v>17082</v>
      </c>
      <c r="AA771" s="129">
        <f t="shared" si="47"/>
        <v>-0.33000000000174623</v>
      </c>
      <c r="AB771" s="120"/>
      <c r="AC771" s="130">
        <f t="shared" si="12"/>
        <v>1.0330000000000001E-3</v>
      </c>
      <c r="AD771" s="131">
        <f t="shared" si="13"/>
        <v>0</v>
      </c>
      <c r="AE771" s="132" t="s">
        <v>403</v>
      </c>
      <c r="AF771" s="119"/>
    </row>
    <row r="772" spans="1:32" ht="12" customHeight="1">
      <c r="A772" s="157">
        <v>44889</v>
      </c>
      <c r="B772" s="149" t="s">
        <v>575</v>
      </c>
      <c r="C772" s="149"/>
      <c r="D772" s="149"/>
      <c r="E772" s="149"/>
      <c r="F772" s="149"/>
      <c r="G772" s="149"/>
      <c r="H772" s="135" t="s">
        <v>453</v>
      </c>
      <c r="I772" s="134" t="s">
        <v>469</v>
      </c>
      <c r="J772" s="135" t="s">
        <v>448</v>
      </c>
      <c r="K772" s="136">
        <v>4</v>
      </c>
      <c r="L772" s="137">
        <v>839.95</v>
      </c>
      <c r="M772" s="138">
        <f t="shared" si="572"/>
        <v>0</v>
      </c>
      <c r="N772" s="138">
        <f>L772+M772</f>
        <v>839.95</v>
      </c>
      <c r="O772" s="138"/>
      <c r="P772" s="138">
        <f t="shared" si="2"/>
        <v>3359.8</v>
      </c>
      <c r="Q772" s="139">
        <f t="shared" si="3"/>
        <v>0.99249999999999994</v>
      </c>
      <c r="R772" s="139">
        <f t="shared" si="74"/>
        <v>0</v>
      </c>
      <c r="S772" s="139">
        <f t="shared" si="573"/>
        <v>0.02</v>
      </c>
      <c r="T772" s="139">
        <f t="shared" si="545"/>
        <v>3.36</v>
      </c>
      <c r="U772" s="139">
        <f>ROUND(P772*K$1812,2)</f>
        <v>0.5</v>
      </c>
      <c r="V772" s="139">
        <f t="shared" si="581"/>
        <v>0.09</v>
      </c>
      <c r="W772" s="139">
        <f t="shared" si="217"/>
        <v>0</v>
      </c>
      <c r="X772" s="140">
        <f t="shared" si="9"/>
        <v>3.9699999999999998</v>
      </c>
      <c r="Y772" s="141">
        <f>-ROUND(P772+SUM(R772:W772),2)</f>
        <v>-3363.77</v>
      </c>
      <c r="Z772" s="142">
        <f t="shared" si="402"/>
        <v>-3364</v>
      </c>
      <c r="AA772" s="143">
        <f t="shared" si="47"/>
        <v>-0.23000000000001819</v>
      </c>
      <c r="AB772" s="133"/>
      <c r="AC772" s="144">
        <f t="shared" si="12"/>
        <v>1.1820000000000001E-3</v>
      </c>
      <c r="AD772" s="145">
        <f t="shared" si="13"/>
        <v>0</v>
      </c>
      <c r="AE772" s="146" t="s">
        <v>403</v>
      </c>
      <c r="AF772" s="119"/>
    </row>
    <row r="773" spans="1:32" ht="12" customHeight="1">
      <c r="A773" s="150">
        <v>44890</v>
      </c>
      <c r="B773" s="151" t="s">
        <v>629</v>
      </c>
      <c r="C773" s="151"/>
      <c r="D773" s="151"/>
      <c r="E773" s="151"/>
      <c r="F773" s="151"/>
      <c r="G773" s="151"/>
      <c r="H773" s="122" t="s">
        <v>446</v>
      </c>
      <c r="I773" s="121" t="s">
        <v>469</v>
      </c>
      <c r="J773" s="122" t="s">
        <v>471</v>
      </c>
      <c r="K773" s="123">
        <v>5</v>
      </c>
      <c r="L773" s="124">
        <v>341</v>
      </c>
      <c r="M773" s="125">
        <f t="shared" si="572"/>
        <v>0</v>
      </c>
      <c r="N773" s="125">
        <f>L773-M773</f>
        <v>341</v>
      </c>
      <c r="O773" s="125"/>
      <c r="P773" s="125">
        <f t="shared" si="2"/>
        <v>1705</v>
      </c>
      <c r="Q773" s="126">
        <f t="shared" si="3"/>
        <v>0.35399999999999998</v>
      </c>
      <c r="R773" s="126">
        <f t="shared" si="74"/>
        <v>0</v>
      </c>
      <c r="S773" s="126">
        <f t="shared" si="573"/>
        <v>0.01</v>
      </c>
      <c r="T773" s="126">
        <f t="shared" si="545"/>
        <v>1.71</v>
      </c>
      <c r="U773" s="126">
        <v>0</v>
      </c>
      <c r="V773" s="126">
        <f t="shared" si="581"/>
        <v>0.05</v>
      </c>
      <c r="W773" s="126">
        <f t="shared" si="217"/>
        <v>0</v>
      </c>
      <c r="X773" s="126">
        <f t="shared" si="9"/>
        <v>1.77</v>
      </c>
      <c r="Y773" s="127">
        <f>ROUND(P773-SUM(R773:W773),2)</f>
        <v>1703.23</v>
      </c>
      <c r="Z773" s="128">
        <f t="shared" si="402"/>
        <v>1703</v>
      </c>
      <c r="AA773" s="129">
        <f t="shared" si="47"/>
        <v>-0.23000000000001819</v>
      </c>
      <c r="AB773" s="120"/>
      <c r="AC773" s="130">
        <f t="shared" si="12"/>
        <v>1.0380000000000001E-3</v>
      </c>
      <c r="AD773" s="131">
        <f t="shared" si="13"/>
        <v>0</v>
      </c>
      <c r="AE773" s="132" t="s">
        <v>403</v>
      </c>
      <c r="AF773" s="119"/>
    </row>
    <row r="774" spans="1:32" ht="12" customHeight="1">
      <c r="A774" s="157">
        <v>44890</v>
      </c>
      <c r="B774" s="149" t="s">
        <v>630</v>
      </c>
      <c r="C774" s="149"/>
      <c r="D774" s="149"/>
      <c r="E774" s="149"/>
      <c r="F774" s="149"/>
      <c r="G774" s="149"/>
      <c r="H774" s="135" t="s">
        <v>453</v>
      </c>
      <c r="I774" s="134" t="s">
        <v>469</v>
      </c>
      <c r="J774" s="135" t="s">
        <v>471</v>
      </c>
      <c r="K774" s="136">
        <v>10</v>
      </c>
      <c r="L774" s="137">
        <v>785</v>
      </c>
      <c r="M774" s="138">
        <f t="shared" si="572"/>
        <v>0</v>
      </c>
      <c r="N774" s="138">
        <f t="shared" ref="N774:N775" si="624">L774+M774</f>
        <v>785</v>
      </c>
      <c r="O774" s="138"/>
      <c r="P774" s="138">
        <f t="shared" si="2"/>
        <v>7850</v>
      </c>
      <c r="Q774" s="139">
        <f t="shared" si="3"/>
        <v>0.93</v>
      </c>
      <c r="R774" s="139">
        <f t="shared" si="74"/>
        <v>0</v>
      </c>
      <c r="S774" s="139">
        <f t="shared" si="573"/>
        <v>0.04</v>
      </c>
      <c r="T774" s="139">
        <f t="shared" si="545"/>
        <v>7.85</v>
      </c>
      <c r="U774" s="139">
        <f t="shared" ref="U774:U775" si="625">ROUND(P774*K$1812,2)</f>
        <v>1.18</v>
      </c>
      <c r="V774" s="139">
        <f t="shared" si="581"/>
        <v>0.22</v>
      </c>
      <c r="W774" s="139">
        <f t="shared" si="217"/>
        <v>0.01</v>
      </c>
      <c r="X774" s="140">
        <f t="shared" si="9"/>
        <v>9.3000000000000007</v>
      </c>
      <c r="Y774" s="141">
        <f t="shared" ref="Y774:Y775" si="626">-ROUND(P774+SUM(R774:W774),2)</f>
        <v>-7859.3</v>
      </c>
      <c r="Z774" s="142">
        <f t="shared" si="402"/>
        <v>-7859</v>
      </c>
      <c r="AA774" s="143">
        <f t="shared" si="47"/>
        <v>0.3000000000001819</v>
      </c>
      <c r="AB774" s="133"/>
      <c r="AC774" s="144">
        <f t="shared" si="12"/>
        <v>1.1850000000000001E-3</v>
      </c>
      <c r="AD774" s="145">
        <f t="shared" si="13"/>
        <v>0</v>
      </c>
      <c r="AE774" s="146" t="s">
        <v>403</v>
      </c>
      <c r="AF774" s="119"/>
    </row>
    <row r="775" spans="1:32" ht="12" customHeight="1">
      <c r="A775" s="157">
        <v>44890</v>
      </c>
      <c r="B775" s="149" t="s">
        <v>620</v>
      </c>
      <c r="C775" s="149"/>
      <c r="D775" s="149"/>
      <c r="E775" s="149"/>
      <c r="F775" s="149"/>
      <c r="G775" s="149"/>
      <c r="H775" s="135" t="s">
        <v>453</v>
      </c>
      <c r="I775" s="134" t="s">
        <v>469</v>
      </c>
      <c r="J775" s="135" t="s">
        <v>471</v>
      </c>
      <c r="K775" s="136">
        <v>2</v>
      </c>
      <c r="L775" s="137">
        <v>6768.7</v>
      </c>
      <c r="M775" s="138">
        <f t="shared" si="572"/>
        <v>0</v>
      </c>
      <c r="N775" s="138">
        <f t="shared" si="624"/>
        <v>6768.7</v>
      </c>
      <c r="O775" s="138"/>
      <c r="P775" s="138">
        <f t="shared" si="2"/>
        <v>13537.4</v>
      </c>
      <c r="Q775" s="139">
        <f t="shared" si="3"/>
        <v>8.01</v>
      </c>
      <c r="R775" s="139">
        <f t="shared" si="74"/>
        <v>0</v>
      </c>
      <c r="S775" s="139">
        <f t="shared" si="573"/>
        <v>7.0000000000000007E-2</v>
      </c>
      <c r="T775" s="139">
        <f t="shared" si="545"/>
        <v>13.54</v>
      </c>
      <c r="U775" s="139">
        <f t="shared" si="625"/>
        <v>2.0299999999999998</v>
      </c>
      <c r="V775" s="139">
        <f t="shared" si="581"/>
        <v>0.37</v>
      </c>
      <c r="W775" s="139">
        <f t="shared" si="217"/>
        <v>0.01</v>
      </c>
      <c r="X775" s="140">
        <f t="shared" si="9"/>
        <v>16.02</v>
      </c>
      <c r="Y775" s="141">
        <f t="shared" si="626"/>
        <v>-13553.42</v>
      </c>
      <c r="Z775" s="142">
        <f t="shared" si="402"/>
        <v>-13553</v>
      </c>
      <c r="AA775" s="143">
        <f t="shared" si="47"/>
        <v>0.42000000000007276</v>
      </c>
      <c r="AB775" s="133"/>
      <c r="AC775" s="144">
        <f t="shared" si="12"/>
        <v>1.183E-3</v>
      </c>
      <c r="AD775" s="145">
        <f t="shared" si="13"/>
        <v>0</v>
      </c>
      <c r="AE775" s="146" t="s">
        <v>403</v>
      </c>
      <c r="AF775" s="119"/>
    </row>
    <row r="776" spans="1:32" ht="12" customHeight="1">
      <c r="A776" s="150">
        <v>44890</v>
      </c>
      <c r="B776" s="151" t="s">
        <v>575</v>
      </c>
      <c r="C776" s="151"/>
      <c r="D776" s="151"/>
      <c r="E776" s="151"/>
      <c r="F776" s="151"/>
      <c r="G776" s="151"/>
      <c r="H776" s="122" t="s">
        <v>446</v>
      </c>
      <c r="I776" s="121" t="s">
        <v>469</v>
      </c>
      <c r="J776" s="122" t="s">
        <v>448</v>
      </c>
      <c r="K776" s="123">
        <v>4</v>
      </c>
      <c r="L776" s="124">
        <v>853</v>
      </c>
      <c r="M776" s="125">
        <f t="shared" si="572"/>
        <v>0</v>
      </c>
      <c r="N776" s="125">
        <f t="shared" ref="N776:N780" si="627">L776-M776</f>
        <v>853</v>
      </c>
      <c r="O776" s="125"/>
      <c r="P776" s="125">
        <f t="shared" si="2"/>
        <v>3412</v>
      </c>
      <c r="Q776" s="126">
        <f t="shared" si="3"/>
        <v>0.88</v>
      </c>
      <c r="R776" s="126">
        <f t="shared" si="74"/>
        <v>0</v>
      </c>
      <c r="S776" s="126">
        <f t="shared" si="573"/>
        <v>0.02</v>
      </c>
      <c r="T776" s="126">
        <f t="shared" si="545"/>
        <v>3.41</v>
      </c>
      <c r="U776" s="126">
        <v>0</v>
      </c>
      <c r="V776" s="126">
        <f t="shared" si="581"/>
        <v>0.09</v>
      </c>
      <c r="W776" s="126">
        <f t="shared" si="217"/>
        <v>0</v>
      </c>
      <c r="X776" s="126">
        <f t="shared" si="9"/>
        <v>3.52</v>
      </c>
      <c r="Y776" s="127">
        <f t="shared" ref="Y776:Y780" si="628">ROUND(P776-SUM(R776:W776),2)</f>
        <v>3408.48</v>
      </c>
      <c r="Z776" s="128">
        <f t="shared" si="402"/>
        <v>3408</v>
      </c>
      <c r="AA776" s="129">
        <f t="shared" si="47"/>
        <v>-0.48000000000001819</v>
      </c>
      <c r="AB776" s="120"/>
      <c r="AC776" s="130">
        <f t="shared" si="12"/>
        <v>1.0319999999999999E-3</v>
      </c>
      <c r="AD776" s="131">
        <f t="shared" si="13"/>
        <v>0</v>
      </c>
      <c r="AE776" s="132" t="s">
        <v>403</v>
      </c>
      <c r="AF776" s="119"/>
    </row>
    <row r="777" spans="1:32" ht="12" customHeight="1">
      <c r="A777" s="150">
        <v>44896</v>
      </c>
      <c r="B777" s="151" t="s">
        <v>590</v>
      </c>
      <c r="C777" s="151"/>
      <c r="D777" s="151"/>
      <c r="E777" s="151"/>
      <c r="F777" s="151"/>
      <c r="G777" s="151"/>
      <c r="H777" s="122" t="s">
        <v>446</v>
      </c>
      <c r="I777" s="121" t="s">
        <v>469</v>
      </c>
      <c r="J777" s="122" t="s">
        <v>471</v>
      </c>
      <c r="K777" s="123">
        <v>50</v>
      </c>
      <c r="L777" s="124">
        <v>109.25</v>
      </c>
      <c r="M777" s="125">
        <f t="shared" si="572"/>
        <v>0</v>
      </c>
      <c r="N777" s="125">
        <f t="shared" si="627"/>
        <v>109.25</v>
      </c>
      <c r="O777" s="125"/>
      <c r="P777" s="125">
        <f t="shared" si="2"/>
        <v>5462.5</v>
      </c>
      <c r="Q777" s="126">
        <f t="shared" si="3"/>
        <v>0.113</v>
      </c>
      <c r="R777" s="126">
        <f t="shared" si="74"/>
        <v>0</v>
      </c>
      <c r="S777" s="126">
        <f t="shared" si="573"/>
        <v>0.03</v>
      </c>
      <c r="T777" s="126">
        <f t="shared" si="545"/>
        <v>5.46</v>
      </c>
      <c r="U777" s="126">
        <v>0</v>
      </c>
      <c r="V777" s="126">
        <f t="shared" si="581"/>
        <v>0.15</v>
      </c>
      <c r="W777" s="126">
        <f t="shared" si="217"/>
        <v>0.01</v>
      </c>
      <c r="X777" s="126">
        <f t="shared" si="9"/>
        <v>5.65</v>
      </c>
      <c r="Y777" s="127">
        <f t="shared" si="628"/>
        <v>5456.85</v>
      </c>
      <c r="Z777" s="128">
        <f t="shared" si="402"/>
        <v>5457</v>
      </c>
      <c r="AA777" s="129">
        <f t="shared" si="47"/>
        <v>0.1499999999996362</v>
      </c>
      <c r="AB777" s="120"/>
      <c r="AC777" s="130">
        <f t="shared" si="12"/>
        <v>1.034E-3</v>
      </c>
      <c r="AD777" s="131">
        <f t="shared" si="13"/>
        <v>0</v>
      </c>
      <c r="AE777" s="132" t="s">
        <v>403</v>
      </c>
      <c r="AF777" s="119"/>
    </row>
    <row r="778" spans="1:32" ht="12" customHeight="1">
      <c r="A778" s="150">
        <v>44897</v>
      </c>
      <c r="B778" s="151" t="s">
        <v>543</v>
      </c>
      <c r="C778" s="151"/>
      <c r="D778" s="151"/>
      <c r="E778" s="151"/>
      <c r="F778" s="151"/>
      <c r="G778" s="151"/>
      <c r="H778" s="122" t="s">
        <v>446</v>
      </c>
      <c r="I778" s="121" t="s">
        <v>469</v>
      </c>
      <c r="J778" s="122" t="s">
        <v>471</v>
      </c>
      <c r="K778" s="123">
        <v>100</v>
      </c>
      <c r="L778" s="124">
        <v>104</v>
      </c>
      <c r="M778" s="125">
        <f t="shared" si="572"/>
        <v>0</v>
      </c>
      <c r="N778" s="125">
        <f t="shared" si="627"/>
        <v>104</v>
      </c>
      <c r="O778" s="125"/>
      <c r="P778" s="125">
        <f t="shared" si="2"/>
        <v>10400</v>
      </c>
      <c r="Q778" s="126">
        <f t="shared" si="3"/>
        <v>0.1075</v>
      </c>
      <c r="R778" s="126">
        <f t="shared" si="74"/>
        <v>0</v>
      </c>
      <c r="S778" s="126">
        <f t="shared" si="573"/>
        <v>0.05</v>
      </c>
      <c r="T778" s="126">
        <f t="shared" si="545"/>
        <v>10.4</v>
      </c>
      <c r="U778" s="126">
        <v>0</v>
      </c>
      <c r="V778" s="126">
        <f t="shared" si="581"/>
        <v>0.28999999999999998</v>
      </c>
      <c r="W778" s="126">
        <f t="shared" si="217"/>
        <v>0.01</v>
      </c>
      <c r="X778" s="126">
        <f t="shared" si="9"/>
        <v>10.75</v>
      </c>
      <c r="Y778" s="127">
        <f t="shared" si="628"/>
        <v>10389.25</v>
      </c>
      <c r="Z778" s="128">
        <f t="shared" si="402"/>
        <v>10389</v>
      </c>
      <c r="AA778" s="129">
        <f t="shared" si="47"/>
        <v>-0.25</v>
      </c>
      <c r="AB778" s="120"/>
      <c r="AC778" s="130">
        <f t="shared" si="12"/>
        <v>1.034E-3</v>
      </c>
      <c r="AD778" s="131">
        <f t="shared" si="13"/>
        <v>0</v>
      </c>
      <c r="AE778" s="132" t="s">
        <v>403</v>
      </c>
      <c r="AF778" s="119"/>
    </row>
    <row r="779" spans="1:32" ht="12" customHeight="1">
      <c r="A779" s="150">
        <v>44901</v>
      </c>
      <c r="B779" s="151" t="s">
        <v>619</v>
      </c>
      <c r="C779" s="151"/>
      <c r="D779" s="151"/>
      <c r="E779" s="151"/>
      <c r="F779" s="151"/>
      <c r="G779" s="151"/>
      <c r="H779" s="122" t="s">
        <v>446</v>
      </c>
      <c r="I779" s="121" t="s">
        <v>469</v>
      </c>
      <c r="J779" s="122" t="s">
        <v>471</v>
      </c>
      <c r="K779" s="123">
        <v>100</v>
      </c>
      <c r="L779" s="124">
        <v>10.25</v>
      </c>
      <c r="M779" s="125">
        <f t="shared" si="572"/>
        <v>0</v>
      </c>
      <c r="N779" s="125">
        <f t="shared" si="627"/>
        <v>10.25</v>
      </c>
      <c r="O779" s="125"/>
      <c r="P779" s="125">
        <f t="shared" si="2"/>
        <v>1025</v>
      </c>
      <c r="Q779" s="126">
        <f t="shared" si="3"/>
        <v>1.0700000000000001E-2</v>
      </c>
      <c r="R779" s="126">
        <f t="shared" si="74"/>
        <v>0</v>
      </c>
      <c r="S779" s="126">
        <f t="shared" si="573"/>
        <v>0.01</v>
      </c>
      <c r="T779" s="126">
        <f t="shared" si="545"/>
        <v>1.03</v>
      </c>
      <c r="U779" s="126">
        <v>0</v>
      </c>
      <c r="V779" s="126">
        <f t="shared" si="581"/>
        <v>0.03</v>
      </c>
      <c r="W779" s="126">
        <f t="shared" si="217"/>
        <v>0</v>
      </c>
      <c r="X779" s="126">
        <f t="shared" si="9"/>
        <v>1.07</v>
      </c>
      <c r="Y779" s="127">
        <f t="shared" si="628"/>
        <v>1023.93</v>
      </c>
      <c r="Z779" s="128">
        <f t="shared" si="402"/>
        <v>1024</v>
      </c>
      <c r="AA779" s="129">
        <f t="shared" si="47"/>
        <v>7.0000000000050022E-2</v>
      </c>
      <c r="AB779" s="120"/>
      <c r="AC779" s="130">
        <f t="shared" si="12"/>
        <v>1.044E-3</v>
      </c>
      <c r="AD779" s="131">
        <f t="shared" si="13"/>
        <v>0</v>
      </c>
      <c r="AE779" s="132" t="s">
        <v>403</v>
      </c>
      <c r="AF779" s="119"/>
    </row>
    <row r="780" spans="1:32" ht="12" customHeight="1">
      <c r="A780" s="150">
        <v>44903</v>
      </c>
      <c r="B780" s="151" t="s">
        <v>539</v>
      </c>
      <c r="C780" s="151"/>
      <c r="D780" s="151"/>
      <c r="E780" s="151"/>
      <c r="F780" s="151"/>
      <c r="G780" s="151"/>
      <c r="H780" s="122" t="s">
        <v>446</v>
      </c>
      <c r="I780" s="121" t="s">
        <v>469</v>
      </c>
      <c r="J780" s="122" t="s">
        <v>471</v>
      </c>
      <c r="K780" s="123">
        <v>50</v>
      </c>
      <c r="L780" s="124">
        <v>123.25</v>
      </c>
      <c r="M780" s="125">
        <f t="shared" si="572"/>
        <v>0</v>
      </c>
      <c r="N780" s="125">
        <f t="shared" si="627"/>
        <v>123.25</v>
      </c>
      <c r="O780" s="125"/>
      <c r="P780" s="125">
        <f t="shared" si="2"/>
        <v>6162.5</v>
      </c>
      <c r="Q780" s="126">
        <f t="shared" si="3"/>
        <v>0.12740000000000001</v>
      </c>
      <c r="R780" s="126">
        <f t="shared" si="74"/>
        <v>0</v>
      </c>
      <c r="S780" s="126">
        <f t="shared" si="573"/>
        <v>0.03</v>
      </c>
      <c r="T780" s="126">
        <f t="shared" si="545"/>
        <v>6.16</v>
      </c>
      <c r="U780" s="126">
        <v>0</v>
      </c>
      <c r="V780" s="126">
        <f t="shared" si="581"/>
        <v>0.17</v>
      </c>
      <c r="W780" s="126">
        <f t="shared" si="217"/>
        <v>0.01</v>
      </c>
      <c r="X780" s="126">
        <f t="shared" si="9"/>
        <v>6.37</v>
      </c>
      <c r="Y780" s="127">
        <f t="shared" si="628"/>
        <v>6156.13</v>
      </c>
      <c r="Z780" s="128">
        <f t="shared" si="402"/>
        <v>6156</v>
      </c>
      <c r="AA780" s="129">
        <f t="shared" si="47"/>
        <v>-0.13000000000010914</v>
      </c>
      <c r="AB780" s="120"/>
      <c r="AC780" s="130">
        <f t="shared" si="12"/>
        <v>1.034E-3</v>
      </c>
      <c r="AD780" s="131">
        <f t="shared" si="13"/>
        <v>0</v>
      </c>
      <c r="AE780" s="132" t="s">
        <v>403</v>
      </c>
      <c r="AF780" s="119"/>
    </row>
    <row r="781" spans="1:32" ht="12" customHeight="1">
      <c r="A781" s="157">
        <v>44904</v>
      </c>
      <c r="B781" s="149" t="s">
        <v>539</v>
      </c>
      <c r="C781" s="149"/>
      <c r="D781" s="149"/>
      <c r="E781" s="149"/>
      <c r="F781" s="149"/>
      <c r="G781" s="149"/>
      <c r="H781" s="135" t="s">
        <v>453</v>
      </c>
      <c r="I781" s="134" t="s">
        <v>469</v>
      </c>
      <c r="J781" s="135" t="s">
        <v>471</v>
      </c>
      <c r="K781" s="136">
        <v>50</v>
      </c>
      <c r="L781" s="137">
        <v>121</v>
      </c>
      <c r="M781" s="138">
        <f t="shared" si="572"/>
        <v>0</v>
      </c>
      <c r="N781" s="138">
        <f>L781+M781</f>
        <v>121</v>
      </c>
      <c r="O781" s="138"/>
      <c r="P781" s="138">
        <f t="shared" si="2"/>
        <v>6050</v>
      </c>
      <c r="Q781" s="139">
        <f t="shared" si="3"/>
        <v>0.1434</v>
      </c>
      <c r="R781" s="139">
        <f t="shared" si="74"/>
        <v>0</v>
      </c>
      <c r="S781" s="139">
        <f t="shared" si="573"/>
        <v>0.03</v>
      </c>
      <c r="T781" s="139">
        <f t="shared" si="545"/>
        <v>6.05</v>
      </c>
      <c r="U781" s="139">
        <f>ROUND(P781*K$1812,2)</f>
        <v>0.91</v>
      </c>
      <c r="V781" s="139">
        <f t="shared" si="581"/>
        <v>0.17</v>
      </c>
      <c r="W781" s="139">
        <f t="shared" si="217"/>
        <v>0.01</v>
      </c>
      <c r="X781" s="140">
        <f t="shared" si="9"/>
        <v>7.17</v>
      </c>
      <c r="Y781" s="141">
        <f>-ROUND(P781+SUM(R781:W781),2)</f>
        <v>-6057.17</v>
      </c>
      <c r="Z781" s="142">
        <f t="shared" si="402"/>
        <v>-6057</v>
      </c>
      <c r="AA781" s="143">
        <f t="shared" si="47"/>
        <v>0.17000000000007276</v>
      </c>
      <c r="AB781" s="133"/>
      <c r="AC781" s="144">
        <f t="shared" si="12"/>
        <v>1.1850000000000001E-3</v>
      </c>
      <c r="AD781" s="145">
        <f t="shared" si="13"/>
        <v>0</v>
      </c>
      <c r="AE781" s="146" t="s">
        <v>403</v>
      </c>
      <c r="AF781" s="119"/>
    </row>
    <row r="782" spans="1:32" ht="12" customHeight="1">
      <c r="A782" s="150">
        <v>44907</v>
      </c>
      <c r="B782" s="151" t="s">
        <v>598</v>
      </c>
      <c r="C782" s="151"/>
      <c r="D782" s="151"/>
      <c r="E782" s="151"/>
      <c r="F782" s="151"/>
      <c r="G782" s="151"/>
      <c r="H782" s="122" t="s">
        <v>446</v>
      </c>
      <c r="I782" s="121" t="s">
        <v>469</v>
      </c>
      <c r="J782" s="122" t="s">
        <v>471</v>
      </c>
      <c r="K782" s="123">
        <v>45</v>
      </c>
      <c r="L782" s="124">
        <v>93</v>
      </c>
      <c r="M782" s="125">
        <f t="shared" si="572"/>
        <v>0</v>
      </c>
      <c r="N782" s="125">
        <f t="shared" ref="N782:N786" si="629">L782-M782</f>
        <v>93</v>
      </c>
      <c r="O782" s="125"/>
      <c r="P782" s="125">
        <f t="shared" si="2"/>
        <v>4185</v>
      </c>
      <c r="Q782" s="126">
        <f t="shared" si="3"/>
        <v>9.6222222222222223E-2</v>
      </c>
      <c r="R782" s="126">
        <f t="shared" si="74"/>
        <v>0</v>
      </c>
      <c r="S782" s="126">
        <f t="shared" si="573"/>
        <v>0.02</v>
      </c>
      <c r="T782" s="126">
        <f t="shared" si="545"/>
        <v>4.1900000000000004</v>
      </c>
      <c r="U782" s="126">
        <v>0</v>
      </c>
      <c r="V782" s="126">
        <f t="shared" si="581"/>
        <v>0.12</v>
      </c>
      <c r="W782" s="126">
        <f t="shared" si="217"/>
        <v>0</v>
      </c>
      <c r="X782" s="126">
        <f t="shared" si="9"/>
        <v>4.33</v>
      </c>
      <c r="Y782" s="127">
        <f t="shared" ref="Y782:Y786" si="630">ROUND(P782-SUM(R782:W782),2)</f>
        <v>4180.67</v>
      </c>
      <c r="Z782" s="128">
        <f t="shared" si="402"/>
        <v>4181</v>
      </c>
      <c r="AA782" s="129">
        <f t="shared" si="47"/>
        <v>0.32999999999992724</v>
      </c>
      <c r="AB782" s="120"/>
      <c r="AC782" s="130">
        <f t="shared" si="12"/>
        <v>1.0349999999999999E-3</v>
      </c>
      <c r="AD782" s="131">
        <f t="shared" si="13"/>
        <v>0</v>
      </c>
      <c r="AE782" s="132" t="s">
        <v>403</v>
      </c>
      <c r="AF782" s="119"/>
    </row>
    <row r="783" spans="1:32" ht="12" customHeight="1">
      <c r="A783" s="150">
        <v>44907</v>
      </c>
      <c r="B783" s="151" t="s">
        <v>533</v>
      </c>
      <c r="C783" s="151"/>
      <c r="D783" s="151"/>
      <c r="E783" s="151"/>
      <c r="F783" s="151"/>
      <c r="G783" s="151"/>
      <c r="H783" s="122" t="s">
        <v>446</v>
      </c>
      <c r="I783" s="121" t="s">
        <v>469</v>
      </c>
      <c r="J783" s="122" t="s">
        <v>471</v>
      </c>
      <c r="K783" s="123">
        <v>100</v>
      </c>
      <c r="L783" s="124">
        <v>85</v>
      </c>
      <c r="M783" s="125">
        <f t="shared" si="572"/>
        <v>0</v>
      </c>
      <c r="N783" s="125">
        <f t="shared" si="629"/>
        <v>85</v>
      </c>
      <c r="O783" s="125"/>
      <c r="P783" s="125">
        <f t="shared" si="2"/>
        <v>8500</v>
      </c>
      <c r="Q783" s="126">
        <f t="shared" si="3"/>
        <v>8.7799999999999989E-2</v>
      </c>
      <c r="R783" s="126">
        <f t="shared" si="74"/>
        <v>0</v>
      </c>
      <c r="S783" s="126">
        <f t="shared" si="573"/>
        <v>0.04</v>
      </c>
      <c r="T783" s="126">
        <f t="shared" si="545"/>
        <v>8.5</v>
      </c>
      <c r="U783" s="126">
        <v>0</v>
      </c>
      <c r="V783" s="126">
        <f t="shared" si="581"/>
        <v>0.23</v>
      </c>
      <c r="W783" s="126">
        <f t="shared" si="217"/>
        <v>0.01</v>
      </c>
      <c r="X783" s="126">
        <f t="shared" si="9"/>
        <v>8.7799999999999994</v>
      </c>
      <c r="Y783" s="127">
        <f t="shared" si="630"/>
        <v>8491.2199999999993</v>
      </c>
      <c r="Z783" s="128">
        <f t="shared" si="402"/>
        <v>8491</v>
      </c>
      <c r="AA783" s="129">
        <f t="shared" si="47"/>
        <v>-0.21999999999934516</v>
      </c>
      <c r="AB783" s="120"/>
      <c r="AC783" s="130">
        <f t="shared" si="12"/>
        <v>1.0330000000000001E-3</v>
      </c>
      <c r="AD783" s="131">
        <f t="shared" si="13"/>
        <v>0</v>
      </c>
      <c r="AE783" s="132" t="s">
        <v>403</v>
      </c>
      <c r="AF783" s="119"/>
    </row>
    <row r="784" spans="1:32" ht="12" customHeight="1">
      <c r="A784" s="150">
        <v>44909</v>
      </c>
      <c r="B784" s="151" t="s">
        <v>589</v>
      </c>
      <c r="C784" s="151"/>
      <c r="D784" s="151"/>
      <c r="E784" s="151"/>
      <c r="F784" s="151"/>
      <c r="G784" s="151"/>
      <c r="H784" s="122" t="s">
        <v>446</v>
      </c>
      <c r="I784" s="121" t="s">
        <v>469</v>
      </c>
      <c r="J784" s="122" t="s">
        <v>471</v>
      </c>
      <c r="K784" s="123">
        <v>10</v>
      </c>
      <c r="L784" s="124">
        <v>1655</v>
      </c>
      <c r="M784" s="125">
        <f t="shared" si="572"/>
        <v>0</v>
      </c>
      <c r="N784" s="125">
        <f t="shared" si="629"/>
        <v>1655</v>
      </c>
      <c r="O784" s="125"/>
      <c r="P784" s="125">
        <f t="shared" si="2"/>
        <v>16550</v>
      </c>
      <c r="Q784" s="126">
        <f t="shared" si="3"/>
        <v>1.7109999999999999</v>
      </c>
      <c r="R784" s="126">
        <f t="shared" si="74"/>
        <v>0</v>
      </c>
      <c r="S784" s="126">
        <f t="shared" si="573"/>
        <v>0.08</v>
      </c>
      <c r="T784" s="126">
        <f t="shared" si="545"/>
        <v>16.55</v>
      </c>
      <c r="U784" s="126">
        <v>0</v>
      </c>
      <c r="V784" s="126">
        <f t="shared" si="581"/>
        <v>0.46</v>
      </c>
      <c r="W784" s="126">
        <f t="shared" si="217"/>
        <v>0.02</v>
      </c>
      <c r="X784" s="126">
        <f t="shared" si="9"/>
        <v>17.11</v>
      </c>
      <c r="Y784" s="127">
        <f t="shared" si="630"/>
        <v>16532.89</v>
      </c>
      <c r="Z784" s="128">
        <f t="shared" si="402"/>
        <v>16533</v>
      </c>
      <c r="AA784" s="129">
        <f t="shared" si="47"/>
        <v>0.11000000000058208</v>
      </c>
      <c r="AB784" s="120"/>
      <c r="AC784" s="130">
        <f t="shared" si="12"/>
        <v>1.034E-3</v>
      </c>
      <c r="AD784" s="131">
        <f t="shared" si="13"/>
        <v>0</v>
      </c>
      <c r="AE784" s="132" t="s">
        <v>403</v>
      </c>
      <c r="AF784" s="119"/>
    </row>
    <row r="785" spans="1:32" ht="12" customHeight="1">
      <c r="A785" s="150">
        <v>44925</v>
      </c>
      <c r="B785" s="151" t="s">
        <v>539</v>
      </c>
      <c r="C785" s="151"/>
      <c r="D785" s="151"/>
      <c r="E785" s="151"/>
      <c r="F785" s="151"/>
      <c r="G785" s="151"/>
      <c r="H785" s="122" t="s">
        <v>446</v>
      </c>
      <c r="I785" s="121" t="s">
        <v>469</v>
      </c>
      <c r="J785" s="122" t="s">
        <v>471</v>
      </c>
      <c r="K785" s="123">
        <v>50</v>
      </c>
      <c r="L785" s="124">
        <v>122.5</v>
      </c>
      <c r="M785" s="125">
        <f t="shared" si="572"/>
        <v>0</v>
      </c>
      <c r="N785" s="125">
        <f t="shared" si="629"/>
        <v>122.5</v>
      </c>
      <c r="O785" s="125"/>
      <c r="P785" s="125">
        <f t="shared" si="2"/>
        <v>6125</v>
      </c>
      <c r="Q785" s="126">
        <f t="shared" si="3"/>
        <v>0.1268</v>
      </c>
      <c r="R785" s="126">
        <f t="shared" si="74"/>
        <v>0</v>
      </c>
      <c r="S785" s="126">
        <f t="shared" si="573"/>
        <v>0.03</v>
      </c>
      <c r="T785" s="126">
        <f t="shared" si="545"/>
        <v>6.13</v>
      </c>
      <c r="U785" s="126">
        <v>0</v>
      </c>
      <c r="V785" s="126">
        <f t="shared" si="581"/>
        <v>0.17</v>
      </c>
      <c r="W785" s="126">
        <f t="shared" si="217"/>
        <v>0.01</v>
      </c>
      <c r="X785" s="126">
        <f t="shared" si="9"/>
        <v>6.34</v>
      </c>
      <c r="Y785" s="127">
        <f t="shared" si="630"/>
        <v>6118.66</v>
      </c>
      <c r="Z785" s="128">
        <f t="shared" si="402"/>
        <v>6119</v>
      </c>
      <c r="AA785" s="129">
        <f t="shared" si="47"/>
        <v>0.34000000000014552</v>
      </c>
      <c r="AB785" s="120"/>
      <c r="AC785" s="130">
        <f t="shared" si="12"/>
        <v>1.0349999999999999E-3</v>
      </c>
      <c r="AD785" s="131">
        <f t="shared" si="13"/>
        <v>0</v>
      </c>
      <c r="AE785" s="132" t="s">
        <v>403</v>
      </c>
      <c r="AF785" s="119"/>
    </row>
    <row r="786" spans="1:32" ht="12" customHeight="1">
      <c r="A786" s="150">
        <v>44925</v>
      </c>
      <c r="B786" s="151" t="s">
        <v>575</v>
      </c>
      <c r="C786" s="151"/>
      <c r="D786" s="151"/>
      <c r="E786" s="151"/>
      <c r="F786" s="151"/>
      <c r="G786" s="151"/>
      <c r="H786" s="122" t="s">
        <v>446</v>
      </c>
      <c r="I786" s="121" t="s">
        <v>469</v>
      </c>
      <c r="J786" s="122" t="s">
        <v>448</v>
      </c>
      <c r="K786" s="123">
        <v>30</v>
      </c>
      <c r="L786" s="124">
        <v>895.23329999999999</v>
      </c>
      <c r="M786" s="125">
        <f t="shared" si="572"/>
        <v>0</v>
      </c>
      <c r="N786" s="125">
        <f t="shared" si="629"/>
        <v>895.23329999999999</v>
      </c>
      <c r="O786" s="125"/>
      <c r="P786" s="125">
        <f t="shared" si="2"/>
        <v>26857</v>
      </c>
      <c r="Q786" s="126">
        <f t="shared" si="3"/>
        <v>0.92533333333333323</v>
      </c>
      <c r="R786" s="126">
        <f t="shared" si="74"/>
        <v>0</v>
      </c>
      <c r="S786" s="126">
        <f t="shared" si="573"/>
        <v>0.13</v>
      </c>
      <c r="T786" s="126">
        <f t="shared" si="545"/>
        <v>26.86</v>
      </c>
      <c r="U786" s="126">
        <v>0</v>
      </c>
      <c r="V786" s="126">
        <f t="shared" si="581"/>
        <v>0.74</v>
      </c>
      <c r="W786" s="126">
        <f t="shared" si="217"/>
        <v>0.03</v>
      </c>
      <c r="X786" s="126">
        <f t="shared" si="9"/>
        <v>27.759999999999998</v>
      </c>
      <c r="Y786" s="127">
        <f t="shared" si="630"/>
        <v>26829.24</v>
      </c>
      <c r="Z786" s="128">
        <f t="shared" si="402"/>
        <v>26829</v>
      </c>
      <c r="AA786" s="129">
        <f t="shared" si="47"/>
        <v>-0.24000000000160071</v>
      </c>
      <c r="AB786" s="120"/>
      <c r="AC786" s="130">
        <f t="shared" si="12"/>
        <v>1.034E-3</v>
      </c>
      <c r="AD786" s="131">
        <f t="shared" si="13"/>
        <v>0</v>
      </c>
      <c r="AE786" s="132" t="s">
        <v>403</v>
      </c>
      <c r="AF786" s="119"/>
    </row>
    <row r="787" spans="1:32" ht="12" customHeight="1">
      <c r="A787" s="157">
        <v>44928</v>
      </c>
      <c r="B787" s="149" t="s">
        <v>589</v>
      </c>
      <c r="C787" s="149"/>
      <c r="D787" s="149"/>
      <c r="E787" s="149"/>
      <c r="F787" s="149"/>
      <c r="G787" s="149"/>
      <c r="H787" s="135" t="s">
        <v>453</v>
      </c>
      <c r="I787" s="134" t="s">
        <v>469</v>
      </c>
      <c r="J787" s="135" t="s">
        <v>471</v>
      </c>
      <c r="K787" s="136">
        <v>7</v>
      </c>
      <c r="L787" s="137">
        <v>1472.3929000000001</v>
      </c>
      <c r="M787" s="138">
        <f t="shared" si="572"/>
        <v>0</v>
      </c>
      <c r="N787" s="138">
        <f>L787+M787</f>
        <v>1472.3929000000001</v>
      </c>
      <c r="O787" s="138"/>
      <c r="P787" s="138">
        <f t="shared" si="2"/>
        <v>10306.75</v>
      </c>
      <c r="Q787" s="139">
        <f t="shared" si="3"/>
        <v>1.7428571428571431</v>
      </c>
      <c r="R787" s="139">
        <f t="shared" si="74"/>
        <v>0</v>
      </c>
      <c r="S787" s="139">
        <f t="shared" si="573"/>
        <v>0.05</v>
      </c>
      <c r="T787" s="139">
        <f t="shared" si="545"/>
        <v>10.31</v>
      </c>
      <c r="U787" s="139">
        <f>ROUND(P787*K$1812,2)</f>
        <v>1.55</v>
      </c>
      <c r="V787" s="139">
        <f t="shared" si="581"/>
        <v>0.28000000000000003</v>
      </c>
      <c r="W787" s="139">
        <f t="shared" si="217"/>
        <v>0.01</v>
      </c>
      <c r="X787" s="140">
        <f t="shared" si="9"/>
        <v>12.200000000000001</v>
      </c>
      <c r="Y787" s="141">
        <f>-ROUND(P787+SUM(R787:W787),2)</f>
        <v>-10318.950000000001</v>
      </c>
      <c r="Z787" s="142">
        <f t="shared" si="402"/>
        <v>-10319</v>
      </c>
      <c r="AA787" s="143">
        <f t="shared" si="47"/>
        <v>-4.9999999999272404E-2</v>
      </c>
      <c r="AB787" s="133"/>
      <c r="AC787" s="144">
        <f t="shared" si="12"/>
        <v>1.1839999999999999E-3</v>
      </c>
      <c r="AD787" s="145">
        <f t="shared" si="13"/>
        <v>0</v>
      </c>
      <c r="AE787" s="146" t="s">
        <v>403</v>
      </c>
      <c r="AF787" s="119"/>
    </row>
    <row r="788" spans="1:32" ht="12" customHeight="1">
      <c r="A788" s="150">
        <v>44928</v>
      </c>
      <c r="B788" s="151" t="s">
        <v>481</v>
      </c>
      <c r="C788" s="151"/>
      <c r="D788" s="151"/>
      <c r="E788" s="151"/>
      <c r="F788" s="151"/>
      <c r="G788" s="151"/>
      <c r="H788" s="122" t="s">
        <v>446</v>
      </c>
      <c r="I788" s="121" t="s">
        <v>469</v>
      </c>
      <c r="J788" s="122" t="s">
        <v>471</v>
      </c>
      <c r="K788" s="123">
        <v>75</v>
      </c>
      <c r="L788" s="124">
        <v>87.333299999999994</v>
      </c>
      <c r="M788" s="125">
        <f t="shared" si="572"/>
        <v>0</v>
      </c>
      <c r="N788" s="125">
        <f t="shared" ref="N788:N790" si="631">L788-M788</f>
        <v>87.333299999999994</v>
      </c>
      <c r="O788" s="125"/>
      <c r="P788" s="125">
        <f t="shared" si="2"/>
        <v>6550</v>
      </c>
      <c r="Q788" s="126">
        <f t="shared" si="3"/>
        <v>9.0266666666666662E-2</v>
      </c>
      <c r="R788" s="126">
        <f t="shared" si="74"/>
        <v>0</v>
      </c>
      <c r="S788" s="126">
        <f t="shared" si="573"/>
        <v>0.03</v>
      </c>
      <c r="T788" s="126">
        <f t="shared" si="545"/>
        <v>6.55</v>
      </c>
      <c r="U788" s="126">
        <v>0</v>
      </c>
      <c r="V788" s="126">
        <f t="shared" si="581"/>
        <v>0.18</v>
      </c>
      <c r="W788" s="126">
        <f t="shared" si="217"/>
        <v>0.01</v>
      </c>
      <c r="X788" s="126">
        <f t="shared" si="9"/>
        <v>6.77</v>
      </c>
      <c r="Y788" s="127">
        <f t="shared" ref="Y788:Y790" si="632">ROUND(P788-SUM(R788:W788),2)</f>
        <v>6543.23</v>
      </c>
      <c r="Z788" s="128">
        <f t="shared" si="402"/>
        <v>6543</v>
      </c>
      <c r="AA788" s="129">
        <f t="shared" si="47"/>
        <v>-0.22999999999956344</v>
      </c>
      <c r="AB788" s="120"/>
      <c r="AC788" s="130">
        <f t="shared" si="12"/>
        <v>1.034E-3</v>
      </c>
      <c r="AD788" s="131">
        <f t="shared" si="13"/>
        <v>0</v>
      </c>
      <c r="AE788" s="132" t="s">
        <v>403</v>
      </c>
      <c r="AF788" s="119"/>
    </row>
    <row r="789" spans="1:32" ht="12" customHeight="1">
      <c r="A789" s="150">
        <v>44928</v>
      </c>
      <c r="B789" s="151" t="s">
        <v>481</v>
      </c>
      <c r="C789" s="151"/>
      <c r="D789" s="151"/>
      <c r="E789" s="151"/>
      <c r="F789" s="151"/>
      <c r="G789" s="151"/>
      <c r="H789" s="122" t="s">
        <v>446</v>
      </c>
      <c r="I789" s="121" t="s">
        <v>469</v>
      </c>
      <c r="J789" s="122" t="s">
        <v>471</v>
      </c>
      <c r="K789" s="123">
        <v>25</v>
      </c>
      <c r="L789" s="124">
        <v>88</v>
      </c>
      <c r="M789" s="125">
        <f t="shared" si="572"/>
        <v>0</v>
      </c>
      <c r="N789" s="125">
        <f t="shared" si="631"/>
        <v>88</v>
      </c>
      <c r="O789" s="125"/>
      <c r="P789" s="125">
        <f t="shared" si="2"/>
        <v>2200</v>
      </c>
      <c r="Q789" s="126">
        <f t="shared" si="3"/>
        <v>9.0800000000000006E-2</v>
      </c>
      <c r="R789" s="126">
        <f t="shared" si="74"/>
        <v>0</v>
      </c>
      <c r="S789" s="126">
        <f t="shared" si="573"/>
        <v>0.01</v>
      </c>
      <c r="T789" s="126">
        <f t="shared" si="545"/>
        <v>2.2000000000000002</v>
      </c>
      <c r="U789" s="126">
        <v>0</v>
      </c>
      <c r="V789" s="126">
        <f t="shared" si="581"/>
        <v>0.06</v>
      </c>
      <c r="W789" s="126">
        <f t="shared" si="217"/>
        <v>0</v>
      </c>
      <c r="X789" s="126">
        <f t="shared" si="9"/>
        <v>2.27</v>
      </c>
      <c r="Y789" s="127">
        <f t="shared" si="632"/>
        <v>2197.73</v>
      </c>
      <c r="Z789" s="128">
        <f t="shared" si="402"/>
        <v>2198</v>
      </c>
      <c r="AA789" s="129">
        <f t="shared" si="47"/>
        <v>0.26999999999998181</v>
      </c>
      <c r="AB789" s="120"/>
      <c r="AC789" s="130">
        <f t="shared" si="12"/>
        <v>1.0319999999999999E-3</v>
      </c>
      <c r="AD789" s="131">
        <f t="shared" si="13"/>
        <v>0</v>
      </c>
      <c r="AE789" s="132" t="s">
        <v>403</v>
      </c>
      <c r="AF789" s="119"/>
    </row>
    <row r="790" spans="1:32" ht="12" customHeight="1">
      <c r="A790" s="150">
        <v>44928</v>
      </c>
      <c r="B790" s="151" t="s">
        <v>481</v>
      </c>
      <c r="C790" s="151"/>
      <c r="D790" s="151"/>
      <c r="E790" s="151"/>
      <c r="F790" s="151"/>
      <c r="G790" s="151"/>
      <c r="H790" s="122" t="s">
        <v>446</v>
      </c>
      <c r="I790" s="121" t="s">
        <v>469</v>
      </c>
      <c r="J790" s="122" t="s">
        <v>471</v>
      </c>
      <c r="K790" s="123">
        <v>50</v>
      </c>
      <c r="L790" s="124">
        <v>87</v>
      </c>
      <c r="M790" s="125">
        <f t="shared" si="572"/>
        <v>0</v>
      </c>
      <c r="N790" s="125">
        <f t="shared" si="631"/>
        <v>87</v>
      </c>
      <c r="O790" s="125"/>
      <c r="P790" s="125">
        <f t="shared" si="2"/>
        <v>4350</v>
      </c>
      <c r="Q790" s="126">
        <f t="shared" si="3"/>
        <v>8.9799999999999991E-2</v>
      </c>
      <c r="R790" s="126">
        <f t="shared" si="74"/>
        <v>0</v>
      </c>
      <c r="S790" s="126">
        <f t="shared" si="573"/>
        <v>0.02</v>
      </c>
      <c r="T790" s="126">
        <f t="shared" si="545"/>
        <v>4.3499999999999996</v>
      </c>
      <c r="U790" s="126">
        <v>0</v>
      </c>
      <c r="V790" s="126">
        <f t="shared" si="581"/>
        <v>0.12</v>
      </c>
      <c r="W790" s="126">
        <f t="shared" si="217"/>
        <v>0</v>
      </c>
      <c r="X790" s="126">
        <f t="shared" si="9"/>
        <v>4.4899999999999993</v>
      </c>
      <c r="Y790" s="127">
        <f t="shared" si="632"/>
        <v>4345.51</v>
      </c>
      <c r="Z790" s="128">
        <f t="shared" si="402"/>
        <v>4346</v>
      </c>
      <c r="AA790" s="129">
        <f t="shared" si="47"/>
        <v>0.48999999999978172</v>
      </c>
      <c r="AB790" s="120"/>
      <c r="AC790" s="130">
        <f t="shared" si="12"/>
        <v>1.0319999999999999E-3</v>
      </c>
      <c r="AD790" s="131">
        <f t="shared" si="13"/>
        <v>0</v>
      </c>
      <c r="AE790" s="132" t="s">
        <v>403</v>
      </c>
      <c r="AF790" s="119"/>
    </row>
    <row r="791" spans="1:32" ht="12" customHeight="1">
      <c r="A791" s="157">
        <v>44930</v>
      </c>
      <c r="B791" s="149" t="s">
        <v>481</v>
      </c>
      <c r="C791" s="149"/>
      <c r="D791" s="149"/>
      <c r="E791" s="149"/>
      <c r="F791" s="149"/>
      <c r="G791" s="149"/>
      <c r="H791" s="135" t="s">
        <v>453</v>
      </c>
      <c r="I791" s="134" t="s">
        <v>469</v>
      </c>
      <c r="J791" s="135" t="s">
        <v>471</v>
      </c>
      <c r="K791" s="136">
        <v>25</v>
      </c>
      <c r="L791" s="137">
        <v>85.9</v>
      </c>
      <c r="M791" s="138">
        <f t="shared" si="572"/>
        <v>0</v>
      </c>
      <c r="N791" s="138">
        <f t="shared" ref="N791:N793" si="633">L791+M791</f>
        <v>85.9</v>
      </c>
      <c r="O791" s="138"/>
      <c r="P791" s="138">
        <f t="shared" si="2"/>
        <v>2147.5</v>
      </c>
      <c r="Q791" s="139">
        <f t="shared" si="3"/>
        <v>0.10159999999999998</v>
      </c>
      <c r="R791" s="139">
        <f t="shared" si="74"/>
        <v>0</v>
      </c>
      <c r="S791" s="139">
        <f t="shared" si="573"/>
        <v>0.01</v>
      </c>
      <c r="T791" s="139">
        <f t="shared" si="545"/>
        <v>2.15</v>
      </c>
      <c r="U791" s="139">
        <f t="shared" ref="U791:U793" si="634">ROUND(P791*K$1812,2)</f>
        <v>0.32</v>
      </c>
      <c r="V791" s="139">
        <f t="shared" si="581"/>
        <v>0.06</v>
      </c>
      <c r="W791" s="139">
        <f t="shared" si="217"/>
        <v>0</v>
      </c>
      <c r="X791" s="140">
        <f t="shared" si="9"/>
        <v>2.5399999999999996</v>
      </c>
      <c r="Y791" s="141">
        <f t="shared" ref="Y791:Y793" si="635">-ROUND(P791+SUM(R791:W791),2)</f>
        <v>-2150.04</v>
      </c>
      <c r="Z791" s="142">
        <f t="shared" si="402"/>
        <v>-2150</v>
      </c>
      <c r="AA791" s="143">
        <f t="shared" si="47"/>
        <v>3.999999999996362E-2</v>
      </c>
      <c r="AB791" s="133"/>
      <c r="AC791" s="144">
        <f t="shared" si="12"/>
        <v>1.183E-3</v>
      </c>
      <c r="AD791" s="145">
        <f t="shared" si="13"/>
        <v>0</v>
      </c>
      <c r="AE791" s="146" t="s">
        <v>403</v>
      </c>
      <c r="AF791" s="119"/>
    </row>
    <row r="792" spans="1:32" ht="12" customHeight="1">
      <c r="A792" s="157">
        <v>44930</v>
      </c>
      <c r="B792" s="149" t="s">
        <v>575</v>
      </c>
      <c r="C792" s="149"/>
      <c r="D792" s="149"/>
      <c r="E792" s="149"/>
      <c r="F792" s="149"/>
      <c r="G792" s="149"/>
      <c r="H792" s="135" t="s">
        <v>453</v>
      </c>
      <c r="I792" s="134" t="s">
        <v>469</v>
      </c>
      <c r="J792" s="135" t="s">
        <v>448</v>
      </c>
      <c r="K792" s="136">
        <v>20</v>
      </c>
      <c r="L792" s="137">
        <v>883</v>
      </c>
      <c r="M792" s="138">
        <f t="shared" si="572"/>
        <v>0</v>
      </c>
      <c r="N792" s="138">
        <f t="shared" si="633"/>
        <v>883</v>
      </c>
      <c r="O792" s="138"/>
      <c r="P792" s="138">
        <f t="shared" si="2"/>
        <v>17660</v>
      </c>
      <c r="Q792" s="139">
        <f t="shared" si="3"/>
        <v>1.0454999999999999</v>
      </c>
      <c r="R792" s="139">
        <f t="shared" si="74"/>
        <v>0</v>
      </c>
      <c r="S792" s="139">
        <f t="shared" si="573"/>
        <v>0.09</v>
      </c>
      <c r="T792" s="139">
        <f t="shared" si="545"/>
        <v>17.66</v>
      </c>
      <c r="U792" s="139">
        <f t="shared" si="634"/>
        <v>2.65</v>
      </c>
      <c r="V792" s="139">
        <f t="shared" si="581"/>
        <v>0.49</v>
      </c>
      <c r="W792" s="139">
        <f t="shared" si="217"/>
        <v>0.02</v>
      </c>
      <c r="X792" s="140">
        <f t="shared" si="9"/>
        <v>20.909999999999997</v>
      </c>
      <c r="Y792" s="141">
        <f t="shared" si="635"/>
        <v>-17680.91</v>
      </c>
      <c r="Z792" s="142">
        <f t="shared" si="402"/>
        <v>-17681</v>
      </c>
      <c r="AA792" s="143">
        <f t="shared" si="47"/>
        <v>-9.0000000000145519E-2</v>
      </c>
      <c r="AB792" s="133"/>
      <c r="AC792" s="144">
        <f t="shared" si="12"/>
        <v>1.1839999999999999E-3</v>
      </c>
      <c r="AD792" s="145">
        <f t="shared" si="13"/>
        <v>0</v>
      </c>
      <c r="AE792" s="146" t="s">
        <v>403</v>
      </c>
      <c r="AF792" s="119"/>
    </row>
    <row r="793" spans="1:32" ht="12" customHeight="1">
      <c r="A793" s="157">
        <v>44931</v>
      </c>
      <c r="B793" s="149" t="s">
        <v>575</v>
      </c>
      <c r="C793" s="149"/>
      <c r="D793" s="149"/>
      <c r="E793" s="149"/>
      <c r="F793" s="149"/>
      <c r="G793" s="149"/>
      <c r="H793" s="135" t="s">
        <v>453</v>
      </c>
      <c r="I793" s="134" t="s">
        <v>469</v>
      </c>
      <c r="J793" s="135" t="s">
        <v>448</v>
      </c>
      <c r="K793" s="136">
        <v>10</v>
      </c>
      <c r="L793" s="137">
        <v>879.4</v>
      </c>
      <c r="M793" s="138">
        <f t="shared" si="572"/>
        <v>0</v>
      </c>
      <c r="N793" s="138">
        <f t="shared" si="633"/>
        <v>879.4</v>
      </c>
      <c r="O793" s="138"/>
      <c r="P793" s="138">
        <f t="shared" si="2"/>
        <v>8794</v>
      </c>
      <c r="Q793" s="139">
        <f t="shared" si="3"/>
        <v>1.0399999999999998</v>
      </c>
      <c r="R793" s="139">
        <f t="shared" si="74"/>
        <v>0</v>
      </c>
      <c r="S793" s="139">
        <f t="shared" si="573"/>
        <v>0.04</v>
      </c>
      <c r="T793" s="139">
        <f t="shared" si="545"/>
        <v>8.7899999999999991</v>
      </c>
      <c r="U793" s="139">
        <f t="shared" si="634"/>
        <v>1.32</v>
      </c>
      <c r="V793" s="139">
        <f t="shared" si="581"/>
        <v>0.24</v>
      </c>
      <c r="W793" s="139">
        <f t="shared" si="217"/>
        <v>0.01</v>
      </c>
      <c r="X793" s="140">
        <f t="shared" si="9"/>
        <v>10.399999999999999</v>
      </c>
      <c r="Y793" s="141">
        <f t="shared" si="635"/>
        <v>-8804.4</v>
      </c>
      <c r="Z793" s="142">
        <f t="shared" si="402"/>
        <v>-8804</v>
      </c>
      <c r="AA793" s="143">
        <f t="shared" si="47"/>
        <v>0.3999999999996362</v>
      </c>
      <c r="AB793" s="133"/>
      <c r="AC793" s="144">
        <f t="shared" si="12"/>
        <v>1.183E-3</v>
      </c>
      <c r="AD793" s="145">
        <f t="shared" si="13"/>
        <v>0</v>
      </c>
      <c r="AE793" s="146" t="s">
        <v>403</v>
      </c>
      <c r="AF793" s="119"/>
    </row>
    <row r="794" spans="1:32" ht="12" customHeight="1">
      <c r="A794" s="150">
        <v>44939</v>
      </c>
      <c r="B794" s="151" t="s">
        <v>589</v>
      </c>
      <c r="C794" s="151"/>
      <c r="D794" s="151"/>
      <c r="E794" s="151"/>
      <c r="F794" s="151"/>
      <c r="G794" s="151"/>
      <c r="H794" s="122" t="s">
        <v>446</v>
      </c>
      <c r="I794" s="121" t="s">
        <v>469</v>
      </c>
      <c r="J794" s="122" t="s">
        <v>471</v>
      </c>
      <c r="K794" s="123">
        <v>37</v>
      </c>
      <c r="L794" s="124">
        <v>1568.0689</v>
      </c>
      <c r="M794" s="125">
        <f t="shared" si="572"/>
        <v>0</v>
      </c>
      <c r="N794" s="125">
        <f t="shared" ref="N794:N795" si="636">L794-M794</f>
        <v>1568.0689</v>
      </c>
      <c r="O794" s="125"/>
      <c r="P794" s="125">
        <f t="shared" si="2"/>
        <v>58018.55</v>
      </c>
      <c r="Q794" s="126">
        <f t="shared" si="3"/>
        <v>1.620810810810811</v>
      </c>
      <c r="R794" s="126">
        <f t="shared" si="74"/>
        <v>0</v>
      </c>
      <c r="S794" s="126">
        <f t="shared" si="573"/>
        <v>0.28999999999999998</v>
      </c>
      <c r="T794" s="126">
        <f t="shared" si="545"/>
        <v>58.02</v>
      </c>
      <c r="U794" s="126">
        <v>0</v>
      </c>
      <c r="V794" s="126">
        <f t="shared" si="581"/>
        <v>1.6</v>
      </c>
      <c r="W794" s="126">
        <f t="shared" si="217"/>
        <v>0.06</v>
      </c>
      <c r="X794" s="126">
        <f t="shared" si="9"/>
        <v>59.970000000000006</v>
      </c>
      <c r="Y794" s="127">
        <f t="shared" ref="Y794:Y795" si="637">ROUND(P794-SUM(R794:W794),2)</f>
        <v>57958.58</v>
      </c>
      <c r="Z794" s="128">
        <f t="shared" si="402"/>
        <v>57959</v>
      </c>
      <c r="AA794" s="129">
        <f t="shared" si="47"/>
        <v>0.41999999999825377</v>
      </c>
      <c r="AB794" s="120"/>
      <c r="AC794" s="130">
        <f t="shared" si="12"/>
        <v>1.034E-3</v>
      </c>
      <c r="AD794" s="131">
        <f t="shared" si="13"/>
        <v>0</v>
      </c>
      <c r="AE794" s="132" t="s">
        <v>403</v>
      </c>
      <c r="AF794" s="119"/>
    </row>
    <row r="795" spans="1:32" ht="12" customHeight="1">
      <c r="A795" s="150">
        <v>44942</v>
      </c>
      <c r="B795" s="151" t="s">
        <v>631</v>
      </c>
      <c r="C795" s="151"/>
      <c r="D795" s="151"/>
      <c r="E795" s="151"/>
      <c r="F795" s="151"/>
      <c r="G795" s="151"/>
      <c r="H795" s="122" t="s">
        <v>453</v>
      </c>
      <c r="I795" s="121" t="s">
        <v>469</v>
      </c>
      <c r="J795" s="122" t="s">
        <v>471</v>
      </c>
      <c r="K795" s="123">
        <v>42</v>
      </c>
      <c r="L795" s="124">
        <v>357.8</v>
      </c>
      <c r="M795" s="125">
        <f t="shared" si="572"/>
        <v>0</v>
      </c>
      <c r="N795" s="125">
        <f t="shared" si="636"/>
        <v>357.8</v>
      </c>
      <c r="O795" s="125"/>
      <c r="P795" s="125">
        <f t="shared" si="2"/>
        <v>15027.6</v>
      </c>
      <c r="Q795" s="126">
        <f t="shared" si="3"/>
        <v>0.36976190476190474</v>
      </c>
      <c r="R795" s="126">
        <f t="shared" si="74"/>
        <v>0</v>
      </c>
      <c r="S795" s="126">
        <f t="shared" si="573"/>
        <v>7.0000000000000007E-2</v>
      </c>
      <c r="T795" s="126">
        <f t="shared" si="545"/>
        <v>15.03</v>
      </c>
      <c r="U795" s="126">
        <v>0</v>
      </c>
      <c r="V795" s="126">
        <f t="shared" si="581"/>
        <v>0.41</v>
      </c>
      <c r="W795" s="126">
        <f t="shared" si="217"/>
        <v>0.02</v>
      </c>
      <c r="X795" s="126">
        <f t="shared" si="9"/>
        <v>15.53</v>
      </c>
      <c r="Y795" s="127">
        <f t="shared" si="637"/>
        <v>15012.07</v>
      </c>
      <c r="Z795" s="128">
        <f t="shared" si="402"/>
        <v>15012</v>
      </c>
      <c r="AA795" s="129">
        <f t="shared" si="47"/>
        <v>-6.9999999999708962E-2</v>
      </c>
      <c r="AB795" s="120"/>
      <c r="AC795" s="130">
        <f t="shared" si="12"/>
        <v>1.0330000000000001E-3</v>
      </c>
      <c r="AD795" s="131">
        <f t="shared" si="13"/>
        <v>0</v>
      </c>
      <c r="AE795" s="132" t="s">
        <v>403</v>
      </c>
      <c r="AF795" s="119"/>
    </row>
    <row r="796" spans="1:32" ht="12" customHeight="1">
      <c r="A796" s="157">
        <v>44943</v>
      </c>
      <c r="B796" s="149" t="s">
        <v>576</v>
      </c>
      <c r="C796" s="149"/>
      <c r="D796" s="149"/>
      <c r="E796" s="149"/>
      <c r="F796" s="149"/>
      <c r="G796" s="149"/>
      <c r="H796" s="135" t="s">
        <v>453</v>
      </c>
      <c r="I796" s="134" t="s">
        <v>469</v>
      </c>
      <c r="J796" s="135" t="s">
        <v>471</v>
      </c>
      <c r="K796" s="136">
        <v>50</v>
      </c>
      <c r="L796" s="137">
        <v>333</v>
      </c>
      <c r="M796" s="138">
        <f t="shared" si="572"/>
        <v>0</v>
      </c>
      <c r="N796" s="138">
        <f t="shared" ref="N796:N800" si="638">L796+M796</f>
        <v>333</v>
      </c>
      <c r="O796" s="138"/>
      <c r="P796" s="138">
        <f t="shared" si="2"/>
        <v>16650</v>
      </c>
      <c r="Q796" s="139">
        <f t="shared" si="3"/>
        <v>0.39419999999999994</v>
      </c>
      <c r="R796" s="139">
        <f t="shared" si="74"/>
        <v>0</v>
      </c>
      <c r="S796" s="139">
        <f t="shared" si="573"/>
        <v>0.08</v>
      </c>
      <c r="T796" s="139">
        <f t="shared" si="545"/>
        <v>16.649999999999999</v>
      </c>
      <c r="U796" s="139">
        <f t="shared" ref="U796:U800" si="639">ROUND(P796*K$1812,2)</f>
        <v>2.5</v>
      </c>
      <c r="V796" s="139">
        <f t="shared" si="581"/>
        <v>0.46</v>
      </c>
      <c r="W796" s="139">
        <f t="shared" si="217"/>
        <v>0.02</v>
      </c>
      <c r="X796" s="140">
        <f t="shared" si="9"/>
        <v>19.709999999999997</v>
      </c>
      <c r="Y796" s="141">
        <f t="shared" ref="Y796:Y800" si="640">-ROUND(P796+SUM(R796:W796),2)</f>
        <v>-16669.71</v>
      </c>
      <c r="Z796" s="142">
        <f t="shared" si="402"/>
        <v>-16670</v>
      </c>
      <c r="AA796" s="143">
        <f t="shared" si="47"/>
        <v>-0.29000000000087311</v>
      </c>
      <c r="AB796" s="133"/>
      <c r="AC796" s="144">
        <f t="shared" si="12"/>
        <v>1.1839999999999999E-3</v>
      </c>
      <c r="AD796" s="145">
        <f t="shared" si="13"/>
        <v>0</v>
      </c>
      <c r="AE796" s="146" t="s">
        <v>403</v>
      </c>
      <c r="AF796" s="119"/>
    </row>
    <row r="797" spans="1:32" ht="12" customHeight="1">
      <c r="A797" s="157">
        <v>44943</v>
      </c>
      <c r="B797" s="149" t="s">
        <v>632</v>
      </c>
      <c r="C797" s="149"/>
      <c r="D797" s="149"/>
      <c r="E797" s="149"/>
      <c r="F797" s="149"/>
      <c r="G797" s="149"/>
      <c r="H797" s="135" t="s">
        <v>453</v>
      </c>
      <c r="I797" s="134" t="s">
        <v>469</v>
      </c>
      <c r="J797" s="135" t="s">
        <v>471</v>
      </c>
      <c r="K797" s="136">
        <v>200</v>
      </c>
      <c r="L797" s="137">
        <v>51.9</v>
      </c>
      <c r="M797" s="138">
        <f t="shared" si="572"/>
        <v>0</v>
      </c>
      <c r="N797" s="138">
        <f t="shared" si="638"/>
        <v>51.9</v>
      </c>
      <c r="O797" s="138"/>
      <c r="P797" s="138">
        <f t="shared" si="2"/>
        <v>10380</v>
      </c>
      <c r="Q797" s="139">
        <f t="shared" si="3"/>
        <v>6.1450000000000005E-2</v>
      </c>
      <c r="R797" s="139">
        <f t="shared" si="74"/>
        <v>0</v>
      </c>
      <c r="S797" s="139">
        <f t="shared" si="573"/>
        <v>0.05</v>
      </c>
      <c r="T797" s="139">
        <f t="shared" si="545"/>
        <v>10.38</v>
      </c>
      <c r="U797" s="139">
        <f t="shared" si="639"/>
        <v>1.56</v>
      </c>
      <c r="V797" s="139">
        <f t="shared" si="581"/>
        <v>0.28999999999999998</v>
      </c>
      <c r="W797" s="139">
        <f t="shared" si="217"/>
        <v>0.01</v>
      </c>
      <c r="X797" s="140">
        <f t="shared" si="9"/>
        <v>12.290000000000001</v>
      </c>
      <c r="Y797" s="141">
        <f t="shared" si="640"/>
        <v>-10392.290000000001</v>
      </c>
      <c r="Z797" s="142">
        <f t="shared" si="402"/>
        <v>-10392</v>
      </c>
      <c r="AA797" s="143">
        <f t="shared" si="47"/>
        <v>0.29000000000087311</v>
      </c>
      <c r="AB797" s="133"/>
      <c r="AC797" s="144">
        <f t="shared" si="12"/>
        <v>1.1839999999999999E-3</v>
      </c>
      <c r="AD797" s="145">
        <f t="shared" si="13"/>
        <v>0</v>
      </c>
      <c r="AE797" s="146" t="s">
        <v>403</v>
      </c>
      <c r="AF797" s="119"/>
    </row>
    <row r="798" spans="1:32" ht="12" customHeight="1">
      <c r="A798" s="157">
        <v>44943</v>
      </c>
      <c r="B798" s="149" t="s">
        <v>613</v>
      </c>
      <c r="C798" s="149"/>
      <c r="D798" s="149"/>
      <c r="E798" s="149"/>
      <c r="F798" s="149"/>
      <c r="G798" s="149"/>
      <c r="H798" s="135" t="s">
        <v>453</v>
      </c>
      <c r="I798" s="134" t="s">
        <v>469</v>
      </c>
      <c r="J798" s="135" t="s">
        <v>471</v>
      </c>
      <c r="K798" s="136">
        <v>200</v>
      </c>
      <c r="L798" s="137">
        <v>40</v>
      </c>
      <c r="M798" s="138">
        <f t="shared" si="572"/>
        <v>0</v>
      </c>
      <c r="N798" s="138">
        <f t="shared" si="638"/>
        <v>40</v>
      </c>
      <c r="O798" s="138"/>
      <c r="P798" s="138">
        <f t="shared" si="2"/>
        <v>8000</v>
      </c>
      <c r="Q798" s="139">
        <f t="shared" si="3"/>
        <v>4.7349999999999996E-2</v>
      </c>
      <c r="R798" s="139">
        <f t="shared" si="74"/>
        <v>0</v>
      </c>
      <c r="S798" s="139">
        <f t="shared" si="573"/>
        <v>0.04</v>
      </c>
      <c r="T798" s="139">
        <f t="shared" si="545"/>
        <v>8</v>
      </c>
      <c r="U798" s="139">
        <f t="shared" si="639"/>
        <v>1.2</v>
      </c>
      <c r="V798" s="139">
        <f t="shared" si="581"/>
        <v>0.22</v>
      </c>
      <c r="W798" s="139">
        <f t="shared" si="217"/>
        <v>0.01</v>
      </c>
      <c r="X798" s="140">
        <f t="shared" si="9"/>
        <v>9.4699999999999989</v>
      </c>
      <c r="Y798" s="141">
        <f t="shared" si="640"/>
        <v>-8009.47</v>
      </c>
      <c r="Z798" s="142">
        <f t="shared" si="402"/>
        <v>-8009</v>
      </c>
      <c r="AA798" s="143">
        <f t="shared" si="47"/>
        <v>0.47000000000025466</v>
      </c>
      <c r="AB798" s="133"/>
      <c r="AC798" s="144">
        <f t="shared" si="12"/>
        <v>1.1839999999999999E-3</v>
      </c>
      <c r="AD798" s="145">
        <f t="shared" si="13"/>
        <v>0</v>
      </c>
      <c r="AE798" s="146" t="s">
        <v>403</v>
      </c>
      <c r="AF798" s="119"/>
    </row>
    <row r="799" spans="1:32" ht="12" customHeight="1">
      <c r="A799" s="157">
        <v>44943</v>
      </c>
      <c r="B799" s="149" t="s">
        <v>633</v>
      </c>
      <c r="C799" s="149"/>
      <c r="D799" s="149"/>
      <c r="E799" s="149"/>
      <c r="F799" s="149"/>
      <c r="G799" s="149"/>
      <c r="H799" s="135" t="s">
        <v>453</v>
      </c>
      <c r="I799" s="134" t="s">
        <v>469</v>
      </c>
      <c r="J799" s="135" t="s">
        <v>471</v>
      </c>
      <c r="K799" s="136">
        <v>15</v>
      </c>
      <c r="L799" s="137">
        <v>1147.3333</v>
      </c>
      <c r="M799" s="138">
        <f t="shared" si="572"/>
        <v>0</v>
      </c>
      <c r="N799" s="138">
        <f t="shared" si="638"/>
        <v>1147.3333</v>
      </c>
      <c r="O799" s="138"/>
      <c r="P799" s="138">
        <f t="shared" si="2"/>
        <v>17210</v>
      </c>
      <c r="Q799" s="139">
        <f t="shared" si="3"/>
        <v>1.3573333333333331</v>
      </c>
      <c r="R799" s="139">
        <f t="shared" si="74"/>
        <v>0</v>
      </c>
      <c r="S799" s="139">
        <f t="shared" si="573"/>
        <v>0.08</v>
      </c>
      <c r="T799" s="139">
        <f t="shared" si="545"/>
        <v>17.21</v>
      </c>
      <c r="U799" s="139">
        <f t="shared" si="639"/>
        <v>2.58</v>
      </c>
      <c r="V799" s="139">
        <f t="shared" si="581"/>
        <v>0.47</v>
      </c>
      <c r="W799" s="139">
        <f t="shared" si="217"/>
        <v>0.02</v>
      </c>
      <c r="X799" s="140">
        <f t="shared" si="9"/>
        <v>20.359999999999996</v>
      </c>
      <c r="Y799" s="141">
        <f t="shared" si="640"/>
        <v>-17230.36</v>
      </c>
      <c r="Z799" s="142">
        <f t="shared" si="402"/>
        <v>-17230</v>
      </c>
      <c r="AA799" s="143">
        <f t="shared" si="47"/>
        <v>0.36000000000058208</v>
      </c>
      <c r="AB799" s="133"/>
      <c r="AC799" s="144">
        <f t="shared" si="12"/>
        <v>1.183E-3</v>
      </c>
      <c r="AD799" s="145">
        <f t="shared" si="13"/>
        <v>0</v>
      </c>
      <c r="AE799" s="146" t="s">
        <v>403</v>
      </c>
      <c r="AF799" s="119"/>
    </row>
    <row r="800" spans="1:32" ht="12" customHeight="1">
      <c r="A800" s="157">
        <v>44943</v>
      </c>
      <c r="B800" s="149" t="s">
        <v>634</v>
      </c>
      <c r="C800" s="149"/>
      <c r="D800" s="149"/>
      <c r="E800" s="149"/>
      <c r="F800" s="149"/>
      <c r="G800" s="149"/>
      <c r="H800" s="135" t="s">
        <v>453</v>
      </c>
      <c r="I800" s="134" t="s">
        <v>469</v>
      </c>
      <c r="J800" s="135" t="s">
        <v>471</v>
      </c>
      <c r="K800" s="136">
        <v>5</v>
      </c>
      <c r="L800" s="137">
        <v>1402</v>
      </c>
      <c r="M800" s="138">
        <f t="shared" si="572"/>
        <v>0</v>
      </c>
      <c r="N800" s="138">
        <f t="shared" si="638"/>
        <v>1402</v>
      </c>
      <c r="O800" s="138"/>
      <c r="P800" s="138">
        <f t="shared" si="2"/>
        <v>7010</v>
      </c>
      <c r="Q800" s="139">
        <f t="shared" si="3"/>
        <v>1.6579999999999999</v>
      </c>
      <c r="R800" s="139">
        <f t="shared" si="74"/>
        <v>0</v>
      </c>
      <c r="S800" s="139">
        <f t="shared" si="573"/>
        <v>0.03</v>
      </c>
      <c r="T800" s="139">
        <f t="shared" si="545"/>
        <v>7.01</v>
      </c>
      <c r="U800" s="139">
        <f t="shared" si="639"/>
        <v>1.05</v>
      </c>
      <c r="V800" s="139">
        <f t="shared" si="581"/>
        <v>0.19</v>
      </c>
      <c r="W800" s="139">
        <f t="shared" si="217"/>
        <v>0.01</v>
      </c>
      <c r="X800" s="140">
        <f t="shared" si="9"/>
        <v>8.2899999999999991</v>
      </c>
      <c r="Y800" s="141">
        <f t="shared" si="640"/>
        <v>-7018.29</v>
      </c>
      <c r="Z800" s="142">
        <f t="shared" si="402"/>
        <v>-7018</v>
      </c>
      <c r="AA800" s="143">
        <f t="shared" si="47"/>
        <v>0.28999999999996362</v>
      </c>
      <c r="AB800" s="133"/>
      <c r="AC800" s="144">
        <f t="shared" si="12"/>
        <v>1.183E-3</v>
      </c>
      <c r="AD800" s="145">
        <f t="shared" si="13"/>
        <v>0</v>
      </c>
      <c r="AE800" s="146" t="s">
        <v>403</v>
      </c>
      <c r="AF800" s="119"/>
    </row>
    <row r="801" spans="1:32" ht="12" customHeight="1">
      <c r="A801" s="150">
        <v>44943</v>
      </c>
      <c r="B801" s="151" t="s">
        <v>490</v>
      </c>
      <c r="C801" s="151"/>
      <c r="D801" s="151"/>
      <c r="E801" s="151"/>
      <c r="F801" s="151"/>
      <c r="G801" s="151"/>
      <c r="H801" s="122" t="s">
        <v>446</v>
      </c>
      <c r="I801" s="121" t="s">
        <v>469</v>
      </c>
      <c r="J801" s="122" t="s">
        <v>471</v>
      </c>
      <c r="K801" s="123">
        <v>6</v>
      </c>
      <c r="L801" s="124">
        <v>2660</v>
      </c>
      <c r="M801" s="125">
        <f t="shared" si="572"/>
        <v>0</v>
      </c>
      <c r="N801" s="125">
        <f>L801-M801</f>
        <v>2660</v>
      </c>
      <c r="O801" s="125"/>
      <c r="P801" s="125">
        <f t="shared" si="2"/>
        <v>15960</v>
      </c>
      <c r="Q801" s="126">
        <f t="shared" si="3"/>
        <v>2.75</v>
      </c>
      <c r="R801" s="126">
        <f t="shared" si="74"/>
        <v>0</v>
      </c>
      <c r="S801" s="126">
        <f t="shared" si="573"/>
        <v>0.08</v>
      </c>
      <c r="T801" s="126">
        <f t="shared" si="545"/>
        <v>15.96</v>
      </c>
      <c r="U801" s="126">
        <v>0</v>
      </c>
      <c r="V801" s="126">
        <f t="shared" si="581"/>
        <v>0.44</v>
      </c>
      <c r="W801" s="126">
        <f t="shared" si="217"/>
        <v>0.02</v>
      </c>
      <c r="X801" s="126">
        <f t="shared" si="9"/>
        <v>16.5</v>
      </c>
      <c r="Y801" s="127">
        <f>ROUND(P801-SUM(R801:W801),2)</f>
        <v>15943.5</v>
      </c>
      <c r="Z801" s="128">
        <f t="shared" si="402"/>
        <v>15944</v>
      </c>
      <c r="AA801" s="129">
        <f t="shared" si="47"/>
        <v>0.5</v>
      </c>
      <c r="AB801" s="120"/>
      <c r="AC801" s="130">
        <f t="shared" si="12"/>
        <v>1.034E-3</v>
      </c>
      <c r="AD801" s="131">
        <f t="shared" si="13"/>
        <v>0</v>
      </c>
      <c r="AE801" s="132" t="s">
        <v>403</v>
      </c>
      <c r="AF801" s="119"/>
    </row>
    <row r="802" spans="1:32" ht="12" customHeight="1">
      <c r="A802" s="157">
        <v>44944</v>
      </c>
      <c r="B802" s="149" t="s">
        <v>635</v>
      </c>
      <c r="C802" s="149"/>
      <c r="D802" s="149"/>
      <c r="E802" s="149"/>
      <c r="F802" s="149"/>
      <c r="G802" s="149"/>
      <c r="H802" s="135" t="s">
        <v>453</v>
      </c>
      <c r="I802" s="134" t="s">
        <v>469</v>
      </c>
      <c r="J802" s="135" t="s">
        <v>471</v>
      </c>
      <c r="K802" s="136">
        <v>50</v>
      </c>
      <c r="L802" s="137">
        <v>142</v>
      </c>
      <c r="M802" s="138">
        <f t="shared" si="572"/>
        <v>0</v>
      </c>
      <c r="N802" s="138">
        <f>L802+M802</f>
        <v>142</v>
      </c>
      <c r="O802" s="138"/>
      <c r="P802" s="138">
        <f t="shared" si="2"/>
        <v>7100</v>
      </c>
      <c r="Q802" s="139">
        <f t="shared" si="3"/>
        <v>0.16839999999999997</v>
      </c>
      <c r="R802" s="139">
        <f t="shared" si="74"/>
        <v>0</v>
      </c>
      <c r="S802" s="139">
        <f t="shared" si="573"/>
        <v>0.04</v>
      </c>
      <c r="T802" s="139">
        <f t="shared" si="545"/>
        <v>7.1</v>
      </c>
      <c r="U802" s="139">
        <f>ROUND(P802*K$1812,2)</f>
        <v>1.07</v>
      </c>
      <c r="V802" s="139">
        <f t="shared" si="581"/>
        <v>0.2</v>
      </c>
      <c r="W802" s="139">
        <f t="shared" si="217"/>
        <v>0.01</v>
      </c>
      <c r="X802" s="140">
        <f t="shared" si="9"/>
        <v>8.4199999999999982</v>
      </c>
      <c r="Y802" s="141">
        <f>-ROUND(P802+SUM(R802:W802),2)</f>
        <v>-7108.42</v>
      </c>
      <c r="Z802" s="142">
        <f t="shared" si="402"/>
        <v>-7108</v>
      </c>
      <c r="AA802" s="143">
        <f t="shared" si="47"/>
        <v>0.42000000000007276</v>
      </c>
      <c r="AB802" s="133"/>
      <c r="AC802" s="144">
        <f t="shared" si="12"/>
        <v>1.186E-3</v>
      </c>
      <c r="AD802" s="145">
        <f t="shared" si="13"/>
        <v>0</v>
      </c>
      <c r="AE802" s="146" t="s">
        <v>403</v>
      </c>
      <c r="AF802" s="119"/>
    </row>
    <row r="803" spans="1:32" ht="12" customHeight="1">
      <c r="A803" s="150">
        <v>44944</v>
      </c>
      <c r="B803" s="151" t="s">
        <v>596</v>
      </c>
      <c r="C803" s="151"/>
      <c r="D803" s="151"/>
      <c r="E803" s="151"/>
      <c r="F803" s="151"/>
      <c r="G803" s="151"/>
      <c r="H803" s="122" t="s">
        <v>446</v>
      </c>
      <c r="I803" s="121" t="s">
        <v>469</v>
      </c>
      <c r="J803" s="122" t="s">
        <v>471</v>
      </c>
      <c r="K803" s="123">
        <v>10</v>
      </c>
      <c r="L803" s="124">
        <v>1579</v>
      </c>
      <c r="M803" s="125">
        <f t="shared" si="572"/>
        <v>0</v>
      </c>
      <c r="N803" s="125">
        <f t="shared" ref="N803:N805" si="641">L803-M803</f>
        <v>1579</v>
      </c>
      <c r="O803" s="125"/>
      <c r="P803" s="125">
        <f t="shared" si="2"/>
        <v>15790</v>
      </c>
      <c r="Q803" s="126">
        <f t="shared" si="3"/>
        <v>1.6320000000000001</v>
      </c>
      <c r="R803" s="126">
        <f t="shared" si="74"/>
        <v>0</v>
      </c>
      <c r="S803" s="126">
        <f t="shared" si="573"/>
        <v>0.08</v>
      </c>
      <c r="T803" s="126">
        <f t="shared" si="545"/>
        <v>15.79</v>
      </c>
      <c r="U803" s="126">
        <v>0</v>
      </c>
      <c r="V803" s="126">
        <f t="shared" si="581"/>
        <v>0.43</v>
      </c>
      <c r="W803" s="126">
        <f t="shared" si="217"/>
        <v>0.02</v>
      </c>
      <c r="X803" s="126">
        <f t="shared" si="9"/>
        <v>16.32</v>
      </c>
      <c r="Y803" s="127">
        <f t="shared" ref="Y803:Y805" si="642">ROUND(P803-SUM(R803:W803),2)</f>
        <v>15773.68</v>
      </c>
      <c r="Z803" s="128">
        <f t="shared" si="402"/>
        <v>15774</v>
      </c>
      <c r="AA803" s="129">
        <f t="shared" si="47"/>
        <v>0.31999999999970896</v>
      </c>
      <c r="AB803" s="120"/>
      <c r="AC803" s="130">
        <f t="shared" si="12"/>
        <v>1.034E-3</v>
      </c>
      <c r="AD803" s="131">
        <f t="shared" si="13"/>
        <v>0</v>
      </c>
      <c r="AE803" s="132" t="s">
        <v>403</v>
      </c>
      <c r="AF803" s="119"/>
    </row>
    <row r="804" spans="1:32" ht="12" customHeight="1">
      <c r="A804" s="150">
        <v>44945</v>
      </c>
      <c r="B804" s="151" t="s">
        <v>575</v>
      </c>
      <c r="C804" s="151"/>
      <c r="D804" s="151"/>
      <c r="E804" s="151"/>
      <c r="F804" s="151"/>
      <c r="G804" s="151"/>
      <c r="H804" s="122" t="s">
        <v>446</v>
      </c>
      <c r="I804" s="121" t="s">
        <v>469</v>
      </c>
      <c r="J804" s="122" t="s">
        <v>448</v>
      </c>
      <c r="K804" s="123">
        <v>20</v>
      </c>
      <c r="L804" s="124">
        <v>896.75</v>
      </c>
      <c r="M804" s="125">
        <f t="shared" si="572"/>
        <v>0</v>
      </c>
      <c r="N804" s="125">
        <f t="shared" si="641"/>
        <v>896.75</v>
      </c>
      <c r="O804" s="125"/>
      <c r="P804" s="125">
        <f t="shared" si="2"/>
        <v>17935</v>
      </c>
      <c r="Q804" s="126">
        <f t="shared" si="3"/>
        <v>0.92699999999999994</v>
      </c>
      <c r="R804" s="126">
        <f t="shared" si="74"/>
        <v>0</v>
      </c>
      <c r="S804" s="126">
        <f t="shared" si="573"/>
        <v>0.09</v>
      </c>
      <c r="T804" s="126">
        <f t="shared" si="545"/>
        <v>17.940000000000001</v>
      </c>
      <c r="U804" s="126">
        <v>0</v>
      </c>
      <c r="V804" s="126">
        <f t="shared" si="581"/>
        <v>0.49</v>
      </c>
      <c r="W804" s="126">
        <f t="shared" si="217"/>
        <v>0.02</v>
      </c>
      <c r="X804" s="126">
        <f t="shared" si="9"/>
        <v>18.54</v>
      </c>
      <c r="Y804" s="127">
        <f t="shared" si="642"/>
        <v>17916.46</v>
      </c>
      <c r="Z804" s="128">
        <f t="shared" si="402"/>
        <v>17916</v>
      </c>
      <c r="AA804" s="129">
        <f t="shared" si="47"/>
        <v>-0.45999999999912689</v>
      </c>
      <c r="AB804" s="120"/>
      <c r="AC804" s="130">
        <f t="shared" si="12"/>
        <v>1.034E-3</v>
      </c>
      <c r="AD804" s="131">
        <f t="shared" si="13"/>
        <v>0</v>
      </c>
      <c r="AE804" s="132" t="s">
        <v>403</v>
      </c>
      <c r="AF804" s="119"/>
    </row>
    <row r="805" spans="1:32" ht="12" customHeight="1">
      <c r="A805" s="150">
        <v>44946</v>
      </c>
      <c r="B805" s="151" t="s">
        <v>633</v>
      </c>
      <c r="C805" s="151"/>
      <c r="D805" s="151"/>
      <c r="E805" s="151"/>
      <c r="F805" s="151"/>
      <c r="G805" s="151"/>
      <c r="H805" s="122" t="s">
        <v>446</v>
      </c>
      <c r="I805" s="121" t="s">
        <v>469</v>
      </c>
      <c r="J805" s="122" t="s">
        <v>471</v>
      </c>
      <c r="K805" s="123">
        <v>5</v>
      </c>
      <c r="L805" s="124">
        <v>1202</v>
      </c>
      <c r="M805" s="125">
        <f t="shared" si="572"/>
        <v>0</v>
      </c>
      <c r="N805" s="125">
        <f t="shared" si="641"/>
        <v>1202</v>
      </c>
      <c r="O805" s="125"/>
      <c r="P805" s="125">
        <f t="shared" si="2"/>
        <v>6010</v>
      </c>
      <c r="Q805" s="126">
        <f t="shared" si="3"/>
        <v>1.244</v>
      </c>
      <c r="R805" s="126">
        <f t="shared" si="74"/>
        <v>0</v>
      </c>
      <c r="S805" s="126">
        <f t="shared" si="573"/>
        <v>0.03</v>
      </c>
      <c r="T805" s="126">
        <f t="shared" si="545"/>
        <v>6.01</v>
      </c>
      <c r="U805" s="126">
        <v>0</v>
      </c>
      <c r="V805" s="126">
        <f t="shared" si="581"/>
        <v>0.17</v>
      </c>
      <c r="W805" s="126">
        <f t="shared" si="217"/>
        <v>0.01</v>
      </c>
      <c r="X805" s="126">
        <f t="shared" si="9"/>
        <v>6.22</v>
      </c>
      <c r="Y805" s="127">
        <f t="shared" si="642"/>
        <v>6003.78</v>
      </c>
      <c r="Z805" s="128">
        <f t="shared" si="402"/>
        <v>6004</v>
      </c>
      <c r="AA805" s="129">
        <f t="shared" si="47"/>
        <v>0.22000000000025466</v>
      </c>
      <c r="AB805" s="120"/>
      <c r="AC805" s="130">
        <f t="shared" si="12"/>
        <v>1.0349999999999999E-3</v>
      </c>
      <c r="AD805" s="131">
        <f t="shared" si="13"/>
        <v>0</v>
      </c>
      <c r="AE805" s="132" t="s">
        <v>403</v>
      </c>
      <c r="AF805" s="119"/>
    </row>
    <row r="806" spans="1:32" ht="12" customHeight="1">
      <c r="A806" s="157">
        <v>44949</v>
      </c>
      <c r="B806" s="149" t="s">
        <v>596</v>
      </c>
      <c r="C806" s="149"/>
      <c r="D806" s="149"/>
      <c r="E806" s="149"/>
      <c r="F806" s="149"/>
      <c r="G806" s="149"/>
      <c r="H806" s="135" t="s">
        <v>453</v>
      </c>
      <c r="I806" s="134" t="s">
        <v>469</v>
      </c>
      <c r="J806" s="135" t="s">
        <v>471</v>
      </c>
      <c r="K806" s="136">
        <v>10</v>
      </c>
      <c r="L806" s="137">
        <v>1552</v>
      </c>
      <c r="M806" s="138">
        <f t="shared" si="572"/>
        <v>0</v>
      </c>
      <c r="N806" s="138">
        <f>L806+M806</f>
        <v>1552</v>
      </c>
      <c r="O806" s="138"/>
      <c r="P806" s="138">
        <f t="shared" si="2"/>
        <v>15520</v>
      </c>
      <c r="Q806" s="139">
        <f t="shared" si="3"/>
        <v>1.8379999999999999</v>
      </c>
      <c r="R806" s="139">
        <f t="shared" si="74"/>
        <v>0</v>
      </c>
      <c r="S806" s="139">
        <f t="shared" si="573"/>
        <v>0.08</v>
      </c>
      <c r="T806" s="139">
        <f t="shared" si="545"/>
        <v>15.52</v>
      </c>
      <c r="U806" s="139">
        <f>ROUND(P806*K$1812,2)</f>
        <v>2.33</v>
      </c>
      <c r="V806" s="139">
        <f t="shared" si="581"/>
        <v>0.43</v>
      </c>
      <c r="W806" s="139">
        <f t="shared" si="217"/>
        <v>0.02</v>
      </c>
      <c r="X806" s="140">
        <f t="shared" si="9"/>
        <v>18.38</v>
      </c>
      <c r="Y806" s="141">
        <f>-ROUND(P806+SUM(R806:W806),2)</f>
        <v>-15538.38</v>
      </c>
      <c r="Z806" s="142">
        <f t="shared" si="402"/>
        <v>-15538</v>
      </c>
      <c r="AA806" s="143">
        <f t="shared" si="47"/>
        <v>0.37999999999919964</v>
      </c>
      <c r="AB806" s="133"/>
      <c r="AC806" s="144">
        <f t="shared" si="12"/>
        <v>1.1839999999999999E-3</v>
      </c>
      <c r="AD806" s="145">
        <f t="shared" si="13"/>
        <v>0</v>
      </c>
      <c r="AE806" s="146" t="s">
        <v>403</v>
      </c>
      <c r="AF806" s="119"/>
    </row>
    <row r="807" spans="1:32" ht="12" customHeight="1">
      <c r="A807" s="150">
        <v>44949</v>
      </c>
      <c r="B807" s="151" t="s">
        <v>598</v>
      </c>
      <c r="C807" s="151"/>
      <c r="D807" s="151"/>
      <c r="E807" s="151"/>
      <c r="F807" s="151"/>
      <c r="G807" s="151"/>
      <c r="H807" s="122" t="s">
        <v>446</v>
      </c>
      <c r="I807" s="121" t="s">
        <v>469</v>
      </c>
      <c r="J807" s="122" t="s">
        <v>471</v>
      </c>
      <c r="K807" s="123">
        <v>132</v>
      </c>
      <c r="L807" s="124">
        <v>101.75</v>
      </c>
      <c r="M807" s="125">
        <f t="shared" si="572"/>
        <v>0</v>
      </c>
      <c r="N807" s="125">
        <f>L807-M807</f>
        <v>101.75</v>
      </c>
      <c r="O807" s="125"/>
      <c r="P807" s="125">
        <f t="shared" si="2"/>
        <v>13431</v>
      </c>
      <c r="Q807" s="126">
        <f t="shared" si="3"/>
        <v>0.10515151515151515</v>
      </c>
      <c r="R807" s="126">
        <f t="shared" si="74"/>
        <v>0</v>
      </c>
      <c r="S807" s="126">
        <f t="shared" si="573"/>
        <v>7.0000000000000007E-2</v>
      </c>
      <c r="T807" s="126">
        <f t="shared" si="545"/>
        <v>13.43</v>
      </c>
      <c r="U807" s="126">
        <v>0</v>
      </c>
      <c r="V807" s="126">
        <f t="shared" si="581"/>
        <v>0.37</v>
      </c>
      <c r="W807" s="126">
        <f t="shared" si="217"/>
        <v>0.01</v>
      </c>
      <c r="X807" s="126">
        <f t="shared" si="9"/>
        <v>13.879999999999999</v>
      </c>
      <c r="Y807" s="127">
        <f>ROUND(P807-SUM(R807:W807),2)</f>
        <v>13417.12</v>
      </c>
      <c r="Z807" s="128">
        <f t="shared" si="402"/>
        <v>13417</v>
      </c>
      <c r="AA807" s="129">
        <f t="shared" si="47"/>
        <v>-0.12000000000080036</v>
      </c>
      <c r="AB807" s="120"/>
      <c r="AC807" s="130">
        <f t="shared" si="12"/>
        <v>1.0330000000000001E-3</v>
      </c>
      <c r="AD807" s="131">
        <f t="shared" si="13"/>
        <v>0</v>
      </c>
      <c r="AE807" s="132" t="s">
        <v>403</v>
      </c>
      <c r="AF807" s="119"/>
    </row>
    <row r="808" spans="1:32" ht="12" customHeight="1">
      <c r="A808" s="157">
        <v>44950</v>
      </c>
      <c r="B808" s="149" t="s">
        <v>575</v>
      </c>
      <c r="C808" s="149"/>
      <c r="D808" s="149"/>
      <c r="E808" s="149"/>
      <c r="F808" s="149"/>
      <c r="G808" s="149"/>
      <c r="H808" s="135" t="s">
        <v>453</v>
      </c>
      <c r="I808" s="134" t="s">
        <v>469</v>
      </c>
      <c r="J808" s="135" t="s">
        <v>448</v>
      </c>
      <c r="K808" s="136">
        <v>20</v>
      </c>
      <c r="L808" s="137">
        <v>885</v>
      </c>
      <c r="M808" s="138">
        <f t="shared" si="572"/>
        <v>0</v>
      </c>
      <c r="N808" s="138">
        <f t="shared" ref="N808:N809" si="643">L808+M808</f>
        <v>885</v>
      </c>
      <c r="O808" s="138"/>
      <c r="P808" s="138">
        <f t="shared" si="2"/>
        <v>17700</v>
      </c>
      <c r="Q808" s="139">
        <f t="shared" si="3"/>
        <v>1.0479999999999998</v>
      </c>
      <c r="R808" s="139">
        <f t="shared" si="74"/>
        <v>0</v>
      </c>
      <c r="S808" s="139">
        <f t="shared" si="573"/>
        <v>0.09</v>
      </c>
      <c r="T808" s="139">
        <f t="shared" si="545"/>
        <v>17.7</v>
      </c>
      <c r="U808" s="139">
        <f t="shared" ref="U808:U809" si="644">ROUND(P808*K$1812,2)</f>
        <v>2.66</v>
      </c>
      <c r="V808" s="139">
        <f t="shared" si="581"/>
        <v>0.49</v>
      </c>
      <c r="W808" s="139">
        <f t="shared" si="217"/>
        <v>0.02</v>
      </c>
      <c r="X808" s="140">
        <f t="shared" si="9"/>
        <v>20.959999999999997</v>
      </c>
      <c r="Y808" s="141">
        <f t="shared" ref="Y808:Y809" si="645">-ROUND(P808+SUM(R808:W808),2)</f>
        <v>-17720.96</v>
      </c>
      <c r="Z808" s="142">
        <f t="shared" si="402"/>
        <v>-17721</v>
      </c>
      <c r="AA808" s="143">
        <f t="shared" si="47"/>
        <v>-4.0000000000873115E-2</v>
      </c>
      <c r="AB808" s="133"/>
      <c r="AC808" s="144">
        <f t="shared" si="12"/>
        <v>1.1839999999999999E-3</v>
      </c>
      <c r="AD808" s="145">
        <f t="shared" si="13"/>
        <v>0</v>
      </c>
      <c r="AE808" s="146" t="s">
        <v>403</v>
      </c>
      <c r="AF808" s="119"/>
    </row>
    <row r="809" spans="1:32" ht="12" customHeight="1">
      <c r="A809" s="157">
        <v>44950</v>
      </c>
      <c r="B809" s="149" t="s">
        <v>589</v>
      </c>
      <c r="C809" s="149"/>
      <c r="D809" s="149"/>
      <c r="E809" s="149"/>
      <c r="F809" s="149"/>
      <c r="G809" s="149"/>
      <c r="H809" s="135" t="s">
        <v>453</v>
      </c>
      <c r="I809" s="134" t="s">
        <v>469</v>
      </c>
      <c r="J809" s="135" t="s">
        <v>471</v>
      </c>
      <c r="K809" s="136">
        <v>30</v>
      </c>
      <c r="L809" s="137">
        <v>1555</v>
      </c>
      <c r="M809" s="138">
        <f t="shared" si="572"/>
        <v>0</v>
      </c>
      <c r="N809" s="138">
        <f t="shared" si="643"/>
        <v>1555</v>
      </c>
      <c r="O809" s="138"/>
      <c r="P809" s="138">
        <f t="shared" si="2"/>
        <v>46650</v>
      </c>
      <c r="Q809" s="139">
        <f t="shared" si="3"/>
        <v>1.8403333333333332</v>
      </c>
      <c r="R809" s="139">
        <f t="shared" si="74"/>
        <v>0</v>
      </c>
      <c r="S809" s="139">
        <f t="shared" si="573"/>
        <v>0.23</v>
      </c>
      <c r="T809" s="139">
        <f t="shared" si="545"/>
        <v>46.65</v>
      </c>
      <c r="U809" s="139">
        <f t="shared" si="644"/>
        <v>7</v>
      </c>
      <c r="V809" s="139">
        <f t="shared" si="581"/>
        <v>1.28</v>
      </c>
      <c r="W809" s="139">
        <f t="shared" si="217"/>
        <v>0.05</v>
      </c>
      <c r="X809" s="140">
        <f t="shared" si="9"/>
        <v>55.209999999999994</v>
      </c>
      <c r="Y809" s="141">
        <f t="shared" si="645"/>
        <v>-46705.21</v>
      </c>
      <c r="Z809" s="142">
        <f t="shared" si="402"/>
        <v>-46705</v>
      </c>
      <c r="AA809" s="143">
        <f t="shared" si="47"/>
        <v>0.20999999999912689</v>
      </c>
      <c r="AB809" s="133"/>
      <c r="AC809" s="144">
        <f t="shared" si="12"/>
        <v>1.183E-3</v>
      </c>
      <c r="AD809" s="145">
        <f t="shared" si="13"/>
        <v>0</v>
      </c>
      <c r="AE809" s="146" t="s">
        <v>403</v>
      </c>
      <c r="AF809" s="119"/>
    </row>
    <row r="810" spans="1:32" ht="12" customHeight="1">
      <c r="A810" s="150">
        <v>44950</v>
      </c>
      <c r="B810" s="151" t="s">
        <v>576</v>
      </c>
      <c r="C810" s="151"/>
      <c r="D810" s="151"/>
      <c r="E810" s="151"/>
      <c r="F810" s="151"/>
      <c r="G810" s="151"/>
      <c r="H810" s="122" t="s">
        <v>446</v>
      </c>
      <c r="I810" s="121" t="s">
        <v>469</v>
      </c>
      <c r="J810" s="122" t="s">
        <v>471</v>
      </c>
      <c r="K810" s="123">
        <v>50</v>
      </c>
      <c r="L810" s="124">
        <v>340</v>
      </c>
      <c r="M810" s="125">
        <f t="shared" si="572"/>
        <v>0</v>
      </c>
      <c r="N810" s="125">
        <f>L810-M810</f>
        <v>340</v>
      </c>
      <c r="O810" s="125"/>
      <c r="P810" s="125">
        <f t="shared" si="2"/>
        <v>17000</v>
      </c>
      <c r="Q810" s="126">
        <f t="shared" si="3"/>
        <v>0.35139999999999993</v>
      </c>
      <c r="R810" s="126">
        <f t="shared" si="74"/>
        <v>0</v>
      </c>
      <c r="S810" s="126">
        <f t="shared" si="573"/>
        <v>0.08</v>
      </c>
      <c r="T810" s="126">
        <f t="shared" si="545"/>
        <v>17</v>
      </c>
      <c r="U810" s="126">
        <v>0</v>
      </c>
      <c r="V810" s="126">
        <f t="shared" si="581"/>
        <v>0.47</v>
      </c>
      <c r="W810" s="126">
        <f t="shared" si="217"/>
        <v>0.02</v>
      </c>
      <c r="X810" s="126">
        <f t="shared" si="9"/>
        <v>17.569999999999997</v>
      </c>
      <c r="Y810" s="127">
        <f>ROUND(P810-SUM(R810:W810),2)</f>
        <v>16982.43</v>
      </c>
      <c r="Z810" s="128">
        <f t="shared" si="402"/>
        <v>16982</v>
      </c>
      <c r="AA810" s="129">
        <f t="shared" si="47"/>
        <v>-0.43000000000029104</v>
      </c>
      <c r="AB810" s="120"/>
      <c r="AC810" s="130">
        <f t="shared" si="12"/>
        <v>1.034E-3</v>
      </c>
      <c r="AD810" s="131">
        <f t="shared" si="13"/>
        <v>0</v>
      </c>
      <c r="AE810" s="132" t="s">
        <v>403</v>
      </c>
      <c r="AF810" s="119"/>
    </row>
    <row r="811" spans="1:32" ht="12" customHeight="1">
      <c r="A811" s="157">
        <v>44951</v>
      </c>
      <c r="B811" s="149" t="s">
        <v>575</v>
      </c>
      <c r="C811" s="149"/>
      <c r="D811" s="149"/>
      <c r="E811" s="149"/>
      <c r="F811" s="149"/>
      <c r="G811" s="149"/>
      <c r="H811" s="135" t="s">
        <v>453</v>
      </c>
      <c r="I811" s="134" t="s">
        <v>469</v>
      </c>
      <c r="J811" s="135" t="s">
        <v>448</v>
      </c>
      <c r="K811" s="136">
        <v>5</v>
      </c>
      <c r="L811" s="137">
        <v>874.2</v>
      </c>
      <c r="M811" s="138">
        <f t="shared" si="572"/>
        <v>0</v>
      </c>
      <c r="N811" s="138">
        <f t="shared" ref="N811:N815" si="646">L811+M811</f>
        <v>874.2</v>
      </c>
      <c r="O811" s="138"/>
      <c r="P811" s="138">
        <f t="shared" si="2"/>
        <v>4371</v>
      </c>
      <c r="Q811" s="139">
        <f t="shared" si="3"/>
        <v>1.034</v>
      </c>
      <c r="R811" s="139">
        <f t="shared" si="74"/>
        <v>0</v>
      </c>
      <c r="S811" s="139">
        <f t="shared" si="573"/>
        <v>0.02</v>
      </c>
      <c r="T811" s="139">
        <f t="shared" si="545"/>
        <v>4.37</v>
      </c>
      <c r="U811" s="139">
        <f t="shared" ref="U811:U815" si="647">ROUND(P811*K$1812,2)</f>
        <v>0.66</v>
      </c>
      <c r="V811" s="139">
        <f t="shared" si="581"/>
        <v>0.12</v>
      </c>
      <c r="W811" s="139">
        <f t="shared" si="217"/>
        <v>0</v>
      </c>
      <c r="X811" s="140">
        <f t="shared" si="9"/>
        <v>5.17</v>
      </c>
      <c r="Y811" s="141">
        <f t="shared" ref="Y811:Y815" si="648">-ROUND(P811+SUM(R811:W811),2)</f>
        <v>-4376.17</v>
      </c>
      <c r="Z811" s="142">
        <f t="shared" si="402"/>
        <v>-4376</v>
      </c>
      <c r="AA811" s="143">
        <f t="shared" si="47"/>
        <v>0.17000000000007276</v>
      </c>
      <c r="AB811" s="133"/>
      <c r="AC811" s="144">
        <f t="shared" si="12"/>
        <v>1.183E-3</v>
      </c>
      <c r="AD811" s="145">
        <f t="shared" si="13"/>
        <v>0</v>
      </c>
      <c r="AE811" s="146" t="s">
        <v>403</v>
      </c>
      <c r="AF811" s="119"/>
    </row>
    <row r="812" spans="1:32" ht="12" customHeight="1">
      <c r="A812" s="157">
        <v>44953</v>
      </c>
      <c r="B812" s="149" t="s">
        <v>636</v>
      </c>
      <c r="C812" s="149"/>
      <c r="D812" s="149"/>
      <c r="E812" s="149"/>
      <c r="F812" s="149"/>
      <c r="G812" s="149"/>
      <c r="H812" s="135" t="s">
        <v>453</v>
      </c>
      <c r="I812" s="134" t="s">
        <v>469</v>
      </c>
      <c r="J812" s="135" t="s">
        <v>471</v>
      </c>
      <c r="K812" s="136">
        <v>50</v>
      </c>
      <c r="L812" s="137">
        <v>54.75</v>
      </c>
      <c r="M812" s="138">
        <f t="shared" si="572"/>
        <v>0</v>
      </c>
      <c r="N812" s="138">
        <f t="shared" si="646"/>
        <v>54.75</v>
      </c>
      <c r="O812" s="138"/>
      <c r="P812" s="138">
        <f t="shared" si="2"/>
        <v>2737.5</v>
      </c>
      <c r="Q812" s="139">
        <f t="shared" si="3"/>
        <v>6.480000000000001E-2</v>
      </c>
      <c r="R812" s="139">
        <f t="shared" si="74"/>
        <v>0</v>
      </c>
      <c r="S812" s="139">
        <f t="shared" si="573"/>
        <v>0.01</v>
      </c>
      <c r="T812" s="139">
        <f t="shared" si="545"/>
        <v>2.74</v>
      </c>
      <c r="U812" s="139">
        <f t="shared" si="647"/>
        <v>0.41</v>
      </c>
      <c r="V812" s="139">
        <f t="shared" si="581"/>
        <v>0.08</v>
      </c>
      <c r="W812" s="139">
        <f t="shared" si="217"/>
        <v>0</v>
      </c>
      <c r="X812" s="140">
        <f t="shared" si="9"/>
        <v>3.24</v>
      </c>
      <c r="Y812" s="141">
        <f t="shared" si="648"/>
        <v>-2740.74</v>
      </c>
      <c r="Z812" s="142">
        <f t="shared" si="402"/>
        <v>-2741</v>
      </c>
      <c r="AA812" s="143">
        <f t="shared" si="47"/>
        <v>-0.26000000000021828</v>
      </c>
      <c r="AB812" s="133"/>
      <c r="AC812" s="144">
        <f t="shared" si="12"/>
        <v>1.1839999999999999E-3</v>
      </c>
      <c r="AD812" s="145">
        <f t="shared" si="13"/>
        <v>0</v>
      </c>
      <c r="AE812" s="146" t="s">
        <v>403</v>
      </c>
      <c r="AF812" s="119"/>
    </row>
    <row r="813" spans="1:32" ht="12" customHeight="1">
      <c r="A813" s="157">
        <v>44953</v>
      </c>
      <c r="B813" s="149" t="s">
        <v>539</v>
      </c>
      <c r="C813" s="149"/>
      <c r="D813" s="149"/>
      <c r="E813" s="149"/>
      <c r="F813" s="149"/>
      <c r="G813" s="149"/>
      <c r="H813" s="135" t="s">
        <v>453</v>
      </c>
      <c r="I813" s="134" t="s">
        <v>469</v>
      </c>
      <c r="J813" s="135" t="s">
        <v>471</v>
      </c>
      <c r="K813" s="136">
        <v>50</v>
      </c>
      <c r="L813" s="137">
        <v>121</v>
      </c>
      <c r="M813" s="138">
        <f t="shared" si="572"/>
        <v>0</v>
      </c>
      <c r="N813" s="138">
        <f t="shared" si="646"/>
        <v>121</v>
      </c>
      <c r="O813" s="138"/>
      <c r="P813" s="138">
        <f t="shared" si="2"/>
        <v>6050</v>
      </c>
      <c r="Q813" s="139">
        <f t="shared" si="3"/>
        <v>0.1434</v>
      </c>
      <c r="R813" s="139">
        <f t="shared" si="74"/>
        <v>0</v>
      </c>
      <c r="S813" s="139">
        <f t="shared" si="573"/>
        <v>0.03</v>
      </c>
      <c r="T813" s="139">
        <f t="shared" si="545"/>
        <v>6.05</v>
      </c>
      <c r="U813" s="139">
        <f t="shared" si="647"/>
        <v>0.91</v>
      </c>
      <c r="V813" s="139">
        <f t="shared" si="581"/>
        <v>0.17</v>
      </c>
      <c r="W813" s="139">
        <f t="shared" si="217"/>
        <v>0.01</v>
      </c>
      <c r="X813" s="140">
        <f t="shared" si="9"/>
        <v>7.17</v>
      </c>
      <c r="Y813" s="141">
        <f t="shared" si="648"/>
        <v>-6057.17</v>
      </c>
      <c r="Z813" s="142">
        <f t="shared" si="402"/>
        <v>-6057</v>
      </c>
      <c r="AA813" s="143">
        <f t="shared" si="47"/>
        <v>0.17000000000007276</v>
      </c>
      <c r="AB813" s="133"/>
      <c r="AC813" s="144">
        <f t="shared" si="12"/>
        <v>1.1850000000000001E-3</v>
      </c>
      <c r="AD813" s="145">
        <f t="shared" si="13"/>
        <v>0</v>
      </c>
      <c r="AE813" s="146" t="s">
        <v>403</v>
      </c>
      <c r="AF813" s="119"/>
    </row>
    <row r="814" spans="1:32" ht="12" customHeight="1">
      <c r="A814" s="157">
        <v>44953</v>
      </c>
      <c r="B814" s="149" t="s">
        <v>637</v>
      </c>
      <c r="C814" s="149"/>
      <c r="D814" s="149"/>
      <c r="E814" s="149"/>
      <c r="F814" s="149"/>
      <c r="G814" s="149"/>
      <c r="H814" s="135" t="s">
        <v>453</v>
      </c>
      <c r="I814" s="134" t="s">
        <v>469</v>
      </c>
      <c r="J814" s="135" t="s">
        <v>471</v>
      </c>
      <c r="K814" s="136">
        <v>75</v>
      </c>
      <c r="L814" s="137">
        <v>16.7</v>
      </c>
      <c r="M814" s="138">
        <f t="shared" si="572"/>
        <v>0</v>
      </c>
      <c r="N814" s="138">
        <f t="shared" si="646"/>
        <v>16.7</v>
      </c>
      <c r="O814" s="138"/>
      <c r="P814" s="138">
        <f t="shared" si="2"/>
        <v>1252.5</v>
      </c>
      <c r="Q814" s="139">
        <f t="shared" si="3"/>
        <v>1.9733333333333332E-2</v>
      </c>
      <c r="R814" s="139">
        <f t="shared" si="74"/>
        <v>0</v>
      </c>
      <c r="S814" s="139">
        <f t="shared" si="573"/>
        <v>0.01</v>
      </c>
      <c r="T814" s="139">
        <f t="shared" si="545"/>
        <v>1.25</v>
      </c>
      <c r="U814" s="139">
        <f t="shared" si="647"/>
        <v>0.19</v>
      </c>
      <c r="V814" s="139">
        <f t="shared" si="581"/>
        <v>0.03</v>
      </c>
      <c r="W814" s="139">
        <f t="shared" si="217"/>
        <v>0</v>
      </c>
      <c r="X814" s="140">
        <f t="shared" si="9"/>
        <v>1.48</v>
      </c>
      <c r="Y814" s="141">
        <f t="shared" si="648"/>
        <v>-1253.98</v>
      </c>
      <c r="Z814" s="142">
        <f t="shared" si="402"/>
        <v>-1254</v>
      </c>
      <c r="AA814" s="143">
        <f t="shared" si="47"/>
        <v>-1.999999999998181E-2</v>
      </c>
      <c r="AB814" s="133"/>
      <c r="AC814" s="144">
        <f t="shared" si="12"/>
        <v>1.1820000000000001E-3</v>
      </c>
      <c r="AD814" s="145">
        <f t="shared" si="13"/>
        <v>0</v>
      </c>
      <c r="AE814" s="146" t="s">
        <v>403</v>
      </c>
      <c r="AF814" s="119"/>
    </row>
    <row r="815" spans="1:32" ht="12" customHeight="1">
      <c r="A815" s="157">
        <v>44956</v>
      </c>
      <c r="B815" s="149" t="s">
        <v>481</v>
      </c>
      <c r="C815" s="149"/>
      <c r="D815" s="149"/>
      <c r="E815" s="149"/>
      <c r="F815" s="149"/>
      <c r="G815" s="149"/>
      <c r="H815" s="135" t="s">
        <v>453</v>
      </c>
      <c r="I815" s="134" t="s">
        <v>469</v>
      </c>
      <c r="J815" s="135" t="s">
        <v>471</v>
      </c>
      <c r="K815" s="136">
        <v>50</v>
      </c>
      <c r="L815" s="137">
        <v>86.25</v>
      </c>
      <c r="M815" s="138">
        <f t="shared" si="572"/>
        <v>0</v>
      </c>
      <c r="N815" s="138">
        <f t="shared" si="646"/>
        <v>86.25</v>
      </c>
      <c r="O815" s="138"/>
      <c r="P815" s="138">
        <f t="shared" si="2"/>
        <v>4312.5</v>
      </c>
      <c r="Q815" s="139">
        <f t="shared" si="3"/>
        <v>0.10199999999999999</v>
      </c>
      <c r="R815" s="139">
        <f t="shared" si="74"/>
        <v>0</v>
      </c>
      <c r="S815" s="139">
        <f t="shared" si="573"/>
        <v>0.02</v>
      </c>
      <c r="T815" s="139">
        <f t="shared" si="545"/>
        <v>4.3099999999999996</v>
      </c>
      <c r="U815" s="139">
        <f t="shared" si="647"/>
        <v>0.65</v>
      </c>
      <c r="V815" s="139">
        <f t="shared" si="581"/>
        <v>0.12</v>
      </c>
      <c r="W815" s="139">
        <f t="shared" si="217"/>
        <v>0</v>
      </c>
      <c r="X815" s="140">
        <f t="shared" si="9"/>
        <v>5.0999999999999996</v>
      </c>
      <c r="Y815" s="141">
        <f t="shared" si="648"/>
        <v>-4317.6000000000004</v>
      </c>
      <c r="Z815" s="142">
        <f t="shared" si="402"/>
        <v>-4318</v>
      </c>
      <c r="AA815" s="143">
        <f t="shared" si="47"/>
        <v>-0.3999999999996362</v>
      </c>
      <c r="AB815" s="133"/>
      <c r="AC815" s="144">
        <f t="shared" si="12"/>
        <v>1.183E-3</v>
      </c>
      <c r="AD815" s="145">
        <f t="shared" si="13"/>
        <v>0</v>
      </c>
      <c r="AE815" s="146" t="s">
        <v>403</v>
      </c>
      <c r="AF815" s="119"/>
    </row>
    <row r="816" spans="1:32" ht="12" customHeight="1">
      <c r="A816" s="150">
        <v>44958</v>
      </c>
      <c r="B816" s="151" t="s">
        <v>575</v>
      </c>
      <c r="C816" s="151"/>
      <c r="D816" s="151"/>
      <c r="E816" s="151"/>
      <c r="F816" s="151"/>
      <c r="G816" s="151"/>
      <c r="H816" s="122" t="s">
        <v>446</v>
      </c>
      <c r="I816" s="121" t="s">
        <v>469</v>
      </c>
      <c r="J816" s="122" t="s">
        <v>448</v>
      </c>
      <c r="K816" s="123">
        <v>45</v>
      </c>
      <c r="L816" s="124">
        <v>902.22220000000004</v>
      </c>
      <c r="M816" s="125">
        <f t="shared" si="572"/>
        <v>0</v>
      </c>
      <c r="N816" s="125">
        <f>L816-M816</f>
        <v>902.22220000000004</v>
      </c>
      <c r="O816" s="125"/>
      <c r="P816" s="125">
        <f t="shared" si="2"/>
        <v>40600</v>
      </c>
      <c r="Q816" s="126">
        <f t="shared" si="3"/>
        <v>0.93244444444444441</v>
      </c>
      <c r="R816" s="126">
        <f t="shared" si="74"/>
        <v>0</v>
      </c>
      <c r="S816" s="126">
        <f t="shared" si="573"/>
        <v>0.2</v>
      </c>
      <c r="T816" s="126">
        <f t="shared" si="545"/>
        <v>40.6</v>
      </c>
      <c r="U816" s="126">
        <v>0</v>
      </c>
      <c r="V816" s="126">
        <f t="shared" si="581"/>
        <v>1.1200000000000001</v>
      </c>
      <c r="W816" s="126">
        <f t="shared" si="217"/>
        <v>0.04</v>
      </c>
      <c r="X816" s="126">
        <f t="shared" si="9"/>
        <v>41.96</v>
      </c>
      <c r="Y816" s="127">
        <f>ROUND(P816-SUM(R816:W816),2)</f>
        <v>40558.04</v>
      </c>
      <c r="Z816" s="128">
        <f t="shared" si="402"/>
        <v>40558</v>
      </c>
      <c r="AA816" s="129">
        <f t="shared" si="47"/>
        <v>-4.0000000000873115E-2</v>
      </c>
      <c r="AB816" s="120"/>
      <c r="AC816" s="130">
        <f t="shared" si="12"/>
        <v>1.0330000000000001E-3</v>
      </c>
      <c r="AD816" s="131">
        <f t="shared" si="13"/>
        <v>0</v>
      </c>
      <c r="AE816" s="132" t="s">
        <v>403</v>
      </c>
      <c r="AF816" s="119"/>
    </row>
    <row r="817" spans="1:32" ht="12" customHeight="1">
      <c r="A817" s="157">
        <v>44959</v>
      </c>
      <c r="B817" s="149" t="s">
        <v>575</v>
      </c>
      <c r="C817" s="149"/>
      <c r="D817" s="149"/>
      <c r="E817" s="149"/>
      <c r="F817" s="149"/>
      <c r="G817" s="149"/>
      <c r="H817" s="135" t="s">
        <v>453</v>
      </c>
      <c r="I817" s="134" t="s">
        <v>469</v>
      </c>
      <c r="J817" s="135" t="s">
        <v>448</v>
      </c>
      <c r="K817" s="136">
        <v>45</v>
      </c>
      <c r="L817" s="137">
        <v>880</v>
      </c>
      <c r="M817" s="138">
        <f t="shared" si="572"/>
        <v>0</v>
      </c>
      <c r="N817" s="138">
        <f t="shared" ref="N817:N818" si="649">L817+M817</f>
        <v>880</v>
      </c>
      <c r="O817" s="138"/>
      <c r="P817" s="138">
        <f t="shared" si="2"/>
        <v>39600</v>
      </c>
      <c r="Q817" s="139">
        <f t="shared" si="3"/>
        <v>1.0415555555555556</v>
      </c>
      <c r="R817" s="139">
        <f t="shared" si="74"/>
        <v>0</v>
      </c>
      <c r="S817" s="139">
        <f t="shared" si="573"/>
        <v>0.2</v>
      </c>
      <c r="T817" s="139">
        <f t="shared" si="545"/>
        <v>39.6</v>
      </c>
      <c r="U817" s="139">
        <f t="shared" ref="U817:U818" si="650">ROUND(P817*K$1812,2)</f>
        <v>5.94</v>
      </c>
      <c r="V817" s="139">
        <f t="shared" si="581"/>
        <v>1.0900000000000001</v>
      </c>
      <c r="W817" s="139">
        <f t="shared" si="217"/>
        <v>0.04</v>
      </c>
      <c r="X817" s="140">
        <f t="shared" si="9"/>
        <v>46.870000000000005</v>
      </c>
      <c r="Y817" s="141">
        <f t="shared" ref="Y817:Y818" si="651">-ROUND(P817+SUM(R817:W817),2)</f>
        <v>-39646.870000000003</v>
      </c>
      <c r="Z817" s="142">
        <f t="shared" si="402"/>
        <v>-39647</v>
      </c>
      <c r="AA817" s="143">
        <f t="shared" si="47"/>
        <v>-0.12999999999738066</v>
      </c>
      <c r="AB817" s="133"/>
      <c r="AC817" s="144">
        <f t="shared" si="12"/>
        <v>1.1839999999999999E-3</v>
      </c>
      <c r="AD817" s="145">
        <f t="shared" si="13"/>
        <v>0</v>
      </c>
      <c r="AE817" s="146" t="s">
        <v>403</v>
      </c>
      <c r="AF817" s="119"/>
    </row>
    <row r="818" spans="1:32" ht="12" customHeight="1">
      <c r="A818" s="157">
        <v>44963</v>
      </c>
      <c r="B818" s="149" t="s">
        <v>621</v>
      </c>
      <c r="C818" s="149"/>
      <c r="D818" s="149"/>
      <c r="E818" s="149"/>
      <c r="F818" s="149"/>
      <c r="G818" s="149"/>
      <c r="H818" s="135" t="s">
        <v>453</v>
      </c>
      <c r="I818" s="134" t="s">
        <v>469</v>
      </c>
      <c r="J818" s="135" t="s">
        <v>471</v>
      </c>
      <c r="K818" s="136">
        <v>10</v>
      </c>
      <c r="L818" s="137">
        <v>182.45</v>
      </c>
      <c r="M818" s="138">
        <f t="shared" si="572"/>
        <v>0</v>
      </c>
      <c r="N818" s="138">
        <f t="shared" si="649"/>
        <v>182.45</v>
      </c>
      <c r="O818" s="138"/>
      <c r="P818" s="138">
        <f t="shared" si="2"/>
        <v>1824.5</v>
      </c>
      <c r="Q818" s="139">
        <f t="shared" si="3"/>
        <v>0.215</v>
      </c>
      <c r="R818" s="139">
        <f t="shared" si="74"/>
        <v>0</v>
      </c>
      <c r="S818" s="139">
        <f t="shared" si="573"/>
        <v>0.01</v>
      </c>
      <c r="T818" s="139">
        <f t="shared" si="545"/>
        <v>1.82</v>
      </c>
      <c r="U818" s="139">
        <f t="shared" si="650"/>
        <v>0.27</v>
      </c>
      <c r="V818" s="139">
        <f t="shared" si="581"/>
        <v>0.05</v>
      </c>
      <c r="W818" s="139">
        <f t="shared" si="217"/>
        <v>0</v>
      </c>
      <c r="X818" s="140">
        <f t="shared" si="9"/>
        <v>2.15</v>
      </c>
      <c r="Y818" s="141">
        <f t="shared" si="651"/>
        <v>-1826.65</v>
      </c>
      <c r="Z818" s="142">
        <f t="shared" si="402"/>
        <v>-1827</v>
      </c>
      <c r="AA818" s="143">
        <f t="shared" si="47"/>
        <v>-0.34999999999990905</v>
      </c>
      <c r="AB818" s="133"/>
      <c r="AC818" s="144">
        <f t="shared" si="12"/>
        <v>1.178E-3</v>
      </c>
      <c r="AD818" s="145">
        <f t="shared" si="13"/>
        <v>0</v>
      </c>
      <c r="AE818" s="146" t="s">
        <v>403</v>
      </c>
      <c r="AF818" s="119"/>
    </row>
    <row r="819" spans="1:32" ht="12" customHeight="1">
      <c r="A819" s="150">
        <v>44971</v>
      </c>
      <c r="B819" s="151" t="s">
        <v>575</v>
      </c>
      <c r="C819" s="151"/>
      <c r="D819" s="151"/>
      <c r="E819" s="151"/>
      <c r="F819" s="151"/>
      <c r="G819" s="151"/>
      <c r="H819" s="122" t="s">
        <v>446</v>
      </c>
      <c r="I819" s="121" t="s">
        <v>469</v>
      </c>
      <c r="J819" s="122" t="s">
        <v>448</v>
      </c>
      <c r="K819" s="123">
        <v>1</v>
      </c>
      <c r="L819" s="124">
        <v>856.9</v>
      </c>
      <c r="M819" s="125">
        <f t="shared" si="572"/>
        <v>0</v>
      </c>
      <c r="N819" s="125">
        <f t="shared" ref="N819:N821" si="652">L819-M819</f>
        <v>856.9</v>
      </c>
      <c r="O819" s="125"/>
      <c r="P819" s="125">
        <f t="shared" si="2"/>
        <v>856.9</v>
      </c>
      <c r="Q819" s="126">
        <f t="shared" si="3"/>
        <v>0.88</v>
      </c>
      <c r="R819" s="126">
        <f t="shared" si="74"/>
        <v>0</v>
      </c>
      <c r="S819" s="126">
        <f t="shared" si="573"/>
        <v>0</v>
      </c>
      <c r="T819" s="126">
        <f t="shared" si="545"/>
        <v>0.86</v>
      </c>
      <c r="U819" s="126">
        <v>0</v>
      </c>
      <c r="V819" s="126">
        <f t="shared" si="581"/>
        <v>0.02</v>
      </c>
      <c r="W819" s="126">
        <f t="shared" si="217"/>
        <v>0</v>
      </c>
      <c r="X819" s="126">
        <f t="shared" si="9"/>
        <v>0.88</v>
      </c>
      <c r="Y819" s="127">
        <f t="shared" ref="Y819:Y821" si="653">ROUND(P819-SUM(R819:W819),2)</f>
        <v>856.02</v>
      </c>
      <c r="Z819" s="128">
        <f t="shared" si="402"/>
        <v>856</v>
      </c>
      <c r="AA819" s="129">
        <f t="shared" si="47"/>
        <v>-1.999999999998181E-2</v>
      </c>
      <c r="AB819" s="120"/>
      <c r="AC819" s="130">
        <f t="shared" si="12"/>
        <v>1.0269999999999999E-3</v>
      </c>
      <c r="AD819" s="131">
        <f t="shared" si="13"/>
        <v>0</v>
      </c>
      <c r="AE819" s="132" t="s">
        <v>403</v>
      </c>
      <c r="AF819" s="119"/>
    </row>
    <row r="820" spans="1:32" ht="12" customHeight="1">
      <c r="A820" s="150">
        <v>44972</v>
      </c>
      <c r="B820" s="151" t="s">
        <v>575</v>
      </c>
      <c r="C820" s="151"/>
      <c r="D820" s="151"/>
      <c r="E820" s="151"/>
      <c r="F820" s="151"/>
      <c r="G820" s="151"/>
      <c r="H820" s="122" t="s">
        <v>446</v>
      </c>
      <c r="I820" s="121" t="s">
        <v>469</v>
      </c>
      <c r="J820" s="122" t="s">
        <v>448</v>
      </c>
      <c r="K820" s="123">
        <v>20</v>
      </c>
      <c r="L820" s="124">
        <v>859.75</v>
      </c>
      <c r="M820" s="125">
        <f t="shared" si="572"/>
        <v>0</v>
      </c>
      <c r="N820" s="125">
        <f t="shared" si="652"/>
        <v>859.75</v>
      </c>
      <c r="O820" s="125"/>
      <c r="P820" s="125">
        <f t="shared" si="2"/>
        <v>17195</v>
      </c>
      <c r="Q820" s="126">
        <f t="shared" si="3"/>
        <v>0.88849999999999985</v>
      </c>
      <c r="R820" s="126">
        <f t="shared" si="74"/>
        <v>0</v>
      </c>
      <c r="S820" s="126">
        <f t="shared" si="573"/>
        <v>0.08</v>
      </c>
      <c r="T820" s="126">
        <f t="shared" si="545"/>
        <v>17.2</v>
      </c>
      <c r="U820" s="126">
        <v>0</v>
      </c>
      <c r="V820" s="126">
        <f t="shared" si="581"/>
        <v>0.47</v>
      </c>
      <c r="W820" s="126">
        <f t="shared" si="217"/>
        <v>0.02</v>
      </c>
      <c r="X820" s="126">
        <f t="shared" si="9"/>
        <v>17.769999999999996</v>
      </c>
      <c r="Y820" s="127">
        <f t="shared" si="653"/>
        <v>17177.23</v>
      </c>
      <c r="Z820" s="128">
        <f t="shared" si="402"/>
        <v>17177</v>
      </c>
      <c r="AA820" s="129">
        <f t="shared" si="47"/>
        <v>-0.22999999999956344</v>
      </c>
      <c r="AB820" s="120"/>
      <c r="AC820" s="130">
        <f t="shared" si="12"/>
        <v>1.0330000000000001E-3</v>
      </c>
      <c r="AD820" s="131">
        <f t="shared" si="13"/>
        <v>0</v>
      </c>
      <c r="AE820" s="132" t="s">
        <v>403</v>
      </c>
      <c r="AF820" s="119"/>
    </row>
    <row r="821" spans="1:32" ht="12" customHeight="1">
      <c r="A821" s="150">
        <v>44973</v>
      </c>
      <c r="B821" s="151" t="s">
        <v>575</v>
      </c>
      <c r="C821" s="151"/>
      <c r="D821" s="151"/>
      <c r="E821" s="151"/>
      <c r="F821" s="151"/>
      <c r="G821" s="151"/>
      <c r="H821" s="122" t="s">
        <v>446</v>
      </c>
      <c r="I821" s="121" t="s">
        <v>469</v>
      </c>
      <c r="J821" s="122" t="s">
        <v>448</v>
      </c>
      <c r="K821" s="123">
        <v>10</v>
      </c>
      <c r="L821" s="124">
        <v>880.08</v>
      </c>
      <c r="M821" s="125">
        <f t="shared" si="572"/>
        <v>0</v>
      </c>
      <c r="N821" s="125">
        <f t="shared" si="652"/>
        <v>880.08</v>
      </c>
      <c r="O821" s="125"/>
      <c r="P821" s="125">
        <f t="shared" si="2"/>
        <v>8800.7999999999993</v>
      </c>
      <c r="Q821" s="126">
        <f t="shared" si="3"/>
        <v>0.90900000000000003</v>
      </c>
      <c r="R821" s="126">
        <f t="shared" si="74"/>
        <v>0</v>
      </c>
      <c r="S821" s="126">
        <f t="shared" si="573"/>
        <v>0.04</v>
      </c>
      <c r="T821" s="126">
        <f t="shared" si="545"/>
        <v>8.8000000000000007</v>
      </c>
      <c r="U821" s="126">
        <v>0</v>
      </c>
      <c r="V821" s="126">
        <f t="shared" si="581"/>
        <v>0.24</v>
      </c>
      <c r="W821" s="126">
        <f t="shared" si="217"/>
        <v>0.01</v>
      </c>
      <c r="X821" s="126">
        <f t="shared" si="9"/>
        <v>9.09</v>
      </c>
      <c r="Y821" s="127">
        <f t="shared" si="653"/>
        <v>8791.7099999999991</v>
      </c>
      <c r="Z821" s="128">
        <f t="shared" si="402"/>
        <v>8792</v>
      </c>
      <c r="AA821" s="129">
        <f t="shared" si="47"/>
        <v>0.29000000000087311</v>
      </c>
      <c r="AB821" s="120"/>
      <c r="AC821" s="130">
        <f t="shared" si="12"/>
        <v>1.0330000000000001E-3</v>
      </c>
      <c r="AD821" s="131">
        <f t="shared" si="13"/>
        <v>0</v>
      </c>
      <c r="AE821" s="132" t="s">
        <v>403</v>
      </c>
      <c r="AF821" s="119"/>
    </row>
    <row r="822" spans="1:32" ht="12" customHeight="1">
      <c r="A822" s="157">
        <v>44979</v>
      </c>
      <c r="B822" s="149" t="s">
        <v>575</v>
      </c>
      <c r="C822" s="149"/>
      <c r="D822" s="149"/>
      <c r="E822" s="149"/>
      <c r="F822" s="149"/>
      <c r="G822" s="149"/>
      <c r="H822" s="135" t="s">
        <v>453</v>
      </c>
      <c r="I822" s="134" t="s">
        <v>469</v>
      </c>
      <c r="J822" s="135" t="s">
        <v>448</v>
      </c>
      <c r="K822" s="136">
        <v>31</v>
      </c>
      <c r="L822" s="137">
        <v>853.67740000000003</v>
      </c>
      <c r="M822" s="138">
        <f t="shared" si="572"/>
        <v>0</v>
      </c>
      <c r="N822" s="138">
        <f>L822+M822</f>
        <v>853.67740000000003</v>
      </c>
      <c r="O822" s="138"/>
      <c r="P822" s="138">
        <f t="shared" si="2"/>
        <v>26464</v>
      </c>
      <c r="Q822" s="139">
        <f t="shared" si="3"/>
        <v>1.0103225806451612</v>
      </c>
      <c r="R822" s="139">
        <f t="shared" si="74"/>
        <v>0</v>
      </c>
      <c r="S822" s="139">
        <f t="shared" si="573"/>
        <v>0.13</v>
      </c>
      <c r="T822" s="139">
        <f t="shared" si="545"/>
        <v>26.46</v>
      </c>
      <c r="U822" s="139">
        <f>ROUND(P822*K$1812,2)</f>
        <v>3.97</v>
      </c>
      <c r="V822" s="139">
        <f t="shared" si="581"/>
        <v>0.73</v>
      </c>
      <c r="W822" s="139">
        <f t="shared" si="217"/>
        <v>0.03</v>
      </c>
      <c r="X822" s="140">
        <f t="shared" si="9"/>
        <v>31.32</v>
      </c>
      <c r="Y822" s="141">
        <f>-ROUND(P822+SUM(R822:W822),2)</f>
        <v>-26495.32</v>
      </c>
      <c r="Z822" s="142">
        <f t="shared" si="402"/>
        <v>-26495</v>
      </c>
      <c r="AA822" s="143">
        <f t="shared" si="47"/>
        <v>0.31999999999970896</v>
      </c>
      <c r="AB822" s="133"/>
      <c r="AC822" s="144">
        <f t="shared" si="12"/>
        <v>1.183E-3</v>
      </c>
      <c r="AD822" s="145">
        <f t="shared" si="13"/>
        <v>0</v>
      </c>
      <c r="AE822" s="146" t="s">
        <v>403</v>
      </c>
      <c r="AF822" s="119"/>
    </row>
    <row r="823" spans="1:32" ht="12" customHeight="1">
      <c r="A823" s="150">
        <v>44991</v>
      </c>
      <c r="B823" s="151" t="s">
        <v>598</v>
      </c>
      <c r="C823" s="151"/>
      <c r="D823" s="151"/>
      <c r="E823" s="151"/>
      <c r="F823" s="151"/>
      <c r="G823" s="151"/>
      <c r="H823" s="122" t="s">
        <v>446</v>
      </c>
      <c r="I823" s="121" t="s">
        <v>469</v>
      </c>
      <c r="J823" s="122" t="s">
        <v>471</v>
      </c>
      <c r="K823" s="123">
        <v>43</v>
      </c>
      <c r="L823" s="124">
        <v>108.73260000000001</v>
      </c>
      <c r="M823" s="125">
        <f t="shared" si="572"/>
        <v>0</v>
      </c>
      <c r="N823" s="125">
        <f t="shared" ref="N823:N824" si="654">L823-M823</f>
        <v>108.73260000000001</v>
      </c>
      <c r="O823" s="125"/>
      <c r="P823" s="125">
        <f t="shared" si="2"/>
        <v>4675.5</v>
      </c>
      <c r="Q823" s="126">
        <f t="shared" si="3"/>
        <v>0.11232558139534882</v>
      </c>
      <c r="R823" s="126">
        <f t="shared" si="74"/>
        <v>0</v>
      </c>
      <c r="S823" s="126">
        <f t="shared" si="573"/>
        <v>0.02</v>
      </c>
      <c r="T823" s="126">
        <f t="shared" si="545"/>
        <v>4.68</v>
      </c>
      <c r="U823" s="126">
        <v>0</v>
      </c>
      <c r="V823" s="126">
        <f t="shared" si="581"/>
        <v>0.13</v>
      </c>
      <c r="W823" s="126">
        <f t="shared" si="217"/>
        <v>0</v>
      </c>
      <c r="X823" s="126">
        <f t="shared" si="9"/>
        <v>4.8299999999999992</v>
      </c>
      <c r="Y823" s="127">
        <f t="shared" ref="Y823:Y824" si="655">ROUND(P823-SUM(R823:W823),2)</f>
        <v>4670.67</v>
      </c>
      <c r="Z823" s="128">
        <f t="shared" si="402"/>
        <v>4671</v>
      </c>
      <c r="AA823" s="129">
        <f t="shared" si="47"/>
        <v>0.32999999999992724</v>
      </c>
      <c r="AB823" s="120"/>
      <c r="AC823" s="130">
        <f t="shared" si="12"/>
        <v>1.0330000000000001E-3</v>
      </c>
      <c r="AD823" s="131">
        <f t="shared" si="13"/>
        <v>0</v>
      </c>
      <c r="AE823" s="132" t="s">
        <v>403</v>
      </c>
      <c r="AF823" s="119"/>
    </row>
    <row r="824" spans="1:32" ht="12" customHeight="1">
      <c r="A824" s="150">
        <v>44993</v>
      </c>
      <c r="B824" s="151" t="s">
        <v>598</v>
      </c>
      <c r="C824" s="151"/>
      <c r="D824" s="151"/>
      <c r="E824" s="151"/>
      <c r="F824" s="151"/>
      <c r="G824" s="151"/>
      <c r="H824" s="122" t="s">
        <v>446</v>
      </c>
      <c r="I824" s="121" t="s">
        <v>469</v>
      </c>
      <c r="J824" s="122" t="s">
        <v>471</v>
      </c>
      <c r="K824" s="123">
        <v>50</v>
      </c>
      <c r="L824" s="124">
        <v>111.38</v>
      </c>
      <c r="M824" s="125">
        <f t="shared" si="572"/>
        <v>0</v>
      </c>
      <c r="N824" s="125">
        <f t="shared" si="654"/>
        <v>111.38</v>
      </c>
      <c r="O824" s="125"/>
      <c r="P824" s="125">
        <f t="shared" si="2"/>
        <v>5569</v>
      </c>
      <c r="Q824" s="126">
        <f t="shared" si="3"/>
        <v>0.11520000000000001</v>
      </c>
      <c r="R824" s="126">
        <f t="shared" si="74"/>
        <v>0</v>
      </c>
      <c r="S824" s="126">
        <f t="shared" si="573"/>
        <v>0.03</v>
      </c>
      <c r="T824" s="126">
        <f t="shared" si="545"/>
        <v>5.57</v>
      </c>
      <c r="U824" s="126">
        <v>0</v>
      </c>
      <c r="V824" s="126">
        <f t="shared" si="581"/>
        <v>0.15</v>
      </c>
      <c r="W824" s="126">
        <f t="shared" si="217"/>
        <v>0.01</v>
      </c>
      <c r="X824" s="126">
        <f t="shared" si="9"/>
        <v>5.7600000000000007</v>
      </c>
      <c r="Y824" s="127">
        <f t="shared" si="655"/>
        <v>5563.24</v>
      </c>
      <c r="Z824" s="128">
        <f t="shared" si="402"/>
        <v>5563</v>
      </c>
      <c r="AA824" s="129">
        <f t="shared" si="47"/>
        <v>-0.23999999999978172</v>
      </c>
      <c r="AB824" s="120"/>
      <c r="AC824" s="130">
        <f t="shared" si="12"/>
        <v>1.034E-3</v>
      </c>
      <c r="AD824" s="131">
        <f t="shared" si="13"/>
        <v>0</v>
      </c>
      <c r="AE824" s="132" t="s">
        <v>403</v>
      </c>
      <c r="AF824" s="119"/>
    </row>
    <row r="825" spans="1:32" ht="12" customHeight="1">
      <c r="A825" s="157">
        <v>44994</v>
      </c>
      <c r="B825" s="149" t="s">
        <v>598</v>
      </c>
      <c r="C825" s="149"/>
      <c r="D825" s="149"/>
      <c r="E825" s="149"/>
      <c r="F825" s="149"/>
      <c r="G825" s="149"/>
      <c r="H825" s="135" t="s">
        <v>453</v>
      </c>
      <c r="I825" s="134" t="s">
        <v>469</v>
      </c>
      <c r="J825" s="135" t="s">
        <v>471</v>
      </c>
      <c r="K825" s="136">
        <v>50</v>
      </c>
      <c r="L825" s="137">
        <v>110</v>
      </c>
      <c r="M825" s="138">
        <f t="shared" si="572"/>
        <v>0</v>
      </c>
      <c r="N825" s="138">
        <f t="shared" ref="N825:N827" si="656">L825+M825</f>
        <v>110</v>
      </c>
      <c r="O825" s="138"/>
      <c r="P825" s="138">
        <f t="shared" si="2"/>
        <v>5500</v>
      </c>
      <c r="Q825" s="139">
        <f t="shared" si="3"/>
        <v>0.13040000000000002</v>
      </c>
      <c r="R825" s="139">
        <f t="shared" si="74"/>
        <v>0</v>
      </c>
      <c r="S825" s="139">
        <f t="shared" si="573"/>
        <v>0.03</v>
      </c>
      <c r="T825" s="139">
        <f t="shared" si="545"/>
        <v>5.5</v>
      </c>
      <c r="U825" s="139">
        <f t="shared" ref="U825:U827" si="657">ROUND(P825*K$1812,2)</f>
        <v>0.83</v>
      </c>
      <c r="V825" s="139">
        <f t="shared" si="581"/>
        <v>0.15</v>
      </c>
      <c r="W825" s="139">
        <f t="shared" si="217"/>
        <v>0.01</v>
      </c>
      <c r="X825" s="140">
        <f t="shared" si="9"/>
        <v>6.5200000000000005</v>
      </c>
      <c r="Y825" s="141">
        <f t="shared" ref="Y825:Y827" si="658">-ROUND(P825+SUM(R825:W825),2)</f>
        <v>-5506.52</v>
      </c>
      <c r="Z825" s="142">
        <f t="shared" si="402"/>
        <v>-5507</v>
      </c>
      <c r="AA825" s="143">
        <f t="shared" si="47"/>
        <v>-0.47999999999956344</v>
      </c>
      <c r="AB825" s="133"/>
      <c r="AC825" s="144">
        <f t="shared" si="12"/>
        <v>1.1850000000000001E-3</v>
      </c>
      <c r="AD825" s="145">
        <f t="shared" si="13"/>
        <v>0</v>
      </c>
      <c r="AE825" s="146" t="s">
        <v>403</v>
      </c>
      <c r="AF825" s="119"/>
    </row>
    <row r="826" spans="1:32" ht="12" customHeight="1">
      <c r="A826" s="157">
        <v>45000</v>
      </c>
      <c r="B826" s="149" t="s">
        <v>598</v>
      </c>
      <c r="C826" s="149"/>
      <c r="D826" s="149"/>
      <c r="E826" s="149"/>
      <c r="F826" s="149"/>
      <c r="G826" s="149"/>
      <c r="H826" s="135" t="s">
        <v>453</v>
      </c>
      <c r="I826" s="134" t="s">
        <v>469</v>
      </c>
      <c r="J826" s="135" t="s">
        <v>471</v>
      </c>
      <c r="K826" s="136">
        <v>43</v>
      </c>
      <c r="L826" s="137">
        <v>109</v>
      </c>
      <c r="M826" s="138">
        <f t="shared" si="572"/>
        <v>0</v>
      </c>
      <c r="N826" s="138">
        <f t="shared" si="656"/>
        <v>109</v>
      </c>
      <c r="O826" s="138"/>
      <c r="P826" s="138">
        <f t="shared" si="2"/>
        <v>4687</v>
      </c>
      <c r="Q826" s="139">
        <f t="shared" si="3"/>
        <v>0.12883720930232559</v>
      </c>
      <c r="R826" s="139">
        <f t="shared" si="74"/>
        <v>0</v>
      </c>
      <c r="S826" s="139">
        <f t="shared" si="573"/>
        <v>0.02</v>
      </c>
      <c r="T826" s="139">
        <f t="shared" si="545"/>
        <v>4.6900000000000004</v>
      </c>
      <c r="U826" s="139">
        <f t="shared" si="657"/>
        <v>0.7</v>
      </c>
      <c r="V826" s="139">
        <f t="shared" si="581"/>
        <v>0.13</v>
      </c>
      <c r="W826" s="139">
        <f t="shared" si="217"/>
        <v>0</v>
      </c>
      <c r="X826" s="140">
        <f t="shared" si="9"/>
        <v>5.54</v>
      </c>
      <c r="Y826" s="141">
        <f t="shared" si="658"/>
        <v>-4692.54</v>
      </c>
      <c r="Z826" s="142">
        <f t="shared" si="402"/>
        <v>-4693</v>
      </c>
      <c r="AA826" s="143">
        <f t="shared" si="47"/>
        <v>-0.46000000000003638</v>
      </c>
      <c r="AB826" s="133"/>
      <c r="AC826" s="144">
        <f t="shared" si="12"/>
        <v>1.1820000000000001E-3</v>
      </c>
      <c r="AD826" s="145">
        <f t="shared" si="13"/>
        <v>0</v>
      </c>
      <c r="AE826" s="146" t="s">
        <v>403</v>
      </c>
      <c r="AF826" s="119"/>
    </row>
    <row r="827" spans="1:32" ht="12" customHeight="1">
      <c r="A827" s="158">
        <v>45007</v>
      </c>
      <c r="B827" s="149" t="s">
        <v>598</v>
      </c>
      <c r="C827" s="149"/>
      <c r="D827" s="149"/>
      <c r="E827" s="149"/>
      <c r="F827" s="149"/>
      <c r="G827" s="149"/>
      <c r="H827" s="135" t="s">
        <v>453</v>
      </c>
      <c r="I827" s="134" t="s">
        <v>469</v>
      </c>
      <c r="J827" s="135" t="s">
        <v>471</v>
      </c>
      <c r="K827" s="159">
        <v>2</v>
      </c>
      <c r="L827" s="160">
        <v>104</v>
      </c>
      <c r="M827" s="138">
        <f t="shared" si="572"/>
        <v>0</v>
      </c>
      <c r="N827" s="138">
        <f t="shared" si="656"/>
        <v>104</v>
      </c>
      <c r="O827" s="138"/>
      <c r="P827" s="138">
        <f t="shared" si="2"/>
        <v>208</v>
      </c>
      <c r="Q827" s="139">
        <f t="shared" si="3"/>
        <v>0.125</v>
      </c>
      <c r="R827" s="139">
        <f t="shared" si="74"/>
        <v>0</v>
      </c>
      <c r="S827" s="139">
        <f t="shared" si="573"/>
        <v>0</v>
      </c>
      <c r="T827" s="139">
        <f t="shared" si="545"/>
        <v>0.21</v>
      </c>
      <c r="U827" s="139">
        <f t="shared" si="657"/>
        <v>0.03</v>
      </c>
      <c r="V827" s="139">
        <f t="shared" si="581"/>
        <v>0.01</v>
      </c>
      <c r="W827" s="139">
        <f t="shared" si="217"/>
        <v>0</v>
      </c>
      <c r="X827" s="140">
        <f t="shared" si="9"/>
        <v>0.25</v>
      </c>
      <c r="Y827" s="141">
        <f t="shared" si="658"/>
        <v>-208.25</v>
      </c>
      <c r="Z827" s="142">
        <f t="shared" si="402"/>
        <v>-208</v>
      </c>
      <c r="AA827" s="143">
        <f t="shared" si="47"/>
        <v>0.25</v>
      </c>
      <c r="AB827" s="133"/>
      <c r="AC827" s="144">
        <f t="shared" si="12"/>
        <v>1.2019999999999999E-3</v>
      </c>
      <c r="AD827" s="145">
        <f t="shared" si="13"/>
        <v>0</v>
      </c>
      <c r="AE827" s="146" t="s">
        <v>403</v>
      </c>
      <c r="AF827" s="119"/>
    </row>
    <row r="828" spans="1:32" ht="5.25" customHeight="1">
      <c r="A828" s="161"/>
      <c r="B828" s="162"/>
      <c r="C828" s="162"/>
      <c r="D828" s="162"/>
      <c r="E828" s="162"/>
      <c r="F828" s="162"/>
      <c r="G828" s="162"/>
      <c r="H828" s="163"/>
      <c r="I828" s="70"/>
      <c r="J828" s="163"/>
      <c r="K828" s="164"/>
      <c r="L828" s="165"/>
      <c r="M828" s="166"/>
      <c r="N828" s="166"/>
      <c r="O828" s="166"/>
      <c r="P828" s="166"/>
      <c r="Q828" s="167"/>
      <c r="R828" s="167"/>
      <c r="S828" s="167"/>
      <c r="T828" s="167"/>
      <c r="U828" s="167"/>
      <c r="V828" s="167"/>
      <c r="W828" s="167"/>
      <c r="X828" s="168"/>
      <c r="Y828" s="169"/>
      <c r="Z828" s="170"/>
      <c r="AA828" s="171"/>
      <c r="AB828" s="172"/>
      <c r="AC828" s="173"/>
      <c r="AD828" s="174"/>
      <c r="AE828" s="175"/>
      <c r="AF828" s="119"/>
    </row>
    <row r="829" spans="1:32" ht="12" customHeight="1">
      <c r="A829" s="100" t="s">
        <v>0</v>
      </c>
      <c r="B829" s="101" t="s">
        <v>422</v>
      </c>
      <c r="C829" s="101"/>
      <c r="D829" s="101"/>
      <c r="E829" s="101"/>
      <c r="F829" s="101"/>
      <c r="G829" s="101"/>
      <c r="H829" s="102" t="s">
        <v>423</v>
      </c>
      <c r="I829" s="102" t="s">
        <v>424</v>
      </c>
      <c r="J829" s="102" t="s">
        <v>425</v>
      </c>
      <c r="K829" s="103" t="s">
        <v>426</v>
      </c>
      <c r="L829" s="100" t="s">
        <v>427</v>
      </c>
      <c r="M829" s="100" t="s">
        <v>428</v>
      </c>
      <c r="N829" s="100" t="s">
        <v>429</v>
      </c>
      <c r="O829" s="100"/>
      <c r="P829" s="100" t="s">
        <v>430</v>
      </c>
      <c r="Q829" s="100" t="s">
        <v>431</v>
      </c>
      <c r="R829" s="100" t="s">
        <v>428</v>
      </c>
      <c r="S829" s="100" t="s">
        <v>432</v>
      </c>
      <c r="T829" s="100" t="s">
        <v>433</v>
      </c>
      <c r="U829" s="100" t="s">
        <v>434</v>
      </c>
      <c r="V829" s="100" t="s">
        <v>435</v>
      </c>
      <c r="W829" s="100" t="s">
        <v>436</v>
      </c>
      <c r="X829" s="100" t="s">
        <v>437</v>
      </c>
      <c r="Y829" s="100" t="s">
        <v>638</v>
      </c>
      <c r="Z829" s="100" t="s">
        <v>639</v>
      </c>
      <c r="AA829" s="104" t="s">
        <v>640</v>
      </c>
      <c r="AB829" s="100" t="s">
        <v>641</v>
      </c>
      <c r="AC829" s="100" t="s">
        <v>442</v>
      </c>
      <c r="AD829" s="101" t="s">
        <v>443</v>
      </c>
      <c r="AE829" s="100" t="s">
        <v>444</v>
      </c>
      <c r="AF829" s="105"/>
    </row>
    <row r="830" spans="1:32" ht="12" customHeight="1">
      <c r="A830" s="157"/>
      <c r="B830" s="149"/>
      <c r="C830" s="149"/>
      <c r="D830" s="149"/>
      <c r="E830" s="149"/>
      <c r="F830" s="149"/>
      <c r="G830" s="149"/>
      <c r="H830" s="135" t="s">
        <v>453</v>
      </c>
      <c r="I830" s="134" t="s">
        <v>469</v>
      </c>
      <c r="J830" s="135" t="s">
        <v>471</v>
      </c>
      <c r="K830" s="136"/>
      <c r="L830" s="137"/>
      <c r="M830" s="138">
        <f t="shared" ref="M830:M831" si="659">ROUND(L830*L$1802,2)</f>
        <v>0</v>
      </c>
      <c r="N830" s="138">
        <f>L830+M830</f>
        <v>0</v>
      </c>
      <c r="O830" s="138"/>
      <c r="P830" s="138">
        <f t="shared" ref="P830:P831" si="660">ROUND(K830*L830,2)</f>
        <v>0</v>
      </c>
      <c r="Q830" s="139" t="e">
        <f t="shared" ref="Q830:Q831" si="661">SUM(R830:W830)/K830</f>
        <v>#DIV/0!</v>
      </c>
      <c r="R830" s="139">
        <f t="shared" ref="R830:R831" si="662">ROUND(M830*K830,2)</f>
        <v>0</v>
      </c>
      <c r="S830" s="139">
        <f t="shared" ref="S830:S831" si="663">ROUND((R830+V830)*M$1805,2)</f>
        <v>0</v>
      </c>
      <c r="T830" s="139">
        <f t="shared" ref="T830:T831" si="664">ROUND(P830*K$1806,2)</f>
        <v>0</v>
      </c>
      <c r="U830" s="139">
        <f>ROUND(P830*K$1812,2)</f>
        <v>0</v>
      </c>
      <c r="V830" s="139">
        <f t="shared" ref="V830:V831" si="665">ROUND(P830*L$1809,2)</f>
        <v>0</v>
      </c>
      <c r="W830" s="139">
        <f t="shared" ref="W830:W831" si="666">ROUND(P830*J$1815,2)</f>
        <v>0</v>
      </c>
      <c r="X830" s="140">
        <f t="shared" ref="X830:X831" si="667">SUM(R830:W830)</f>
        <v>0</v>
      </c>
      <c r="Y830" s="141">
        <f>-ROUND(P830+SUM(R830:W830),2)</f>
        <v>0</v>
      </c>
      <c r="Z830" s="142">
        <f t="shared" ref="Z830:Z831" si="668">ROUND(Y830,0)</f>
        <v>0</v>
      </c>
      <c r="AA830" s="143">
        <f t="shared" ref="AA830:AA831" si="669">Z830-Y830</f>
        <v>0</v>
      </c>
      <c r="AB830" s="133"/>
      <c r="AC830" s="144" t="e">
        <f t="shared" ref="AC830:AC831" si="670">ROUND(X830/P830,6)</f>
        <v>#DIV/0!</v>
      </c>
      <c r="AD830" s="145">
        <f t="shared" ref="AD830:AD831" si="671">AB830</f>
        <v>0</v>
      </c>
      <c r="AE830" s="146" t="s">
        <v>403</v>
      </c>
      <c r="AF830" s="119"/>
    </row>
    <row r="831" spans="1:32" ht="12" customHeight="1">
      <c r="A831" s="150"/>
      <c r="B831" s="151"/>
      <c r="C831" s="151"/>
      <c r="D831" s="151"/>
      <c r="E831" s="151"/>
      <c r="F831" s="151"/>
      <c r="G831" s="151"/>
      <c r="H831" s="122" t="s">
        <v>446</v>
      </c>
      <c r="I831" s="121" t="s">
        <v>469</v>
      </c>
      <c r="J831" s="122" t="s">
        <v>471</v>
      </c>
      <c r="K831" s="123"/>
      <c r="L831" s="124"/>
      <c r="M831" s="125">
        <f t="shared" si="659"/>
        <v>0</v>
      </c>
      <c r="N831" s="125">
        <f>L831-M831</f>
        <v>0</v>
      </c>
      <c r="O831" s="125"/>
      <c r="P831" s="125">
        <f t="shared" si="660"/>
        <v>0</v>
      </c>
      <c r="Q831" s="126" t="e">
        <f t="shared" si="661"/>
        <v>#DIV/0!</v>
      </c>
      <c r="R831" s="126">
        <f t="shared" si="662"/>
        <v>0</v>
      </c>
      <c r="S831" s="126">
        <f t="shared" si="663"/>
        <v>0</v>
      </c>
      <c r="T831" s="126">
        <f t="shared" si="664"/>
        <v>0</v>
      </c>
      <c r="U831" s="126">
        <v>0</v>
      </c>
      <c r="V831" s="126">
        <f t="shared" si="665"/>
        <v>0</v>
      </c>
      <c r="W831" s="126">
        <f t="shared" si="666"/>
        <v>0</v>
      </c>
      <c r="X831" s="126">
        <f t="shared" si="667"/>
        <v>0</v>
      </c>
      <c r="Y831" s="127">
        <f>ROUND(P831-SUM(R831:W831),2)</f>
        <v>0</v>
      </c>
      <c r="Z831" s="128">
        <f t="shared" si="668"/>
        <v>0</v>
      </c>
      <c r="AA831" s="129">
        <f t="shared" si="669"/>
        <v>0</v>
      </c>
      <c r="AB831" s="120"/>
      <c r="AC831" s="130" t="e">
        <f t="shared" si="670"/>
        <v>#DIV/0!</v>
      </c>
      <c r="AD831" s="131">
        <f t="shared" si="671"/>
        <v>0</v>
      </c>
      <c r="AE831" s="132" t="s">
        <v>403</v>
      </c>
      <c r="AF831" s="119"/>
    </row>
    <row r="832" spans="1:32" ht="5.25" customHeight="1">
      <c r="A832" s="176"/>
      <c r="B832" s="93"/>
      <c r="C832" s="93"/>
      <c r="D832" s="93"/>
      <c r="E832" s="93"/>
      <c r="F832" s="93"/>
      <c r="G832" s="93"/>
      <c r="H832" s="93"/>
      <c r="I832" s="93"/>
      <c r="J832" s="93"/>
      <c r="K832" s="93"/>
      <c r="L832" s="177"/>
      <c r="M832" s="177"/>
      <c r="N832" s="178"/>
      <c r="O832" s="178"/>
      <c r="P832" s="177"/>
      <c r="Q832" s="177"/>
      <c r="R832" s="177"/>
      <c r="S832" s="177"/>
      <c r="T832" s="177"/>
      <c r="U832" s="178"/>
      <c r="V832" s="177"/>
      <c r="W832" s="93"/>
      <c r="X832" s="177"/>
      <c r="Y832" s="93"/>
      <c r="Z832" s="177"/>
      <c r="AA832" s="179"/>
      <c r="AB832" s="180"/>
      <c r="AC832" s="181"/>
      <c r="AD832" s="182"/>
      <c r="AE832" s="41"/>
      <c r="AF832" s="119"/>
    </row>
    <row r="833" spans="1:32" ht="12" customHeight="1">
      <c r="A833" s="100" t="s">
        <v>0</v>
      </c>
      <c r="B833" s="101" t="s">
        <v>422</v>
      </c>
      <c r="C833" s="101"/>
      <c r="D833" s="101"/>
      <c r="E833" s="101"/>
      <c r="F833" s="101"/>
      <c r="G833" s="101"/>
      <c r="H833" s="102" t="s">
        <v>642</v>
      </c>
      <c r="I833" s="102" t="s">
        <v>424</v>
      </c>
      <c r="J833" s="102" t="s">
        <v>425</v>
      </c>
      <c r="K833" s="103" t="s">
        <v>426</v>
      </c>
      <c r="L833" s="100" t="s">
        <v>643</v>
      </c>
      <c r="M833" s="100" t="s">
        <v>644</v>
      </c>
      <c r="N833" s="100" t="s">
        <v>645</v>
      </c>
      <c r="O833" s="100" t="s">
        <v>646</v>
      </c>
      <c r="P833" s="100" t="s">
        <v>430</v>
      </c>
      <c r="Q833" s="100" t="s">
        <v>647</v>
      </c>
      <c r="R833" s="100" t="s">
        <v>648</v>
      </c>
      <c r="S833" s="100" t="s">
        <v>432</v>
      </c>
      <c r="T833" s="100" t="s">
        <v>433</v>
      </c>
      <c r="U833" s="100" t="s">
        <v>434</v>
      </c>
      <c r="V833" s="100" t="s">
        <v>435</v>
      </c>
      <c r="W833" s="100" t="s">
        <v>436</v>
      </c>
      <c r="X833" s="100" t="s">
        <v>437</v>
      </c>
      <c r="Y833" s="100" t="s">
        <v>649</v>
      </c>
      <c r="Z833" s="100" t="s">
        <v>650</v>
      </c>
      <c r="AA833" s="104" t="s">
        <v>651</v>
      </c>
      <c r="AB833" s="100" t="s">
        <v>652</v>
      </c>
      <c r="AC833" s="100" t="s">
        <v>442</v>
      </c>
      <c r="AD833" s="101" t="s">
        <v>653</v>
      </c>
      <c r="AE833" s="100" t="s">
        <v>444</v>
      </c>
      <c r="AF833" s="105"/>
    </row>
    <row r="834" spans="1:32" ht="12" hidden="1" customHeight="1">
      <c r="A834" s="183">
        <v>40967</v>
      </c>
      <c r="B834" s="184" t="s">
        <v>514</v>
      </c>
      <c r="C834" s="184"/>
      <c r="D834" s="184"/>
      <c r="E834" s="184"/>
      <c r="F834" s="184"/>
      <c r="G834" s="184"/>
      <c r="H834" s="184" t="s">
        <v>654</v>
      </c>
      <c r="I834" s="184" t="s">
        <v>447</v>
      </c>
      <c r="J834" s="184" t="s">
        <v>448</v>
      </c>
      <c r="K834" s="185">
        <v>10</v>
      </c>
      <c r="L834" s="186">
        <v>126.5</v>
      </c>
      <c r="M834" s="187">
        <v>124.6</v>
      </c>
      <c r="N834" s="188">
        <f t="shared" ref="N834:N877" si="672">IF(L834*I$1803&lt;0.05,0.05,ROUND(L834*I$1803,2))*K834</f>
        <v>0.5</v>
      </c>
      <c r="O834" s="188">
        <f t="shared" ref="O834:O877" si="673">IF(M834*I$1803&lt;0.05,0.05,ROUND(M834*I$1803,2))*K834</f>
        <v>0.5</v>
      </c>
      <c r="P834" s="189">
        <f t="shared" ref="P834:P1409" si="674">ROUND((L834*K834)+(M834*K834),2)</f>
        <v>2511</v>
      </c>
      <c r="Q834" s="189">
        <f t="shared" ref="Q834:Q1409" si="675">(M834-L834)*K834</f>
        <v>-19.000000000000057</v>
      </c>
      <c r="R834" s="189">
        <f t="shared" ref="R834:R883" si="676">ROUND(N834+O834,2)</f>
        <v>1</v>
      </c>
      <c r="S834" s="189">
        <f t="shared" ref="S834:S843" si="677">ROUND(R834*K$1805,2)</f>
        <v>0.1</v>
      </c>
      <c r="T834" s="189">
        <f t="shared" ref="T834:T881" si="678">ROUND((P834*K$1807)/2,2)</f>
        <v>0.31</v>
      </c>
      <c r="U834" s="189">
        <f t="shared" ref="U834:U843" si="679">ROUND(P834*I$1813,2)</f>
        <v>0</v>
      </c>
      <c r="V834" s="189">
        <f t="shared" ref="V834:V839" si="680">ROUND(P834*I$1809,2)</f>
        <v>0</v>
      </c>
      <c r="W834" s="189">
        <v>0</v>
      </c>
      <c r="X834" s="189">
        <f t="shared" ref="X834:X1409" si="681">SUM(R834:W834)</f>
        <v>1.4100000000000001</v>
      </c>
      <c r="Y834" s="190">
        <f t="shared" ref="Y834:Y1409" si="682">ROUND(Q834-X834,2)</f>
        <v>-20.41</v>
      </c>
      <c r="Z834" s="191">
        <v>-20.46</v>
      </c>
      <c r="AA834" s="192">
        <f t="shared" ref="AA834:AA836" si="683">Z834-Y834</f>
        <v>-5.0000000000000711E-2</v>
      </c>
      <c r="AB834" s="193">
        <f t="shared" ref="AB834:AB1409" si="684">(M834-L834)/L834</f>
        <v>-1.5019762845849847E-2</v>
      </c>
      <c r="AC834" s="194">
        <f t="shared" ref="AC834:AC1409" si="685">ROUND(X834/P834,6)</f>
        <v>5.62E-4</v>
      </c>
      <c r="AD834" s="189"/>
      <c r="AE834" s="195" t="s">
        <v>449</v>
      </c>
      <c r="AF834" s="119"/>
    </row>
    <row r="835" spans="1:32" ht="12" hidden="1" customHeight="1">
      <c r="A835" s="183">
        <v>40975</v>
      </c>
      <c r="B835" s="184" t="s">
        <v>655</v>
      </c>
      <c r="C835" s="184"/>
      <c r="D835" s="184"/>
      <c r="E835" s="184"/>
      <c r="F835" s="184"/>
      <c r="G835" s="184"/>
      <c r="H835" s="184" t="s">
        <v>654</v>
      </c>
      <c r="I835" s="184" t="s">
        <v>447</v>
      </c>
      <c r="J835" s="184" t="s">
        <v>448</v>
      </c>
      <c r="K835" s="185">
        <v>10</v>
      </c>
      <c r="L835" s="186">
        <v>136.4</v>
      </c>
      <c r="M835" s="187">
        <v>136.80000000000001</v>
      </c>
      <c r="N835" s="188">
        <f t="shared" si="672"/>
        <v>0.5</v>
      </c>
      <c r="O835" s="188">
        <f t="shared" si="673"/>
        <v>0.5</v>
      </c>
      <c r="P835" s="189">
        <f t="shared" si="674"/>
        <v>2732</v>
      </c>
      <c r="Q835" s="189">
        <f t="shared" si="675"/>
        <v>4.0000000000000568</v>
      </c>
      <c r="R835" s="189">
        <f t="shared" si="676"/>
        <v>1</v>
      </c>
      <c r="S835" s="189">
        <f t="shared" si="677"/>
        <v>0.1</v>
      </c>
      <c r="T835" s="189">
        <f t="shared" si="678"/>
        <v>0.34</v>
      </c>
      <c r="U835" s="189">
        <f t="shared" si="679"/>
        <v>0</v>
      </c>
      <c r="V835" s="189">
        <f t="shared" si="680"/>
        <v>0</v>
      </c>
      <c r="W835" s="189">
        <v>0</v>
      </c>
      <c r="X835" s="189">
        <f t="shared" si="681"/>
        <v>1.4400000000000002</v>
      </c>
      <c r="Y835" s="190">
        <f t="shared" si="682"/>
        <v>2.56</v>
      </c>
      <c r="Z835" s="191">
        <v>2.31</v>
      </c>
      <c r="AA835" s="192">
        <f t="shared" si="683"/>
        <v>-0.25</v>
      </c>
      <c r="AB835" s="193">
        <f t="shared" si="684"/>
        <v>2.9325513196481355E-3</v>
      </c>
      <c r="AC835" s="194">
        <f t="shared" si="685"/>
        <v>5.2700000000000002E-4</v>
      </c>
      <c r="AD835" s="189"/>
      <c r="AE835" s="195" t="s">
        <v>449</v>
      </c>
      <c r="AF835" s="119"/>
    </row>
    <row r="836" spans="1:32" ht="12" hidden="1" customHeight="1">
      <c r="A836" s="183">
        <v>40980</v>
      </c>
      <c r="B836" s="184" t="s">
        <v>458</v>
      </c>
      <c r="C836" s="184"/>
      <c r="D836" s="184"/>
      <c r="E836" s="184"/>
      <c r="F836" s="184"/>
      <c r="G836" s="184"/>
      <c r="H836" s="184" t="s">
        <v>654</v>
      </c>
      <c r="I836" s="184" t="s">
        <v>469</v>
      </c>
      <c r="J836" s="184" t="s">
        <v>448</v>
      </c>
      <c r="K836" s="185">
        <v>2</v>
      </c>
      <c r="L836" s="186">
        <v>2850</v>
      </c>
      <c r="M836" s="187">
        <v>2815.05</v>
      </c>
      <c r="N836" s="188">
        <f t="shared" si="672"/>
        <v>0.1</v>
      </c>
      <c r="O836" s="188">
        <f t="shared" si="673"/>
        <v>0.1</v>
      </c>
      <c r="P836" s="189">
        <f t="shared" si="674"/>
        <v>11330.1</v>
      </c>
      <c r="Q836" s="189">
        <f t="shared" si="675"/>
        <v>-69.899999999999636</v>
      </c>
      <c r="R836" s="189">
        <f t="shared" si="676"/>
        <v>0.2</v>
      </c>
      <c r="S836" s="189">
        <f t="shared" si="677"/>
        <v>0.02</v>
      </c>
      <c r="T836" s="189">
        <f t="shared" si="678"/>
        <v>1.42</v>
      </c>
      <c r="U836" s="189">
        <f t="shared" si="679"/>
        <v>0</v>
      </c>
      <c r="V836" s="189">
        <f t="shared" si="680"/>
        <v>0</v>
      </c>
      <c r="W836" s="189">
        <v>0</v>
      </c>
      <c r="X836" s="189">
        <f t="shared" si="681"/>
        <v>1.64</v>
      </c>
      <c r="Y836" s="190">
        <f t="shared" si="682"/>
        <v>-71.540000000000006</v>
      </c>
      <c r="Z836" s="191">
        <v>-77.8</v>
      </c>
      <c r="AA836" s="192">
        <f t="shared" si="683"/>
        <v>-6.2599999999999909</v>
      </c>
      <c r="AB836" s="193">
        <f t="shared" si="684"/>
        <v>-1.2263157894736778E-2</v>
      </c>
      <c r="AC836" s="194">
        <f t="shared" si="685"/>
        <v>1.45E-4</v>
      </c>
      <c r="AD836" s="189"/>
      <c r="AE836" s="195" t="s">
        <v>449</v>
      </c>
      <c r="AF836" s="119"/>
    </row>
    <row r="837" spans="1:32" ht="12" hidden="1" customHeight="1">
      <c r="A837" s="183">
        <v>40987</v>
      </c>
      <c r="B837" s="184" t="s">
        <v>481</v>
      </c>
      <c r="C837" s="184"/>
      <c r="D837" s="184"/>
      <c r="E837" s="184"/>
      <c r="F837" s="184"/>
      <c r="G837" s="184"/>
      <c r="H837" s="184" t="s">
        <v>654</v>
      </c>
      <c r="I837" s="184" t="s">
        <v>447</v>
      </c>
      <c r="J837" s="184" t="s">
        <v>448</v>
      </c>
      <c r="K837" s="185">
        <v>100</v>
      </c>
      <c r="L837" s="186">
        <v>95.7</v>
      </c>
      <c r="M837" s="187">
        <v>95.65</v>
      </c>
      <c r="N837" s="188">
        <f t="shared" si="672"/>
        <v>5</v>
      </c>
      <c r="O837" s="188">
        <f t="shared" si="673"/>
        <v>5</v>
      </c>
      <c r="P837" s="189">
        <f t="shared" si="674"/>
        <v>19135</v>
      </c>
      <c r="Q837" s="189">
        <f t="shared" si="675"/>
        <v>-4.9999999999997158</v>
      </c>
      <c r="R837" s="189">
        <f t="shared" si="676"/>
        <v>10</v>
      </c>
      <c r="S837" s="189">
        <f t="shared" si="677"/>
        <v>1.03</v>
      </c>
      <c r="T837" s="189">
        <f t="shared" si="678"/>
        <v>2.39</v>
      </c>
      <c r="U837" s="189">
        <f t="shared" si="679"/>
        <v>0</v>
      </c>
      <c r="V837" s="189">
        <f t="shared" si="680"/>
        <v>0</v>
      </c>
      <c r="W837" s="189">
        <v>0</v>
      </c>
      <c r="X837" s="189">
        <f t="shared" si="681"/>
        <v>13.42</v>
      </c>
      <c r="Y837" s="190">
        <f t="shared" si="682"/>
        <v>-18.420000000000002</v>
      </c>
      <c r="Z837" s="191">
        <v>-751.15</v>
      </c>
      <c r="AA837" s="192">
        <f>Z837-(Y837+Y838+Y839)</f>
        <v>-20.850000000000023</v>
      </c>
      <c r="AB837" s="193">
        <f t="shared" si="684"/>
        <v>-5.2246603970738925E-4</v>
      </c>
      <c r="AC837" s="194">
        <f t="shared" si="685"/>
        <v>7.0100000000000002E-4</v>
      </c>
      <c r="AD837" s="189"/>
      <c r="AE837" s="195" t="s">
        <v>449</v>
      </c>
      <c r="AF837" s="119"/>
    </row>
    <row r="838" spans="1:32" ht="12" hidden="1" customHeight="1">
      <c r="A838" s="183">
        <v>40987</v>
      </c>
      <c r="B838" s="184" t="s">
        <v>656</v>
      </c>
      <c r="C838" s="184"/>
      <c r="D838" s="184"/>
      <c r="E838" s="184"/>
      <c r="F838" s="184"/>
      <c r="G838" s="184"/>
      <c r="H838" s="184" t="s">
        <v>654</v>
      </c>
      <c r="I838" s="184" t="s">
        <v>447</v>
      </c>
      <c r="J838" s="184" t="s">
        <v>448</v>
      </c>
      <c r="K838" s="185">
        <v>50</v>
      </c>
      <c r="L838" s="186">
        <v>321.8</v>
      </c>
      <c r="M838" s="187">
        <v>318.44</v>
      </c>
      <c r="N838" s="188">
        <f t="shared" si="672"/>
        <v>2.5</v>
      </c>
      <c r="O838" s="188">
        <f t="shared" si="673"/>
        <v>2.5</v>
      </c>
      <c r="P838" s="189">
        <f t="shared" si="674"/>
        <v>32012</v>
      </c>
      <c r="Q838" s="189">
        <f t="shared" si="675"/>
        <v>-168.00000000000068</v>
      </c>
      <c r="R838" s="189">
        <f t="shared" si="676"/>
        <v>5</v>
      </c>
      <c r="S838" s="189">
        <f t="shared" si="677"/>
        <v>0.52</v>
      </c>
      <c r="T838" s="189">
        <f t="shared" si="678"/>
        <v>4</v>
      </c>
      <c r="U838" s="189">
        <f t="shared" si="679"/>
        <v>0</v>
      </c>
      <c r="V838" s="189">
        <f t="shared" si="680"/>
        <v>0</v>
      </c>
      <c r="W838" s="189">
        <v>0</v>
      </c>
      <c r="X838" s="189">
        <f t="shared" si="681"/>
        <v>9.52</v>
      </c>
      <c r="Y838" s="190">
        <f t="shared" si="682"/>
        <v>-177.52</v>
      </c>
      <c r="Z838" s="191"/>
      <c r="AA838" s="192"/>
      <c r="AB838" s="193">
        <f t="shared" si="684"/>
        <v>-1.0441267868241186E-2</v>
      </c>
      <c r="AC838" s="194">
        <f t="shared" si="685"/>
        <v>2.9700000000000001E-4</v>
      </c>
      <c r="AD838" s="189"/>
      <c r="AE838" s="195" t="s">
        <v>449</v>
      </c>
      <c r="AF838" s="119"/>
    </row>
    <row r="839" spans="1:32" ht="12" hidden="1" customHeight="1">
      <c r="A839" s="183">
        <v>40987</v>
      </c>
      <c r="B839" s="184" t="s">
        <v>450</v>
      </c>
      <c r="C839" s="184"/>
      <c r="D839" s="184"/>
      <c r="E839" s="184"/>
      <c r="F839" s="184"/>
      <c r="G839" s="184"/>
      <c r="H839" s="184" t="s">
        <v>654</v>
      </c>
      <c r="I839" s="184" t="s">
        <v>447</v>
      </c>
      <c r="J839" s="184" t="s">
        <v>448</v>
      </c>
      <c r="K839" s="185">
        <v>150</v>
      </c>
      <c r="L839" s="186">
        <v>130.07</v>
      </c>
      <c r="M839" s="187">
        <v>126.65</v>
      </c>
      <c r="N839" s="188">
        <f t="shared" si="672"/>
        <v>7.5</v>
      </c>
      <c r="O839" s="188">
        <f t="shared" si="673"/>
        <v>7.5</v>
      </c>
      <c r="P839" s="189">
        <f t="shared" si="674"/>
        <v>38508</v>
      </c>
      <c r="Q839" s="189">
        <f t="shared" si="675"/>
        <v>-512.99999999999818</v>
      </c>
      <c r="R839" s="189">
        <f t="shared" si="676"/>
        <v>15</v>
      </c>
      <c r="S839" s="189">
        <f t="shared" si="677"/>
        <v>1.55</v>
      </c>
      <c r="T839" s="189">
        <f t="shared" si="678"/>
        <v>4.8099999999999996</v>
      </c>
      <c r="U839" s="189">
        <f t="shared" si="679"/>
        <v>0</v>
      </c>
      <c r="V839" s="189">
        <f t="shared" si="680"/>
        <v>0</v>
      </c>
      <c r="W839" s="189">
        <v>0</v>
      </c>
      <c r="X839" s="189">
        <f t="shared" si="681"/>
        <v>21.36</v>
      </c>
      <c r="Y839" s="190">
        <f t="shared" si="682"/>
        <v>-534.36</v>
      </c>
      <c r="Z839" s="191"/>
      <c r="AA839" s="192"/>
      <c r="AB839" s="193">
        <f t="shared" si="684"/>
        <v>-2.6293534250787943E-2</v>
      </c>
      <c r="AC839" s="194">
        <f t="shared" si="685"/>
        <v>5.5500000000000005E-4</v>
      </c>
      <c r="AD839" s="189"/>
      <c r="AE839" s="195" t="s">
        <v>449</v>
      </c>
      <c r="AF839" s="119"/>
    </row>
    <row r="840" spans="1:32" ht="12" hidden="1" customHeight="1">
      <c r="A840" s="183">
        <v>40995</v>
      </c>
      <c r="B840" s="184" t="s">
        <v>452</v>
      </c>
      <c r="C840" s="184"/>
      <c r="D840" s="184"/>
      <c r="E840" s="184"/>
      <c r="F840" s="184"/>
      <c r="G840" s="184"/>
      <c r="H840" s="184" t="s">
        <v>654</v>
      </c>
      <c r="I840" s="184" t="s">
        <v>447</v>
      </c>
      <c r="J840" s="184" t="s">
        <v>448</v>
      </c>
      <c r="K840" s="185">
        <v>200</v>
      </c>
      <c r="L840" s="186">
        <v>103.65</v>
      </c>
      <c r="M840" s="187">
        <v>104.85</v>
      </c>
      <c r="N840" s="188">
        <f t="shared" si="672"/>
        <v>10</v>
      </c>
      <c r="O840" s="188">
        <f t="shared" si="673"/>
        <v>10</v>
      </c>
      <c r="P840" s="189">
        <f t="shared" si="674"/>
        <v>41700</v>
      </c>
      <c r="Q840" s="189">
        <f t="shared" si="675"/>
        <v>239.99999999999773</v>
      </c>
      <c r="R840" s="189">
        <f t="shared" si="676"/>
        <v>20</v>
      </c>
      <c r="S840" s="189">
        <f t="shared" si="677"/>
        <v>2.06</v>
      </c>
      <c r="T840" s="189">
        <f t="shared" si="678"/>
        <v>5.21</v>
      </c>
      <c r="U840" s="189">
        <f t="shared" si="679"/>
        <v>0</v>
      </c>
      <c r="V840" s="189">
        <f t="shared" ref="V840:V877" si="686">ROUND(P840*J$1809,2)</f>
        <v>1.52</v>
      </c>
      <c r="W840" s="189">
        <v>0</v>
      </c>
      <c r="X840" s="189">
        <f t="shared" si="681"/>
        <v>28.79</v>
      </c>
      <c r="Y840" s="190">
        <f t="shared" si="682"/>
        <v>211.21</v>
      </c>
      <c r="Z840" s="191">
        <v>209.71</v>
      </c>
      <c r="AA840" s="192">
        <f>Z840-Y840</f>
        <v>-1.5</v>
      </c>
      <c r="AB840" s="193">
        <f t="shared" si="684"/>
        <v>1.1577424023154738E-2</v>
      </c>
      <c r="AC840" s="194">
        <f t="shared" si="685"/>
        <v>6.8999999999999997E-4</v>
      </c>
      <c r="AD840" s="189"/>
      <c r="AE840" s="195" t="s">
        <v>449</v>
      </c>
      <c r="AF840" s="119"/>
    </row>
    <row r="841" spans="1:32" ht="12" hidden="1" customHeight="1">
      <c r="A841" s="183">
        <v>40997</v>
      </c>
      <c r="B841" s="184" t="s">
        <v>452</v>
      </c>
      <c r="C841" s="184"/>
      <c r="D841" s="184"/>
      <c r="E841" s="184"/>
      <c r="F841" s="184"/>
      <c r="G841" s="184"/>
      <c r="H841" s="184" t="s">
        <v>654</v>
      </c>
      <c r="I841" s="184" t="s">
        <v>447</v>
      </c>
      <c r="J841" s="184" t="s">
        <v>448</v>
      </c>
      <c r="K841" s="185">
        <v>50</v>
      </c>
      <c r="L841" s="186">
        <v>101.95</v>
      </c>
      <c r="M841" s="187">
        <v>103</v>
      </c>
      <c r="N841" s="188">
        <f t="shared" si="672"/>
        <v>2.5</v>
      </c>
      <c r="O841" s="188">
        <f t="shared" si="673"/>
        <v>2.5</v>
      </c>
      <c r="P841" s="189">
        <f t="shared" si="674"/>
        <v>10247.5</v>
      </c>
      <c r="Q841" s="189">
        <f t="shared" si="675"/>
        <v>52.499999999999858</v>
      </c>
      <c r="R841" s="189">
        <f t="shared" si="676"/>
        <v>5</v>
      </c>
      <c r="S841" s="189">
        <f t="shared" si="677"/>
        <v>0.52</v>
      </c>
      <c r="T841" s="189">
        <f t="shared" si="678"/>
        <v>1.28</v>
      </c>
      <c r="U841" s="189">
        <f t="shared" si="679"/>
        <v>0</v>
      </c>
      <c r="V841" s="189">
        <f t="shared" si="686"/>
        <v>0.37</v>
      </c>
      <c r="W841" s="189">
        <v>0</v>
      </c>
      <c r="X841" s="189">
        <f t="shared" si="681"/>
        <v>7.17</v>
      </c>
      <c r="Y841" s="190">
        <f t="shared" si="682"/>
        <v>45.33</v>
      </c>
      <c r="Z841" s="191">
        <v>22.76</v>
      </c>
      <c r="AA841" s="192">
        <f>Z841-(Y841+Y842)</f>
        <v>-0.26999999999999602</v>
      </c>
      <c r="AB841" s="193">
        <f t="shared" si="684"/>
        <v>1.0299166257969564E-2</v>
      </c>
      <c r="AC841" s="194">
        <f t="shared" si="685"/>
        <v>6.9999999999999999E-4</v>
      </c>
      <c r="AD841" s="189"/>
      <c r="AE841" s="195" t="s">
        <v>449</v>
      </c>
      <c r="AF841" s="119"/>
    </row>
    <row r="842" spans="1:32" ht="12" hidden="1" customHeight="1">
      <c r="A842" s="183">
        <v>40997</v>
      </c>
      <c r="B842" s="184" t="s">
        <v>452</v>
      </c>
      <c r="C842" s="184"/>
      <c r="D842" s="184"/>
      <c r="E842" s="184"/>
      <c r="F842" s="184"/>
      <c r="G842" s="184"/>
      <c r="H842" s="184" t="s">
        <v>654</v>
      </c>
      <c r="I842" s="184" t="s">
        <v>447</v>
      </c>
      <c r="J842" s="184" t="s">
        <v>448</v>
      </c>
      <c r="K842" s="185">
        <v>30</v>
      </c>
      <c r="L842" s="186">
        <v>102.35</v>
      </c>
      <c r="M842" s="187">
        <v>101.75</v>
      </c>
      <c r="N842" s="188">
        <f t="shared" si="672"/>
        <v>1.5</v>
      </c>
      <c r="O842" s="188">
        <f t="shared" si="673"/>
        <v>1.5</v>
      </c>
      <c r="P842" s="189">
        <f t="shared" si="674"/>
        <v>6123</v>
      </c>
      <c r="Q842" s="189">
        <f t="shared" si="675"/>
        <v>-17.999999999999829</v>
      </c>
      <c r="R842" s="189">
        <f t="shared" si="676"/>
        <v>3</v>
      </c>
      <c r="S842" s="189">
        <f t="shared" si="677"/>
        <v>0.31</v>
      </c>
      <c r="T842" s="189">
        <f t="shared" si="678"/>
        <v>0.77</v>
      </c>
      <c r="U842" s="189">
        <f t="shared" si="679"/>
        <v>0</v>
      </c>
      <c r="V842" s="189">
        <f t="shared" si="686"/>
        <v>0.22</v>
      </c>
      <c r="W842" s="189">
        <v>0</v>
      </c>
      <c r="X842" s="189">
        <f t="shared" si="681"/>
        <v>4.3</v>
      </c>
      <c r="Y842" s="190">
        <f t="shared" si="682"/>
        <v>-22.3</v>
      </c>
      <c r="Z842" s="191"/>
      <c r="AA842" s="192"/>
      <c r="AB842" s="193">
        <f t="shared" si="684"/>
        <v>-5.8622374206154801E-3</v>
      </c>
      <c r="AC842" s="194">
        <f t="shared" si="685"/>
        <v>7.0200000000000004E-4</v>
      </c>
      <c r="AD842" s="189"/>
      <c r="AE842" s="195" t="s">
        <v>449</v>
      </c>
      <c r="AF842" s="119"/>
    </row>
    <row r="843" spans="1:32" ht="12" hidden="1" customHeight="1">
      <c r="A843" s="183">
        <v>40998</v>
      </c>
      <c r="B843" s="184" t="s">
        <v>454</v>
      </c>
      <c r="C843" s="184"/>
      <c r="D843" s="184"/>
      <c r="E843" s="184"/>
      <c r="F843" s="184"/>
      <c r="G843" s="184"/>
      <c r="H843" s="184" t="s">
        <v>654</v>
      </c>
      <c r="I843" s="184" t="s">
        <v>447</v>
      </c>
      <c r="J843" s="184" t="s">
        <v>448</v>
      </c>
      <c r="K843" s="185">
        <v>50</v>
      </c>
      <c r="L843" s="186">
        <v>492</v>
      </c>
      <c r="M843" s="187">
        <v>494</v>
      </c>
      <c r="N843" s="188">
        <f t="shared" si="672"/>
        <v>2.5</v>
      </c>
      <c r="O843" s="188">
        <f t="shared" si="673"/>
        <v>2.5</v>
      </c>
      <c r="P843" s="189">
        <f t="shared" si="674"/>
        <v>49300</v>
      </c>
      <c r="Q843" s="189">
        <f t="shared" si="675"/>
        <v>100</v>
      </c>
      <c r="R843" s="189">
        <f t="shared" si="676"/>
        <v>5</v>
      </c>
      <c r="S843" s="189">
        <f t="shared" si="677"/>
        <v>0.52</v>
      </c>
      <c r="T843" s="189">
        <f t="shared" si="678"/>
        <v>6.16</v>
      </c>
      <c r="U843" s="189">
        <f t="shared" si="679"/>
        <v>0</v>
      </c>
      <c r="V843" s="189">
        <f t="shared" si="686"/>
        <v>1.8</v>
      </c>
      <c r="W843" s="189">
        <v>0</v>
      </c>
      <c r="X843" s="189">
        <f t="shared" si="681"/>
        <v>13.48</v>
      </c>
      <c r="Y843" s="190">
        <f t="shared" si="682"/>
        <v>86.52</v>
      </c>
      <c r="Z843" s="191">
        <v>64.05</v>
      </c>
      <c r="AA843" s="192">
        <f>Z843-Y843</f>
        <v>-22.47</v>
      </c>
      <c r="AB843" s="193">
        <f t="shared" si="684"/>
        <v>4.0650406504065045E-3</v>
      </c>
      <c r="AC843" s="194">
        <f t="shared" si="685"/>
        <v>2.7300000000000002E-4</v>
      </c>
      <c r="AD843" s="189"/>
      <c r="AE843" s="195" t="s">
        <v>449</v>
      </c>
      <c r="AF843" s="119"/>
    </row>
    <row r="844" spans="1:32" ht="12" hidden="1" customHeight="1">
      <c r="A844" s="183">
        <v>41012</v>
      </c>
      <c r="B844" s="184" t="s">
        <v>455</v>
      </c>
      <c r="C844" s="184"/>
      <c r="D844" s="184"/>
      <c r="E844" s="184"/>
      <c r="F844" s="184"/>
      <c r="G844" s="184"/>
      <c r="H844" s="184" t="s">
        <v>654</v>
      </c>
      <c r="I844" s="184" t="s">
        <v>447</v>
      </c>
      <c r="J844" s="184" t="s">
        <v>448</v>
      </c>
      <c r="K844" s="185">
        <v>100</v>
      </c>
      <c r="L844" s="186">
        <v>93.95</v>
      </c>
      <c r="M844" s="187">
        <v>94.7</v>
      </c>
      <c r="N844" s="188">
        <f t="shared" si="672"/>
        <v>5</v>
      </c>
      <c r="O844" s="188">
        <f t="shared" si="673"/>
        <v>5</v>
      </c>
      <c r="P844" s="189">
        <f t="shared" si="674"/>
        <v>18865</v>
      </c>
      <c r="Q844" s="189">
        <f t="shared" si="675"/>
        <v>75</v>
      </c>
      <c r="R844" s="189">
        <f t="shared" si="676"/>
        <v>10</v>
      </c>
      <c r="S844" s="189">
        <f t="shared" ref="S844:S877" si="687">ROUND(R844*L$1805,2)</f>
        <v>1.24</v>
      </c>
      <c r="T844" s="189">
        <f t="shared" si="678"/>
        <v>2.36</v>
      </c>
      <c r="U844" s="189">
        <f t="shared" ref="U844:U877" si="688">ROUND(P844*J$1813,2)</f>
        <v>1.89</v>
      </c>
      <c r="V844" s="189">
        <f t="shared" si="686"/>
        <v>0.69</v>
      </c>
      <c r="W844" s="189">
        <v>0</v>
      </c>
      <c r="X844" s="189">
        <f t="shared" si="681"/>
        <v>16.18</v>
      </c>
      <c r="Y844" s="190">
        <f t="shared" si="682"/>
        <v>58.82</v>
      </c>
      <c r="Z844" s="191">
        <v>139.5</v>
      </c>
      <c r="AA844" s="192">
        <f>Z844-(Y844+Y845)</f>
        <v>-1.9900000000000091</v>
      </c>
      <c r="AB844" s="193">
        <f t="shared" si="684"/>
        <v>7.9829696647152736E-3</v>
      </c>
      <c r="AC844" s="194">
        <f t="shared" si="685"/>
        <v>8.5800000000000004E-4</v>
      </c>
      <c r="AD844" s="189"/>
      <c r="AE844" s="195" t="s">
        <v>449</v>
      </c>
      <c r="AF844" s="119"/>
    </row>
    <row r="845" spans="1:32" ht="12" hidden="1" customHeight="1">
      <c r="A845" s="183">
        <v>41012</v>
      </c>
      <c r="B845" s="184" t="s">
        <v>452</v>
      </c>
      <c r="C845" s="184"/>
      <c r="D845" s="184"/>
      <c r="E845" s="184"/>
      <c r="F845" s="184"/>
      <c r="G845" s="184"/>
      <c r="H845" s="184" t="s">
        <v>654</v>
      </c>
      <c r="I845" s="184" t="s">
        <v>447</v>
      </c>
      <c r="J845" s="184" t="s">
        <v>448</v>
      </c>
      <c r="K845" s="185">
        <v>100</v>
      </c>
      <c r="L845" s="186">
        <v>116</v>
      </c>
      <c r="M845" s="187">
        <v>117</v>
      </c>
      <c r="N845" s="188">
        <f t="shared" si="672"/>
        <v>5</v>
      </c>
      <c r="O845" s="188">
        <f t="shared" si="673"/>
        <v>5</v>
      </c>
      <c r="P845" s="189">
        <f t="shared" si="674"/>
        <v>23300</v>
      </c>
      <c r="Q845" s="189">
        <f t="shared" si="675"/>
        <v>100</v>
      </c>
      <c r="R845" s="189">
        <f t="shared" si="676"/>
        <v>10</v>
      </c>
      <c r="S845" s="189">
        <f t="shared" si="687"/>
        <v>1.24</v>
      </c>
      <c r="T845" s="189">
        <f t="shared" si="678"/>
        <v>2.91</v>
      </c>
      <c r="U845" s="189">
        <f t="shared" si="688"/>
        <v>2.33</v>
      </c>
      <c r="V845" s="189">
        <f t="shared" si="686"/>
        <v>0.85</v>
      </c>
      <c r="W845" s="189">
        <v>0</v>
      </c>
      <c r="X845" s="189">
        <f t="shared" si="681"/>
        <v>17.330000000000002</v>
      </c>
      <c r="Y845" s="190">
        <f t="shared" si="682"/>
        <v>82.67</v>
      </c>
      <c r="Z845" s="191"/>
      <c r="AA845" s="192"/>
      <c r="AB845" s="193">
        <f t="shared" si="684"/>
        <v>8.6206896551724137E-3</v>
      </c>
      <c r="AC845" s="194">
        <f t="shared" si="685"/>
        <v>7.4399999999999998E-4</v>
      </c>
      <c r="AD845" s="189"/>
      <c r="AE845" s="195" t="s">
        <v>449</v>
      </c>
      <c r="AF845" s="119"/>
    </row>
    <row r="846" spans="1:32" ht="12" hidden="1" customHeight="1">
      <c r="A846" s="183">
        <v>41015</v>
      </c>
      <c r="B846" s="184" t="s">
        <v>657</v>
      </c>
      <c r="C846" s="184"/>
      <c r="D846" s="184"/>
      <c r="E846" s="184"/>
      <c r="F846" s="184"/>
      <c r="G846" s="184"/>
      <c r="H846" s="184" t="s">
        <v>654</v>
      </c>
      <c r="I846" s="184" t="s">
        <v>447</v>
      </c>
      <c r="J846" s="184" t="s">
        <v>448</v>
      </c>
      <c r="K846" s="185">
        <v>100</v>
      </c>
      <c r="L846" s="186">
        <v>111.5</v>
      </c>
      <c r="M846" s="187">
        <v>111.7</v>
      </c>
      <c r="N846" s="188">
        <f t="shared" si="672"/>
        <v>5</v>
      </c>
      <c r="O846" s="188">
        <f t="shared" si="673"/>
        <v>5</v>
      </c>
      <c r="P846" s="189">
        <f t="shared" si="674"/>
        <v>22320</v>
      </c>
      <c r="Q846" s="189">
        <f t="shared" si="675"/>
        <v>20.000000000000284</v>
      </c>
      <c r="R846" s="189">
        <f t="shared" si="676"/>
        <v>10</v>
      </c>
      <c r="S846" s="189">
        <f t="shared" si="687"/>
        <v>1.24</v>
      </c>
      <c r="T846" s="189">
        <f t="shared" si="678"/>
        <v>2.79</v>
      </c>
      <c r="U846" s="189">
        <f t="shared" si="688"/>
        <v>2.23</v>
      </c>
      <c r="V846" s="189">
        <f t="shared" si="686"/>
        <v>0.81</v>
      </c>
      <c r="W846" s="189">
        <v>0</v>
      </c>
      <c r="X846" s="189">
        <f t="shared" si="681"/>
        <v>17.07</v>
      </c>
      <c r="Y846" s="190">
        <f t="shared" si="682"/>
        <v>2.93</v>
      </c>
      <c r="Z846" s="191">
        <v>0.47</v>
      </c>
      <c r="AA846" s="192">
        <f>Z846-Y846</f>
        <v>-2.46</v>
      </c>
      <c r="AB846" s="193">
        <f t="shared" si="684"/>
        <v>1.7937219730941958E-3</v>
      </c>
      <c r="AC846" s="194">
        <f t="shared" si="685"/>
        <v>7.6499999999999995E-4</v>
      </c>
      <c r="AD846" s="189"/>
      <c r="AE846" s="195" t="s">
        <v>449</v>
      </c>
      <c r="AF846" s="119"/>
    </row>
    <row r="847" spans="1:32" ht="12" hidden="1" customHeight="1">
      <c r="A847" s="183">
        <v>41016</v>
      </c>
      <c r="B847" s="184" t="s">
        <v>539</v>
      </c>
      <c r="C847" s="184"/>
      <c r="D847" s="184"/>
      <c r="E847" s="184"/>
      <c r="F847" s="184"/>
      <c r="G847" s="184"/>
      <c r="H847" s="184" t="s">
        <v>654</v>
      </c>
      <c r="I847" s="184" t="s">
        <v>447</v>
      </c>
      <c r="J847" s="184" t="s">
        <v>448</v>
      </c>
      <c r="K847" s="185">
        <v>500</v>
      </c>
      <c r="L847" s="186">
        <v>166.4</v>
      </c>
      <c r="M847" s="187">
        <v>167</v>
      </c>
      <c r="N847" s="188">
        <f t="shared" si="672"/>
        <v>25</v>
      </c>
      <c r="O847" s="188">
        <f t="shared" si="673"/>
        <v>25</v>
      </c>
      <c r="P847" s="189">
        <f t="shared" si="674"/>
        <v>166700</v>
      </c>
      <c r="Q847" s="189">
        <f t="shared" si="675"/>
        <v>299.99999999999716</v>
      </c>
      <c r="R847" s="189">
        <f t="shared" si="676"/>
        <v>50</v>
      </c>
      <c r="S847" s="189">
        <f t="shared" si="687"/>
        <v>6.18</v>
      </c>
      <c r="T847" s="189">
        <f t="shared" si="678"/>
        <v>20.84</v>
      </c>
      <c r="U847" s="189">
        <f t="shared" si="688"/>
        <v>16.670000000000002</v>
      </c>
      <c r="V847" s="189">
        <f t="shared" si="686"/>
        <v>6.08</v>
      </c>
      <c r="W847" s="189">
        <v>0</v>
      </c>
      <c r="X847" s="189">
        <f t="shared" si="681"/>
        <v>99.77</v>
      </c>
      <c r="Y847" s="190">
        <f t="shared" si="682"/>
        <v>200.23</v>
      </c>
      <c r="Z847" s="191">
        <v>239.85</v>
      </c>
      <c r="AA847" s="192">
        <f>Z847-(Y847+Y848)</f>
        <v>-40.44999999999996</v>
      </c>
      <c r="AB847" s="193">
        <f t="shared" si="684"/>
        <v>3.6057692307691963E-3</v>
      </c>
      <c r="AC847" s="194">
        <f t="shared" si="685"/>
        <v>5.9900000000000003E-4</v>
      </c>
      <c r="AD847" s="189"/>
      <c r="AE847" s="195" t="s">
        <v>449</v>
      </c>
      <c r="AF847" s="119"/>
    </row>
    <row r="848" spans="1:32" ht="12" hidden="1" customHeight="1">
      <c r="A848" s="183">
        <v>41016</v>
      </c>
      <c r="B848" s="184" t="s">
        <v>539</v>
      </c>
      <c r="C848" s="184"/>
      <c r="D848" s="184"/>
      <c r="E848" s="184"/>
      <c r="F848" s="184"/>
      <c r="G848" s="184"/>
      <c r="H848" s="184" t="s">
        <v>654</v>
      </c>
      <c r="I848" s="184" t="s">
        <v>447</v>
      </c>
      <c r="J848" s="184" t="s">
        <v>448</v>
      </c>
      <c r="K848" s="185">
        <v>100</v>
      </c>
      <c r="L848" s="186">
        <v>165.7</v>
      </c>
      <c r="M848" s="187">
        <v>166.7</v>
      </c>
      <c r="N848" s="188">
        <f t="shared" si="672"/>
        <v>5</v>
      </c>
      <c r="O848" s="188">
        <f t="shared" si="673"/>
        <v>5</v>
      </c>
      <c r="P848" s="189">
        <f t="shared" si="674"/>
        <v>33240</v>
      </c>
      <c r="Q848" s="189">
        <f t="shared" si="675"/>
        <v>100</v>
      </c>
      <c r="R848" s="189">
        <f t="shared" si="676"/>
        <v>10</v>
      </c>
      <c r="S848" s="189">
        <f t="shared" si="687"/>
        <v>1.24</v>
      </c>
      <c r="T848" s="189">
        <f t="shared" si="678"/>
        <v>4.16</v>
      </c>
      <c r="U848" s="189">
        <f t="shared" si="688"/>
        <v>3.32</v>
      </c>
      <c r="V848" s="189">
        <f t="shared" si="686"/>
        <v>1.21</v>
      </c>
      <c r="W848" s="189">
        <v>0</v>
      </c>
      <c r="X848" s="189">
        <f t="shared" si="681"/>
        <v>19.93</v>
      </c>
      <c r="Y848" s="190">
        <f t="shared" si="682"/>
        <v>80.069999999999993</v>
      </c>
      <c r="Z848" s="191"/>
      <c r="AA848" s="192"/>
      <c r="AB848" s="193">
        <f t="shared" si="684"/>
        <v>6.0350030175015095E-3</v>
      </c>
      <c r="AC848" s="194">
        <f t="shared" si="685"/>
        <v>5.9999999999999995E-4</v>
      </c>
      <c r="AD848" s="189"/>
      <c r="AE848" s="195" t="s">
        <v>449</v>
      </c>
      <c r="AF848" s="119"/>
    </row>
    <row r="849" spans="1:32" ht="12" hidden="1" customHeight="1">
      <c r="A849" s="183">
        <v>41017</v>
      </c>
      <c r="B849" s="184" t="s">
        <v>455</v>
      </c>
      <c r="C849" s="184"/>
      <c r="D849" s="184"/>
      <c r="E849" s="184"/>
      <c r="F849" s="184"/>
      <c r="G849" s="184"/>
      <c r="H849" s="184" t="s">
        <v>654</v>
      </c>
      <c r="I849" s="184" t="s">
        <v>447</v>
      </c>
      <c r="J849" s="184" t="s">
        <v>448</v>
      </c>
      <c r="K849" s="185">
        <v>200</v>
      </c>
      <c r="L849" s="186">
        <v>96</v>
      </c>
      <c r="M849" s="187">
        <v>97.016999999999996</v>
      </c>
      <c r="N849" s="188">
        <f t="shared" si="672"/>
        <v>10</v>
      </c>
      <c r="O849" s="188">
        <f t="shared" si="673"/>
        <v>10</v>
      </c>
      <c r="P849" s="189">
        <f t="shared" si="674"/>
        <v>38603.4</v>
      </c>
      <c r="Q849" s="189">
        <f t="shared" si="675"/>
        <v>203.39999999999918</v>
      </c>
      <c r="R849" s="189">
        <f t="shared" si="676"/>
        <v>20</v>
      </c>
      <c r="S849" s="189">
        <f t="shared" si="687"/>
        <v>2.4700000000000002</v>
      </c>
      <c r="T849" s="189">
        <f t="shared" si="678"/>
        <v>4.83</v>
      </c>
      <c r="U849" s="189">
        <f t="shared" si="688"/>
        <v>3.86</v>
      </c>
      <c r="V849" s="189">
        <f t="shared" si="686"/>
        <v>1.41</v>
      </c>
      <c r="W849" s="189">
        <v>0</v>
      </c>
      <c r="X849" s="189">
        <f t="shared" si="681"/>
        <v>32.569999999999993</v>
      </c>
      <c r="Y849" s="190">
        <f t="shared" si="682"/>
        <v>170.83</v>
      </c>
      <c r="Z849" s="191">
        <v>170.62</v>
      </c>
      <c r="AA849" s="192">
        <f>Z849-Y849</f>
        <v>-0.21000000000000796</v>
      </c>
      <c r="AB849" s="193">
        <f t="shared" si="684"/>
        <v>1.0593749999999957E-2</v>
      </c>
      <c r="AC849" s="194">
        <f t="shared" si="685"/>
        <v>8.4400000000000002E-4</v>
      </c>
      <c r="AD849" s="189"/>
      <c r="AE849" s="195" t="s">
        <v>449</v>
      </c>
      <c r="AF849" s="119"/>
    </row>
    <row r="850" spans="1:32" ht="12" hidden="1" customHeight="1">
      <c r="A850" s="183">
        <v>41023</v>
      </c>
      <c r="B850" s="184" t="s">
        <v>593</v>
      </c>
      <c r="C850" s="184"/>
      <c r="D850" s="184"/>
      <c r="E850" s="184"/>
      <c r="F850" s="184"/>
      <c r="G850" s="184"/>
      <c r="H850" s="184" t="s">
        <v>654</v>
      </c>
      <c r="I850" s="184" t="s">
        <v>447</v>
      </c>
      <c r="J850" s="184" t="s">
        <v>448</v>
      </c>
      <c r="K850" s="185">
        <v>100</v>
      </c>
      <c r="L850" s="186">
        <v>130.85</v>
      </c>
      <c r="M850" s="187">
        <v>129.80000000000001</v>
      </c>
      <c r="N850" s="188">
        <f t="shared" si="672"/>
        <v>5</v>
      </c>
      <c r="O850" s="188">
        <f t="shared" si="673"/>
        <v>5</v>
      </c>
      <c r="P850" s="189">
        <f t="shared" si="674"/>
        <v>26065</v>
      </c>
      <c r="Q850" s="189">
        <f t="shared" si="675"/>
        <v>-104.99999999999829</v>
      </c>
      <c r="R850" s="189">
        <f t="shared" si="676"/>
        <v>10</v>
      </c>
      <c r="S850" s="189">
        <f t="shared" si="687"/>
        <v>1.24</v>
      </c>
      <c r="T850" s="189">
        <f t="shared" si="678"/>
        <v>3.26</v>
      </c>
      <c r="U850" s="189">
        <f t="shared" si="688"/>
        <v>2.61</v>
      </c>
      <c r="V850" s="189">
        <f t="shared" si="686"/>
        <v>0.95</v>
      </c>
      <c r="W850" s="189">
        <v>0</v>
      </c>
      <c r="X850" s="189">
        <f t="shared" si="681"/>
        <v>18.059999999999999</v>
      </c>
      <c r="Y850" s="190">
        <f t="shared" si="682"/>
        <v>-123.06</v>
      </c>
      <c r="Z850" s="191">
        <v>-68.319999999999993</v>
      </c>
      <c r="AA850" s="192">
        <f>Z850-(Y850+Y851)</f>
        <v>-15.499999999999986</v>
      </c>
      <c r="AB850" s="193">
        <f t="shared" si="684"/>
        <v>-8.0244554833777838E-3</v>
      </c>
      <c r="AC850" s="194">
        <f t="shared" si="685"/>
        <v>6.9300000000000004E-4</v>
      </c>
      <c r="AD850" s="189"/>
      <c r="AE850" s="195" t="s">
        <v>449</v>
      </c>
      <c r="AF850" s="119"/>
    </row>
    <row r="851" spans="1:32" ht="12" hidden="1" customHeight="1">
      <c r="A851" s="183">
        <v>41023</v>
      </c>
      <c r="B851" s="184" t="s">
        <v>459</v>
      </c>
      <c r="C851" s="184"/>
      <c r="D851" s="184"/>
      <c r="E851" s="184"/>
      <c r="F851" s="184"/>
      <c r="G851" s="184"/>
      <c r="H851" s="184" t="s">
        <v>654</v>
      </c>
      <c r="I851" s="184" t="s">
        <v>447</v>
      </c>
      <c r="J851" s="184" t="s">
        <v>448</v>
      </c>
      <c r="K851" s="185">
        <v>50</v>
      </c>
      <c r="L851" s="186">
        <v>315.81700000000001</v>
      </c>
      <c r="M851" s="187">
        <v>317.5</v>
      </c>
      <c r="N851" s="188">
        <f t="shared" si="672"/>
        <v>2.5</v>
      </c>
      <c r="O851" s="188">
        <f t="shared" si="673"/>
        <v>2.5</v>
      </c>
      <c r="P851" s="189">
        <f t="shared" si="674"/>
        <v>31665.85</v>
      </c>
      <c r="Q851" s="189">
        <f t="shared" si="675"/>
        <v>84.149999999999636</v>
      </c>
      <c r="R851" s="189">
        <f t="shared" si="676"/>
        <v>5</v>
      </c>
      <c r="S851" s="189">
        <f t="shared" si="687"/>
        <v>0.62</v>
      </c>
      <c r="T851" s="189">
        <f t="shared" si="678"/>
        <v>3.96</v>
      </c>
      <c r="U851" s="189">
        <f t="shared" si="688"/>
        <v>3.17</v>
      </c>
      <c r="V851" s="189">
        <f t="shared" si="686"/>
        <v>1.1599999999999999</v>
      </c>
      <c r="W851" s="189">
        <v>0</v>
      </c>
      <c r="X851" s="189">
        <f t="shared" si="681"/>
        <v>13.91</v>
      </c>
      <c r="Y851" s="190">
        <f t="shared" si="682"/>
        <v>70.239999999999995</v>
      </c>
      <c r="Z851" s="191"/>
      <c r="AA851" s="192"/>
      <c r="AB851" s="193">
        <f t="shared" si="684"/>
        <v>5.3290354857401367E-3</v>
      </c>
      <c r="AC851" s="194">
        <f t="shared" si="685"/>
        <v>4.3899999999999999E-4</v>
      </c>
      <c r="AD851" s="189"/>
      <c r="AE851" s="195" t="s">
        <v>449</v>
      </c>
      <c r="AF851" s="119"/>
    </row>
    <row r="852" spans="1:32" ht="12" hidden="1" customHeight="1">
      <c r="A852" s="183">
        <v>41029</v>
      </c>
      <c r="B852" s="184" t="s">
        <v>481</v>
      </c>
      <c r="C852" s="184"/>
      <c r="D852" s="184"/>
      <c r="E852" s="184"/>
      <c r="F852" s="184"/>
      <c r="G852" s="184"/>
      <c r="H852" s="184" t="s">
        <v>654</v>
      </c>
      <c r="I852" s="184" t="s">
        <v>447</v>
      </c>
      <c r="J852" s="184" t="s">
        <v>448</v>
      </c>
      <c r="K852" s="185">
        <v>100</v>
      </c>
      <c r="L852" s="186">
        <v>96.85</v>
      </c>
      <c r="M852" s="187">
        <v>94.35</v>
      </c>
      <c r="N852" s="188">
        <f t="shared" si="672"/>
        <v>5</v>
      </c>
      <c r="O852" s="188">
        <f t="shared" si="673"/>
        <v>5</v>
      </c>
      <c r="P852" s="189">
        <f t="shared" si="674"/>
        <v>19120</v>
      </c>
      <c r="Q852" s="189">
        <f t="shared" si="675"/>
        <v>-250</v>
      </c>
      <c r="R852" s="189">
        <f t="shared" si="676"/>
        <v>10</v>
      </c>
      <c r="S852" s="189">
        <f t="shared" si="687"/>
        <v>1.24</v>
      </c>
      <c r="T852" s="189">
        <f t="shared" si="678"/>
        <v>2.39</v>
      </c>
      <c r="U852" s="189">
        <f t="shared" si="688"/>
        <v>1.91</v>
      </c>
      <c r="V852" s="189">
        <f t="shared" si="686"/>
        <v>0.7</v>
      </c>
      <c r="W852" s="189">
        <v>0</v>
      </c>
      <c r="X852" s="189">
        <f t="shared" si="681"/>
        <v>16.240000000000002</v>
      </c>
      <c r="Y852" s="190">
        <f t="shared" si="682"/>
        <v>-266.24</v>
      </c>
      <c r="Z852" s="191">
        <v>-279.10000000000002</v>
      </c>
      <c r="AA852" s="192">
        <f>Z852-(Y852+Y853)</f>
        <v>-36.980000000000018</v>
      </c>
      <c r="AB852" s="193">
        <f t="shared" si="684"/>
        <v>-2.581311306143521E-2</v>
      </c>
      <c r="AC852" s="194">
        <f t="shared" si="685"/>
        <v>8.4900000000000004E-4</v>
      </c>
      <c r="AD852" s="189"/>
      <c r="AE852" s="195" t="s">
        <v>449</v>
      </c>
      <c r="AF852" s="119"/>
    </row>
    <row r="853" spans="1:32" ht="12" hidden="1" customHeight="1">
      <c r="A853" s="183">
        <v>41029</v>
      </c>
      <c r="B853" s="184" t="s">
        <v>459</v>
      </c>
      <c r="C853" s="184"/>
      <c r="D853" s="184"/>
      <c r="E853" s="184"/>
      <c r="F853" s="184"/>
      <c r="G853" s="184"/>
      <c r="H853" s="184" t="s">
        <v>654</v>
      </c>
      <c r="I853" s="184" t="s">
        <v>447</v>
      </c>
      <c r="J853" s="184" t="s">
        <v>448</v>
      </c>
      <c r="K853" s="185">
        <v>150</v>
      </c>
      <c r="L853" s="186">
        <v>312.45</v>
      </c>
      <c r="M853" s="187">
        <v>312.88666666666666</v>
      </c>
      <c r="N853" s="188">
        <f t="shared" si="672"/>
        <v>7.5</v>
      </c>
      <c r="O853" s="188">
        <f t="shared" si="673"/>
        <v>7.5</v>
      </c>
      <c r="P853" s="189">
        <f t="shared" si="674"/>
        <v>93800.5</v>
      </c>
      <c r="Q853" s="189">
        <f t="shared" si="675"/>
        <v>65.500000000000114</v>
      </c>
      <c r="R853" s="189">
        <f t="shared" si="676"/>
        <v>15</v>
      </c>
      <c r="S853" s="189">
        <f t="shared" si="687"/>
        <v>1.85</v>
      </c>
      <c r="T853" s="189">
        <f t="shared" si="678"/>
        <v>11.73</v>
      </c>
      <c r="U853" s="189">
        <f t="shared" si="688"/>
        <v>9.3800000000000008</v>
      </c>
      <c r="V853" s="189">
        <f t="shared" si="686"/>
        <v>3.42</v>
      </c>
      <c r="W853" s="189">
        <v>0</v>
      </c>
      <c r="X853" s="189">
        <f t="shared" si="681"/>
        <v>41.38</v>
      </c>
      <c r="Y853" s="190">
        <f t="shared" si="682"/>
        <v>24.12</v>
      </c>
      <c r="Z853" s="191"/>
      <c r="AA853" s="192"/>
      <c r="AB853" s="193">
        <f t="shared" si="684"/>
        <v>1.397556942444127E-3</v>
      </c>
      <c r="AC853" s="194">
        <f t="shared" si="685"/>
        <v>4.4099999999999999E-4</v>
      </c>
      <c r="AD853" s="189"/>
      <c r="AE853" s="195" t="s">
        <v>449</v>
      </c>
      <c r="AF853" s="119"/>
    </row>
    <row r="854" spans="1:32" ht="12" hidden="1" customHeight="1">
      <c r="A854" s="183">
        <v>41198</v>
      </c>
      <c r="B854" s="184" t="s">
        <v>658</v>
      </c>
      <c r="C854" s="184"/>
      <c r="D854" s="184"/>
      <c r="E854" s="184"/>
      <c r="F854" s="184"/>
      <c r="G854" s="184"/>
      <c r="H854" s="184" t="s">
        <v>654</v>
      </c>
      <c r="I854" s="184" t="s">
        <v>447</v>
      </c>
      <c r="J854" s="184" t="s">
        <v>448</v>
      </c>
      <c r="K854" s="185">
        <v>20</v>
      </c>
      <c r="L854" s="186">
        <v>297.7</v>
      </c>
      <c r="M854" s="187">
        <v>290.45</v>
      </c>
      <c r="N854" s="188">
        <f t="shared" si="672"/>
        <v>1</v>
      </c>
      <c r="O854" s="188">
        <f t="shared" si="673"/>
        <v>1</v>
      </c>
      <c r="P854" s="189">
        <f t="shared" si="674"/>
        <v>11763</v>
      </c>
      <c r="Q854" s="189">
        <f t="shared" si="675"/>
        <v>-145</v>
      </c>
      <c r="R854" s="189">
        <f t="shared" si="676"/>
        <v>2</v>
      </c>
      <c r="S854" s="189">
        <f t="shared" si="687"/>
        <v>0.25</v>
      </c>
      <c r="T854" s="189">
        <f t="shared" si="678"/>
        <v>1.47</v>
      </c>
      <c r="U854" s="189">
        <f t="shared" si="688"/>
        <v>1.18</v>
      </c>
      <c r="V854" s="189">
        <f t="shared" si="686"/>
        <v>0.43</v>
      </c>
      <c r="W854" s="189">
        <v>0</v>
      </c>
      <c r="X854" s="189">
        <f t="shared" si="681"/>
        <v>5.3299999999999992</v>
      </c>
      <c r="Y854" s="190">
        <f t="shared" si="682"/>
        <v>-150.33000000000001</v>
      </c>
      <c r="Z854" s="191">
        <v>-154.35</v>
      </c>
      <c r="AA854" s="192">
        <f t="shared" ref="AA854:AA878" si="689">Z854-Y854</f>
        <v>-4.0199999999999818</v>
      </c>
      <c r="AB854" s="193">
        <f t="shared" si="684"/>
        <v>-2.4353375881760161E-2</v>
      </c>
      <c r="AC854" s="194">
        <f t="shared" si="685"/>
        <v>4.5300000000000001E-4</v>
      </c>
      <c r="AD854" s="189"/>
      <c r="AE854" s="195" t="s">
        <v>449</v>
      </c>
      <c r="AF854" s="119"/>
    </row>
    <row r="855" spans="1:32" ht="12" hidden="1" customHeight="1">
      <c r="A855" s="183">
        <v>41199</v>
      </c>
      <c r="B855" s="184" t="s">
        <v>463</v>
      </c>
      <c r="C855" s="184"/>
      <c r="D855" s="184"/>
      <c r="E855" s="184"/>
      <c r="F855" s="184"/>
      <c r="G855" s="184"/>
      <c r="H855" s="184" t="s">
        <v>654</v>
      </c>
      <c r="I855" s="184" t="s">
        <v>447</v>
      </c>
      <c r="J855" s="184" t="s">
        <v>448</v>
      </c>
      <c r="K855" s="185">
        <v>50</v>
      </c>
      <c r="L855" s="186">
        <v>130.19999999999999</v>
      </c>
      <c r="M855" s="187">
        <v>129.55000000000001</v>
      </c>
      <c r="N855" s="188">
        <f t="shared" si="672"/>
        <v>2.5</v>
      </c>
      <c r="O855" s="188">
        <f t="shared" si="673"/>
        <v>2.5</v>
      </c>
      <c r="P855" s="189">
        <f t="shared" si="674"/>
        <v>12987.5</v>
      </c>
      <c r="Q855" s="189">
        <f t="shared" si="675"/>
        <v>-32.499999999998863</v>
      </c>
      <c r="R855" s="189">
        <f t="shared" si="676"/>
        <v>5</v>
      </c>
      <c r="S855" s="189">
        <f t="shared" si="687"/>
        <v>0.62</v>
      </c>
      <c r="T855" s="189">
        <f t="shared" si="678"/>
        <v>1.62</v>
      </c>
      <c r="U855" s="189">
        <f t="shared" si="688"/>
        <v>1.3</v>
      </c>
      <c r="V855" s="189">
        <f t="shared" si="686"/>
        <v>0.47</v>
      </c>
      <c r="W855" s="189">
        <v>0</v>
      </c>
      <c r="X855" s="189">
        <f t="shared" si="681"/>
        <v>9.0100000000000016</v>
      </c>
      <c r="Y855" s="190">
        <f t="shared" si="682"/>
        <v>-41.51</v>
      </c>
      <c r="Z855" s="191">
        <v>-43.57</v>
      </c>
      <c r="AA855" s="192">
        <f t="shared" si="689"/>
        <v>-2.0600000000000023</v>
      </c>
      <c r="AB855" s="193">
        <f t="shared" si="684"/>
        <v>-4.9923195084483661E-3</v>
      </c>
      <c r="AC855" s="194">
        <f t="shared" si="685"/>
        <v>6.9399999999999996E-4</v>
      </c>
      <c r="AD855" s="189"/>
      <c r="AE855" s="195" t="s">
        <v>449</v>
      </c>
      <c r="AF855" s="119"/>
    </row>
    <row r="856" spans="1:32" ht="12" hidden="1" customHeight="1">
      <c r="A856" s="183">
        <v>41200</v>
      </c>
      <c r="B856" s="184" t="s">
        <v>659</v>
      </c>
      <c r="C856" s="184"/>
      <c r="D856" s="184"/>
      <c r="E856" s="184"/>
      <c r="F856" s="184"/>
      <c r="G856" s="184"/>
      <c r="H856" s="184" t="s">
        <v>654</v>
      </c>
      <c r="I856" s="184" t="s">
        <v>447</v>
      </c>
      <c r="J856" s="184" t="s">
        <v>448</v>
      </c>
      <c r="K856" s="185">
        <v>10</v>
      </c>
      <c r="L856" s="186">
        <v>722.7</v>
      </c>
      <c r="M856" s="187">
        <v>732.55</v>
      </c>
      <c r="N856" s="188">
        <f t="shared" si="672"/>
        <v>0.5</v>
      </c>
      <c r="O856" s="188">
        <f t="shared" si="673"/>
        <v>0.5</v>
      </c>
      <c r="P856" s="189">
        <f t="shared" si="674"/>
        <v>14552.5</v>
      </c>
      <c r="Q856" s="189">
        <f t="shared" si="675"/>
        <v>98.499999999999091</v>
      </c>
      <c r="R856" s="189">
        <f t="shared" si="676"/>
        <v>1</v>
      </c>
      <c r="S856" s="189">
        <f t="shared" si="687"/>
        <v>0.12</v>
      </c>
      <c r="T856" s="189">
        <f t="shared" si="678"/>
        <v>1.82</v>
      </c>
      <c r="U856" s="189">
        <f t="shared" si="688"/>
        <v>1.46</v>
      </c>
      <c r="V856" s="189">
        <f t="shared" si="686"/>
        <v>0.53</v>
      </c>
      <c r="W856" s="189">
        <v>0</v>
      </c>
      <c r="X856" s="189">
        <f t="shared" si="681"/>
        <v>4.9300000000000006</v>
      </c>
      <c r="Y856" s="190">
        <f t="shared" si="682"/>
        <v>93.57</v>
      </c>
      <c r="Z856" s="191">
        <v>86.33</v>
      </c>
      <c r="AA856" s="192">
        <f t="shared" si="689"/>
        <v>-7.2399999999999949</v>
      </c>
      <c r="AB856" s="193">
        <f t="shared" si="684"/>
        <v>1.3629445136294325E-2</v>
      </c>
      <c r="AC856" s="194">
        <f t="shared" si="685"/>
        <v>3.39E-4</v>
      </c>
      <c r="AD856" s="189"/>
      <c r="AE856" s="195" t="s">
        <v>449</v>
      </c>
      <c r="AF856" s="119"/>
    </row>
    <row r="857" spans="1:32" ht="12" hidden="1" customHeight="1">
      <c r="A857" s="183">
        <v>41201</v>
      </c>
      <c r="B857" s="184" t="s">
        <v>463</v>
      </c>
      <c r="C857" s="184"/>
      <c r="D857" s="184"/>
      <c r="E857" s="184"/>
      <c r="F857" s="184"/>
      <c r="G857" s="184"/>
      <c r="H857" s="184" t="s">
        <v>654</v>
      </c>
      <c r="I857" s="184" t="s">
        <v>447</v>
      </c>
      <c r="J857" s="184" t="s">
        <v>448</v>
      </c>
      <c r="K857" s="185">
        <v>50</v>
      </c>
      <c r="L857" s="186">
        <v>130.85</v>
      </c>
      <c r="M857" s="187">
        <v>129.44999999999999</v>
      </c>
      <c r="N857" s="188">
        <f t="shared" si="672"/>
        <v>2.5</v>
      </c>
      <c r="O857" s="188">
        <f t="shared" si="673"/>
        <v>2.5</v>
      </c>
      <c r="P857" s="189">
        <f t="shared" si="674"/>
        <v>13015</v>
      </c>
      <c r="Q857" s="189">
        <f t="shared" si="675"/>
        <v>-70.000000000000284</v>
      </c>
      <c r="R857" s="189">
        <f t="shared" si="676"/>
        <v>5</v>
      </c>
      <c r="S857" s="189">
        <f t="shared" si="687"/>
        <v>0.62</v>
      </c>
      <c r="T857" s="189">
        <f t="shared" si="678"/>
        <v>1.63</v>
      </c>
      <c r="U857" s="189">
        <f t="shared" si="688"/>
        <v>1.3</v>
      </c>
      <c r="V857" s="189">
        <f t="shared" si="686"/>
        <v>0.48</v>
      </c>
      <c r="W857" s="189">
        <v>0</v>
      </c>
      <c r="X857" s="189">
        <f t="shared" si="681"/>
        <v>9.0300000000000011</v>
      </c>
      <c r="Y857" s="190">
        <f t="shared" si="682"/>
        <v>-79.03</v>
      </c>
      <c r="Z857" s="191">
        <v>-81.08</v>
      </c>
      <c r="AA857" s="192">
        <f t="shared" si="689"/>
        <v>-2.0499999999999972</v>
      </c>
      <c r="AB857" s="193">
        <f t="shared" si="684"/>
        <v>-1.0699273977837261E-2</v>
      </c>
      <c r="AC857" s="194">
        <f t="shared" si="685"/>
        <v>6.9399999999999996E-4</v>
      </c>
      <c r="AD857" s="189"/>
      <c r="AE857" s="195" t="s">
        <v>449</v>
      </c>
      <c r="AF857" s="119"/>
    </row>
    <row r="858" spans="1:32" ht="12" hidden="1" customHeight="1">
      <c r="A858" s="183">
        <v>41205</v>
      </c>
      <c r="B858" s="184" t="s">
        <v>466</v>
      </c>
      <c r="C858" s="184"/>
      <c r="D858" s="184"/>
      <c r="E858" s="184"/>
      <c r="F858" s="184"/>
      <c r="G858" s="184"/>
      <c r="H858" s="184" t="s">
        <v>654</v>
      </c>
      <c r="I858" s="184" t="s">
        <v>447</v>
      </c>
      <c r="J858" s="184" t="s">
        <v>448</v>
      </c>
      <c r="K858" s="185">
        <v>20</v>
      </c>
      <c r="L858" s="186">
        <v>223.8</v>
      </c>
      <c r="M858" s="187">
        <v>224.15</v>
      </c>
      <c r="N858" s="188">
        <f t="shared" si="672"/>
        <v>1</v>
      </c>
      <c r="O858" s="188">
        <f t="shared" si="673"/>
        <v>1</v>
      </c>
      <c r="P858" s="189">
        <f t="shared" si="674"/>
        <v>8959</v>
      </c>
      <c r="Q858" s="189">
        <f t="shared" si="675"/>
        <v>6.9999999999998863</v>
      </c>
      <c r="R858" s="189">
        <f t="shared" si="676"/>
        <v>2</v>
      </c>
      <c r="S858" s="189">
        <f t="shared" si="687"/>
        <v>0.25</v>
      </c>
      <c r="T858" s="189">
        <f t="shared" si="678"/>
        <v>1.1200000000000001</v>
      </c>
      <c r="U858" s="189">
        <f t="shared" si="688"/>
        <v>0.9</v>
      </c>
      <c r="V858" s="189">
        <f t="shared" si="686"/>
        <v>0.33</v>
      </c>
      <c r="W858" s="189">
        <v>0</v>
      </c>
      <c r="X858" s="189">
        <f t="shared" si="681"/>
        <v>4.6000000000000005</v>
      </c>
      <c r="Y858" s="190">
        <f t="shared" si="682"/>
        <v>2.4</v>
      </c>
      <c r="Z858" s="191">
        <v>-0.17</v>
      </c>
      <c r="AA858" s="192">
        <f t="shared" si="689"/>
        <v>-2.57</v>
      </c>
      <c r="AB858" s="193">
        <f t="shared" si="684"/>
        <v>1.563896336014273E-3</v>
      </c>
      <c r="AC858" s="194">
        <f t="shared" si="685"/>
        <v>5.13E-4</v>
      </c>
      <c r="AD858" s="189"/>
      <c r="AE858" s="195" t="s">
        <v>449</v>
      </c>
      <c r="AF858" s="119"/>
    </row>
    <row r="859" spans="1:32" ht="12" hidden="1" customHeight="1">
      <c r="A859" s="183">
        <v>41205</v>
      </c>
      <c r="B859" s="184" t="s">
        <v>658</v>
      </c>
      <c r="C859" s="184"/>
      <c r="D859" s="184"/>
      <c r="E859" s="184"/>
      <c r="F859" s="184"/>
      <c r="G859" s="184"/>
      <c r="H859" s="184" t="s">
        <v>654</v>
      </c>
      <c r="I859" s="184" t="s">
        <v>447</v>
      </c>
      <c r="J859" s="184" t="s">
        <v>448</v>
      </c>
      <c r="K859" s="185">
        <v>20</v>
      </c>
      <c r="L859" s="186">
        <v>291</v>
      </c>
      <c r="M859" s="187">
        <v>290.89999999999998</v>
      </c>
      <c r="N859" s="188">
        <f t="shared" si="672"/>
        <v>1</v>
      </c>
      <c r="O859" s="188">
        <f t="shared" si="673"/>
        <v>1</v>
      </c>
      <c r="P859" s="189">
        <f t="shared" si="674"/>
        <v>11638</v>
      </c>
      <c r="Q859" s="189">
        <f t="shared" si="675"/>
        <v>-2.0000000000004547</v>
      </c>
      <c r="R859" s="189">
        <f t="shared" si="676"/>
        <v>2</v>
      </c>
      <c r="S859" s="189">
        <f t="shared" si="687"/>
        <v>0.25</v>
      </c>
      <c r="T859" s="189">
        <f t="shared" si="678"/>
        <v>1.45</v>
      </c>
      <c r="U859" s="189">
        <f t="shared" si="688"/>
        <v>1.1599999999999999</v>
      </c>
      <c r="V859" s="189">
        <f t="shared" si="686"/>
        <v>0.42</v>
      </c>
      <c r="W859" s="189">
        <v>0</v>
      </c>
      <c r="X859" s="189">
        <f t="shared" si="681"/>
        <v>5.28</v>
      </c>
      <c r="Y859" s="190">
        <f t="shared" si="682"/>
        <v>-7.28</v>
      </c>
      <c r="Z859" s="191">
        <v>-11.32</v>
      </c>
      <c r="AA859" s="192">
        <f t="shared" si="689"/>
        <v>-4.04</v>
      </c>
      <c r="AB859" s="193">
        <f t="shared" si="684"/>
        <v>-3.4364261168392694E-4</v>
      </c>
      <c r="AC859" s="194">
        <f t="shared" si="685"/>
        <v>4.5399999999999998E-4</v>
      </c>
      <c r="AD859" s="189"/>
      <c r="AE859" s="195" t="s">
        <v>449</v>
      </c>
      <c r="AF859" s="119"/>
    </row>
    <row r="860" spans="1:32" ht="12" hidden="1" customHeight="1">
      <c r="A860" s="183">
        <v>41208</v>
      </c>
      <c r="B860" s="184" t="s">
        <v>576</v>
      </c>
      <c r="C860" s="184"/>
      <c r="D860" s="184"/>
      <c r="E860" s="184"/>
      <c r="F860" s="184"/>
      <c r="G860" s="184"/>
      <c r="H860" s="184" t="s">
        <v>654</v>
      </c>
      <c r="I860" s="184" t="s">
        <v>447</v>
      </c>
      <c r="J860" s="184" t="s">
        <v>448</v>
      </c>
      <c r="K860" s="185">
        <v>20</v>
      </c>
      <c r="L860" s="186">
        <v>287.55</v>
      </c>
      <c r="M860" s="187">
        <v>287</v>
      </c>
      <c r="N860" s="188">
        <f t="shared" si="672"/>
        <v>1</v>
      </c>
      <c r="O860" s="188">
        <f t="shared" si="673"/>
        <v>1</v>
      </c>
      <c r="P860" s="189">
        <f t="shared" si="674"/>
        <v>11491</v>
      </c>
      <c r="Q860" s="189">
        <f t="shared" si="675"/>
        <v>-11.000000000000227</v>
      </c>
      <c r="R860" s="189">
        <f t="shared" si="676"/>
        <v>2</v>
      </c>
      <c r="S860" s="189">
        <f t="shared" si="687"/>
        <v>0.25</v>
      </c>
      <c r="T860" s="189">
        <f t="shared" si="678"/>
        <v>1.44</v>
      </c>
      <c r="U860" s="189">
        <f t="shared" si="688"/>
        <v>1.1499999999999999</v>
      </c>
      <c r="V860" s="189">
        <f t="shared" si="686"/>
        <v>0.42</v>
      </c>
      <c r="W860" s="189">
        <v>0</v>
      </c>
      <c r="X860" s="189">
        <f t="shared" si="681"/>
        <v>5.26</v>
      </c>
      <c r="Y860" s="190">
        <f t="shared" si="682"/>
        <v>-16.260000000000002</v>
      </c>
      <c r="Z860" s="191">
        <v>-20.49</v>
      </c>
      <c r="AA860" s="192">
        <f t="shared" si="689"/>
        <v>-4.2299999999999969</v>
      </c>
      <c r="AB860" s="193">
        <f t="shared" si="684"/>
        <v>-1.9127108328986658E-3</v>
      </c>
      <c r="AC860" s="194">
        <f t="shared" si="685"/>
        <v>4.5800000000000002E-4</v>
      </c>
      <c r="AD860" s="189"/>
      <c r="AE860" s="195" t="s">
        <v>449</v>
      </c>
      <c r="AF860" s="119"/>
    </row>
    <row r="861" spans="1:32" ht="12" hidden="1" customHeight="1">
      <c r="A861" s="183">
        <v>41212</v>
      </c>
      <c r="B861" s="184" t="s">
        <v>660</v>
      </c>
      <c r="C861" s="184"/>
      <c r="D861" s="184"/>
      <c r="E861" s="184"/>
      <c r="F861" s="184"/>
      <c r="G861" s="184"/>
      <c r="H861" s="184" t="s">
        <v>654</v>
      </c>
      <c r="I861" s="184" t="s">
        <v>447</v>
      </c>
      <c r="J861" s="184" t="s">
        <v>448</v>
      </c>
      <c r="K861" s="185">
        <v>60</v>
      </c>
      <c r="L861" s="186">
        <v>381.77</v>
      </c>
      <c r="M861" s="187">
        <v>380.82</v>
      </c>
      <c r="N861" s="188">
        <f t="shared" si="672"/>
        <v>3</v>
      </c>
      <c r="O861" s="188">
        <f t="shared" si="673"/>
        <v>3</v>
      </c>
      <c r="P861" s="189">
        <f t="shared" si="674"/>
        <v>45755.4</v>
      </c>
      <c r="Q861" s="189">
        <f t="shared" si="675"/>
        <v>-56.999999999999318</v>
      </c>
      <c r="R861" s="189">
        <f t="shared" si="676"/>
        <v>6</v>
      </c>
      <c r="S861" s="189">
        <f t="shared" si="687"/>
        <v>0.74</v>
      </c>
      <c r="T861" s="189">
        <f t="shared" si="678"/>
        <v>5.72</v>
      </c>
      <c r="U861" s="189">
        <f t="shared" si="688"/>
        <v>4.58</v>
      </c>
      <c r="V861" s="189">
        <f t="shared" si="686"/>
        <v>1.67</v>
      </c>
      <c r="W861" s="189">
        <v>0</v>
      </c>
      <c r="X861" s="189">
        <f t="shared" si="681"/>
        <v>18.71</v>
      </c>
      <c r="Y861" s="190">
        <f t="shared" si="682"/>
        <v>-75.709999999999994</v>
      </c>
      <c r="Z861" s="191">
        <v>-94.87</v>
      </c>
      <c r="AA861" s="192">
        <f t="shared" si="689"/>
        <v>-19.160000000000011</v>
      </c>
      <c r="AB861" s="193">
        <f t="shared" si="684"/>
        <v>-2.48840925164363E-3</v>
      </c>
      <c r="AC861" s="194">
        <f t="shared" si="685"/>
        <v>4.0900000000000002E-4</v>
      </c>
      <c r="AD861" s="189"/>
      <c r="AE861" s="195" t="s">
        <v>449</v>
      </c>
      <c r="AF861" s="119"/>
    </row>
    <row r="862" spans="1:32" ht="12" hidden="1" customHeight="1">
      <c r="A862" s="183">
        <v>41213</v>
      </c>
      <c r="B862" s="184" t="s">
        <v>661</v>
      </c>
      <c r="C862" s="184"/>
      <c r="D862" s="184"/>
      <c r="E862" s="184"/>
      <c r="F862" s="184"/>
      <c r="G862" s="184"/>
      <c r="H862" s="184" t="s">
        <v>654</v>
      </c>
      <c r="I862" s="184" t="s">
        <v>447</v>
      </c>
      <c r="J862" s="184" t="s">
        <v>448</v>
      </c>
      <c r="K862" s="185">
        <v>30</v>
      </c>
      <c r="L862" s="186">
        <v>74.95</v>
      </c>
      <c r="M862" s="187">
        <v>75.349999999999994</v>
      </c>
      <c r="N862" s="188">
        <f t="shared" si="672"/>
        <v>1.5</v>
      </c>
      <c r="O862" s="188">
        <f t="shared" si="673"/>
        <v>1.5</v>
      </c>
      <c r="P862" s="189">
        <f t="shared" si="674"/>
        <v>4509</v>
      </c>
      <c r="Q862" s="189">
        <f t="shared" si="675"/>
        <v>11.999999999999744</v>
      </c>
      <c r="R862" s="189">
        <f t="shared" si="676"/>
        <v>3</v>
      </c>
      <c r="S862" s="189">
        <f t="shared" si="687"/>
        <v>0.37</v>
      </c>
      <c r="T862" s="189">
        <f t="shared" si="678"/>
        <v>0.56000000000000005</v>
      </c>
      <c r="U862" s="189">
        <f t="shared" si="688"/>
        <v>0.45</v>
      </c>
      <c r="V862" s="189">
        <f t="shared" si="686"/>
        <v>0.16</v>
      </c>
      <c r="W862" s="189">
        <v>0</v>
      </c>
      <c r="X862" s="189">
        <f t="shared" si="681"/>
        <v>4.54</v>
      </c>
      <c r="Y862" s="190">
        <f t="shared" si="682"/>
        <v>7.46</v>
      </c>
      <c r="Z862" s="191">
        <v>7.01</v>
      </c>
      <c r="AA862" s="192">
        <f t="shared" si="689"/>
        <v>-0.45000000000000018</v>
      </c>
      <c r="AB862" s="193">
        <f t="shared" si="684"/>
        <v>5.3368912608404463E-3</v>
      </c>
      <c r="AC862" s="194">
        <f t="shared" si="685"/>
        <v>1.0070000000000001E-3</v>
      </c>
      <c r="AD862" s="189"/>
      <c r="AE862" s="195" t="s">
        <v>449</v>
      </c>
      <c r="AF862" s="119"/>
    </row>
    <row r="863" spans="1:32" ht="12" hidden="1" customHeight="1">
      <c r="A863" s="183">
        <v>41215</v>
      </c>
      <c r="B863" s="184" t="s">
        <v>466</v>
      </c>
      <c r="C863" s="184"/>
      <c r="D863" s="184"/>
      <c r="E863" s="184"/>
      <c r="F863" s="184"/>
      <c r="G863" s="184"/>
      <c r="H863" s="184" t="s">
        <v>654</v>
      </c>
      <c r="I863" s="184" t="s">
        <v>447</v>
      </c>
      <c r="J863" s="184" t="s">
        <v>448</v>
      </c>
      <c r="K863" s="185">
        <v>20</v>
      </c>
      <c r="L863" s="186">
        <v>226.85</v>
      </c>
      <c r="M863" s="187">
        <v>230</v>
      </c>
      <c r="N863" s="188">
        <f t="shared" si="672"/>
        <v>1</v>
      </c>
      <c r="O863" s="188">
        <f t="shared" si="673"/>
        <v>1</v>
      </c>
      <c r="P863" s="189">
        <f t="shared" si="674"/>
        <v>9137</v>
      </c>
      <c r="Q863" s="189">
        <f t="shared" si="675"/>
        <v>63.000000000000114</v>
      </c>
      <c r="R863" s="189">
        <f t="shared" si="676"/>
        <v>2</v>
      </c>
      <c r="S863" s="189">
        <f t="shared" si="687"/>
        <v>0.25</v>
      </c>
      <c r="T863" s="189">
        <f t="shared" si="678"/>
        <v>1.1399999999999999</v>
      </c>
      <c r="U863" s="189">
        <f t="shared" si="688"/>
        <v>0.91</v>
      </c>
      <c r="V863" s="189">
        <f t="shared" si="686"/>
        <v>0.33</v>
      </c>
      <c r="W863" s="189">
        <v>0</v>
      </c>
      <c r="X863" s="189">
        <f t="shared" si="681"/>
        <v>4.63</v>
      </c>
      <c r="Y863" s="190">
        <f t="shared" si="682"/>
        <v>58.37</v>
      </c>
      <c r="Z863" s="191">
        <v>55.59</v>
      </c>
      <c r="AA863" s="192">
        <f t="shared" si="689"/>
        <v>-2.779999999999994</v>
      </c>
      <c r="AB863" s="193">
        <f t="shared" si="684"/>
        <v>1.3885827639409327E-2</v>
      </c>
      <c r="AC863" s="194">
        <f t="shared" si="685"/>
        <v>5.0699999999999996E-4</v>
      </c>
      <c r="AD863" s="189"/>
      <c r="AE863" s="195" t="s">
        <v>449</v>
      </c>
      <c r="AF863" s="119"/>
    </row>
    <row r="864" spans="1:32" ht="12" hidden="1" customHeight="1">
      <c r="A864" s="183">
        <v>41218</v>
      </c>
      <c r="B864" s="184" t="s">
        <v>466</v>
      </c>
      <c r="C864" s="184"/>
      <c r="D864" s="184"/>
      <c r="E864" s="184"/>
      <c r="F864" s="184"/>
      <c r="G864" s="184"/>
      <c r="H864" s="184" t="s">
        <v>654</v>
      </c>
      <c r="I864" s="184" t="s">
        <v>447</v>
      </c>
      <c r="J864" s="184" t="s">
        <v>448</v>
      </c>
      <c r="K864" s="185">
        <v>30</v>
      </c>
      <c r="L864" s="186">
        <v>225</v>
      </c>
      <c r="M864" s="187">
        <v>225.9</v>
      </c>
      <c r="N864" s="188">
        <f t="shared" si="672"/>
        <v>1.5</v>
      </c>
      <c r="O864" s="188">
        <f t="shared" si="673"/>
        <v>1.5</v>
      </c>
      <c r="P864" s="189">
        <f t="shared" si="674"/>
        <v>13527</v>
      </c>
      <c r="Q864" s="189">
        <f t="shared" si="675"/>
        <v>27.000000000000171</v>
      </c>
      <c r="R864" s="189">
        <f t="shared" si="676"/>
        <v>3</v>
      </c>
      <c r="S864" s="189">
        <f t="shared" si="687"/>
        <v>0.37</v>
      </c>
      <c r="T864" s="189">
        <f t="shared" si="678"/>
        <v>1.69</v>
      </c>
      <c r="U864" s="189">
        <f t="shared" si="688"/>
        <v>1.35</v>
      </c>
      <c r="V864" s="189">
        <f t="shared" si="686"/>
        <v>0.49</v>
      </c>
      <c r="W864" s="189">
        <v>0</v>
      </c>
      <c r="X864" s="189">
        <f t="shared" si="681"/>
        <v>6.9</v>
      </c>
      <c r="Y864" s="190">
        <f t="shared" si="682"/>
        <v>20.100000000000001</v>
      </c>
      <c r="Z864" s="191">
        <v>16.05</v>
      </c>
      <c r="AA864" s="192">
        <f t="shared" si="689"/>
        <v>-4.0500000000000007</v>
      </c>
      <c r="AB864" s="193">
        <f t="shared" si="684"/>
        <v>4.0000000000000252E-3</v>
      </c>
      <c r="AC864" s="194">
        <f t="shared" si="685"/>
        <v>5.1000000000000004E-4</v>
      </c>
      <c r="AD864" s="189"/>
      <c r="AE864" s="195" t="s">
        <v>449</v>
      </c>
      <c r="AF864" s="119"/>
    </row>
    <row r="865" spans="1:32" ht="12" hidden="1" customHeight="1">
      <c r="A865" s="183">
        <v>41218</v>
      </c>
      <c r="B865" s="184" t="s">
        <v>658</v>
      </c>
      <c r="C865" s="184"/>
      <c r="D865" s="184"/>
      <c r="E865" s="184"/>
      <c r="F865" s="184"/>
      <c r="G865" s="184"/>
      <c r="H865" s="184" t="s">
        <v>654</v>
      </c>
      <c r="I865" s="184" t="s">
        <v>447</v>
      </c>
      <c r="J865" s="184" t="s">
        <v>448</v>
      </c>
      <c r="K865" s="185">
        <v>20</v>
      </c>
      <c r="L865" s="186">
        <v>327.25</v>
      </c>
      <c r="M865" s="187">
        <v>326</v>
      </c>
      <c r="N865" s="188">
        <f t="shared" si="672"/>
        <v>1</v>
      </c>
      <c r="O865" s="188">
        <f t="shared" si="673"/>
        <v>1</v>
      </c>
      <c r="P865" s="189">
        <f t="shared" si="674"/>
        <v>13065</v>
      </c>
      <c r="Q865" s="189">
        <f t="shared" si="675"/>
        <v>-25</v>
      </c>
      <c r="R865" s="189">
        <f t="shared" si="676"/>
        <v>2</v>
      </c>
      <c r="S865" s="189">
        <f t="shared" si="687"/>
        <v>0.25</v>
      </c>
      <c r="T865" s="189">
        <f t="shared" si="678"/>
        <v>1.63</v>
      </c>
      <c r="U865" s="189">
        <f t="shared" si="688"/>
        <v>1.31</v>
      </c>
      <c r="V865" s="189">
        <f t="shared" si="686"/>
        <v>0.48</v>
      </c>
      <c r="W865" s="189">
        <v>0</v>
      </c>
      <c r="X865" s="189">
        <f t="shared" si="681"/>
        <v>5.67</v>
      </c>
      <c r="Y865" s="190">
        <f t="shared" si="682"/>
        <v>-30.67</v>
      </c>
      <c r="Z865" s="191">
        <v>-35.61</v>
      </c>
      <c r="AA865" s="192">
        <f t="shared" si="689"/>
        <v>-4.9399999999999977</v>
      </c>
      <c r="AB865" s="193">
        <f t="shared" si="684"/>
        <v>-3.8197097020626434E-3</v>
      </c>
      <c r="AC865" s="194">
        <f t="shared" si="685"/>
        <v>4.3399999999999998E-4</v>
      </c>
      <c r="AD865" s="189"/>
      <c r="AE865" s="195" t="s">
        <v>449</v>
      </c>
      <c r="AF865" s="119"/>
    </row>
    <row r="866" spans="1:32" ht="12" hidden="1" customHeight="1">
      <c r="A866" s="183">
        <v>41218</v>
      </c>
      <c r="B866" s="184" t="s">
        <v>464</v>
      </c>
      <c r="C866" s="184"/>
      <c r="D866" s="184"/>
      <c r="E866" s="184"/>
      <c r="F866" s="184"/>
      <c r="G866" s="184"/>
      <c r="H866" s="184" t="s">
        <v>654</v>
      </c>
      <c r="I866" s="184" t="s">
        <v>447</v>
      </c>
      <c r="J866" s="184" t="s">
        <v>448</v>
      </c>
      <c r="K866" s="185">
        <v>30</v>
      </c>
      <c r="L866" s="186">
        <v>126.8</v>
      </c>
      <c r="M866" s="187">
        <v>126.67</v>
      </c>
      <c r="N866" s="188">
        <f t="shared" si="672"/>
        <v>1.5</v>
      </c>
      <c r="O866" s="188">
        <f t="shared" si="673"/>
        <v>1.5</v>
      </c>
      <c r="P866" s="189">
        <f t="shared" si="674"/>
        <v>7604.1</v>
      </c>
      <c r="Q866" s="189">
        <f t="shared" si="675"/>
        <v>-3.8999999999998636</v>
      </c>
      <c r="R866" s="189">
        <f t="shared" si="676"/>
        <v>3</v>
      </c>
      <c r="S866" s="189">
        <f t="shared" si="687"/>
        <v>0.37</v>
      </c>
      <c r="T866" s="189">
        <f t="shared" si="678"/>
        <v>0.95</v>
      </c>
      <c r="U866" s="189">
        <f t="shared" si="688"/>
        <v>0.76</v>
      </c>
      <c r="V866" s="189">
        <f t="shared" si="686"/>
        <v>0.28000000000000003</v>
      </c>
      <c r="W866" s="189">
        <v>0</v>
      </c>
      <c r="X866" s="189">
        <f t="shared" si="681"/>
        <v>5.36</v>
      </c>
      <c r="Y866" s="190">
        <f t="shared" si="682"/>
        <v>-9.26</v>
      </c>
      <c r="Z866" s="191">
        <f>-9.93+0.21</f>
        <v>-9.7199999999999989</v>
      </c>
      <c r="AA866" s="192">
        <f t="shared" si="689"/>
        <v>-0.45999999999999908</v>
      </c>
      <c r="AB866" s="193">
        <f t="shared" si="684"/>
        <v>-1.025236593059901E-3</v>
      </c>
      <c r="AC866" s="194">
        <f t="shared" si="685"/>
        <v>7.0500000000000001E-4</v>
      </c>
      <c r="AD866" s="189"/>
      <c r="AE866" s="195" t="s">
        <v>449</v>
      </c>
      <c r="AF866" s="119"/>
    </row>
    <row r="867" spans="1:32" ht="12" hidden="1" customHeight="1">
      <c r="A867" s="183">
        <v>41219</v>
      </c>
      <c r="B867" s="184" t="s">
        <v>457</v>
      </c>
      <c r="C867" s="184"/>
      <c r="D867" s="184"/>
      <c r="E867" s="184"/>
      <c r="F867" s="184"/>
      <c r="G867" s="184"/>
      <c r="H867" s="184" t="s">
        <v>654</v>
      </c>
      <c r="I867" s="184" t="s">
        <v>447</v>
      </c>
      <c r="J867" s="184" t="s">
        <v>448</v>
      </c>
      <c r="K867" s="185">
        <v>20</v>
      </c>
      <c r="L867" s="186">
        <v>231.9</v>
      </c>
      <c r="M867" s="187">
        <v>232.5</v>
      </c>
      <c r="N867" s="188">
        <f t="shared" si="672"/>
        <v>1</v>
      </c>
      <c r="O867" s="188">
        <f t="shared" si="673"/>
        <v>1</v>
      </c>
      <c r="P867" s="189">
        <f t="shared" si="674"/>
        <v>9288</v>
      </c>
      <c r="Q867" s="189">
        <f t="shared" si="675"/>
        <v>11.999999999999886</v>
      </c>
      <c r="R867" s="189">
        <f t="shared" si="676"/>
        <v>2</v>
      </c>
      <c r="S867" s="189">
        <f t="shared" si="687"/>
        <v>0.25</v>
      </c>
      <c r="T867" s="189">
        <f t="shared" si="678"/>
        <v>1.1599999999999999</v>
      </c>
      <c r="U867" s="189">
        <f t="shared" si="688"/>
        <v>0.93</v>
      </c>
      <c r="V867" s="189">
        <f t="shared" si="686"/>
        <v>0.34</v>
      </c>
      <c r="W867" s="189">
        <v>0</v>
      </c>
      <c r="X867" s="189">
        <f t="shared" si="681"/>
        <v>4.68</v>
      </c>
      <c r="Y867" s="190">
        <f t="shared" si="682"/>
        <v>7.32</v>
      </c>
      <c r="Z867" s="191">
        <v>4.18</v>
      </c>
      <c r="AA867" s="192">
        <f t="shared" si="689"/>
        <v>-3.1400000000000006</v>
      </c>
      <c r="AB867" s="193">
        <f t="shared" si="684"/>
        <v>2.5873221216041152E-3</v>
      </c>
      <c r="AC867" s="194">
        <f t="shared" si="685"/>
        <v>5.04E-4</v>
      </c>
      <c r="AD867" s="189"/>
      <c r="AE867" s="195" t="s">
        <v>449</v>
      </c>
      <c r="AF867" s="119"/>
    </row>
    <row r="868" spans="1:32" ht="12" hidden="1" customHeight="1">
      <c r="A868" s="183">
        <v>41220</v>
      </c>
      <c r="B868" s="184" t="s">
        <v>626</v>
      </c>
      <c r="C868" s="184"/>
      <c r="D868" s="184"/>
      <c r="E868" s="184"/>
      <c r="F868" s="184"/>
      <c r="G868" s="184"/>
      <c r="H868" s="184" t="s">
        <v>654</v>
      </c>
      <c r="I868" s="184" t="s">
        <v>447</v>
      </c>
      <c r="J868" s="184" t="s">
        <v>448</v>
      </c>
      <c r="K868" s="185">
        <v>20</v>
      </c>
      <c r="L868" s="186">
        <v>168.7</v>
      </c>
      <c r="M868" s="187">
        <v>169.2</v>
      </c>
      <c r="N868" s="188">
        <f t="shared" si="672"/>
        <v>1</v>
      </c>
      <c r="O868" s="188">
        <f t="shared" si="673"/>
        <v>1</v>
      </c>
      <c r="P868" s="189">
        <f t="shared" si="674"/>
        <v>6758</v>
      </c>
      <c r="Q868" s="189">
        <f t="shared" si="675"/>
        <v>10</v>
      </c>
      <c r="R868" s="189">
        <f t="shared" si="676"/>
        <v>2</v>
      </c>
      <c r="S868" s="189">
        <f t="shared" si="687"/>
        <v>0.25</v>
      </c>
      <c r="T868" s="189">
        <f t="shared" si="678"/>
        <v>0.84</v>
      </c>
      <c r="U868" s="189">
        <f t="shared" si="688"/>
        <v>0.68</v>
      </c>
      <c r="V868" s="189">
        <f t="shared" si="686"/>
        <v>0.25</v>
      </c>
      <c r="W868" s="189">
        <v>0</v>
      </c>
      <c r="X868" s="189">
        <f t="shared" si="681"/>
        <v>4.0199999999999996</v>
      </c>
      <c r="Y868" s="190">
        <f t="shared" si="682"/>
        <v>5.98</v>
      </c>
      <c r="Z868" s="191">
        <v>4.63</v>
      </c>
      <c r="AA868" s="192">
        <f t="shared" si="689"/>
        <v>-1.3500000000000005</v>
      </c>
      <c r="AB868" s="193">
        <f t="shared" si="684"/>
        <v>2.9638411381149973E-3</v>
      </c>
      <c r="AC868" s="194">
        <f t="shared" si="685"/>
        <v>5.9500000000000004E-4</v>
      </c>
      <c r="AD868" s="189"/>
      <c r="AE868" s="195" t="s">
        <v>449</v>
      </c>
      <c r="AF868" s="119"/>
    </row>
    <row r="869" spans="1:32" ht="12" hidden="1" customHeight="1">
      <c r="A869" s="183">
        <v>41220</v>
      </c>
      <c r="B869" s="184" t="s">
        <v>457</v>
      </c>
      <c r="C869" s="184"/>
      <c r="D869" s="184"/>
      <c r="E869" s="184"/>
      <c r="F869" s="184"/>
      <c r="G869" s="184"/>
      <c r="H869" s="184" t="s">
        <v>654</v>
      </c>
      <c r="I869" s="184" t="s">
        <v>447</v>
      </c>
      <c r="J869" s="184" t="s">
        <v>448</v>
      </c>
      <c r="K869" s="185">
        <v>72</v>
      </c>
      <c r="L869" s="186">
        <v>235.9333</v>
      </c>
      <c r="M869" s="187">
        <v>235.5</v>
      </c>
      <c r="N869" s="188">
        <f t="shared" si="672"/>
        <v>3.6</v>
      </c>
      <c r="O869" s="188">
        <f t="shared" si="673"/>
        <v>3.6</v>
      </c>
      <c r="P869" s="189">
        <f t="shared" si="674"/>
        <v>33943.199999999997</v>
      </c>
      <c r="Q869" s="189">
        <f t="shared" si="675"/>
        <v>-31.197600000000193</v>
      </c>
      <c r="R869" s="189">
        <f t="shared" si="676"/>
        <v>7.2</v>
      </c>
      <c r="S869" s="189">
        <f t="shared" si="687"/>
        <v>0.89</v>
      </c>
      <c r="T869" s="189">
        <f t="shared" si="678"/>
        <v>4.24</v>
      </c>
      <c r="U869" s="189">
        <f t="shared" si="688"/>
        <v>3.39</v>
      </c>
      <c r="V869" s="189">
        <f t="shared" si="686"/>
        <v>1.24</v>
      </c>
      <c r="W869" s="189">
        <v>0</v>
      </c>
      <c r="X869" s="189">
        <f t="shared" si="681"/>
        <v>16.96</v>
      </c>
      <c r="Y869" s="190">
        <f t="shared" si="682"/>
        <v>-48.16</v>
      </c>
      <c r="Z869" s="191">
        <f>-59.25-0.57</f>
        <v>-59.82</v>
      </c>
      <c r="AA869" s="192">
        <f t="shared" si="689"/>
        <v>-11.660000000000004</v>
      </c>
      <c r="AB869" s="193">
        <f t="shared" si="684"/>
        <v>-1.8365360040316593E-3</v>
      </c>
      <c r="AC869" s="194">
        <f t="shared" si="685"/>
        <v>5.0000000000000001E-4</v>
      </c>
      <c r="AD869" s="189"/>
      <c r="AE869" s="195" t="s">
        <v>449</v>
      </c>
      <c r="AF869" s="119"/>
    </row>
    <row r="870" spans="1:32" ht="12" hidden="1" customHeight="1">
      <c r="A870" s="183">
        <v>41220</v>
      </c>
      <c r="B870" s="184" t="s">
        <v>466</v>
      </c>
      <c r="C870" s="184"/>
      <c r="D870" s="184"/>
      <c r="E870" s="184"/>
      <c r="F870" s="184"/>
      <c r="G870" s="184"/>
      <c r="H870" s="184" t="s">
        <v>654</v>
      </c>
      <c r="I870" s="184" t="s">
        <v>447</v>
      </c>
      <c r="J870" s="184" t="s">
        <v>448</v>
      </c>
      <c r="K870" s="185">
        <v>20</v>
      </c>
      <c r="L870" s="186">
        <v>230.5</v>
      </c>
      <c r="M870" s="187">
        <v>231.85</v>
      </c>
      <c r="N870" s="188">
        <f t="shared" si="672"/>
        <v>1</v>
      </c>
      <c r="O870" s="188">
        <f t="shared" si="673"/>
        <v>1</v>
      </c>
      <c r="P870" s="189">
        <f t="shared" si="674"/>
        <v>9247</v>
      </c>
      <c r="Q870" s="189">
        <f t="shared" si="675"/>
        <v>26.999999999999886</v>
      </c>
      <c r="R870" s="189">
        <f t="shared" si="676"/>
        <v>2</v>
      </c>
      <c r="S870" s="189">
        <f t="shared" si="687"/>
        <v>0.25</v>
      </c>
      <c r="T870" s="189">
        <f t="shared" si="678"/>
        <v>1.1599999999999999</v>
      </c>
      <c r="U870" s="189">
        <f t="shared" si="688"/>
        <v>0.92</v>
      </c>
      <c r="V870" s="189">
        <f t="shared" si="686"/>
        <v>0.34</v>
      </c>
      <c r="W870" s="189">
        <v>0</v>
      </c>
      <c r="X870" s="189">
        <f t="shared" si="681"/>
        <v>4.67</v>
      </c>
      <c r="Y870" s="190">
        <f t="shared" si="682"/>
        <v>22.33</v>
      </c>
      <c r="Z870" s="191">
        <v>19.190000000000001</v>
      </c>
      <c r="AA870" s="192">
        <f t="shared" si="689"/>
        <v>-3.139999999999997</v>
      </c>
      <c r="AB870" s="193">
        <f t="shared" si="684"/>
        <v>5.8568329718004094E-3</v>
      </c>
      <c r="AC870" s="194">
        <f t="shared" si="685"/>
        <v>5.0500000000000002E-4</v>
      </c>
      <c r="AD870" s="189"/>
      <c r="AE870" s="195" t="s">
        <v>449</v>
      </c>
      <c r="AF870" s="119"/>
    </row>
    <row r="871" spans="1:32" ht="12" hidden="1" customHeight="1">
      <c r="A871" s="183">
        <v>41220</v>
      </c>
      <c r="B871" s="184" t="s">
        <v>494</v>
      </c>
      <c r="C871" s="184"/>
      <c r="D871" s="184"/>
      <c r="E871" s="184"/>
      <c r="F871" s="184"/>
      <c r="G871" s="184"/>
      <c r="H871" s="184" t="s">
        <v>654</v>
      </c>
      <c r="I871" s="184" t="s">
        <v>447</v>
      </c>
      <c r="J871" s="184" t="s">
        <v>448</v>
      </c>
      <c r="K871" s="185">
        <v>20</v>
      </c>
      <c r="L871" s="186">
        <v>289</v>
      </c>
      <c r="M871" s="187">
        <v>290.8</v>
      </c>
      <c r="N871" s="188">
        <f t="shared" si="672"/>
        <v>1</v>
      </c>
      <c r="O871" s="188">
        <f t="shared" si="673"/>
        <v>1</v>
      </c>
      <c r="P871" s="189">
        <f t="shared" si="674"/>
        <v>11596</v>
      </c>
      <c r="Q871" s="189">
        <f t="shared" si="675"/>
        <v>36.000000000000227</v>
      </c>
      <c r="R871" s="189">
        <f t="shared" si="676"/>
        <v>2</v>
      </c>
      <c r="S871" s="189">
        <f t="shared" si="687"/>
        <v>0.25</v>
      </c>
      <c r="T871" s="189">
        <f t="shared" si="678"/>
        <v>1.45</v>
      </c>
      <c r="U871" s="189">
        <f t="shared" si="688"/>
        <v>1.1599999999999999</v>
      </c>
      <c r="V871" s="189">
        <f t="shared" si="686"/>
        <v>0.42</v>
      </c>
      <c r="W871" s="189">
        <v>0</v>
      </c>
      <c r="X871" s="189">
        <f t="shared" si="681"/>
        <v>5.28</v>
      </c>
      <c r="Y871" s="190">
        <f t="shared" si="682"/>
        <v>30.72</v>
      </c>
      <c r="Z871" s="191">
        <v>26.45</v>
      </c>
      <c r="AA871" s="192">
        <f t="shared" si="689"/>
        <v>-4.2699999999999996</v>
      </c>
      <c r="AB871" s="193">
        <f t="shared" si="684"/>
        <v>6.2283737024221844E-3</v>
      </c>
      <c r="AC871" s="194">
        <f t="shared" si="685"/>
        <v>4.55E-4</v>
      </c>
      <c r="AD871" s="189"/>
      <c r="AE871" s="195" t="s">
        <v>449</v>
      </c>
      <c r="AF871" s="119"/>
    </row>
    <row r="872" spans="1:32" ht="12" hidden="1" customHeight="1">
      <c r="A872" s="183">
        <v>41222</v>
      </c>
      <c r="B872" s="184" t="s">
        <v>464</v>
      </c>
      <c r="C872" s="184"/>
      <c r="D872" s="184"/>
      <c r="E872" s="184"/>
      <c r="F872" s="184"/>
      <c r="G872" s="184"/>
      <c r="H872" s="184" t="s">
        <v>654</v>
      </c>
      <c r="I872" s="184" t="s">
        <v>447</v>
      </c>
      <c r="J872" s="184" t="s">
        <v>448</v>
      </c>
      <c r="K872" s="185">
        <v>100</v>
      </c>
      <c r="L872" s="186">
        <v>126.925</v>
      </c>
      <c r="M872" s="187">
        <v>127.4</v>
      </c>
      <c r="N872" s="188">
        <f t="shared" si="672"/>
        <v>5</v>
      </c>
      <c r="O872" s="188">
        <f t="shared" si="673"/>
        <v>5</v>
      </c>
      <c r="P872" s="189">
        <f t="shared" si="674"/>
        <v>25432.5</v>
      </c>
      <c r="Q872" s="189">
        <f t="shared" si="675"/>
        <v>47.500000000000853</v>
      </c>
      <c r="R872" s="189">
        <f t="shared" si="676"/>
        <v>10</v>
      </c>
      <c r="S872" s="189">
        <f t="shared" si="687"/>
        <v>1.24</v>
      </c>
      <c r="T872" s="189">
        <f t="shared" si="678"/>
        <v>3.18</v>
      </c>
      <c r="U872" s="189">
        <f t="shared" si="688"/>
        <v>2.54</v>
      </c>
      <c r="V872" s="189">
        <f t="shared" si="686"/>
        <v>0.93</v>
      </c>
      <c r="W872" s="189">
        <v>0</v>
      </c>
      <c r="X872" s="189">
        <f t="shared" si="681"/>
        <v>17.89</v>
      </c>
      <c r="Y872" s="190">
        <f t="shared" si="682"/>
        <v>29.61</v>
      </c>
      <c r="Z872" s="191">
        <v>27.55</v>
      </c>
      <c r="AA872" s="192">
        <f t="shared" si="689"/>
        <v>-2.0599999999999987</v>
      </c>
      <c r="AB872" s="193">
        <f t="shared" si="684"/>
        <v>3.7423675398858265E-3</v>
      </c>
      <c r="AC872" s="194">
        <f t="shared" si="685"/>
        <v>7.0299999999999996E-4</v>
      </c>
      <c r="AD872" s="189"/>
      <c r="AE872" s="195" t="s">
        <v>449</v>
      </c>
      <c r="AF872" s="119"/>
    </row>
    <row r="873" spans="1:32" ht="12" hidden="1" customHeight="1">
      <c r="A873" s="183">
        <v>41225</v>
      </c>
      <c r="B873" s="184" t="s">
        <v>662</v>
      </c>
      <c r="C873" s="184"/>
      <c r="D873" s="184"/>
      <c r="E873" s="184"/>
      <c r="F873" s="184"/>
      <c r="G873" s="184"/>
      <c r="H873" s="184" t="s">
        <v>654</v>
      </c>
      <c r="I873" s="184" t="s">
        <v>447</v>
      </c>
      <c r="J873" s="184" t="s">
        <v>448</v>
      </c>
      <c r="K873" s="185">
        <v>500</v>
      </c>
      <c r="L873" s="186">
        <v>12.308</v>
      </c>
      <c r="M873" s="187">
        <v>12.32</v>
      </c>
      <c r="N873" s="188">
        <f t="shared" si="672"/>
        <v>25</v>
      </c>
      <c r="O873" s="188">
        <f t="shared" si="673"/>
        <v>25</v>
      </c>
      <c r="P873" s="189">
        <f t="shared" si="674"/>
        <v>12314</v>
      </c>
      <c r="Q873" s="189">
        <f t="shared" si="675"/>
        <v>6.0000000000002274</v>
      </c>
      <c r="R873" s="189">
        <f t="shared" si="676"/>
        <v>50</v>
      </c>
      <c r="S873" s="189">
        <f t="shared" si="687"/>
        <v>6.18</v>
      </c>
      <c r="T873" s="189">
        <f t="shared" si="678"/>
        <v>1.54</v>
      </c>
      <c r="U873" s="189">
        <f t="shared" si="688"/>
        <v>1.23</v>
      </c>
      <c r="V873" s="189">
        <f t="shared" si="686"/>
        <v>0.45</v>
      </c>
      <c r="W873" s="189">
        <v>0</v>
      </c>
      <c r="X873" s="189">
        <f t="shared" si="681"/>
        <v>59.4</v>
      </c>
      <c r="Y873" s="190">
        <f t="shared" si="682"/>
        <v>-53.4</v>
      </c>
      <c r="Z873" s="191">
        <v>-53.86</v>
      </c>
      <c r="AA873" s="192">
        <f t="shared" si="689"/>
        <v>-0.46000000000000085</v>
      </c>
      <c r="AB873" s="193">
        <f t="shared" si="684"/>
        <v>9.7497562560939675E-4</v>
      </c>
      <c r="AC873" s="194">
        <f t="shared" si="685"/>
        <v>4.8240000000000002E-3</v>
      </c>
      <c r="AD873" s="189"/>
      <c r="AE873" s="195" t="s">
        <v>449</v>
      </c>
      <c r="AF873" s="119"/>
    </row>
    <row r="874" spans="1:32" ht="12" hidden="1" customHeight="1">
      <c r="A874" s="183">
        <v>41229</v>
      </c>
      <c r="B874" s="184" t="s">
        <v>528</v>
      </c>
      <c r="C874" s="184"/>
      <c r="D874" s="184"/>
      <c r="E874" s="184"/>
      <c r="F874" s="184"/>
      <c r="G874" s="184"/>
      <c r="H874" s="184" t="s">
        <v>654</v>
      </c>
      <c r="I874" s="184" t="s">
        <v>447</v>
      </c>
      <c r="J874" s="184" t="s">
        <v>448</v>
      </c>
      <c r="K874" s="185">
        <v>70</v>
      </c>
      <c r="L874" s="186">
        <v>92.15</v>
      </c>
      <c r="M874" s="187">
        <v>91.25</v>
      </c>
      <c r="N874" s="188">
        <f t="shared" si="672"/>
        <v>3.5</v>
      </c>
      <c r="O874" s="188">
        <f t="shared" si="673"/>
        <v>3.5</v>
      </c>
      <c r="P874" s="189">
        <f t="shared" si="674"/>
        <v>12838</v>
      </c>
      <c r="Q874" s="189">
        <f t="shared" si="675"/>
        <v>-63.000000000000398</v>
      </c>
      <c r="R874" s="189">
        <f t="shared" si="676"/>
        <v>7</v>
      </c>
      <c r="S874" s="189">
        <f t="shared" si="687"/>
        <v>0.87</v>
      </c>
      <c r="T874" s="189">
        <f t="shared" si="678"/>
        <v>1.6</v>
      </c>
      <c r="U874" s="189">
        <f t="shared" si="688"/>
        <v>1.28</v>
      </c>
      <c r="V874" s="189">
        <f t="shared" si="686"/>
        <v>0.47</v>
      </c>
      <c r="W874" s="189">
        <v>0</v>
      </c>
      <c r="X874" s="189">
        <f t="shared" si="681"/>
        <v>11.22</v>
      </c>
      <c r="Y874" s="190">
        <f t="shared" si="682"/>
        <v>-74.22</v>
      </c>
      <c r="Z874" s="191">
        <v>-74.05</v>
      </c>
      <c r="AA874" s="192">
        <f t="shared" si="689"/>
        <v>0.17000000000000171</v>
      </c>
      <c r="AB874" s="193">
        <f t="shared" si="684"/>
        <v>-9.7666847531199738E-3</v>
      </c>
      <c r="AC874" s="194">
        <f t="shared" si="685"/>
        <v>8.7399999999999999E-4</v>
      </c>
      <c r="AD874" s="189"/>
      <c r="AE874" s="195" t="s">
        <v>449</v>
      </c>
      <c r="AF874" s="119"/>
    </row>
    <row r="875" spans="1:32" ht="12" hidden="1" customHeight="1">
      <c r="A875" s="183">
        <v>41229</v>
      </c>
      <c r="B875" s="184" t="s">
        <v>463</v>
      </c>
      <c r="C875" s="184"/>
      <c r="D875" s="184"/>
      <c r="E875" s="184"/>
      <c r="F875" s="184"/>
      <c r="G875" s="184"/>
      <c r="H875" s="184" t="s">
        <v>654</v>
      </c>
      <c r="I875" s="184" t="s">
        <v>447</v>
      </c>
      <c r="J875" s="184" t="s">
        <v>448</v>
      </c>
      <c r="K875" s="185">
        <v>25</v>
      </c>
      <c r="L875" s="186">
        <v>110.5</v>
      </c>
      <c r="M875" s="187">
        <v>112.75</v>
      </c>
      <c r="N875" s="188">
        <f t="shared" si="672"/>
        <v>1.25</v>
      </c>
      <c r="O875" s="188">
        <f t="shared" si="673"/>
        <v>1.25</v>
      </c>
      <c r="P875" s="189">
        <f t="shared" si="674"/>
        <v>5581.25</v>
      </c>
      <c r="Q875" s="189">
        <f t="shared" si="675"/>
        <v>56.25</v>
      </c>
      <c r="R875" s="189">
        <f t="shared" si="676"/>
        <v>2.5</v>
      </c>
      <c r="S875" s="189">
        <f t="shared" si="687"/>
        <v>0.31</v>
      </c>
      <c r="T875" s="189">
        <f t="shared" si="678"/>
        <v>0.7</v>
      </c>
      <c r="U875" s="189">
        <f t="shared" si="688"/>
        <v>0.56000000000000005</v>
      </c>
      <c r="V875" s="189">
        <f t="shared" si="686"/>
        <v>0.2</v>
      </c>
      <c r="W875" s="189">
        <v>0</v>
      </c>
      <c r="X875" s="189">
        <f t="shared" si="681"/>
        <v>4.2700000000000005</v>
      </c>
      <c r="Y875" s="190">
        <f t="shared" si="682"/>
        <v>51.98</v>
      </c>
      <c r="Z875" s="191">
        <v>51.55</v>
      </c>
      <c r="AA875" s="192">
        <f t="shared" si="689"/>
        <v>-0.42999999999999972</v>
      </c>
      <c r="AB875" s="193">
        <f t="shared" si="684"/>
        <v>2.0361990950226245E-2</v>
      </c>
      <c r="AC875" s="194">
        <f t="shared" si="685"/>
        <v>7.6499999999999995E-4</v>
      </c>
      <c r="AD875" s="189"/>
      <c r="AE875" s="195" t="s">
        <v>449</v>
      </c>
      <c r="AF875" s="119"/>
    </row>
    <row r="876" spans="1:32" ht="12" hidden="1" customHeight="1">
      <c r="A876" s="183">
        <v>41234</v>
      </c>
      <c r="B876" s="184" t="s">
        <v>663</v>
      </c>
      <c r="C876" s="184"/>
      <c r="D876" s="184"/>
      <c r="E876" s="184"/>
      <c r="F876" s="184"/>
      <c r="G876" s="184"/>
      <c r="H876" s="184" t="s">
        <v>654</v>
      </c>
      <c r="I876" s="184" t="s">
        <v>447</v>
      </c>
      <c r="J876" s="184" t="s">
        <v>448</v>
      </c>
      <c r="K876" s="185">
        <v>5</v>
      </c>
      <c r="L876" s="186">
        <v>1232.8499999999999</v>
      </c>
      <c r="M876" s="187">
        <v>1232</v>
      </c>
      <c r="N876" s="188">
        <f t="shared" si="672"/>
        <v>0.25</v>
      </c>
      <c r="O876" s="188">
        <f t="shared" si="673"/>
        <v>0.25</v>
      </c>
      <c r="P876" s="189">
        <f t="shared" si="674"/>
        <v>12324.25</v>
      </c>
      <c r="Q876" s="189">
        <f t="shared" si="675"/>
        <v>-4.2499999999995453</v>
      </c>
      <c r="R876" s="189">
        <f t="shared" si="676"/>
        <v>0.5</v>
      </c>
      <c r="S876" s="189">
        <f t="shared" si="687"/>
        <v>0.06</v>
      </c>
      <c r="T876" s="189">
        <f t="shared" si="678"/>
        <v>1.54</v>
      </c>
      <c r="U876" s="189">
        <f t="shared" si="688"/>
        <v>1.23</v>
      </c>
      <c r="V876" s="189">
        <f t="shared" si="686"/>
        <v>0.45</v>
      </c>
      <c r="W876" s="189">
        <v>0</v>
      </c>
      <c r="X876" s="189">
        <f t="shared" si="681"/>
        <v>3.7800000000000002</v>
      </c>
      <c r="Y876" s="190">
        <f t="shared" si="682"/>
        <v>-8.0299999999999994</v>
      </c>
      <c r="Z876" s="191">
        <v>-14.89</v>
      </c>
      <c r="AA876" s="192">
        <f t="shared" si="689"/>
        <v>-6.8600000000000012</v>
      </c>
      <c r="AB876" s="193">
        <f t="shared" si="684"/>
        <v>-6.8945938273099654E-4</v>
      </c>
      <c r="AC876" s="194">
        <f t="shared" si="685"/>
        <v>3.0699999999999998E-4</v>
      </c>
      <c r="AD876" s="189"/>
      <c r="AE876" s="195" t="s">
        <v>449</v>
      </c>
      <c r="AF876" s="119"/>
    </row>
    <row r="877" spans="1:32" ht="12" hidden="1" customHeight="1">
      <c r="A877" s="183">
        <v>41235</v>
      </c>
      <c r="B877" s="184" t="s">
        <v>663</v>
      </c>
      <c r="C877" s="184"/>
      <c r="D877" s="184"/>
      <c r="E877" s="184"/>
      <c r="F877" s="184"/>
      <c r="G877" s="184"/>
      <c r="H877" s="184" t="s">
        <v>654</v>
      </c>
      <c r="I877" s="184" t="s">
        <v>447</v>
      </c>
      <c r="J877" s="184" t="s">
        <v>448</v>
      </c>
      <c r="K877" s="185">
        <v>5</v>
      </c>
      <c r="L877" s="186">
        <v>1264.2</v>
      </c>
      <c r="M877" s="187">
        <v>1255.7</v>
      </c>
      <c r="N877" s="188">
        <f t="shared" si="672"/>
        <v>0.25</v>
      </c>
      <c r="O877" s="188">
        <f t="shared" si="673"/>
        <v>0.25</v>
      </c>
      <c r="P877" s="189">
        <f t="shared" si="674"/>
        <v>12599.5</v>
      </c>
      <c r="Q877" s="189">
        <f t="shared" si="675"/>
        <v>-42.5</v>
      </c>
      <c r="R877" s="189">
        <f t="shared" si="676"/>
        <v>0.5</v>
      </c>
      <c r="S877" s="189">
        <f t="shared" si="687"/>
        <v>0.06</v>
      </c>
      <c r="T877" s="189">
        <f t="shared" si="678"/>
        <v>1.57</v>
      </c>
      <c r="U877" s="189">
        <f t="shared" si="688"/>
        <v>1.26</v>
      </c>
      <c r="V877" s="189">
        <f t="shared" si="686"/>
        <v>0.46</v>
      </c>
      <c r="W877" s="189">
        <v>0</v>
      </c>
      <c r="X877" s="189">
        <f t="shared" si="681"/>
        <v>3.8499999999999996</v>
      </c>
      <c r="Y877" s="190">
        <f t="shared" si="682"/>
        <v>-46.35</v>
      </c>
      <c r="Z877" s="191">
        <v>-53.3</v>
      </c>
      <c r="AA877" s="192">
        <f t="shared" si="689"/>
        <v>-6.9499999999999957</v>
      </c>
      <c r="AB877" s="193">
        <f t="shared" si="684"/>
        <v>-6.7236196804303112E-3</v>
      </c>
      <c r="AC877" s="194">
        <f t="shared" si="685"/>
        <v>3.0600000000000001E-4</v>
      </c>
      <c r="AD877" s="189"/>
      <c r="AE877" s="195" t="s">
        <v>449</v>
      </c>
      <c r="AF877" s="119"/>
    </row>
    <row r="878" spans="1:32" ht="12" hidden="1" customHeight="1">
      <c r="A878" s="183">
        <v>43112</v>
      </c>
      <c r="B878" s="184" t="s">
        <v>468</v>
      </c>
      <c r="C878" s="184"/>
      <c r="D878" s="184"/>
      <c r="E878" s="184"/>
      <c r="F878" s="184"/>
      <c r="G878" s="184"/>
      <c r="H878" s="184" t="s">
        <v>654</v>
      </c>
      <c r="I878" s="184" t="s">
        <v>469</v>
      </c>
      <c r="J878" s="184" t="s">
        <v>448</v>
      </c>
      <c r="K878" s="185">
        <v>50</v>
      </c>
      <c r="L878" s="186">
        <v>97</v>
      </c>
      <c r="M878" s="187">
        <v>98.25</v>
      </c>
      <c r="N878" s="188">
        <f t="shared" ref="N878:N881" si="690">IF(L878*J$1803&lt;0.05,0.05,ROUND(L878*J$1803,2))*K878</f>
        <v>3.5000000000000004</v>
      </c>
      <c r="O878" s="188">
        <f t="shared" ref="O878:O881" si="691">IF(M878*J$1803&lt;0.05,0.05,ROUND(M878*J$1803,2))*K878</f>
        <v>3.5000000000000004</v>
      </c>
      <c r="P878" s="189">
        <f t="shared" si="674"/>
        <v>9762.5</v>
      </c>
      <c r="Q878" s="189">
        <f t="shared" si="675"/>
        <v>62.5</v>
      </c>
      <c r="R878" s="189">
        <f t="shared" si="676"/>
        <v>7</v>
      </c>
      <c r="S878" s="189">
        <f t="shared" ref="S878:S881" si="692">ROUND(R878*M$1805,2)</f>
        <v>1.26</v>
      </c>
      <c r="T878" s="189">
        <f t="shared" si="678"/>
        <v>1.22</v>
      </c>
      <c r="U878" s="189">
        <f t="shared" ref="U878:U881" si="693">MROUND(P878*K$1813,0.05)</f>
        <v>0.2</v>
      </c>
      <c r="V878" s="189">
        <f t="shared" ref="V878:V881" si="694">ROUND(P878*K$1809,2)</f>
        <v>0.32</v>
      </c>
      <c r="W878" s="189">
        <v>0</v>
      </c>
      <c r="X878" s="189">
        <f t="shared" si="681"/>
        <v>10</v>
      </c>
      <c r="Y878" s="190">
        <f t="shared" si="682"/>
        <v>52.5</v>
      </c>
      <c r="Z878" s="191">
        <v>51.86</v>
      </c>
      <c r="AA878" s="192">
        <f t="shared" si="689"/>
        <v>-0.64000000000000057</v>
      </c>
      <c r="AB878" s="193">
        <f t="shared" si="684"/>
        <v>1.2886597938144329E-2</v>
      </c>
      <c r="AC878" s="194">
        <f t="shared" si="685"/>
        <v>1.024E-3</v>
      </c>
      <c r="AD878" s="189"/>
      <c r="AE878" s="195" t="s">
        <v>449</v>
      </c>
      <c r="AF878" s="119"/>
    </row>
    <row r="879" spans="1:32" ht="12" hidden="1" customHeight="1">
      <c r="A879" s="183">
        <v>43118</v>
      </c>
      <c r="B879" s="184" t="s">
        <v>463</v>
      </c>
      <c r="C879" s="184"/>
      <c r="D879" s="184"/>
      <c r="E879" s="184"/>
      <c r="F879" s="184"/>
      <c r="G879" s="184"/>
      <c r="H879" s="184" t="s">
        <v>654</v>
      </c>
      <c r="I879" s="184" t="s">
        <v>469</v>
      </c>
      <c r="J879" s="184" t="s">
        <v>448</v>
      </c>
      <c r="K879" s="185">
        <v>50</v>
      </c>
      <c r="L879" s="186">
        <v>266</v>
      </c>
      <c r="M879" s="187">
        <v>265.66750000000002</v>
      </c>
      <c r="N879" s="188">
        <f t="shared" si="690"/>
        <v>10</v>
      </c>
      <c r="O879" s="188">
        <f t="shared" si="691"/>
        <v>10</v>
      </c>
      <c r="P879" s="189">
        <f t="shared" si="674"/>
        <v>26583.38</v>
      </c>
      <c r="Q879" s="189">
        <f t="shared" si="675"/>
        <v>-16.624999999999091</v>
      </c>
      <c r="R879" s="189">
        <f t="shared" si="676"/>
        <v>20</v>
      </c>
      <c r="S879" s="189">
        <f t="shared" si="692"/>
        <v>3.6</v>
      </c>
      <c r="T879" s="189">
        <f t="shared" si="678"/>
        <v>3.32</v>
      </c>
      <c r="U879" s="189">
        <f t="shared" si="693"/>
        <v>0.55000000000000004</v>
      </c>
      <c r="V879" s="189">
        <f t="shared" si="694"/>
        <v>0.86</v>
      </c>
      <c r="W879" s="189">
        <v>0</v>
      </c>
      <c r="X879" s="189">
        <f t="shared" si="681"/>
        <v>28.330000000000002</v>
      </c>
      <c r="Y879" s="190">
        <f t="shared" si="682"/>
        <v>-44.95</v>
      </c>
      <c r="Z879" s="191">
        <v>108.52</v>
      </c>
      <c r="AA879" s="192">
        <f>Z879-Y879-Y880</f>
        <v>-1.5999999999999943</v>
      </c>
      <c r="AB879" s="193">
        <f t="shared" si="684"/>
        <v>-1.2499999999999317E-3</v>
      </c>
      <c r="AC879" s="194">
        <f t="shared" si="685"/>
        <v>1.0660000000000001E-3</v>
      </c>
      <c r="AD879" s="189"/>
      <c r="AE879" s="195" t="s">
        <v>449</v>
      </c>
      <c r="AF879" s="119"/>
    </row>
    <row r="880" spans="1:32" ht="12" hidden="1" customHeight="1">
      <c r="A880" s="183">
        <v>43118</v>
      </c>
      <c r="B880" s="184" t="s">
        <v>463</v>
      </c>
      <c r="C880" s="184"/>
      <c r="D880" s="184"/>
      <c r="E880" s="184"/>
      <c r="F880" s="184"/>
      <c r="G880" s="184"/>
      <c r="H880" s="184" t="s">
        <v>654</v>
      </c>
      <c r="I880" s="184" t="s">
        <v>469</v>
      </c>
      <c r="J880" s="184" t="s">
        <v>448</v>
      </c>
      <c r="K880" s="185">
        <v>50</v>
      </c>
      <c r="L880" s="186">
        <v>262</v>
      </c>
      <c r="M880" s="187">
        <v>265.66750000000002</v>
      </c>
      <c r="N880" s="188">
        <f t="shared" si="690"/>
        <v>10</v>
      </c>
      <c r="O880" s="188">
        <f t="shared" si="691"/>
        <v>10</v>
      </c>
      <c r="P880" s="189">
        <f t="shared" si="674"/>
        <v>26383.38</v>
      </c>
      <c r="Q880" s="189">
        <f t="shared" si="675"/>
        <v>183.37500000000091</v>
      </c>
      <c r="R880" s="189">
        <f t="shared" si="676"/>
        <v>20</v>
      </c>
      <c r="S880" s="189">
        <f t="shared" si="692"/>
        <v>3.6</v>
      </c>
      <c r="T880" s="189">
        <f t="shared" si="678"/>
        <v>3.3</v>
      </c>
      <c r="U880" s="189">
        <f t="shared" si="693"/>
        <v>0.55000000000000004</v>
      </c>
      <c r="V880" s="189">
        <f t="shared" si="694"/>
        <v>0.86</v>
      </c>
      <c r="W880" s="189">
        <v>0</v>
      </c>
      <c r="X880" s="189">
        <f t="shared" si="681"/>
        <v>28.310000000000002</v>
      </c>
      <c r="Y880" s="190">
        <f t="shared" si="682"/>
        <v>155.07</v>
      </c>
      <c r="Z880" s="191"/>
      <c r="AA880" s="192"/>
      <c r="AB880" s="193">
        <f t="shared" si="684"/>
        <v>1.3998091603053505E-2</v>
      </c>
      <c r="AC880" s="194">
        <f t="shared" si="685"/>
        <v>1.073E-3</v>
      </c>
      <c r="AD880" s="189"/>
      <c r="AE880" s="195" t="s">
        <v>449</v>
      </c>
      <c r="AF880" s="119"/>
    </row>
    <row r="881" spans="1:32" ht="12" hidden="1" customHeight="1">
      <c r="A881" s="183">
        <v>43143</v>
      </c>
      <c r="B881" s="184" t="s">
        <v>455</v>
      </c>
      <c r="C881" s="184"/>
      <c r="D881" s="184"/>
      <c r="E881" s="184"/>
      <c r="F881" s="184"/>
      <c r="G881" s="184"/>
      <c r="H881" s="184" t="s">
        <v>654</v>
      </c>
      <c r="I881" s="184" t="s">
        <v>469</v>
      </c>
      <c r="J881" s="184" t="s">
        <v>448</v>
      </c>
      <c r="K881" s="185">
        <v>100</v>
      </c>
      <c r="L881" s="186">
        <v>77.525000000000006</v>
      </c>
      <c r="M881" s="187">
        <v>78</v>
      </c>
      <c r="N881" s="188">
        <f t="shared" si="690"/>
        <v>6</v>
      </c>
      <c r="O881" s="188">
        <f t="shared" si="691"/>
        <v>6</v>
      </c>
      <c r="P881" s="189">
        <f t="shared" si="674"/>
        <v>15552.5</v>
      </c>
      <c r="Q881" s="189">
        <f t="shared" si="675"/>
        <v>47.499999999999432</v>
      </c>
      <c r="R881" s="189">
        <f t="shared" si="676"/>
        <v>12</v>
      </c>
      <c r="S881" s="189">
        <f t="shared" si="692"/>
        <v>2.16</v>
      </c>
      <c r="T881" s="189">
        <f t="shared" si="678"/>
        <v>1.94</v>
      </c>
      <c r="U881" s="189">
        <f t="shared" si="693"/>
        <v>0.30000000000000004</v>
      </c>
      <c r="V881" s="189">
        <f t="shared" si="694"/>
        <v>0.51</v>
      </c>
      <c r="W881" s="189">
        <v>0</v>
      </c>
      <c r="X881" s="189">
        <f t="shared" si="681"/>
        <v>16.910000000000004</v>
      </c>
      <c r="Y881" s="190">
        <f t="shared" si="682"/>
        <v>30.59</v>
      </c>
      <c r="Z881" s="191">
        <v>29.74</v>
      </c>
      <c r="AA881" s="192">
        <f>Z881-Y881</f>
        <v>-0.85000000000000142</v>
      </c>
      <c r="AB881" s="193">
        <f t="shared" si="684"/>
        <v>6.1270557884552631E-3</v>
      </c>
      <c r="AC881" s="194">
        <f t="shared" si="685"/>
        <v>1.0870000000000001E-3</v>
      </c>
      <c r="AD881" s="189"/>
      <c r="AE881" s="195" t="s">
        <v>449</v>
      </c>
      <c r="AF881" s="119"/>
    </row>
    <row r="882" spans="1:32" ht="12" hidden="1" customHeight="1">
      <c r="A882" s="183">
        <v>44229</v>
      </c>
      <c r="B882" s="184" t="s">
        <v>473</v>
      </c>
      <c r="C882" s="184"/>
      <c r="D882" s="184"/>
      <c r="E882" s="184"/>
      <c r="F882" s="184"/>
      <c r="G882" s="184"/>
      <c r="H882" s="184" t="s">
        <v>654</v>
      </c>
      <c r="I882" s="184" t="s">
        <v>469</v>
      </c>
      <c r="J882" s="184" t="s">
        <v>471</v>
      </c>
      <c r="K882" s="185">
        <v>9</v>
      </c>
      <c r="L882" s="186">
        <v>980.55</v>
      </c>
      <c r="M882" s="187">
        <v>982.52499999999998</v>
      </c>
      <c r="N882" s="188">
        <f t="shared" ref="N882:N1096" si="695">IF(L882*K882*L$1803&lt;20,ROUND(L882*K882*L$1803,2),20)</f>
        <v>2.65</v>
      </c>
      <c r="O882" s="188">
        <f t="shared" ref="O882:O1096" si="696">IF(M882*K882*L$1803&lt;20,ROUND(M882*K882*L$1803,2),20)</f>
        <v>2.65</v>
      </c>
      <c r="P882" s="189">
        <f t="shared" si="674"/>
        <v>17667.68</v>
      </c>
      <c r="Q882" s="189">
        <f t="shared" si="675"/>
        <v>17.775000000000205</v>
      </c>
      <c r="R882" s="189">
        <f t="shared" si="676"/>
        <v>5.3</v>
      </c>
      <c r="S882" s="189">
        <f t="shared" ref="S882:S1409" si="697">ROUND((R882+V882)*M$1805,2)</f>
        <v>1.06</v>
      </c>
      <c r="T882" s="189">
        <f t="shared" ref="T882:T959" si="698">ROUND((M882*K882)*K$1807,0)</f>
        <v>2</v>
      </c>
      <c r="U882" s="189">
        <f t="shared" ref="U882:U883" si="699">ROUND((L882*K882)*K$1812,0)</f>
        <v>1</v>
      </c>
      <c r="V882" s="189">
        <f>ROUND(P882*M$1809,2)</f>
        <v>0.61</v>
      </c>
      <c r="W882" s="189">
        <v>0</v>
      </c>
      <c r="X882" s="189">
        <f t="shared" si="681"/>
        <v>9.9699999999999989</v>
      </c>
      <c r="Y882" s="190">
        <f t="shared" si="682"/>
        <v>7.81</v>
      </c>
      <c r="Z882" s="191">
        <v>100.15</v>
      </c>
      <c r="AA882" s="192">
        <f>Z882-Y882-Y883</f>
        <v>0.12000000000000455</v>
      </c>
      <c r="AB882" s="193">
        <f t="shared" si="684"/>
        <v>2.0141757177094721E-3</v>
      </c>
      <c r="AC882" s="194">
        <f t="shared" si="685"/>
        <v>5.6400000000000005E-4</v>
      </c>
      <c r="AD882" s="189"/>
      <c r="AE882" s="195" t="s">
        <v>449</v>
      </c>
      <c r="AF882" s="119"/>
    </row>
    <row r="883" spans="1:32" ht="12" hidden="1" customHeight="1">
      <c r="A883" s="183">
        <v>44229</v>
      </c>
      <c r="B883" s="184" t="s">
        <v>473</v>
      </c>
      <c r="C883" s="184"/>
      <c r="D883" s="184"/>
      <c r="E883" s="184"/>
      <c r="F883" s="184"/>
      <c r="G883" s="184"/>
      <c r="H883" s="184" t="s">
        <v>654</v>
      </c>
      <c r="I883" s="184" t="s">
        <v>447</v>
      </c>
      <c r="J883" s="184" t="s">
        <v>471</v>
      </c>
      <c r="K883" s="185">
        <v>9</v>
      </c>
      <c r="L883" s="186">
        <v>983.1</v>
      </c>
      <c r="M883" s="187">
        <v>994.45</v>
      </c>
      <c r="N883" s="188">
        <f t="shared" si="695"/>
        <v>2.65</v>
      </c>
      <c r="O883" s="188">
        <f t="shared" si="696"/>
        <v>2.69</v>
      </c>
      <c r="P883" s="189">
        <f t="shared" si="674"/>
        <v>17797.95</v>
      </c>
      <c r="Q883" s="189">
        <f t="shared" si="675"/>
        <v>102.1500000000002</v>
      </c>
      <c r="R883" s="189">
        <f t="shared" si="676"/>
        <v>5.34</v>
      </c>
      <c r="S883" s="189">
        <f t="shared" si="697"/>
        <v>1.06</v>
      </c>
      <c r="T883" s="189">
        <f t="shared" si="698"/>
        <v>2</v>
      </c>
      <c r="U883" s="189">
        <f t="shared" si="699"/>
        <v>1</v>
      </c>
      <c r="V883" s="189">
        <f>ROUND(P883*M$1810,2)</f>
        <v>0.53</v>
      </c>
      <c r="W883" s="189">
        <v>0</v>
      </c>
      <c r="X883" s="189">
        <f t="shared" si="681"/>
        <v>9.93</v>
      </c>
      <c r="Y883" s="190">
        <f t="shared" si="682"/>
        <v>92.22</v>
      </c>
      <c r="Z883" s="191"/>
      <c r="AA883" s="192"/>
      <c r="AB883" s="193">
        <f t="shared" si="684"/>
        <v>1.1545112399552459E-2</v>
      </c>
      <c r="AC883" s="194">
        <f t="shared" si="685"/>
        <v>5.5800000000000001E-4</v>
      </c>
      <c r="AD883" s="189"/>
      <c r="AE883" s="195" t="s">
        <v>449</v>
      </c>
      <c r="AF883" s="119"/>
    </row>
    <row r="884" spans="1:32" ht="12" hidden="1" customHeight="1">
      <c r="A884" s="183">
        <v>44230</v>
      </c>
      <c r="B884" s="184" t="s">
        <v>664</v>
      </c>
      <c r="C884" s="184"/>
      <c r="D884" s="184"/>
      <c r="E884" s="184"/>
      <c r="F884" s="184"/>
      <c r="G884" s="184"/>
      <c r="H884" s="184" t="s">
        <v>654</v>
      </c>
      <c r="I884" s="184" t="s">
        <v>469</v>
      </c>
      <c r="J884" s="184" t="s">
        <v>471</v>
      </c>
      <c r="K884" s="185">
        <v>300</v>
      </c>
      <c r="L884" s="186">
        <v>1064.1666666666699</v>
      </c>
      <c r="M884" s="187">
        <v>1069.05</v>
      </c>
      <c r="N884" s="188">
        <f t="shared" si="695"/>
        <v>20</v>
      </c>
      <c r="O884" s="188">
        <f t="shared" si="696"/>
        <v>20</v>
      </c>
      <c r="P884" s="189">
        <f t="shared" si="674"/>
        <v>639965</v>
      </c>
      <c r="Q884" s="189">
        <f t="shared" si="675"/>
        <v>1464.9999999990087</v>
      </c>
      <c r="R884" s="189">
        <v>128.16</v>
      </c>
      <c r="S884" s="189">
        <f t="shared" si="697"/>
        <v>27.04</v>
      </c>
      <c r="T884" s="189">
        <f t="shared" si="698"/>
        <v>80</v>
      </c>
      <c r="U884" s="189">
        <f t="shared" ref="U884:U959" si="700">ROUND((L884*K884)*L$1813,0)</f>
        <v>10</v>
      </c>
      <c r="V884" s="189">
        <f t="shared" ref="V884:V886" si="701">ROUND(P884*M$1809,2)</f>
        <v>22.08</v>
      </c>
      <c r="W884" s="189">
        <f t="shared" ref="W884:W895" si="702">ROUND(P884*I$1815,2)</f>
        <v>0</v>
      </c>
      <c r="X884" s="189">
        <f t="shared" si="681"/>
        <v>267.27999999999997</v>
      </c>
      <c r="Y884" s="190">
        <f t="shared" si="682"/>
        <v>1197.72</v>
      </c>
      <c r="Z884" s="191">
        <v>1341.42</v>
      </c>
      <c r="AA884" s="192">
        <f>Z884-Y884-Y885-Y886</f>
        <v>-0.45999999999995111</v>
      </c>
      <c r="AB884" s="193">
        <f t="shared" si="684"/>
        <v>4.5888801879373662E-3</v>
      </c>
      <c r="AC884" s="194">
        <f t="shared" si="685"/>
        <v>4.1800000000000002E-4</v>
      </c>
      <c r="AD884" s="189"/>
      <c r="AE884" s="195" t="s">
        <v>403</v>
      </c>
      <c r="AF884" s="119"/>
    </row>
    <row r="885" spans="1:32" ht="12" hidden="1" customHeight="1">
      <c r="A885" s="183">
        <v>44230</v>
      </c>
      <c r="B885" s="184" t="s">
        <v>657</v>
      </c>
      <c r="C885" s="184"/>
      <c r="D885" s="184"/>
      <c r="E885" s="184"/>
      <c r="F885" s="184"/>
      <c r="G885" s="184"/>
      <c r="H885" s="184" t="s">
        <v>654</v>
      </c>
      <c r="I885" s="184" t="s">
        <v>469</v>
      </c>
      <c r="J885" s="184" t="s">
        <v>471</v>
      </c>
      <c r="K885" s="185">
        <v>500</v>
      </c>
      <c r="L885" s="186">
        <v>207.5</v>
      </c>
      <c r="M885" s="187">
        <v>207.75</v>
      </c>
      <c r="N885" s="188">
        <f t="shared" si="695"/>
        <v>20</v>
      </c>
      <c r="O885" s="188">
        <f t="shared" si="696"/>
        <v>20</v>
      </c>
      <c r="P885" s="189">
        <f t="shared" si="674"/>
        <v>207625</v>
      </c>
      <c r="Q885" s="189">
        <f t="shared" si="675"/>
        <v>125</v>
      </c>
      <c r="R885" s="189">
        <f t="shared" ref="R885:R886" si="703">ROUND(N885+O885,2)</f>
        <v>40</v>
      </c>
      <c r="S885" s="189">
        <f t="shared" si="697"/>
        <v>8.49</v>
      </c>
      <c r="T885" s="189">
        <f t="shared" si="698"/>
        <v>26</v>
      </c>
      <c r="U885" s="189">
        <f t="shared" si="700"/>
        <v>3</v>
      </c>
      <c r="V885" s="189">
        <f t="shared" si="701"/>
        <v>7.16</v>
      </c>
      <c r="W885" s="189">
        <f t="shared" si="702"/>
        <v>0</v>
      </c>
      <c r="X885" s="189">
        <f t="shared" si="681"/>
        <v>84.65</v>
      </c>
      <c r="Y885" s="190">
        <f t="shared" si="682"/>
        <v>40.35</v>
      </c>
      <c r="Z885" s="191"/>
      <c r="AA885" s="192"/>
      <c r="AB885" s="193">
        <f t="shared" si="684"/>
        <v>1.2048192771084338E-3</v>
      </c>
      <c r="AC885" s="194">
        <f t="shared" si="685"/>
        <v>4.08E-4</v>
      </c>
      <c r="AD885" s="189"/>
      <c r="AE885" s="195" t="s">
        <v>403</v>
      </c>
      <c r="AF885" s="119"/>
    </row>
    <row r="886" spans="1:32" ht="12" hidden="1" customHeight="1">
      <c r="A886" s="183">
        <v>44230</v>
      </c>
      <c r="B886" s="184" t="s">
        <v>460</v>
      </c>
      <c r="C886" s="184"/>
      <c r="D886" s="184"/>
      <c r="E886" s="184"/>
      <c r="F886" s="184"/>
      <c r="G886" s="184"/>
      <c r="H886" s="184" t="s">
        <v>654</v>
      </c>
      <c r="I886" s="184" t="s">
        <v>469</v>
      </c>
      <c r="J886" s="184" t="s">
        <v>471</v>
      </c>
      <c r="K886" s="185">
        <v>20</v>
      </c>
      <c r="L886" s="186">
        <v>1930.4075</v>
      </c>
      <c r="M886" s="187">
        <v>1937.675</v>
      </c>
      <c r="N886" s="188">
        <f t="shared" si="695"/>
        <v>11.58</v>
      </c>
      <c r="O886" s="188">
        <f t="shared" si="696"/>
        <v>11.63</v>
      </c>
      <c r="P886" s="189">
        <f t="shared" si="674"/>
        <v>77361.649999999994</v>
      </c>
      <c r="Q886" s="189">
        <f t="shared" si="675"/>
        <v>145.34999999999854</v>
      </c>
      <c r="R886" s="189">
        <f t="shared" si="703"/>
        <v>23.21</v>
      </c>
      <c r="S886" s="189">
        <f t="shared" si="697"/>
        <v>4.66</v>
      </c>
      <c r="T886" s="189">
        <f t="shared" si="698"/>
        <v>10</v>
      </c>
      <c r="U886" s="189">
        <f t="shared" si="700"/>
        <v>1</v>
      </c>
      <c r="V886" s="189">
        <f t="shared" si="701"/>
        <v>2.67</v>
      </c>
      <c r="W886" s="189">
        <f t="shared" si="702"/>
        <v>0</v>
      </c>
      <c r="X886" s="189">
        <f t="shared" si="681"/>
        <v>41.540000000000006</v>
      </c>
      <c r="Y886" s="190">
        <f t="shared" si="682"/>
        <v>103.81</v>
      </c>
      <c r="Z886" s="191"/>
      <c r="AA886" s="192"/>
      <c r="AB886" s="193">
        <f t="shared" si="684"/>
        <v>3.7647491527047668E-3</v>
      </c>
      <c r="AC886" s="194">
        <f t="shared" si="685"/>
        <v>5.3700000000000004E-4</v>
      </c>
      <c r="AD886" s="189"/>
      <c r="AE886" s="195" t="s">
        <v>403</v>
      </c>
      <c r="AF886" s="119"/>
    </row>
    <row r="887" spans="1:32" ht="12" hidden="1" customHeight="1">
      <c r="A887" s="183">
        <v>44231</v>
      </c>
      <c r="B887" s="184" t="s">
        <v>665</v>
      </c>
      <c r="C887" s="184"/>
      <c r="D887" s="184"/>
      <c r="E887" s="184"/>
      <c r="F887" s="184"/>
      <c r="G887" s="184"/>
      <c r="H887" s="184" t="s">
        <v>654</v>
      </c>
      <c r="I887" s="184" t="s">
        <v>469</v>
      </c>
      <c r="J887" s="184" t="s">
        <v>471</v>
      </c>
      <c r="K887" s="185">
        <v>550</v>
      </c>
      <c r="L887" s="186">
        <v>2842.1363999999999</v>
      </c>
      <c r="M887" s="187">
        <v>2842.8908999999999</v>
      </c>
      <c r="N887" s="188">
        <f t="shared" si="695"/>
        <v>20</v>
      </c>
      <c r="O887" s="188">
        <f t="shared" si="696"/>
        <v>20</v>
      </c>
      <c r="P887" s="189">
        <f t="shared" si="674"/>
        <v>3126765.02</v>
      </c>
      <c r="Q887" s="189">
        <f t="shared" si="675"/>
        <v>414.975000000004</v>
      </c>
      <c r="R887" s="189">
        <v>280</v>
      </c>
      <c r="S887" s="189">
        <f t="shared" si="697"/>
        <v>65.88</v>
      </c>
      <c r="T887" s="189">
        <f t="shared" si="698"/>
        <v>391</v>
      </c>
      <c r="U887" s="189">
        <f t="shared" si="700"/>
        <v>47</v>
      </c>
      <c r="V887" s="189">
        <f t="shared" ref="V887:V888" si="704">ROUND(P887*L$1809,2)</f>
        <v>85.99</v>
      </c>
      <c r="W887" s="189">
        <f t="shared" si="702"/>
        <v>0</v>
      </c>
      <c r="X887" s="189">
        <f t="shared" si="681"/>
        <v>869.87</v>
      </c>
      <c r="Y887" s="190">
        <f t="shared" si="682"/>
        <v>-454.89</v>
      </c>
      <c r="Z887" s="191">
        <v>764.21</v>
      </c>
      <c r="AA887" s="192">
        <f>Z887-Y887-Y888</f>
        <v>-2.0800000000001546</v>
      </c>
      <c r="AB887" s="193">
        <f t="shared" si="684"/>
        <v>2.654693138584085E-4</v>
      </c>
      <c r="AC887" s="194">
        <f t="shared" si="685"/>
        <v>2.7799999999999998E-4</v>
      </c>
      <c r="AD887" s="189"/>
      <c r="AE887" s="195" t="s">
        <v>403</v>
      </c>
      <c r="AF887" s="119"/>
    </row>
    <row r="888" spans="1:32" ht="12" hidden="1" customHeight="1">
      <c r="A888" s="183">
        <v>44231</v>
      </c>
      <c r="B888" s="184" t="s">
        <v>666</v>
      </c>
      <c r="C888" s="184"/>
      <c r="D888" s="184"/>
      <c r="E888" s="184"/>
      <c r="F888" s="184"/>
      <c r="G888" s="184"/>
      <c r="H888" s="184" t="s">
        <v>654</v>
      </c>
      <c r="I888" s="184" t="s">
        <v>469</v>
      </c>
      <c r="J888" s="184" t="s">
        <v>471</v>
      </c>
      <c r="K888" s="185">
        <v>2100</v>
      </c>
      <c r="L888" s="186">
        <v>244.92859999999999</v>
      </c>
      <c r="M888" s="187">
        <v>245.69290000000001</v>
      </c>
      <c r="N888" s="188">
        <f t="shared" si="695"/>
        <v>20</v>
      </c>
      <c r="O888" s="188">
        <f t="shared" si="696"/>
        <v>20</v>
      </c>
      <c r="P888" s="189">
        <f t="shared" si="674"/>
        <v>1030305.15</v>
      </c>
      <c r="Q888" s="189">
        <f t="shared" si="675"/>
        <v>1605.030000000042</v>
      </c>
      <c r="R888" s="189">
        <v>174.93</v>
      </c>
      <c r="S888" s="189">
        <f t="shared" si="697"/>
        <v>36.590000000000003</v>
      </c>
      <c r="T888" s="189">
        <f t="shared" si="698"/>
        <v>129</v>
      </c>
      <c r="U888" s="189">
        <f t="shared" si="700"/>
        <v>15</v>
      </c>
      <c r="V888" s="189">
        <f t="shared" si="704"/>
        <v>28.33</v>
      </c>
      <c r="W888" s="189">
        <f t="shared" si="702"/>
        <v>0</v>
      </c>
      <c r="X888" s="189">
        <f t="shared" si="681"/>
        <v>383.84999999999997</v>
      </c>
      <c r="Y888" s="190">
        <f t="shared" si="682"/>
        <v>1221.18</v>
      </c>
      <c r="Z888" s="191"/>
      <c r="AA888" s="192"/>
      <c r="AB888" s="193">
        <f t="shared" si="684"/>
        <v>3.1205012399532763E-3</v>
      </c>
      <c r="AC888" s="194">
        <f t="shared" si="685"/>
        <v>3.7300000000000001E-4</v>
      </c>
      <c r="AD888" s="189"/>
      <c r="AE888" s="195" t="s">
        <v>403</v>
      </c>
      <c r="AF888" s="119"/>
    </row>
    <row r="889" spans="1:32" ht="12" hidden="1" customHeight="1">
      <c r="A889" s="183">
        <v>44232</v>
      </c>
      <c r="B889" s="184" t="s">
        <v>479</v>
      </c>
      <c r="C889" s="184"/>
      <c r="D889" s="184"/>
      <c r="E889" s="184"/>
      <c r="F889" s="184"/>
      <c r="G889" s="184"/>
      <c r="H889" s="184" t="s">
        <v>654</v>
      </c>
      <c r="I889" s="184" t="s">
        <v>469</v>
      </c>
      <c r="J889" s="184" t="s">
        <v>471</v>
      </c>
      <c r="K889" s="185">
        <v>500</v>
      </c>
      <c r="L889" s="186">
        <v>388</v>
      </c>
      <c r="M889" s="187">
        <v>390.6</v>
      </c>
      <c r="N889" s="188">
        <f t="shared" si="695"/>
        <v>20</v>
      </c>
      <c r="O889" s="188">
        <f t="shared" si="696"/>
        <v>20</v>
      </c>
      <c r="P889" s="189">
        <f t="shared" si="674"/>
        <v>389300</v>
      </c>
      <c r="Q889" s="189">
        <f t="shared" si="675"/>
        <v>1300.0000000000114</v>
      </c>
      <c r="R889" s="189">
        <f>ROUND(N889+O889,2)</f>
        <v>40</v>
      </c>
      <c r="S889" s="189">
        <f t="shared" si="697"/>
        <v>9.6199999999999992</v>
      </c>
      <c r="T889" s="189">
        <f t="shared" si="698"/>
        <v>49</v>
      </c>
      <c r="U889" s="189">
        <f t="shared" si="700"/>
        <v>6</v>
      </c>
      <c r="V889" s="189">
        <f t="shared" ref="V889:V898" si="705">ROUND(P889*M$1809,2)</f>
        <v>13.43</v>
      </c>
      <c r="W889" s="189">
        <f t="shared" si="702"/>
        <v>0</v>
      </c>
      <c r="X889" s="189">
        <f t="shared" si="681"/>
        <v>118.05000000000001</v>
      </c>
      <c r="Y889" s="190">
        <f t="shared" si="682"/>
        <v>1181.95</v>
      </c>
      <c r="Z889" s="191">
        <v>-2814.11</v>
      </c>
      <c r="AA889" s="192">
        <f>Z889-Y889-Y890</f>
        <v>-0.54000000000041837</v>
      </c>
      <c r="AB889" s="193">
        <f t="shared" si="684"/>
        <v>6.7010309278351101E-3</v>
      </c>
      <c r="AC889" s="194">
        <f t="shared" si="685"/>
        <v>3.0299999999999999E-4</v>
      </c>
      <c r="AD889" s="189"/>
      <c r="AE889" s="195" t="s">
        <v>403</v>
      </c>
      <c r="AF889" s="119"/>
    </row>
    <row r="890" spans="1:32" ht="12" hidden="1" customHeight="1">
      <c r="A890" s="183">
        <v>44232</v>
      </c>
      <c r="B890" s="184" t="s">
        <v>664</v>
      </c>
      <c r="C890" s="184"/>
      <c r="D890" s="184"/>
      <c r="E890" s="184"/>
      <c r="F890" s="184"/>
      <c r="G890" s="184"/>
      <c r="H890" s="184" t="s">
        <v>654</v>
      </c>
      <c r="I890" s="184" t="s">
        <v>469</v>
      </c>
      <c r="J890" s="184" t="s">
        <v>471</v>
      </c>
      <c r="K890" s="185">
        <v>350</v>
      </c>
      <c r="L890" s="186">
        <v>1040.0428999999999</v>
      </c>
      <c r="M890" s="187">
        <v>1029.5085999999999</v>
      </c>
      <c r="N890" s="188">
        <f t="shared" si="695"/>
        <v>20</v>
      </c>
      <c r="O890" s="188">
        <f t="shared" si="696"/>
        <v>20</v>
      </c>
      <c r="P890" s="189">
        <f t="shared" si="674"/>
        <v>724343.03</v>
      </c>
      <c r="Q890" s="189">
        <f t="shared" si="675"/>
        <v>-3687.0050000000106</v>
      </c>
      <c r="R890" s="189">
        <v>150.87</v>
      </c>
      <c r="S890" s="189">
        <f t="shared" si="697"/>
        <v>31.65</v>
      </c>
      <c r="T890" s="189">
        <f t="shared" si="698"/>
        <v>90</v>
      </c>
      <c r="U890" s="189">
        <f t="shared" si="700"/>
        <v>11</v>
      </c>
      <c r="V890" s="189">
        <f t="shared" si="705"/>
        <v>24.99</v>
      </c>
      <c r="W890" s="189">
        <f t="shared" si="702"/>
        <v>0</v>
      </c>
      <c r="X890" s="189">
        <f t="shared" si="681"/>
        <v>308.51</v>
      </c>
      <c r="Y890" s="190">
        <f t="shared" si="682"/>
        <v>-3995.52</v>
      </c>
      <c r="Z890" s="191"/>
      <c r="AA890" s="192"/>
      <c r="AB890" s="193">
        <f t="shared" si="684"/>
        <v>-1.0128716805816406E-2</v>
      </c>
      <c r="AC890" s="194">
        <f t="shared" si="685"/>
        <v>4.26E-4</v>
      </c>
      <c r="AD890" s="189"/>
      <c r="AE890" s="195" t="s">
        <v>403</v>
      </c>
      <c r="AF890" s="119"/>
    </row>
    <row r="891" spans="1:32" ht="12" hidden="1" customHeight="1">
      <c r="A891" s="183">
        <v>44235</v>
      </c>
      <c r="B891" s="184" t="s">
        <v>667</v>
      </c>
      <c r="C891" s="184"/>
      <c r="D891" s="184"/>
      <c r="E891" s="184"/>
      <c r="F891" s="184"/>
      <c r="G891" s="184"/>
      <c r="H891" s="184" t="s">
        <v>654</v>
      </c>
      <c r="I891" s="184" t="s">
        <v>469</v>
      </c>
      <c r="J891" s="184" t="s">
        <v>471</v>
      </c>
      <c r="K891" s="185">
        <v>400</v>
      </c>
      <c r="L891" s="186">
        <v>505.5</v>
      </c>
      <c r="M891" s="187">
        <v>508.2765</v>
      </c>
      <c r="N891" s="188">
        <f t="shared" si="695"/>
        <v>20</v>
      </c>
      <c r="O891" s="188">
        <f t="shared" si="696"/>
        <v>20</v>
      </c>
      <c r="P891" s="189">
        <f t="shared" si="674"/>
        <v>405510.6</v>
      </c>
      <c r="Q891" s="189">
        <f t="shared" si="675"/>
        <v>1110.5999999999995</v>
      </c>
      <c r="R891" s="189">
        <v>60</v>
      </c>
      <c r="S891" s="189">
        <f t="shared" si="697"/>
        <v>13.32</v>
      </c>
      <c r="T891" s="189">
        <f t="shared" si="698"/>
        <v>51</v>
      </c>
      <c r="U891" s="189">
        <f t="shared" si="700"/>
        <v>6</v>
      </c>
      <c r="V891" s="189">
        <f t="shared" si="705"/>
        <v>13.99</v>
      </c>
      <c r="W891" s="189">
        <f t="shared" si="702"/>
        <v>0</v>
      </c>
      <c r="X891" s="189">
        <f t="shared" si="681"/>
        <v>144.31</v>
      </c>
      <c r="Y891" s="190">
        <f t="shared" si="682"/>
        <v>966.29</v>
      </c>
      <c r="Z891" s="191">
        <v>1521.43</v>
      </c>
      <c r="AA891" s="192">
        <f>Z891-Y891-Y892</f>
        <v>-0.40999999999985448</v>
      </c>
      <c r="AB891" s="193">
        <f t="shared" si="684"/>
        <v>5.4925816023738841E-3</v>
      </c>
      <c r="AC891" s="194">
        <f t="shared" si="685"/>
        <v>3.5599999999999998E-4</v>
      </c>
      <c r="AD891" s="189"/>
      <c r="AE891" s="195" t="s">
        <v>403</v>
      </c>
      <c r="AF891" s="119"/>
    </row>
    <row r="892" spans="1:32" ht="12" hidden="1" customHeight="1">
      <c r="A892" s="183">
        <v>44235</v>
      </c>
      <c r="B892" s="184" t="s">
        <v>664</v>
      </c>
      <c r="C892" s="184"/>
      <c r="D892" s="184"/>
      <c r="E892" s="184"/>
      <c r="F892" s="184"/>
      <c r="G892" s="184"/>
      <c r="H892" s="184" t="s">
        <v>654</v>
      </c>
      <c r="I892" s="184" t="s">
        <v>469</v>
      </c>
      <c r="J892" s="184" t="s">
        <v>471</v>
      </c>
      <c r="K892" s="185">
        <v>200</v>
      </c>
      <c r="L892" s="186">
        <v>1045.25</v>
      </c>
      <c r="M892" s="187">
        <v>1048.875</v>
      </c>
      <c r="N892" s="188">
        <f t="shared" si="695"/>
        <v>20</v>
      </c>
      <c r="O892" s="188">
        <f t="shared" si="696"/>
        <v>20</v>
      </c>
      <c r="P892" s="189">
        <f t="shared" si="674"/>
        <v>418825</v>
      </c>
      <c r="Q892" s="189">
        <f t="shared" si="675"/>
        <v>725</v>
      </c>
      <c r="R892" s="189">
        <v>80</v>
      </c>
      <c r="S892" s="189">
        <f t="shared" si="697"/>
        <v>17</v>
      </c>
      <c r="T892" s="189">
        <f t="shared" si="698"/>
        <v>52</v>
      </c>
      <c r="U892" s="189">
        <f t="shared" si="700"/>
        <v>6</v>
      </c>
      <c r="V892" s="189">
        <f t="shared" si="705"/>
        <v>14.45</v>
      </c>
      <c r="W892" s="189">
        <f t="shared" si="702"/>
        <v>0</v>
      </c>
      <c r="X892" s="189">
        <f t="shared" si="681"/>
        <v>169.45</v>
      </c>
      <c r="Y892" s="190">
        <f t="shared" si="682"/>
        <v>555.54999999999995</v>
      </c>
      <c r="Z892" s="191"/>
      <c r="AA892" s="192"/>
      <c r="AB892" s="193">
        <f t="shared" si="684"/>
        <v>3.4680698397512558E-3</v>
      </c>
      <c r="AC892" s="194">
        <f t="shared" si="685"/>
        <v>4.0499999999999998E-4</v>
      </c>
      <c r="AD892" s="189"/>
      <c r="AE892" s="195" t="s">
        <v>403</v>
      </c>
      <c r="AF892" s="119"/>
    </row>
    <row r="893" spans="1:32" ht="12" hidden="1" customHeight="1">
      <c r="A893" s="183">
        <v>44236</v>
      </c>
      <c r="B893" s="184" t="s">
        <v>460</v>
      </c>
      <c r="C893" s="184"/>
      <c r="D893" s="184"/>
      <c r="E893" s="184"/>
      <c r="F893" s="184"/>
      <c r="G893" s="184"/>
      <c r="H893" s="184" t="s">
        <v>654</v>
      </c>
      <c r="I893" s="184" t="s">
        <v>469</v>
      </c>
      <c r="J893" s="184" t="s">
        <v>471</v>
      </c>
      <c r="K893" s="185">
        <v>350</v>
      </c>
      <c r="L893" s="186">
        <v>1974.7143000000001</v>
      </c>
      <c r="M893" s="187">
        <v>1980.5714</v>
      </c>
      <c r="N893" s="188">
        <f t="shared" si="695"/>
        <v>20</v>
      </c>
      <c r="O893" s="188">
        <f t="shared" si="696"/>
        <v>20</v>
      </c>
      <c r="P893" s="189">
        <f t="shared" si="674"/>
        <v>1384350</v>
      </c>
      <c r="Q893" s="189">
        <f t="shared" si="675"/>
        <v>2049.984999999981</v>
      </c>
      <c r="R893" s="189">
        <v>160</v>
      </c>
      <c r="S893" s="189">
        <f t="shared" si="697"/>
        <v>37.4</v>
      </c>
      <c r="T893" s="189">
        <f t="shared" si="698"/>
        <v>173</v>
      </c>
      <c r="U893" s="189">
        <f t="shared" si="700"/>
        <v>21</v>
      </c>
      <c r="V893" s="189">
        <f t="shared" si="705"/>
        <v>47.76</v>
      </c>
      <c r="W893" s="189">
        <f t="shared" si="702"/>
        <v>0</v>
      </c>
      <c r="X893" s="189">
        <f t="shared" si="681"/>
        <v>439.15999999999997</v>
      </c>
      <c r="Y893" s="190">
        <f t="shared" si="682"/>
        <v>1610.82</v>
      </c>
      <c r="Z893" s="191">
        <v>1610.35</v>
      </c>
      <c r="AA893" s="192">
        <f t="shared" ref="AA893:AA894" si="706">Z893-Y893</f>
        <v>-0.47000000000002728</v>
      </c>
      <c r="AB893" s="193">
        <f t="shared" si="684"/>
        <v>2.966049316602379E-3</v>
      </c>
      <c r="AC893" s="194">
        <f t="shared" si="685"/>
        <v>3.1700000000000001E-4</v>
      </c>
      <c r="AD893" s="189"/>
      <c r="AE893" s="195" t="s">
        <v>403</v>
      </c>
      <c r="AF893" s="119"/>
    </row>
    <row r="894" spans="1:32" ht="12" hidden="1" customHeight="1">
      <c r="A894" s="183">
        <v>44237</v>
      </c>
      <c r="B894" s="184" t="s">
        <v>590</v>
      </c>
      <c r="C894" s="184"/>
      <c r="D894" s="184"/>
      <c r="E894" s="184"/>
      <c r="F894" s="184"/>
      <c r="G894" s="184"/>
      <c r="H894" s="184" t="s">
        <v>654</v>
      </c>
      <c r="I894" s="184" t="s">
        <v>469</v>
      </c>
      <c r="J894" s="184" t="s">
        <v>471</v>
      </c>
      <c r="K894" s="185">
        <v>500</v>
      </c>
      <c r="L894" s="186">
        <v>693.6</v>
      </c>
      <c r="M894" s="187">
        <v>694.26</v>
      </c>
      <c r="N894" s="188">
        <f t="shared" si="695"/>
        <v>20</v>
      </c>
      <c r="O894" s="188">
        <f t="shared" si="696"/>
        <v>20</v>
      </c>
      <c r="P894" s="189">
        <f t="shared" si="674"/>
        <v>693930</v>
      </c>
      <c r="Q894" s="189">
        <f t="shared" si="675"/>
        <v>329.99999999998408</v>
      </c>
      <c r="R894" s="189">
        <v>120</v>
      </c>
      <c r="S894" s="189">
        <f t="shared" si="697"/>
        <v>25.91</v>
      </c>
      <c r="T894" s="189">
        <f t="shared" si="698"/>
        <v>87</v>
      </c>
      <c r="U894" s="189">
        <f t="shared" si="700"/>
        <v>10</v>
      </c>
      <c r="V894" s="189">
        <f t="shared" si="705"/>
        <v>23.94</v>
      </c>
      <c r="W894" s="189">
        <f t="shared" si="702"/>
        <v>0</v>
      </c>
      <c r="X894" s="189">
        <f t="shared" si="681"/>
        <v>266.85000000000002</v>
      </c>
      <c r="Y894" s="190">
        <f t="shared" si="682"/>
        <v>63.15</v>
      </c>
      <c r="Z894" s="191">
        <v>62.8</v>
      </c>
      <c r="AA894" s="192">
        <f t="shared" si="706"/>
        <v>-0.35000000000000142</v>
      </c>
      <c r="AB894" s="193">
        <f t="shared" si="684"/>
        <v>9.5155709342555962E-4</v>
      </c>
      <c r="AC894" s="194">
        <f t="shared" si="685"/>
        <v>3.8499999999999998E-4</v>
      </c>
      <c r="AD894" s="189"/>
      <c r="AE894" s="195" t="s">
        <v>403</v>
      </c>
      <c r="AF894" s="119"/>
    </row>
    <row r="895" spans="1:32" ht="12" hidden="1" customHeight="1">
      <c r="A895" s="183">
        <v>44238</v>
      </c>
      <c r="B895" s="184" t="s">
        <v>467</v>
      </c>
      <c r="C895" s="184"/>
      <c r="D895" s="184"/>
      <c r="E895" s="184"/>
      <c r="F895" s="184"/>
      <c r="G895" s="184"/>
      <c r="H895" s="184" t="s">
        <v>654</v>
      </c>
      <c r="I895" s="184" t="s">
        <v>469</v>
      </c>
      <c r="J895" s="184" t="s">
        <v>471</v>
      </c>
      <c r="K895" s="185">
        <v>500</v>
      </c>
      <c r="L895" s="186">
        <v>288.14999999999998</v>
      </c>
      <c r="M895" s="187">
        <v>292</v>
      </c>
      <c r="N895" s="188">
        <f t="shared" si="695"/>
        <v>20</v>
      </c>
      <c r="O895" s="188">
        <f t="shared" si="696"/>
        <v>20</v>
      </c>
      <c r="P895" s="189">
        <f t="shared" si="674"/>
        <v>290075</v>
      </c>
      <c r="Q895" s="189">
        <f t="shared" si="675"/>
        <v>1925.0000000000114</v>
      </c>
      <c r="R895" s="189">
        <f>ROUND(N895+O895,2)</f>
        <v>40</v>
      </c>
      <c r="S895" s="189">
        <f t="shared" si="697"/>
        <v>9</v>
      </c>
      <c r="T895" s="189">
        <f t="shared" si="698"/>
        <v>37</v>
      </c>
      <c r="U895" s="189">
        <f t="shared" si="700"/>
        <v>4</v>
      </c>
      <c r="V895" s="189">
        <f t="shared" si="705"/>
        <v>10.01</v>
      </c>
      <c r="W895" s="189">
        <f t="shared" si="702"/>
        <v>0</v>
      </c>
      <c r="X895" s="189">
        <f t="shared" si="681"/>
        <v>100.01</v>
      </c>
      <c r="Y895" s="190">
        <f t="shared" si="682"/>
        <v>1824.99</v>
      </c>
      <c r="Z895" s="191">
        <v>1870.74</v>
      </c>
      <c r="AA895" s="192">
        <f>Z895-Y895-Y896-Y897</f>
        <v>9.0000000000003411E-2</v>
      </c>
      <c r="AB895" s="193">
        <f t="shared" si="684"/>
        <v>1.336109665104988E-2</v>
      </c>
      <c r="AC895" s="194">
        <f t="shared" si="685"/>
        <v>3.4499999999999998E-4</v>
      </c>
      <c r="AD895" s="189"/>
      <c r="AE895" s="195" t="s">
        <v>403</v>
      </c>
      <c r="AF895" s="119"/>
    </row>
    <row r="896" spans="1:32" ht="12" hidden="1" customHeight="1">
      <c r="A896" s="183">
        <v>44238</v>
      </c>
      <c r="B896" s="184" t="s">
        <v>519</v>
      </c>
      <c r="C896" s="184"/>
      <c r="D896" s="184"/>
      <c r="E896" s="184"/>
      <c r="F896" s="184"/>
      <c r="G896" s="184"/>
      <c r="H896" s="184" t="s">
        <v>654</v>
      </c>
      <c r="I896" s="184" t="s">
        <v>469</v>
      </c>
      <c r="J896" s="184" t="s">
        <v>471</v>
      </c>
      <c r="K896" s="185">
        <v>4000</v>
      </c>
      <c r="L896" s="186">
        <v>38.950000000000003</v>
      </c>
      <c r="M896" s="187">
        <v>38.975000000000001</v>
      </c>
      <c r="N896" s="188">
        <f t="shared" si="695"/>
        <v>20</v>
      </c>
      <c r="O896" s="188">
        <f t="shared" si="696"/>
        <v>20</v>
      </c>
      <c r="P896" s="189">
        <f t="shared" si="674"/>
        <v>311700</v>
      </c>
      <c r="Q896" s="189">
        <f t="shared" si="675"/>
        <v>99.999999999994316</v>
      </c>
      <c r="R896" s="189">
        <v>60</v>
      </c>
      <c r="S896" s="189">
        <f t="shared" si="697"/>
        <v>12.74</v>
      </c>
      <c r="T896" s="189">
        <f t="shared" si="698"/>
        <v>39</v>
      </c>
      <c r="U896" s="189">
        <f t="shared" si="700"/>
        <v>5</v>
      </c>
      <c r="V896" s="189">
        <f t="shared" si="705"/>
        <v>10.75</v>
      </c>
      <c r="W896" s="189">
        <f>ROUND(P896*I$1815,2)-0.01</f>
        <v>-0.01</v>
      </c>
      <c r="X896" s="189">
        <f t="shared" si="681"/>
        <v>127.47999999999999</v>
      </c>
      <c r="Y896" s="190">
        <f t="shared" si="682"/>
        <v>-27.48</v>
      </c>
      <c r="Z896" s="191"/>
      <c r="AA896" s="192"/>
      <c r="AB896" s="193">
        <f t="shared" si="684"/>
        <v>6.4184852374835879E-4</v>
      </c>
      <c r="AC896" s="194">
        <f t="shared" si="685"/>
        <v>4.0900000000000002E-4</v>
      </c>
      <c r="AD896" s="189"/>
      <c r="AE896" s="195" t="s">
        <v>403</v>
      </c>
      <c r="AF896" s="119"/>
    </row>
    <row r="897" spans="1:32" ht="12" hidden="1" customHeight="1">
      <c r="A897" s="183">
        <v>44238</v>
      </c>
      <c r="B897" s="184" t="s">
        <v>507</v>
      </c>
      <c r="C897" s="184"/>
      <c r="D897" s="184"/>
      <c r="E897" s="184"/>
      <c r="F897" s="184"/>
      <c r="G897" s="184"/>
      <c r="H897" s="184" t="s">
        <v>654</v>
      </c>
      <c r="I897" s="184" t="s">
        <v>469</v>
      </c>
      <c r="J897" s="184" t="s">
        <v>471</v>
      </c>
      <c r="K897" s="185">
        <v>2000</v>
      </c>
      <c r="L897" s="186">
        <v>12.55</v>
      </c>
      <c r="M897" s="187">
        <v>12.6</v>
      </c>
      <c r="N897" s="188">
        <f t="shared" si="695"/>
        <v>7.53</v>
      </c>
      <c r="O897" s="188">
        <f t="shared" si="696"/>
        <v>7.56</v>
      </c>
      <c r="P897" s="189">
        <f t="shared" si="674"/>
        <v>50300</v>
      </c>
      <c r="Q897" s="189">
        <f t="shared" si="675"/>
        <v>99.999999999997868</v>
      </c>
      <c r="R897" s="189">
        <f>ROUND(N897+O897,2)</f>
        <v>15.09</v>
      </c>
      <c r="S897" s="189">
        <f t="shared" si="697"/>
        <v>3.03</v>
      </c>
      <c r="T897" s="189">
        <f t="shared" si="698"/>
        <v>6</v>
      </c>
      <c r="U897" s="189">
        <f t="shared" si="700"/>
        <v>1</v>
      </c>
      <c r="V897" s="189">
        <f t="shared" si="705"/>
        <v>1.74</v>
      </c>
      <c r="W897" s="189">
        <f t="shared" ref="W897:W1001" si="707">ROUND(P897*I$1815,2)</f>
        <v>0</v>
      </c>
      <c r="X897" s="189">
        <f t="shared" si="681"/>
        <v>26.86</v>
      </c>
      <c r="Y897" s="190">
        <f t="shared" si="682"/>
        <v>73.14</v>
      </c>
      <c r="Z897" s="191"/>
      <c r="AA897" s="192"/>
      <c r="AB897" s="193">
        <f t="shared" si="684"/>
        <v>3.9840637450198352E-3</v>
      </c>
      <c r="AC897" s="194">
        <f t="shared" si="685"/>
        <v>5.3399999999999997E-4</v>
      </c>
      <c r="AD897" s="189"/>
      <c r="AE897" s="195" t="s">
        <v>403</v>
      </c>
      <c r="AF897" s="119"/>
    </row>
    <row r="898" spans="1:32" ht="12" hidden="1" customHeight="1">
      <c r="A898" s="183">
        <v>44239</v>
      </c>
      <c r="B898" s="184" t="s">
        <v>565</v>
      </c>
      <c r="C898" s="184"/>
      <c r="D898" s="184"/>
      <c r="E898" s="184"/>
      <c r="F898" s="184"/>
      <c r="G898" s="184"/>
      <c r="H898" s="184" t="s">
        <v>654</v>
      </c>
      <c r="I898" s="184" t="s">
        <v>469</v>
      </c>
      <c r="J898" s="184" t="s">
        <v>471</v>
      </c>
      <c r="K898" s="185">
        <v>901</v>
      </c>
      <c r="L898" s="186">
        <v>1647.2425000000001</v>
      </c>
      <c r="M898" s="187">
        <v>1649.3773000000001</v>
      </c>
      <c r="N898" s="188">
        <f t="shared" si="695"/>
        <v>20</v>
      </c>
      <c r="O898" s="188">
        <f t="shared" si="696"/>
        <v>20</v>
      </c>
      <c r="P898" s="189">
        <f t="shared" si="674"/>
        <v>2970254.44</v>
      </c>
      <c r="Q898" s="189">
        <f t="shared" si="675"/>
        <v>1923.454800000037</v>
      </c>
      <c r="R898" s="189">
        <v>260.49</v>
      </c>
      <c r="S898" s="189">
        <f t="shared" si="697"/>
        <v>65.33</v>
      </c>
      <c r="T898" s="189">
        <f t="shared" si="698"/>
        <v>372</v>
      </c>
      <c r="U898" s="189">
        <f t="shared" si="700"/>
        <v>45</v>
      </c>
      <c r="V898" s="189">
        <f t="shared" si="705"/>
        <v>102.47</v>
      </c>
      <c r="W898" s="189">
        <f t="shared" si="707"/>
        <v>0</v>
      </c>
      <c r="X898" s="189">
        <f t="shared" si="681"/>
        <v>845.29</v>
      </c>
      <c r="Y898" s="190">
        <f t="shared" si="682"/>
        <v>1078.1600000000001</v>
      </c>
      <c r="Z898" s="191">
        <v>1077.82</v>
      </c>
      <c r="AA898" s="192">
        <f t="shared" ref="AA898:AA902" si="708">Z898-Y898</f>
        <v>-0.34000000000014552</v>
      </c>
      <c r="AB898" s="193">
        <f t="shared" si="684"/>
        <v>1.2959840460648878E-3</v>
      </c>
      <c r="AC898" s="194">
        <f t="shared" si="685"/>
        <v>2.8499999999999999E-4</v>
      </c>
      <c r="AD898" s="189"/>
      <c r="AE898" s="195" t="s">
        <v>403</v>
      </c>
      <c r="AF898" s="119"/>
    </row>
    <row r="899" spans="1:32" ht="12" hidden="1" customHeight="1">
      <c r="A899" s="183">
        <v>44242</v>
      </c>
      <c r="B899" s="184" t="s">
        <v>566</v>
      </c>
      <c r="C899" s="184"/>
      <c r="D899" s="184"/>
      <c r="E899" s="184"/>
      <c r="F899" s="184"/>
      <c r="G899" s="184"/>
      <c r="H899" s="184" t="s">
        <v>654</v>
      </c>
      <c r="I899" s="184" t="s">
        <v>469</v>
      </c>
      <c r="J899" s="184" t="s">
        <v>471</v>
      </c>
      <c r="K899" s="185">
        <v>400</v>
      </c>
      <c r="L899" s="186">
        <v>222.25</v>
      </c>
      <c r="M899" s="187">
        <v>229</v>
      </c>
      <c r="N899" s="188">
        <f t="shared" si="695"/>
        <v>20</v>
      </c>
      <c r="O899" s="188">
        <f t="shared" si="696"/>
        <v>20</v>
      </c>
      <c r="P899" s="189">
        <f t="shared" si="674"/>
        <v>180500</v>
      </c>
      <c r="Q899" s="189">
        <f t="shared" si="675"/>
        <v>2700</v>
      </c>
      <c r="R899" s="189">
        <v>47.48</v>
      </c>
      <c r="S899" s="189">
        <f t="shared" si="697"/>
        <v>9.44</v>
      </c>
      <c r="T899" s="189">
        <f t="shared" si="698"/>
        <v>23</v>
      </c>
      <c r="U899" s="189">
        <f t="shared" si="700"/>
        <v>3</v>
      </c>
      <c r="V899" s="189">
        <f>ROUND(P899*L$1809,2)</f>
        <v>4.96</v>
      </c>
      <c r="W899" s="189">
        <f t="shared" si="707"/>
        <v>0</v>
      </c>
      <c r="X899" s="189">
        <f t="shared" si="681"/>
        <v>87.879999999999981</v>
      </c>
      <c r="Y899" s="190">
        <f t="shared" si="682"/>
        <v>2612.12</v>
      </c>
      <c r="Z899" s="191">
        <v>2612.0300000000002</v>
      </c>
      <c r="AA899" s="192">
        <f t="shared" si="708"/>
        <v>-8.9999999999690772E-2</v>
      </c>
      <c r="AB899" s="193">
        <f t="shared" si="684"/>
        <v>3.0371203599550055E-2</v>
      </c>
      <c r="AC899" s="194">
        <f t="shared" si="685"/>
        <v>4.8700000000000002E-4</v>
      </c>
      <c r="AD899" s="189"/>
      <c r="AE899" s="195" t="s">
        <v>403</v>
      </c>
      <c r="AF899" s="119"/>
    </row>
    <row r="900" spans="1:32" ht="12" hidden="1" customHeight="1">
      <c r="A900" s="183">
        <v>44243</v>
      </c>
      <c r="B900" s="184" t="s">
        <v>664</v>
      </c>
      <c r="C900" s="184"/>
      <c r="D900" s="184"/>
      <c r="E900" s="184"/>
      <c r="F900" s="184"/>
      <c r="G900" s="184"/>
      <c r="H900" s="184" t="s">
        <v>654</v>
      </c>
      <c r="I900" s="184" t="s">
        <v>469</v>
      </c>
      <c r="J900" s="184" t="s">
        <v>471</v>
      </c>
      <c r="K900" s="185">
        <v>250</v>
      </c>
      <c r="L900" s="186">
        <v>1054.71</v>
      </c>
      <c r="M900" s="187">
        <v>1051.4480000000001</v>
      </c>
      <c r="N900" s="188">
        <f t="shared" si="695"/>
        <v>20</v>
      </c>
      <c r="O900" s="188">
        <f t="shared" si="696"/>
        <v>20</v>
      </c>
      <c r="P900" s="189">
        <f t="shared" si="674"/>
        <v>526539.5</v>
      </c>
      <c r="Q900" s="189">
        <f t="shared" si="675"/>
        <v>-815.4999999999859</v>
      </c>
      <c r="R900" s="189">
        <v>75.849999999999994</v>
      </c>
      <c r="S900" s="189">
        <f t="shared" si="697"/>
        <v>16.920000000000002</v>
      </c>
      <c r="T900" s="189">
        <f t="shared" si="698"/>
        <v>66</v>
      </c>
      <c r="U900" s="189">
        <f t="shared" si="700"/>
        <v>8</v>
      </c>
      <c r="V900" s="189">
        <f t="shared" ref="V900:V902" si="709">ROUND(P900*M$1809,2)</f>
        <v>18.170000000000002</v>
      </c>
      <c r="W900" s="189">
        <f t="shared" si="707"/>
        <v>0</v>
      </c>
      <c r="X900" s="189">
        <f t="shared" si="681"/>
        <v>184.94</v>
      </c>
      <c r="Y900" s="190">
        <f t="shared" si="682"/>
        <v>-1000.44</v>
      </c>
      <c r="Z900" s="191">
        <v>-1000.67</v>
      </c>
      <c r="AA900" s="192">
        <f t="shared" si="708"/>
        <v>-0.2299999999999045</v>
      </c>
      <c r="AB900" s="193">
        <f t="shared" si="684"/>
        <v>-3.0927932796692395E-3</v>
      </c>
      <c r="AC900" s="194">
        <f t="shared" si="685"/>
        <v>3.5100000000000002E-4</v>
      </c>
      <c r="AD900" s="189"/>
      <c r="AE900" s="195" t="s">
        <v>403</v>
      </c>
      <c r="AF900" s="119"/>
    </row>
    <row r="901" spans="1:32" ht="12" hidden="1" customHeight="1">
      <c r="A901" s="183">
        <v>44244</v>
      </c>
      <c r="B901" s="184" t="s">
        <v>519</v>
      </c>
      <c r="C901" s="184"/>
      <c r="D901" s="184"/>
      <c r="E901" s="184"/>
      <c r="F901" s="184"/>
      <c r="G901" s="184"/>
      <c r="H901" s="184" t="s">
        <v>654</v>
      </c>
      <c r="I901" s="184" t="s">
        <v>469</v>
      </c>
      <c r="J901" s="184" t="s">
        <v>471</v>
      </c>
      <c r="K901" s="185">
        <v>300</v>
      </c>
      <c r="L901" s="186">
        <v>41.8</v>
      </c>
      <c r="M901" s="187">
        <v>41.833300000000001</v>
      </c>
      <c r="N901" s="188">
        <f t="shared" si="695"/>
        <v>3.76</v>
      </c>
      <c r="O901" s="188">
        <f t="shared" si="696"/>
        <v>3.76</v>
      </c>
      <c r="P901" s="189">
        <f t="shared" si="674"/>
        <v>25089.99</v>
      </c>
      <c r="Q901" s="189">
        <f t="shared" si="675"/>
        <v>9.9900000000012312</v>
      </c>
      <c r="R901" s="189">
        <f>ROUND(N901+O901,2)</f>
        <v>7.52</v>
      </c>
      <c r="S901" s="189">
        <f t="shared" si="697"/>
        <v>1.51</v>
      </c>
      <c r="T901" s="189">
        <f t="shared" si="698"/>
        <v>3</v>
      </c>
      <c r="U901" s="189">
        <f t="shared" si="700"/>
        <v>0</v>
      </c>
      <c r="V901" s="189">
        <f t="shared" si="709"/>
        <v>0.87</v>
      </c>
      <c r="W901" s="189">
        <f t="shared" si="707"/>
        <v>0</v>
      </c>
      <c r="X901" s="189">
        <f t="shared" si="681"/>
        <v>12.899999999999999</v>
      </c>
      <c r="Y901" s="190">
        <f t="shared" si="682"/>
        <v>-2.91</v>
      </c>
      <c r="Z901" s="191">
        <v>-2.92</v>
      </c>
      <c r="AA901" s="192">
        <f t="shared" si="708"/>
        <v>-9.9999999999997868E-3</v>
      </c>
      <c r="AB901" s="193">
        <f t="shared" si="684"/>
        <v>7.9665071770344755E-4</v>
      </c>
      <c r="AC901" s="194">
        <f t="shared" si="685"/>
        <v>5.1400000000000003E-4</v>
      </c>
      <c r="AD901" s="189"/>
      <c r="AE901" s="195" t="s">
        <v>403</v>
      </c>
      <c r="AF901" s="119"/>
    </row>
    <row r="902" spans="1:32" ht="12" hidden="1" customHeight="1">
      <c r="A902" s="183">
        <v>44245</v>
      </c>
      <c r="B902" s="184" t="s">
        <v>598</v>
      </c>
      <c r="C902" s="184"/>
      <c r="D902" s="184"/>
      <c r="E902" s="184"/>
      <c r="F902" s="184"/>
      <c r="G902" s="184"/>
      <c r="H902" s="184" t="s">
        <v>654</v>
      </c>
      <c r="I902" s="184" t="s">
        <v>469</v>
      </c>
      <c r="J902" s="184" t="s">
        <v>471</v>
      </c>
      <c r="K902" s="185">
        <v>700</v>
      </c>
      <c r="L902" s="186">
        <v>144</v>
      </c>
      <c r="M902" s="187">
        <v>141.9</v>
      </c>
      <c r="N902" s="188">
        <f t="shared" si="695"/>
        <v>20</v>
      </c>
      <c r="O902" s="188">
        <f t="shared" si="696"/>
        <v>20</v>
      </c>
      <c r="P902" s="189">
        <f t="shared" si="674"/>
        <v>200130</v>
      </c>
      <c r="Q902" s="189">
        <f t="shared" si="675"/>
        <v>-1469.9999999999959</v>
      </c>
      <c r="R902" s="189">
        <v>48.6</v>
      </c>
      <c r="S902" s="189">
        <f t="shared" si="697"/>
        <v>9.99</v>
      </c>
      <c r="T902" s="189">
        <f t="shared" si="698"/>
        <v>25</v>
      </c>
      <c r="U902" s="189">
        <f t="shared" si="700"/>
        <v>3</v>
      </c>
      <c r="V902" s="189">
        <f t="shared" si="709"/>
        <v>6.9</v>
      </c>
      <c r="W902" s="189">
        <f t="shared" si="707"/>
        <v>0</v>
      </c>
      <c r="X902" s="189">
        <f t="shared" si="681"/>
        <v>93.490000000000009</v>
      </c>
      <c r="Y902" s="190">
        <f t="shared" si="682"/>
        <v>-1563.49</v>
      </c>
      <c r="Z902" s="191">
        <v>-1563.6</v>
      </c>
      <c r="AA902" s="192">
        <f t="shared" si="708"/>
        <v>-0.10999999999989996</v>
      </c>
      <c r="AB902" s="193">
        <f t="shared" si="684"/>
        <v>-1.4583333333333294E-2</v>
      </c>
      <c r="AC902" s="194">
        <f t="shared" si="685"/>
        <v>4.6700000000000002E-4</v>
      </c>
      <c r="AD902" s="189"/>
      <c r="AE902" s="195" t="s">
        <v>403</v>
      </c>
      <c r="AF902" s="119"/>
    </row>
    <row r="903" spans="1:32" ht="12" hidden="1" customHeight="1">
      <c r="A903" s="183">
        <v>44246</v>
      </c>
      <c r="B903" s="184" t="s">
        <v>466</v>
      </c>
      <c r="C903" s="184"/>
      <c r="D903" s="184"/>
      <c r="E903" s="184"/>
      <c r="F903" s="184"/>
      <c r="G903" s="184"/>
      <c r="H903" s="184" t="s">
        <v>654</v>
      </c>
      <c r="I903" s="184" t="s">
        <v>469</v>
      </c>
      <c r="J903" s="184" t="s">
        <v>471</v>
      </c>
      <c r="K903" s="185">
        <v>100</v>
      </c>
      <c r="L903" s="186">
        <v>826.95</v>
      </c>
      <c r="M903" s="187">
        <v>814.65700000000004</v>
      </c>
      <c r="N903" s="188">
        <f t="shared" si="695"/>
        <v>20</v>
      </c>
      <c r="O903" s="188">
        <f t="shared" si="696"/>
        <v>20</v>
      </c>
      <c r="P903" s="189">
        <f t="shared" si="674"/>
        <v>164160.70000000001</v>
      </c>
      <c r="Q903" s="189">
        <f t="shared" si="675"/>
        <v>-1229.3000000000006</v>
      </c>
      <c r="R903" s="189">
        <f t="shared" ref="R903:R904" si="710">ROUND(N903+O903,2)</f>
        <v>40</v>
      </c>
      <c r="S903" s="189">
        <f t="shared" si="697"/>
        <v>8.01</v>
      </c>
      <c r="T903" s="189">
        <f t="shared" si="698"/>
        <v>20</v>
      </c>
      <c r="U903" s="189">
        <f t="shared" si="700"/>
        <v>2</v>
      </c>
      <c r="V903" s="189">
        <f>ROUND(P903*L$1809,2)</f>
        <v>4.51</v>
      </c>
      <c r="W903" s="189">
        <f t="shared" si="707"/>
        <v>0</v>
      </c>
      <c r="X903" s="189">
        <f t="shared" si="681"/>
        <v>74.52</v>
      </c>
      <c r="Y903" s="190">
        <f t="shared" si="682"/>
        <v>-1303.82</v>
      </c>
      <c r="Z903" s="191">
        <v>-1009.91</v>
      </c>
      <c r="AA903" s="192">
        <f>Z903-Y904-Y903</f>
        <v>-2.1000000000001364</v>
      </c>
      <c r="AB903" s="193">
        <f t="shared" si="684"/>
        <v>-1.4865469496341986E-2</v>
      </c>
      <c r="AC903" s="194">
        <f t="shared" si="685"/>
        <v>4.5399999999999998E-4</v>
      </c>
      <c r="AD903" s="189"/>
      <c r="AE903" s="195" t="s">
        <v>403</v>
      </c>
      <c r="AF903" s="119"/>
    </row>
    <row r="904" spans="1:32" ht="12" hidden="1" customHeight="1">
      <c r="A904" s="183">
        <v>44246</v>
      </c>
      <c r="B904" s="184" t="s">
        <v>519</v>
      </c>
      <c r="C904" s="184"/>
      <c r="D904" s="184"/>
      <c r="E904" s="184"/>
      <c r="F904" s="184"/>
      <c r="G904" s="184"/>
      <c r="H904" s="184" t="s">
        <v>654</v>
      </c>
      <c r="I904" s="184" t="s">
        <v>469</v>
      </c>
      <c r="J904" s="184" t="s">
        <v>471</v>
      </c>
      <c r="K904" s="185">
        <v>200</v>
      </c>
      <c r="L904" s="186">
        <v>43.5</v>
      </c>
      <c r="M904" s="187">
        <v>45.024999999999999</v>
      </c>
      <c r="N904" s="188">
        <f t="shared" si="695"/>
        <v>2.61</v>
      </c>
      <c r="O904" s="188">
        <f t="shared" si="696"/>
        <v>2.7</v>
      </c>
      <c r="P904" s="189">
        <f t="shared" si="674"/>
        <v>17705</v>
      </c>
      <c r="Q904" s="189">
        <f t="shared" si="675"/>
        <v>304.99999999999972</v>
      </c>
      <c r="R904" s="189">
        <f t="shared" si="710"/>
        <v>5.31</v>
      </c>
      <c r="S904" s="189">
        <f t="shared" si="697"/>
        <v>1.07</v>
      </c>
      <c r="T904" s="189">
        <f t="shared" si="698"/>
        <v>2</v>
      </c>
      <c r="U904" s="189">
        <f t="shared" si="700"/>
        <v>0</v>
      </c>
      <c r="V904" s="189">
        <f t="shared" ref="V904:V907" si="711">ROUND(P904*M$1809,2)</f>
        <v>0.61</v>
      </c>
      <c r="W904" s="189">
        <f t="shared" si="707"/>
        <v>0</v>
      </c>
      <c r="X904" s="189">
        <f t="shared" si="681"/>
        <v>8.9899999999999984</v>
      </c>
      <c r="Y904" s="190">
        <f t="shared" si="682"/>
        <v>296.01</v>
      </c>
      <c r="Z904" s="191"/>
      <c r="AA904" s="192"/>
      <c r="AB904" s="193">
        <f t="shared" si="684"/>
        <v>3.5057471264367784E-2</v>
      </c>
      <c r="AC904" s="194">
        <f t="shared" si="685"/>
        <v>5.0799999999999999E-4</v>
      </c>
      <c r="AD904" s="189"/>
      <c r="AE904" s="195" t="s">
        <v>403</v>
      </c>
      <c r="AF904" s="119"/>
    </row>
    <row r="905" spans="1:32" ht="12" hidden="1" customHeight="1">
      <c r="A905" s="183">
        <v>44250</v>
      </c>
      <c r="B905" s="184" t="s">
        <v>539</v>
      </c>
      <c r="C905" s="184"/>
      <c r="D905" s="184"/>
      <c r="E905" s="184"/>
      <c r="F905" s="184"/>
      <c r="G905" s="184"/>
      <c r="H905" s="184" t="s">
        <v>654</v>
      </c>
      <c r="I905" s="184" t="s">
        <v>469</v>
      </c>
      <c r="J905" s="184" t="s">
        <v>471</v>
      </c>
      <c r="K905" s="185">
        <v>1200</v>
      </c>
      <c r="L905" s="186">
        <v>123.9083</v>
      </c>
      <c r="M905" s="187">
        <v>124.5167</v>
      </c>
      <c r="N905" s="188">
        <f t="shared" si="695"/>
        <v>20</v>
      </c>
      <c r="O905" s="188">
        <f t="shared" si="696"/>
        <v>20</v>
      </c>
      <c r="P905" s="189">
        <f t="shared" si="674"/>
        <v>298110</v>
      </c>
      <c r="Q905" s="189">
        <f t="shared" si="675"/>
        <v>730.08000000000379</v>
      </c>
      <c r="R905" s="189">
        <v>87.12</v>
      </c>
      <c r="S905" s="189">
        <f t="shared" si="697"/>
        <v>17.53</v>
      </c>
      <c r="T905" s="189">
        <f t="shared" si="698"/>
        <v>37</v>
      </c>
      <c r="U905" s="189">
        <f t="shared" si="700"/>
        <v>4</v>
      </c>
      <c r="V905" s="189">
        <f t="shared" si="711"/>
        <v>10.28</v>
      </c>
      <c r="W905" s="189">
        <f t="shared" si="707"/>
        <v>0</v>
      </c>
      <c r="X905" s="189">
        <f t="shared" si="681"/>
        <v>155.93</v>
      </c>
      <c r="Y905" s="190">
        <f t="shared" si="682"/>
        <v>574.15</v>
      </c>
      <c r="Z905" s="191">
        <v>573.91999999999996</v>
      </c>
      <c r="AA905" s="192">
        <f t="shared" ref="AA905:AA907" si="712">Z905-Y905</f>
        <v>-0.23000000000001819</v>
      </c>
      <c r="AB905" s="193">
        <f t="shared" si="684"/>
        <v>4.910082698253492E-3</v>
      </c>
      <c r="AC905" s="194">
        <f t="shared" si="685"/>
        <v>5.2300000000000003E-4</v>
      </c>
      <c r="AD905" s="189"/>
      <c r="AE905" s="195" t="s">
        <v>403</v>
      </c>
      <c r="AF905" s="119"/>
    </row>
    <row r="906" spans="1:32" ht="12" hidden="1" customHeight="1">
      <c r="A906" s="183">
        <v>44251</v>
      </c>
      <c r="B906" s="184" t="s">
        <v>539</v>
      </c>
      <c r="C906" s="184"/>
      <c r="D906" s="184"/>
      <c r="E906" s="184"/>
      <c r="F906" s="184"/>
      <c r="G906" s="184"/>
      <c r="H906" s="184" t="s">
        <v>654</v>
      </c>
      <c r="I906" s="184" t="s">
        <v>469</v>
      </c>
      <c r="J906" s="184" t="s">
        <v>471</v>
      </c>
      <c r="K906" s="185">
        <v>300</v>
      </c>
      <c r="L906" s="186">
        <v>124.9</v>
      </c>
      <c r="M906" s="187">
        <v>124.7</v>
      </c>
      <c r="N906" s="188">
        <f t="shared" si="695"/>
        <v>11.24</v>
      </c>
      <c r="O906" s="188">
        <f t="shared" si="696"/>
        <v>11.22</v>
      </c>
      <c r="P906" s="189">
        <f t="shared" si="674"/>
        <v>74880</v>
      </c>
      <c r="Q906" s="189">
        <f t="shared" si="675"/>
        <v>-60.000000000000853</v>
      </c>
      <c r="R906" s="189">
        <f>ROUND(N906+O906,2)</f>
        <v>22.46</v>
      </c>
      <c r="S906" s="189">
        <f t="shared" si="697"/>
        <v>4.51</v>
      </c>
      <c r="T906" s="189">
        <f t="shared" si="698"/>
        <v>9</v>
      </c>
      <c r="U906" s="189">
        <f t="shared" si="700"/>
        <v>1</v>
      </c>
      <c r="V906" s="189">
        <f t="shared" si="711"/>
        <v>2.58</v>
      </c>
      <c r="W906" s="189">
        <f t="shared" si="707"/>
        <v>0</v>
      </c>
      <c r="X906" s="189">
        <f t="shared" si="681"/>
        <v>39.549999999999997</v>
      </c>
      <c r="Y906" s="190">
        <f t="shared" si="682"/>
        <v>-99.55</v>
      </c>
      <c r="Z906" s="191">
        <v>-99.39</v>
      </c>
      <c r="AA906" s="192">
        <f t="shared" si="712"/>
        <v>0.15999999999999659</v>
      </c>
      <c r="AB906" s="193">
        <f t="shared" si="684"/>
        <v>-1.6012810248198785E-3</v>
      </c>
      <c r="AC906" s="194">
        <f t="shared" si="685"/>
        <v>5.2800000000000004E-4</v>
      </c>
      <c r="AD906" s="189"/>
      <c r="AE906" s="195" t="s">
        <v>403</v>
      </c>
      <c r="AF906" s="119"/>
    </row>
    <row r="907" spans="1:32" ht="12" hidden="1" customHeight="1">
      <c r="A907" s="183">
        <v>44252</v>
      </c>
      <c r="B907" s="184" t="s">
        <v>539</v>
      </c>
      <c r="C907" s="184"/>
      <c r="D907" s="184"/>
      <c r="E907" s="184"/>
      <c r="F907" s="184"/>
      <c r="G907" s="184"/>
      <c r="H907" s="184" t="s">
        <v>654</v>
      </c>
      <c r="I907" s="184" t="s">
        <v>469</v>
      </c>
      <c r="J907" s="184" t="s">
        <v>471</v>
      </c>
      <c r="K907" s="185">
        <v>1400</v>
      </c>
      <c r="L907" s="186">
        <v>128.05000000000001</v>
      </c>
      <c r="M907" s="187">
        <v>127.06789999999999</v>
      </c>
      <c r="N907" s="188">
        <f t="shared" si="695"/>
        <v>20</v>
      </c>
      <c r="O907" s="188">
        <f t="shared" si="696"/>
        <v>20</v>
      </c>
      <c r="P907" s="189">
        <f t="shared" si="674"/>
        <v>357165.06</v>
      </c>
      <c r="Q907" s="189">
        <f t="shared" si="675"/>
        <v>-1374.9400000000237</v>
      </c>
      <c r="R907" s="189">
        <v>73.38000000000001</v>
      </c>
      <c r="S907" s="189">
        <f t="shared" si="697"/>
        <v>15.43</v>
      </c>
      <c r="T907" s="189">
        <f t="shared" si="698"/>
        <v>44</v>
      </c>
      <c r="U907" s="189">
        <f t="shared" si="700"/>
        <v>5</v>
      </c>
      <c r="V907" s="189">
        <f t="shared" si="711"/>
        <v>12.32</v>
      </c>
      <c r="W907" s="189">
        <f t="shared" si="707"/>
        <v>0</v>
      </c>
      <c r="X907" s="189">
        <f t="shared" si="681"/>
        <v>150.13</v>
      </c>
      <c r="Y907" s="190">
        <f t="shared" si="682"/>
        <v>-1525.07</v>
      </c>
      <c r="Z907" s="191">
        <v>-1526.29</v>
      </c>
      <c r="AA907" s="192">
        <f t="shared" si="712"/>
        <v>-1.2200000000000273</v>
      </c>
      <c r="AB907" s="193">
        <f t="shared" si="684"/>
        <v>-7.66966028894976E-3</v>
      </c>
      <c r="AC907" s="194">
        <f t="shared" si="685"/>
        <v>4.2000000000000002E-4</v>
      </c>
      <c r="AD907" s="189"/>
      <c r="AE907" s="195" t="s">
        <v>403</v>
      </c>
      <c r="AF907" s="119"/>
    </row>
    <row r="908" spans="1:32" ht="12" hidden="1" customHeight="1">
      <c r="A908" s="183">
        <v>44253</v>
      </c>
      <c r="B908" s="184" t="s">
        <v>481</v>
      </c>
      <c r="C908" s="184"/>
      <c r="D908" s="184"/>
      <c r="E908" s="184"/>
      <c r="F908" s="184"/>
      <c r="G908" s="184"/>
      <c r="H908" s="184" t="s">
        <v>654</v>
      </c>
      <c r="I908" s="184" t="s">
        <v>469</v>
      </c>
      <c r="J908" s="184" t="s">
        <v>471</v>
      </c>
      <c r="K908" s="185">
        <v>3600</v>
      </c>
      <c r="L908" s="186">
        <v>74.569400000000002</v>
      </c>
      <c r="M908" s="187">
        <v>74.2</v>
      </c>
      <c r="N908" s="188">
        <f t="shared" si="695"/>
        <v>20</v>
      </c>
      <c r="O908" s="188">
        <f t="shared" si="696"/>
        <v>20</v>
      </c>
      <c r="P908" s="189">
        <f t="shared" si="674"/>
        <v>535569.84</v>
      </c>
      <c r="Q908" s="189">
        <f t="shared" si="675"/>
        <v>-1329.8399999999958</v>
      </c>
      <c r="R908" s="189">
        <v>155.69</v>
      </c>
      <c r="S908" s="189">
        <f t="shared" si="697"/>
        <v>30.68</v>
      </c>
      <c r="T908" s="189">
        <f t="shared" si="698"/>
        <v>67</v>
      </c>
      <c r="U908" s="189">
        <f t="shared" si="700"/>
        <v>8</v>
      </c>
      <c r="V908" s="189">
        <f t="shared" ref="V908:V910" si="713">ROUND(P908*L$1809,2)</f>
        <v>14.73</v>
      </c>
      <c r="W908" s="189">
        <f t="shared" si="707"/>
        <v>0</v>
      </c>
      <c r="X908" s="189">
        <f t="shared" si="681"/>
        <v>276.10000000000002</v>
      </c>
      <c r="Y908" s="190">
        <f t="shared" si="682"/>
        <v>-1605.94</v>
      </c>
      <c r="Z908" s="191">
        <v>-1694.46</v>
      </c>
      <c r="AA908" s="192">
        <f>Z908-Y909-Y908</f>
        <v>-0.46000000000003638</v>
      </c>
      <c r="AB908" s="193">
        <f t="shared" si="684"/>
        <v>-4.9537746045965076E-3</v>
      </c>
      <c r="AC908" s="194">
        <f t="shared" si="685"/>
        <v>5.1599999999999997E-4</v>
      </c>
      <c r="AD908" s="189"/>
      <c r="AE908" s="195" t="s">
        <v>403</v>
      </c>
      <c r="AF908" s="119"/>
    </row>
    <row r="909" spans="1:32" ht="12" hidden="1" customHeight="1">
      <c r="A909" s="183">
        <v>44253</v>
      </c>
      <c r="B909" s="184" t="s">
        <v>668</v>
      </c>
      <c r="C909" s="184"/>
      <c r="D909" s="184"/>
      <c r="E909" s="184"/>
      <c r="F909" s="184"/>
      <c r="G909" s="184"/>
      <c r="H909" s="184" t="s">
        <v>654</v>
      </c>
      <c r="I909" s="184" t="s">
        <v>469</v>
      </c>
      <c r="J909" s="184" t="s">
        <v>471</v>
      </c>
      <c r="K909" s="185">
        <v>100</v>
      </c>
      <c r="L909" s="186">
        <v>595.9</v>
      </c>
      <c r="M909" s="187">
        <v>595.65</v>
      </c>
      <c r="N909" s="188">
        <f t="shared" si="695"/>
        <v>17.88</v>
      </c>
      <c r="O909" s="188">
        <f t="shared" si="696"/>
        <v>17.87</v>
      </c>
      <c r="P909" s="189">
        <f t="shared" si="674"/>
        <v>119155</v>
      </c>
      <c r="Q909" s="189">
        <f t="shared" si="675"/>
        <v>-25</v>
      </c>
      <c r="R909" s="189">
        <f>ROUND(N909+O909,2)</f>
        <v>35.75</v>
      </c>
      <c r="S909" s="189">
        <f t="shared" si="697"/>
        <v>7.03</v>
      </c>
      <c r="T909" s="189">
        <f t="shared" si="698"/>
        <v>15</v>
      </c>
      <c r="U909" s="189">
        <f t="shared" si="700"/>
        <v>2</v>
      </c>
      <c r="V909" s="189">
        <f t="shared" si="713"/>
        <v>3.28</v>
      </c>
      <c r="W909" s="189">
        <f t="shared" si="707"/>
        <v>0</v>
      </c>
      <c r="X909" s="189">
        <f t="shared" si="681"/>
        <v>63.06</v>
      </c>
      <c r="Y909" s="190">
        <f t="shared" si="682"/>
        <v>-88.06</v>
      </c>
      <c r="Z909" s="191"/>
      <c r="AA909" s="192"/>
      <c r="AB909" s="193">
        <f t="shared" si="684"/>
        <v>-4.19533478771606E-4</v>
      </c>
      <c r="AC909" s="194">
        <f t="shared" si="685"/>
        <v>5.2899999999999996E-4</v>
      </c>
      <c r="AD909" s="189" t="s">
        <v>669</v>
      </c>
      <c r="AE909" s="195" t="s">
        <v>403</v>
      </c>
      <c r="AF909" s="119"/>
    </row>
    <row r="910" spans="1:32" ht="12" hidden="1" customHeight="1">
      <c r="A910" s="183">
        <v>44256</v>
      </c>
      <c r="B910" s="184" t="s">
        <v>481</v>
      </c>
      <c r="C910" s="184"/>
      <c r="D910" s="184"/>
      <c r="E910" s="184"/>
      <c r="F910" s="184"/>
      <c r="G910" s="184"/>
      <c r="H910" s="184" t="s">
        <v>654</v>
      </c>
      <c r="I910" s="184" t="s">
        <v>469</v>
      </c>
      <c r="J910" s="184" t="s">
        <v>471</v>
      </c>
      <c r="K910" s="185">
        <v>3000</v>
      </c>
      <c r="L910" s="186">
        <v>78.25</v>
      </c>
      <c r="M910" s="187">
        <v>78.383300000000006</v>
      </c>
      <c r="N910" s="188">
        <f t="shared" si="695"/>
        <v>20</v>
      </c>
      <c r="O910" s="188">
        <f t="shared" si="696"/>
        <v>20</v>
      </c>
      <c r="P910" s="189">
        <f t="shared" si="674"/>
        <v>469899.9</v>
      </c>
      <c r="Q910" s="189">
        <f t="shared" si="675"/>
        <v>399.90000000001658</v>
      </c>
      <c r="R910" s="189">
        <v>120</v>
      </c>
      <c r="S910" s="189">
        <f t="shared" si="697"/>
        <v>23.93</v>
      </c>
      <c r="T910" s="189">
        <f t="shared" si="698"/>
        <v>59</v>
      </c>
      <c r="U910" s="189">
        <f t="shared" si="700"/>
        <v>7</v>
      </c>
      <c r="V910" s="189">
        <f t="shared" si="713"/>
        <v>12.92</v>
      </c>
      <c r="W910" s="189">
        <f t="shared" si="707"/>
        <v>0</v>
      </c>
      <c r="X910" s="189">
        <f t="shared" si="681"/>
        <v>222.85</v>
      </c>
      <c r="Y910" s="190">
        <f t="shared" si="682"/>
        <v>177.05</v>
      </c>
      <c r="Z910" s="191">
        <v>896.33</v>
      </c>
      <c r="AA910" s="192">
        <f>Z910-Y911-Y910</f>
        <v>0.66000000000002501</v>
      </c>
      <c r="AB910" s="193">
        <f t="shared" si="684"/>
        <v>1.7035143769968757E-3</v>
      </c>
      <c r="AC910" s="194">
        <f t="shared" si="685"/>
        <v>4.7399999999999997E-4</v>
      </c>
      <c r="AD910" s="189" t="s">
        <v>669</v>
      </c>
      <c r="AE910" s="195" t="s">
        <v>403</v>
      </c>
      <c r="AF910" s="119"/>
    </row>
    <row r="911" spans="1:32" ht="12" hidden="1" customHeight="1">
      <c r="A911" s="183">
        <v>44256</v>
      </c>
      <c r="B911" s="184" t="s">
        <v>663</v>
      </c>
      <c r="C911" s="184"/>
      <c r="D911" s="184"/>
      <c r="E911" s="184"/>
      <c r="F911" s="184"/>
      <c r="G911" s="184"/>
      <c r="H911" s="184" t="s">
        <v>654</v>
      </c>
      <c r="I911" s="184" t="s">
        <v>469</v>
      </c>
      <c r="J911" s="184" t="s">
        <v>471</v>
      </c>
      <c r="K911" s="185">
        <v>300</v>
      </c>
      <c r="L911" s="186">
        <v>726</v>
      </c>
      <c r="M911" s="187">
        <v>729.13329999999996</v>
      </c>
      <c r="N911" s="188">
        <f t="shared" si="695"/>
        <v>20</v>
      </c>
      <c r="O911" s="188">
        <f t="shared" si="696"/>
        <v>20</v>
      </c>
      <c r="P911" s="189">
        <f t="shared" si="674"/>
        <v>436539.99</v>
      </c>
      <c r="Q911" s="189">
        <f t="shared" si="675"/>
        <v>939.98999999998887</v>
      </c>
      <c r="R911" s="189">
        <v>120</v>
      </c>
      <c r="S911" s="189">
        <f t="shared" si="697"/>
        <v>24.31</v>
      </c>
      <c r="T911" s="189">
        <f t="shared" si="698"/>
        <v>55</v>
      </c>
      <c r="U911" s="189">
        <f t="shared" si="700"/>
        <v>7</v>
      </c>
      <c r="V911" s="189">
        <f t="shared" ref="V911:V913" si="714">ROUND(P911*M$1809,2)</f>
        <v>15.06</v>
      </c>
      <c r="W911" s="189">
        <f t="shared" si="707"/>
        <v>0</v>
      </c>
      <c r="X911" s="189">
        <f t="shared" si="681"/>
        <v>221.37</v>
      </c>
      <c r="Y911" s="190">
        <f t="shared" si="682"/>
        <v>718.62</v>
      </c>
      <c r="Z911" s="191"/>
      <c r="AA911" s="192"/>
      <c r="AB911" s="193">
        <f t="shared" si="684"/>
        <v>4.3158402203856234E-3</v>
      </c>
      <c r="AC911" s="194">
        <f t="shared" si="685"/>
        <v>5.0699999999999996E-4</v>
      </c>
      <c r="AD911" s="189" t="s">
        <v>669</v>
      </c>
      <c r="AE911" s="195" t="s">
        <v>403</v>
      </c>
      <c r="AF911" s="119"/>
    </row>
    <row r="912" spans="1:32" ht="12" hidden="1" customHeight="1">
      <c r="A912" s="183">
        <v>44257</v>
      </c>
      <c r="B912" s="184" t="s">
        <v>504</v>
      </c>
      <c r="C912" s="184"/>
      <c r="D912" s="184"/>
      <c r="E912" s="184"/>
      <c r="F912" s="184"/>
      <c r="G912" s="184"/>
      <c r="H912" s="184" t="s">
        <v>654</v>
      </c>
      <c r="I912" s="184" t="s">
        <v>469</v>
      </c>
      <c r="J912" s="184" t="s">
        <v>471</v>
      </c>
      <c r="K912" s="185">
        <v>50</v>
      </c>
      <c r="L912" s="186">
        <v>341.75</v>
      </c>
      <c r="M912" s="187">
        <v>342</v>
      </c>
      <c r="N912" s="188">
        <f t="shared" si="695"/>
        <v>5.13</v>
      </c>
      <c r="O912" s="188">
        <f t="shared" si="696"/>
        <v>5.13</v>
      </c>
      <c r="P912" s="189">
        <f t="shared" si="674"/>
        <v>34187.5</v>
      </c>
      <c r="Q912" s="189">
        <f t="shared" si="675"/>
        <v>12.5</v>
      </c>
      <c r="R912" s="189">
        <f>ROUND(N912+O912,2)</f>
        <v>10.26</v>
      </c>
      <c r="S912" s="189">
        <f t="shared" si="697"/>
        <v>2.06</v>
      </c>
      <c r="T912" s="189">
        <f t="shared" si="698"/>
        <v>4</v>
      </c>
      <c r="U912" s="189">
        <f t="shared" si="700"/>
        <v>1</v>
      </c>
      <c r="V912" s="189">
        <f t="shared" si="714"/>
        <v>1.18</v>
      </c>
      <c r="W912" s="189">
        <f t="shared" si="707"/>
        <v>0</v>
      </c>
      <c r="X912" s="189">
        <f t="shared" si="681"/>
        <v>18.5</v>
      </c>
      <c r="Y912" s="190">
        <f t="shared" si="682"/>
        <v>-6</v>
      </c>
      <c r="Z912" s="191">
        <v>1561.12</v>
      </c>
      <c r="AA912" s="192">
        <f>Z912-Y913-Y912</f>
        <v>-0.19000000000005457</v>
      </c>
      <c r="AB912" s="193">
        <f t="shared" si="684"/>
        <v>7.3152889539136799E-4</v>
      </c>
      <c r="AC912" s="194">
        <f t="shared" si="685"/>
        <v>5.4100000000000003E-4</v>
      </c>
      <c r="AD912" s="189" t="s">
        <v>669</v>
      </c>
      <c r="AE912" s="195" t="s">
        <v>403</v>
      </c>
      <c r="AF912" s="119"/>
    </row>
    <row r="913" spans="1:32" ht="12" hidden="1" customHeight="1">
      <c r="A913" s="183">
        <v>44257</v>
      </c>
      <c r="B913" s="184" t="s">
        <v>515</v>
      </c>
      <c r="C913" s="184"/>
      <c r="D913" s="184"/>
      <c r="E913" s="184"/>
      <c r="F913" s="184"/>
      <c r="G913" s="184"/>
      <c r="H913" s="184" t="s">
        <v>654</v>
      </c>
      <c r="I913" s="184" t="s">
        <v>469</v>
      </c>
      <c r="J913" s="184" t="s">
        <v>471</v>
      </c>
      <c r="K913" s="185">
        <v>200</v>
      </c>
      <c r="L913" s="186">
        <v>836.50599999999997</v>
      </c>
      <c r="M913" s="187">
        <v>845</v>
      </c>
      <c r="N913" s="188">
        <f t="shared" si="695"/>
        <v>20</v>
      </c>
      <c r="O913" s="188">
        <f t="shared" si="696"/>
        <v>20</v>
      </c>
      <c r="P913" s="189">
        <f t="shared" si="674"/>
        <v>336301.2</v>
      </c>
      <c r="Q913" s="189">
        <f t="shared" si="675"/>
        <v>1698.8000000000056</v>
      </c>
      <c r="R913" s="189">
        <v>60</v>
      </c>
      <c r="S913" s="189">
        <f t="shared" si="697"/>
        <v>12.89</v>
      </c>
      <c r="T913" s="189">
        <f t="shared" si="698"/>
        <v>42</v>
      </c>
      <c r="U913" s="189">
        <f t="shared" si="700"/>
        <v>5</v>
      </c>
      <c r="V913" s="189">
        <f t="shared" si="714"/>
        <v>11.6</v>
      </c>
      <c r="W913" s="189">
        <f t="shared" si="707"/>
        <v>0</v>
      </c>
      <c r="X913" s="189">
        <f t="shared" si="681"/>
        <v>131.49</v>
      </c>
      <c r="Y913" s="190">
        <f t="shared" si="682"/>
        <v>1567.31</v>
      </c>
      <c r="Z913" s="191"/>
      <c r="AA913" s="192"/>
      <c r="AB913" s="193">
        <f t="shared" si="684"/>
        <v>1.0154141153799289E-2</v>
      </c>
      <c r="AC913" s="194">
        <f t="shared" si="685"/>
        <v>3.9100000000000002E-4</v>
      </c>
      <c r="AD913" s="189" t="s">
        <v>669</v>
      </c>
      <c r="AE913" s="195" t="s">
        <v>403</v>
      </c>
      <c r="AF913" s="119"/>
    </row>
    <row r="914" spans="1:32" ht="12" hidden="1" customHeight="1">
      <c r="A914" s="183">
        <v>44258</v>
      </c>
      <c r="B914" s="184" t="s">
        <v>670</v>
      </c>
      <c r="C914" s="184"/>
      <c r="D914" s="184"/>
      <c r="E914" s="184"/>
      <c r="F914" s="184"/>
      <c r="G914" s="184"/>
      <c r="H914" s="184" t="s">
        <v>654</v>
      </c>
      <c r="I914" s="184" t="s">
        <v>469</v>
      </c>
      <c r="J914" s="184" t="s">
        <v>471</v>
      </c>
      <c r="K914" s="185">
        <v>250</v>
      </c>
      <c r="L914" s="186">
        <v>1344.8484000000001</v>
      </c>
      <c r="M914" s="187">
        <v>1349.35</v>
      </c>
      <c r="N914" s="188">
        <f t="shared" si="695"/>
        <v>20</v>
      </c>
      <c r="O914" s="188">
        <f t="shared" si="696"/>
        <v>20</v>
      </c>
      <c r="P914" s="189">
        <f t="shared" si="674"/>
        <v>673549.6</v>
      </c>
      <c r="Q914" s="189">
        <f t="shared" si="675"/>
        <v>1125.3999999999564</v>
      </c>
      <c r="R914" s="189">
        <v>139.98000000000002</v>
      </c>
      <c r="S914" s="189">
        <f t="shared" si="697"/>
        <v>28.53</v>
      </c>
      <c r="T914" s="189">
        <f t="shared" si="698"/>
        <v>84</v>
      </c>
      <c r="U914" s="189">
        <f t="shared" si="700"/>
        <v>10</v>
      </c>
      <c r="V914" s="189">
        <f>ROUND(P914*L$1809,2)</f>
        <v>18.52</v>
      </c>
      <c r="W914" s="189">
        <f t="shared" si="707"/>
        <v>0</v>
      </c>
      <c r="X914" s="189">
        <f t="shared" si="681"/>
        <v>281.02999999999997</v>
      </c>
      <c r="Y914" s="190">
        <f t="shared" si="682"/>
        <v>844.37</v>
      </c>
      <c r="Z914" s="191">
        <v>844.03</v>
      </c>
      <c r="AA914" s="192">
        <f t="shared" ref="AA914:AA915" si="715">Z914-Y914</f>
        <v>-0.34000000000003183</v>
      </c>
      <c r="AB914" s="193">
        <f t="shared" si="684"/>
        <v>3.3472917839660033E-3</v>
      </c>
      <c r="AC914" s="194">
        <f t="shared" si="685"/>
        <v>4.17E-4</v>
      </c>
      <c r="AD914" s="189" t="s">
        <v>669</v>
      </c>
      <c r="AE914" s="195" t="s">
        <v>403</v>
      </c>
      <c r="AF914" s="119"/>
    </row>
    <row r="915" spans="1:32" ht="12" hidden="1" customHeight="1">
      <c r="A915" s="183">
        <v>44259</v>
      </c>
      <c r="B915" s="184" t="s">
        <v>565</v>
      </c>
      <c r="C915" s="184"/>
      <c r="D915" s="184"/>
      <c r="E915" s="184"/>
      <c r="F915" s="184"/>
      <c r="G915" s="184"/>
      <c r="H915" s="184" t="s">
        <v>654</v>
      </c>
      <c r="I915" s="184" t="s">
        <v>469</v>
      </c>
      <c r="J915" s="184" t="s">
        <v>471</v>
      </c>
      <c r="K915" s="185">
        <v>550</v>
      </c>
      <c r="L915" s="186">
        <v>1799.0835999999999</v>
      </c>
      <c r="M915" s="187">
        <v>1806.1364000000001</v>
      </c>
      <c r="N915" s="188">
        <f t="shared" si="695"/>
        <v>20</v>
      </c>
      <c r="O915" s="188">
        <f t="shared" si="696"/>
        <v>20</v>
      </c>
      <c r="P915" s="189">
        <f t="shared" si="674"/>
        <v>1982871</v>
      </c>
      <c r="Q915" s="189">
        <f t="shared" si="675"/>
        <v>3879.0400000000886</v>
      </c>
      <c r="R915" s="189">
        <v>140</v>
      </c>
      <c r="S915" s="189">
        <f t="shared" si="697"/>
        <v>37.51</v>
      </c>
      <c r="T915" s="189">
        <f t="shared" si="698"/>
        <v>248</v>
      </c>
      <c r="U915" s="189">
        <f t="shared" si="700"/>
        <v>30</v>
      </c>
      <c r="V915" s="189">
        <f>ROUND(P915*M$1809,2)</f>
        <v>68.41</v>
      </c>
      <c r="W915" s="189">
        <f t="shared" si="707"/>
        <v>0</v>
      </c>
      <c r="X915" s="189">
        <f t="shared" si="681"/>
        <v>523.91999999999996</v>
      </c>
      <c r="Y915" s="190">
        <f t="shared" si="682"/>
        <v>3355.12</v>
      </c>
      <c r="Z915" s="191">
        <v>3353.54</v>
      </c>
      <c r="AA915" s="192">
        <f t="shared" si="715"/>
        <v>-1.5799999999999272</v>
      </c>
      <c r="AB915" s="193">
        <f t="shared" si="684"/>
        <v>3.9202180487889282E-3</v>
      </c>
      <c r="AC915" s="194">
        <f t="shared" si="685"/>
        <v>2.6400000000000002E-4</v>
      </c>
      <c r="AD915" s="189" t="s">
        <v>669</v>
      </c>
      <c r="AE915" s="195" t="s">
        <v>403</v>
      </c>
      <c r="AF915" s="119"/>
    </row>
    <row r="916" spans="1:32" ht="12" hidden="1" customHeight="1">
      <c r="A916" s="183">
        <v>44260</v>
      </c>
      <c r="B916" s="184" t="s">
        <v>671</v>
      </c>
      <c r="C916" s="184"/>
      <c r="D916" s="184"/>
      <c r="E916" s="184"/>
      <c r="F916" s="184"/>
      <c r="G916" s="184"/>
      <c r="H916" s="184" t="s">
        <v>654</v>
      </c>
      <c r="I916" s="184" t="s">
        <v>469</v>
      </c>
      <c r="J916" s="184" t="s">
        <v>471</v>
      </c>
      <c r="K916" s="185">
        <v>100</v>
      </c>
      <c r="L916" s="186">
        <v>792</v>
      </c>
      <c r="M916" s="187">
        <v>787.15</v>
      </c>
      <c r="N916" s="188">
        <f t="shared" si="695"/>
        <v>20</v>
      </c>
      <c r="O916" s="188">
        <f t="shared" si="696"/>
        <v>20</v>
      </c>
      <c r="P916" s="189">
        <f t="shared" si="674"/>
        <v>157915</v>
      </c>
      <c r="Q916" s="189">
        <f t="shared" si="675"/>
        <v>-485.00000000000227</v>
      </c>
      <c r="R916" s="189">
        <v>47.39</v>
      </c>
      <c r="S916" s="189">
        <f t="shared" si="697"/>
        <v>9.31</v>
      </c>
      <c r="T916" s="189">
        <f t="shared" si="698"/>
        <v>20</v>
      </c>
      <c r="U916" s="189">
        <f t="shared" si="700"/>
        <v>2</v>
      </c>
      <c r="V916" s="189">
        <f t="shared" ref="V916:V919" si="716">ROUND(P916*L$1809,2)</f>
        <v>4.34</v>
      </c>
      <c r="W916" s="189">
        <f t="shared" si="707"/>
        <v>0</v>
      </c>
      <c r="X916" s="189">
        <f t="shared" si="681"/>
        <v>83.04</v>
      </c>
      <c r="Y916" s="190">
        <f t="shared" si="682"/>
        <v>-568.04</v>
      </c>
      <c r="Z916" s="191">
        <v>-1950.63</v>
      </c>
      <c r="AA916" s="192">
        <f>Z916-Y917-Y916</f>
        <v>-0.28000000000020009</v>
      </c>
      <c r="AB916" s="193">
        <f t="shared" si="684"/>
        <v>-6.1237373737374028E-3</v>
      </c>
      <c r="AC916" s="194">
        <f t="shared" si="685"/>
        <v>5.2599999999999999E-4</v>
      </c>
      <c r="AD916" s="189"/>
      <c r="AE916" s="195" t="s">
        <v>403</v>
      </c>
      <c r="AF916" s="119"/>
    </row>
    <row r="917" spans="1:32" ht="12" hidden="1" customHeight="1">
      <c r="A917" s="183">
        <v>44260</v>
      </c>
      <c r="B917" s="184" t="s">
        <v>672</v>
      </c>
      <c r="C917" s="184"/>
      <c r="D917" s="184"/>
      <c r="E917" s="184"/>
      <c r="F917" s="184"/>
      <c r="G917" s="184"/>
      <c r="H917" s="184" t="s">
        <v>654</v>
      </c>
      <c r="I917" s="184" t="s">
        <v>469</v>
      </c>
      <c r="J917" s="184" t="s">
        <v>471</v>
      </c>
      <c r="K917" s="185">
        <v>150</v>
      </c>
      <c r="L917" s="186">
        <v>1453.5</v>
      </c>
      <c r="M917" s="187">
        <v>1445.1</v>
      </c>
      <c r="N917" s="188">
        <f t="shared" si="695"/>
        <v>20</v>
      </c>
      <c r="O917" s="188">
        <f t="shared" si="696"/>
        <v>20</v>
      </c>
      <c r="P917" s="189">
        <f t="shared" si="674"/>
        <v>434790</v>
      </c>
      <c r="Q917" s="189">
        <f t="shared" si="675"/>
        <v>-1260.0000000000136</v>
      </c>
      <c r="R917" s="189">
        <f>ROUND(N917+O917,2)</f>
        <v>40</v>
      </c>
      <c r="S917" s="189">
        <f t="shared" si="697"/>
        <v>9.35</v>
      </c>
      <c r="T917" s="189">
        <f t="shared" si="698"/>
        <v>54</v>
      </c>
      <c r="U917" s="189">
        <f t="shared" si="700"/>
        <v>7</v>
      </c>
      <c r="V917" s="189">
        <f t="shared" si="716"/>
        <v>11.96</v>
      </c>
      <c r="W917" s="189">
        <f t="shared" si="707"/>
        <v>0</v>
      </c>
      <c r="X917" s="189">
        <f t="shared" si="681"/>
        <v>122.31</v>
      </c>
      <c r="Y917" s="190">
        <f t="shared" si="682"/>
        <v>-1382.31</v>
      </c>
      <c r="Z917" s="191"/>
      <c r="AA917" s="192"/>
      <c r="AB917" s="193">
        <f t="shared" si="684"/>
        <v>-5.7791537667699283E-3</v>
      </c>
      <c r="AC917" s="194">
        <f t="shared" si="685"/>
        <v>2.81E-4</v>
      </c>
      <c r="AD917" s="189" t="s">
        <v>669</v>
      </c>
      <c r="AE917" s="195" t="s">
        <v>403</v>
      </c>
      <c r="AF917" s="119"/>
    </row>
    <row r="918" spans="1:32" ht="12" hidden="1" customHeight="1">
      <c r="A918" s="183">
        <v>44265</v>
      </c>
      <c r="B918" s="184" t="s">
        <v>673</v>
      </c>
      <c r="C918" s="184"/>
      <c r="D918" s="184"/>
      <c r="E918" s="184"/>
      <c r="F918" s="184"/>
      <c r="G918" s="184"/>
      <c r="H918" s="184" t="s">
        <v>654</v>
      </c>
      <c r="I918" s="184" t="s">
        <v>469</v>
      </c>
      <c r="J918" s="184" t="s">
        <v>471</v>
      </c>
      <c r="K918" s="185">
        <v>850</v>
      </c>
      <c r="L918" s="186">
        <v>1172.8176000000001</v>
      </c>
      <c r="M918" s="187">
        <v>1174.9922999999999</v>
      </c>
      <c r="N918" s="188">
        <f t="shared" si="695"/>
        <v>20</v>
      </c>
      <c r="O918" s="188">
        <f t="shared" si="696"/>
        <v>20</v>
      </c>
      <c r="P918" s="189">
        <f t="shared" si="674"/>
        <v>1995638.42</v>
      </c>
      <c r="Q918" s="189">
        <f t="shared" si="675"/>
        <v>1848.4949999998321</v>
      </c>
      <c r="R918" s="189">
        <v>257.85000000000002</v>
      </c>
      <c r="S918" s="189">
        <f t="shared" si="697"/>
        <v>56.29</v>
      </c>
      <c r="T918" s="189">
        <f t="shared" si="698"/>
        <v>250</v>
      </c>
      <c r="U918" s="189">
        <f t="shared" si="700"/>
        <v>30</v>
      </c>
      <c r="V918" s="189">
        <f t="shared" si="716"/>
        <v>54.88</v>
      </c>
      <c r="W918" s="189">
        <f t="shared" si="707"/>
        <v>0</v>
      </c>
      <c r="X918" s="189">
        <f t="shared" si="681"/>
        <v>649.0200000000001</v>
      </c>
      <c r="Y918" s="190">
        <f t="shared" si="682"/>
        <v>1199.47</v>
      </c>
      <c r="Z918" s="191">
        <v>1199.44</v>
      </c>
      <c r="AA918" s="192">
        <f>Z918-Y918</f>
        <v>-2.9999999999972715E-2</v>
      </c>
      <c r="AB918" s="193">
        <f t="shared" si="684"/>
        <v>1.8542525282702121E-3</v>
      </c>
      <c r="AC918" s="194">
        <f t="shared" si="685"/>
        <v>3.2499999999999999E-4</v>
      </c>
      <c r="AD918" s="189" t="s">
        <v>669</v>
      </c>
      <c r="AE918" s="195" t="s">
        <v>403</v>
      </c>
      <c r="AF918" s="119"/>
    </row>
    <row r="919" spans="1:32" ht="12" hidden="1" customHeight="1">
      <c r="A919" s="183">
        <v>44267</v>
      </c>
      <c r="B919" s="184" t="s">
        <v>673</v>
      </c>
      <c r="C919" s="184"/>
      <c r="D919" s="184"/>
      <c r="E919" s="184"/>
      <c r="F919" s="184"/>
      <c r="G919" s="184"/>
      <c r="H919" s="184" t="s">
        <v>654</v>
      </c>
      <c r="I919" s="184" t="s">
        <v>469</v>
      </c>
      <c r="J919" s="184" t="s">
        <v>471</v>
      </c>
      <c r="K919" s="185">
        <v>200</v>
      </c>
      <c r="L919" s="186">
        <v>1201</v>
      </c>
      <c r="M919" s="187">
        <v>1197.075</v>
      </c>
      <c r="N919" s="188">
        <f t="shared" si="695"/>
        <v>20</v>
      </c>
      <c r="O919" s="188">
        <f t="shared" si="696"/>
        <v>20</v>
      </c>
      <c r="P919" s="189">
        <f t="shared" si="674"/>
        <v>479615</v>
      </c>
      <c r="Q919" s="189">
        <f t="shared" si="675"/>
        <v>-784.99999999999091</v>
      </c>
      <c r="R919" s="189">
        <v>60</v>
      </c>
      <c r="S919" s="189">
        <f t="shared" si="697"/>
        <v>13.17</v>
      </c>
      <c r="T919" s="189">
        <f t="shared" si="698"/>
        <v>60</v>
      </c>
      <c r="U919" s="189">
        <f t="shared" si="700"/>
        <v>7</v>
      </c>
      <c r="V919" s="189">
        <f t="shared" si="716"/>
        <v>13.19</v>
      </c>
      <c r="W919" s="189">
        <f t="shared" si="707"/>
        <v>0</v>
      </c>
      <c r="X919" s="189">
        <f t="shared" si="681"/>
        <v>153.36000000000001</v>
      </c>
      <c r="Y919" s="190">
        <f t="shared" si="682"/>
        <v>-938.36</v>
      </c>
      <c r="Z919" s="191">
        <v>2609.9</v>
      </c>
      <c r="AA919" s="192">
        <f>Z919-Y920-Y919</f>
        <v>-0.6699999999997317</v>
      </c>
      <c r="AB919" s="193">
        <f t="shared" si="684"/>
        <v>-3.2681099084096209E-3</v>
      </c>
      <c r="AC919" s="194">
        <f t="shared" si="685"/>
        <v>3.2000000000000003E-4</v>
      </c>
      <c r="AD919" s="189"/>
      <c r="AE919" s="195" t="s">
        <v>403</v>
      </c>
      <c r="AF919" s="119"/>
    </row>
    <row r="920" spans="1:32" ht="12" hidden="1" customHeight="1">
      <c r="A920" s="183">
        <v>44267</v>
      </c>
      <c r="B920" s="184" t="s">
        <v>659</v>
      </c>
      <c r="C920" s="184"/>
      <c r="D920" s="184"/>
      <c r="E920" s="184"/>
      <c r="F920" s="184"/>
      <c r="G920" s="184"/>
      <c r="H920" s="184" t="s">
        <v>654</v>
      </c>
      <c r="I920" s="184" t="s">
        <v>469</v>
      </c>
      <c r="J920" s="184" t="s">
        <v>471</v>
      </c>
      <c r="K920" s="185">
        <v>1000</v>
      </c>
      <c r="L920" s="186">
        <v>421.5</v>
      </c>
      <c r="M920" s="187">
        <v>425.27319999999997</v>
      </c>
      <c r="N920" s="188">
        <f t="shared" si="695"/>
        <v>20</v>
      </c>
      <c r="O920" s="188">
        <f t="shared" si="696"/>
        <v>20</v>
      </c>
      <c r="P920" s="189">
        <f t="shared" si="674"/>
        <v>846773.2</v>
      </c>
      <c r="Q920" s="189">
        <f t="shared" si="675"/>
        <v>3773.1999999999744</v>
      </c>
      <c r="R920" s="189">
        <v>60</v>
      </c>
      <c r="S920" s="189">
        <f t="shared" si="697"/>
        <v>16.059999999999999</v>
      </c>
      <c r="T920" s="189">
        <f t="shared" si="698"/>
        <v>106</v>
      </c>
      <c r="U920" s="189">
        <f t="shared" si="700"/>
        <v>13</v>
      </c>
      <c r="V920" s="189">
        <f t="shared" ref="V920:V922" si="717">ROUND(P920*M$1809,2)</f>
        <v>29.21</v>
      </c>
      <c r="W920" s="189">
        <f t="shared" si="707"/>
        <v>0</v>
      </c>
      <c r="X920" s="189">
        <f t="shared" si="681"/>
        <v>224.27</v>
      </c>
      <c r="Y920" s="190">
        <f t="shared" si="682"/>
        <v>3548.93</v>
      </c>
      <c r="Z920" s="191"/>
      <c r="AA920" s="192"/>
      <c r="AB920" s="193">
        <f t="shared" si="684"/>
        <v>8.9518386714115637E-3</v>
      </c>
      <c r="AC920" s="194">
        <f t="shared" si="685"/>
        <v>2.6499999999999999E-4</v>
      </c>
      <c r="AD920" s="189" t="s">
        <v>669</v>
      </c>
      <c r="AE920" s="195" t="s">
        <v>403</v>
      </c>
      <c r="AF920" s="119"/>
    </row>
    <row r="921" spans="1:32" ht="12" hidden="1" customHeight="1">
      <c r="A921" s="183">
        <v>44270</v>
      </c>
      <c r="B921" s="184" t="s">
        <v>663</v>
      </c>
      <c r="C921" s="184"/>
      <c r="D921" s="184"/>
      <c r="E921" s="184"/>
      <c r="F921" s="184"/>
      <c r="G921" s="184"/>
      <c r="H921" s="184" t="s">
        <v>654</v>
      </c>
      <c r="I921" s="184" t="s">
        <v>469</v>
      </c>
      <c r="J921" s="184" t="s">
        <v>471</v>
      </c>
      <c r="K921" s="185">
        <v>400</v>
      </c>
      <c r="L921" s="186">
        <v>725.13750000000005</v>
      </c>
      <c r="M921" s="187">
        <v>727</v>
      </c>
      <c r="N921" s="188">
        <f t="shared" si="695"/>
        <v>20</v>
      </c>
      <c r="O921" s="188">
        <f t="shared" si="696"/>
        <v>20</v>
      </c>
      <c r="P921" s="189">
        <f t="shared" si="674"/>
        <v>580855</v>
      </c>
      <c r="Q921" s="189">
        <f t="shared" si="675"/>
        <v>744.99999999998181</v>
      </c>
      <c r="R921" s="189">
        <v>100</v>
      </c>
      <c r="S921" s="189">
        <f t="shared" si="697"/>
        <v>21.61</v>
      </c>
      <c r="T921" s="189">
        <f t="shared" si="698"/>
        <v>73</v>
      </c>
      <c r="U921" s="189">
        <f t="shared" si="700"/>
        <v>9</v>
      </c>
      <c r="V921" s="189">
        <f t="shared" si="717"/>
        <v>20.04</v>
      </c>
      <c r="W921" s="189">
        <f t="shared" si="707"/>
        <v>0</v>
      </c>
      <c r="X921" s="189">
        <f t="shared" si="681"/>
        <v>223.65</v>
      </c>
      <c r="Y921" s="190">
        <f t="shared" si="682"/>
        <v>521.35</v>
      </c>
      <c r="Z921" s="191">
        <v>521.05999999999995</v>
      </c>
      <c r="AA921" s="192">
        <f t="shared" ref="AA921:AA925" si="718">Z921-Y921</f>
        <v>-0.29000000000007731</v>
      </c>
      <c r="AB921" s="193">
        <f t="shared" si="684"/>
        <v>2.568478392029035E-3</v>
      </c>
      <c r="AC921" s="194">
        <f t="shared" si="685"/>
        <v>3.8499999999999998E-4</v>
      </c>
      <c r="AD921" s="189" t="s">
        <v>669</v>
      </c>
      <c r="AE921" s="195" t="s">
        <v>403</v>
      </c>
      <c r="AF921" s="119"/>
    </row>
    <row r="922" spans="1:32" ht="12" hidden="1" customHeight="1">
      <c r="A922" s="183">
        <v>44271</v>
      </c>
      <c r="B922" s="184" t="s">
        <v>673</v>
      </c>
      <c r="C922" s="184"/>
      <c r="D922" s="184"/>
      <c r="E922" s="184"/>
      <c r="F922" s="184"/>
      <c r="G922" s="184"/>
      <c r="H922" s="184" t="s">
        <v>654</v>
      </c>
      <c r="I922" s="184" t="s">
        <v>469</v>
      </c>
      <c r="J922" s="184" t="s">
        <v>471</v>
      </c>
      <c r="K922" s="185">
        <v>600</v>
      </c>
      <c r="L922" s="186">
        <v>1194.2583</v>
      </c>
      <c r="M922" s="187">
        <v>1200.5001</v>
      </c>
      <c r="N922" s="188">
        <f t="shared" si="695"/>
        <v>20</v>
      </c>
      <c r="O922" s="188">
        <f t="shared" si="696"/>
        <v>20</v>
      </c>
      <c r="P922" s="189">
        <f t="shared" si="674"/>
        <v>1436855.04</v>
      </c>
      <c r="Q922" s="189">
        <f t="shared" si="675"/>
        <v>3745.0800000000072</v>
      </c>
      <c r="R922" s="189">
        <v>80.36</v>
      </c>
      <c r="S922" s="189">
        <f t="shared" si="697"/>
        <v>23.39</v>
      </c>
      <c r="T922" s="189">
        <f t="shared" si="698"/>
        <v>180</v>
      </c>
      <c r="U922" s="189">
        <f t="shared" si="700"/>
        <v>21</v>
      </c>
      <c r="V922" s="189">
        <f t="shared" si="717"/>
        <v>49.57</v>
      </c>
      <c r="W922" s="189">
        <f t="shared" si="707"/>
        <v>0</v>
      </c>
      <c r="X922" s="189">
        <f t="shared" si="681"/>
        <v>354.32</v>
      </c>
      <c r="Y922" s="190">
        <f t="shared" si="682"/>
        <v>3390.76</v>
      </c>
      <c r="Z922" s="191">
        <v>3389.01</v>
      </c>
      <c r="AA922" s="192">
        <f t="shared" si="718"/>
        <v>-1.75</v>
      </c>
      <c r="AB922" s="193">
        <f t="shared" si="684"/>
        <v>5.2265075319133329E-3</v>
      </c>
      <c r="AC922" s="194">
        <f t="shared" si="685"/>
        <v>2.4699999999999999E-4</v>
      </c>
      <c r="AD922" s="189" t="s">
        <v>669</v>
      </c>
      <c r="AE922" s="195" t="s">
        <v>403</v>
      </c>
      <c r="AF922" s="119"/>
    </row>
    <row r="923" spans="1:32" ht="12" hidden="1" customHeight="1">
      <c r="A923" s="183">
        <v>44272</v>
      </c>
      <c r="B923" s="184" t="s">
        <v>673</v>
      </c>
      <c r="C923" s="184"/>
      <c r="D923" s="184"/>
      <c r="E923" s="184"/>
      <c r="F923" s="184"/>
      <c r="G923" s="184"/>
      <c r="H923" s="184" t="s">
        <v>654</v>
      </c>
      <c r="I923" s="184" t="s">
        <v>469</v>
      </c>
      <c r="J923" s="184" t="s">
        <v>471</v>
      </c>
      <c r="K923" s="185">
        <v>800</v>
      </c>
      <c r="L923" s="186">
        <v>1175.9688000000001</v>
      </c>
      <c r="M923" s="187">
        <v>1180.145</v>
      </c>
      <c r="N923" s="188">
        <f t="shared" si="695"/>
        <v>20</v>
      </c>
      <c r="O923" s="188">
        <f t="shared" si="696"/>
        <v>20</v>
      </c>
      <c r="P923" s="189">
        <f t="shared" si="674"/>
        <v>1884891.04</v>
      </c>
      <c r="Q923" s="189">
        <f t="shared" si="675"/>
        <v>3340.9599999999045</v>
      </c>
      <c r="R923" s="189">
        <v>160</v>
      </c>
      <c r="S923" s="189">
        <f t="shared" si="697"/>
        <v>38.130000000000003</v>
      </c>
      <c r="T923" s="189">
        <f t="shared" si="698"/>
        <v>236</v>
      </c>
      <c r="U923" s="189">
        <f t="shared" si="700"/>
        <v>28</v>
      </c>
      <c r="V923" s="189">
        <f t="shared" ref="V923:V924" si="719">ROUND(P923*L$1809,2)</f>
        <v>51.83</v>
      </c>
      <c r="W923" s="189">
        <f t="shared" si="707"/>
        <v>0</v>
      </c>
      <c r="X923" s="189">
        <f t="shared" si="681"/>
        <v>513.96</v>
      </c>
      <c r="Y923" s="190">
        <f t="shared" si="682"/>
        <v>2827</v>
      </c>
      <c r="Z923" s="191">
        <v>2826.09</v>
      </c>
      <c r="AA923" s="192">
        <f t="shared" si="718"/>
        <v>-0.90999999999985448</v>
      </c>
      <c r="AB923" s="193">
        <f t="shared" si="684"/>
        <v>3.5512846939475609E-3</v>
      </c>
      <c r="AC923" s="194">
        <f t="shared" si="685"/>
        <v>2.7300000000000002E-4</v>
      </c>
      <c r="AD923" s="189" t="s">
        <v>669</v>
      </c>
      <c r="AE923" s="195" t="s">
        <v>403</v>
      </c>
      <c r="AF923" s="119"/>
    </row>
    <row r="924" spans="1:32" ht="12" hidden="1" customHeight="1">
      <c r="A924" s="183">
        <v>44273</v>
      </c>
      <c r="B924" s="184" t="s">
        <v>673</v>
      </c>
      <c r="C924" s="184"/>
      <c r="D924" s="184"/>
      <c r="E924" s="184"/>
      <c r="F924" s="184"/>
      <c r="G924" s="184"/>
      <c r="H924" s="184" t="s">
        <v>654</v>
      </c>
      <c r="I924" s="184" t="s">
        <v>469</v>
      </c>
      <c r="J924" s="184" t="s">
        <v>471</v>
      </c>
      <c r="K924" s="185">
        <v>700</v>
      </c>
      <c r="L924" s="186">
        <v>1153</v>
      </c>
      <c r="M924" s="187">
        <v>1163.0224000000001</v>
      </c>
      <c r="N924" s="188">
        <f t="shared" si="695"/>
        <v>20</v>
      </c>
      <c r="O924" s="188">
        <f t="shared" si="696"/>
        <v>20</v>
      </c>
      <c r="P924" s="189">
        <f t="shared" si="674"/>
        <v>1621215.68</v>
      </c>
      <c r="Q924" s="189">
        <f t="shared" si="675"/>
        <v>7015.680000000043</v>
      </c>
      <c r="R924" s="189">
        <v>80</v>
      </c>
      <c r="S924" s="189">
        <f t="shared" si="697"/>
        <v>22.42</v>
      </c>
      <c r="T924" s="189">
        <f t="shared" si="698"/>
        <v>204</v>
      </c>
      <c r="U924" s="189">
        <f t="shared" si="700"/>
        <v>24</v>
      </c>
      <c r="V924" s="189">
        <f t="shared" si="719"/>
        <v>44.58</v>
      </c>
      <c r="W924" s="189">
        <f t="shared" si="707"/>
        <v>0</v>
      </c>
      <c r="X924" s="189">
        <f t="shared" si="681"/>
        <v>375</v>
      </c>
      <c r="Y924" s="190">
        <f t="shared" si="682"/>
        <v>6640.68</v>
      </c>
      <c r="Z924" s="191">
        <v>6640.88</v>
      </c>
      <c r="AA924" s="192">
        <f t="shared" si="718"/>
        <v>0.1999999999998181</v>
      </c>
      <c r="AB924" s="193">
        <f t="shared" si="684"/>
        <v>8.6924544666088996E-3</v>
      </c>
      <c r="AC924" s="194">
        <f t="shared" si="685"/>
        <v>2.31E-4</v>
      </c>
      <c r="AD924" s="189" t="s">
        <v>669</v>
      </c>
      <c r="AE924" s="195" t="s">
        <v>403</v>
      </c>
      <c r="AF924" s="119"/>
    </row>
    <row r="925" spans="1:32" ht="12" hidden="1" customHeight="1">
      <c r="A925" s="183">
        <v>44274</v>
      </c>
      <c r="B925" s="184" t="s">
        <v>674</v>
      </c>
      <c r="C925" s="184"/>
      <c r="D925" s="184"/>
      <c r="E925" s="184"/>
      <c r="F925" s="184"/>
      <c r="G925" s="184"/>
      <c r="H925" s="184" t="s">
        <v>654</v>
      </c>
      <c r="I925" s="184" t="s">
        <v>469</v>
      </c>
      <c r="J925" s="184" t="s">
        <v>471</v>
      </c>
      <c r="K925" s="185">
        <v>1600</v>
      </c>
      <c r="L925" s="186">
        <v>507.83530000000002</v>
      </c>
      <c r="M925" s="187">
        <v>494.80630000000002</v>
      </c>
      <c r="N925" s="188">
        <f t="shared" si="695"/>
        <v>20</v>
      </c>
      <c r="O925" s="188">
        <f t="shared" si="696"/>
        <v>20</v>
      </c>
      <c r="P925" s="189">
        <f t="shared" si="674"/>
        <v>1604226.56</v>
      </c>
      <c r="Q925" s="189">
        <f t="shared" si="675"/>
        <v>-20846.399999999994</v>
      </c>
      <c r="R925" s="189">
        <f>139.49+3</f>
        <v>142.49</v>
      </c>
      <c r="S925" s="189">
        <f t="shared" si="697"/>
        <v>35.61</v>
      </c>
      <c r="T925" s="189">
        <f t="shared" si="698"/>
        <v>198</v>
      </c>
      <c r="U925" s="189">
        <f t="shared" si="700"/>
        <v>24</v>
      </c>
      <c r="V925" s="189">
        <f t="shared" ref="V925:V927" si="720">ROUND(P925*M$1809,2)</f>
        <v>55.35</v>
      </c>
      <c r="W925" s="189">
        <f t="shared" si="707"/>
        <v>0</v>
      </c>
      <c r="X925" s="189">
        <f t="shared" si="681"/>
        <v>455.45000000000005</v>
      </c>
      <c r="Y925" s="190">
        <f t="shared" si="682"/>
        <v>-21301.85</v>
      </c>
      <c r="Z925" s="191">
        <v>-21302.2</v>
      </c>
      <c r="AA925" s="192">
        <f t="shared" si="718"/>
        <v>-0.35000000000218279</v>
      </c>
      <c r="AB925" s="193">
        <f t="shared" si="684"/>
        <v>-2.5655955779363891E-2</v>
      </c>
      <c r="AC925" s="194">
        <f t="shared" si="685"/>
        <v>2.8400000000000002E-4</v>
      </c>
      <c r="AD925" s="189" t="s">
        <v>669</v>
      </c>
      <c r="AE925" s="195" t="s">
        <v>403</v>
      </c>
      <c r="AF925" s="119"/>
    </row>
    <row r="926" spans="1:32" ht="12" hidden="1" customHeight="1">
      <c r="A926" s="183">
        <v>44277</v>
      </c>
      <c r="B926" s="184" t="s">
        <v>593</v>
      </c>
      <c r="C926" s="184"/>
      <c r="D926" s="184"/>
      <c r="E926" s="184"/>
      <c r="F926" s="184"/>
      <c r="G926" s="184"/>
      <c r="H926" s="184" t="s">
        <v>654</v>
      </c>
      <c r="I926" s="184" t="s">
        <v>469</v>
      </c>
      <c r="J926" s="184" t="s">
        <v>471</v>
      </c>
      <c r="K926" s="185">
        <v>1250</v>
      </c>
      <c r="L926" s="186">
        <v>843.37444000000005</v>
      </c>
      <c r="M926" s="187">
        <v>834.6</v>
      </c>
      <c r="N926" s="188">
        <f t="shared" si="695"/>
        <v>20</v>
      </c>
      <c r="O926" s="188">
        <f t="shared" si="696"/>
        <v>20</v>
      </c>
      <c r="P926" s="189">
        <f t="shared" si="674"/>
        <v>2097468.0499999998</v>
      </c>
      <c r="Q926" s="189">
        <f t="shared" si="675"/>
        <v>-10968.050000000034</v>
      </c>
      <c r="R926" s="189">
        <v>215.12</v>
      </c>
      <c r="S926" s="189">
        <f t="shared" si="697"/>
        <v>51.75</v>
      </c>
      <c r="T926" s="189">
        <f t="shared" si="698"/>
        <v>261</v>
      </c>
      <c r="U926" s="189">
        <f t="shared" si="700"/>
        <v>32</v>
      </c>
      <c r="V926" s="189">
        <f t="shared" si="720"/>
        <v>72.36</v>
      </c>
      <c r="W926" s="189">
        <f t="shared" si="707"/>
        <v>0</v>
      </c>
      <c r="X926" s="189">
        <f t="shared" si="681"/>
        <v>632.23</v>
      </c>
      <c r="Y926" s="190">
        <f t="shared" si="682"/>
        <v>-11600.28</v>
      </c>
      <c r="Z926" s="191">
        <v>-9801.89</v>
      </c>
      <c r="AA926" s="192">
        <f>Z926-Y927-Y926</f>
        <v>-1.9199999999982538</v>
      </c>
      <c r="AB926" s="193">
        <f t="shared" si="684"/>
        <v>-1.0403967186864267E-2</v>
      </c>
      <c r="AC926" s="194">
        <f t="shared" si="685"/>
        <v>3.01E-4</v>
      </c>
      <c r="AD926" s="189" t="s">
        <v>669</v>
      </c>
      <c r="AE926" s="195" t="s">
        <v>403</v>
      </c>
      <c r="AF926" s="119"/>
    </row>
    <row r="927" spans="1:32" ht="12" hidden="1" customHeight="1">
      <c r="A927" s="183">
        <v>44277</v>
      </c>
      <c r="B927" s="184" t="s">
        <v>565</v>
      </c>
      <c r="C927" s="184"/>
      <c r="D927" s="184"/>
      <c r="E927" s="184"/>
      <c r="F927" s="184"/>
      <c r="G927" s="184"/>
      <c r="H927" s="184" t="s">
        <v>654</v>
      </c>
      <c r="I927" s="184" t="s">
        <v>469</v>
      </c>
      <c r="J927" s="184" t="s">
        <v>471</v>
      </c>
      <c r="K927" s="185">
        <v>500</v>
      </c>
      <c r="L927" s="186">
        <v>1714.6</v>
      </c>
      <c r="M927" s="187">
        <v>1719.2</v>
      </c>
      <c r="N927" s="188">
        <f t="shared" si="695"/>
        <v>20</v>
      </c>
      <c r="O927" s="188">
        <f t="shared" si="696"/>
        <v>20</v>
      </c>
      <c r="P927" s="189">
        <f t="shared" si="674"/>
        <v>1716900</v>
      </c>
      <c r="Q927" s="189">
        <f t="shared" si="675"/>
        <v>2300.0000000000682</v>
      </c>
      <c r="R927" s="189">
        <v>160</v>
      </c>
      <c r="S927" s="189">
        <f t="shared" si="697"/>
        <v>39.46</v>
      </c>
      <c r="T927" s="189">
        <f t="shared" si="698"/>
        <v>215</v>
      </c>
      <c r="U927" s="189">
        <f t="shared" si="700"/>
        <v>26</v>
      </c>
      <c r="V927" s="189">
        <f t="shared" si="720"/>
        <v>59.23</v>
      </c>
      <c r="W927" s="189">
        <f t="shared" si="707"/>
        <v>0</v>
      </c>
      <c r="X927" s="189">
        <f t="shared" si="681"/>
        <v>499.69000000000005</v>
      </c>
      <c r="Y927" s="190">
        <f t="shared" si="682"/>
        <v>1800.31</v>
      </c>
      <c r="Z927" s="191"/>
      <c r="AA927" s="192"/>
      <c r="AB927" s="193">
        <f t="shared" si="684"/>
        <v>2.6828414790622517E-3</v>
      </c>
      <c r="AC927" s="194">
        <f t="shared" si="685"/>
        <v>2.9100000000000003E-4</v>
      </c>
      <c r="AD927" s="189" t="s">
        <v>669</v>
      </c>
      <c r="AE927" s="195" t="s">
        <v>403</v>
      </c>
      <c r="AF927" s="119"/>
    </row>
    <row r="928" spans="1:32" ht="12" hidden="1" customHeight="1">
      <c r="A928" s="183">
        <v>44278</v>
      </c>
      <c r="B928" s="184" t="s">
        <v>673</v>
      </c>
      <c r="C928" s="184"/>
      <c r="D928" s="184"/>
      <c r="E928" s="184"/>
      <c r="F928" s="184"/>
      <c r="G928" s="184"/>
      <c r="H928" s="184" t="s">
        <v>654</v>
      </c>
      <c r="I928" s="184" t="s">
        <v>469</v>
      </c>
      <c r="J928" s="184" t="s">
        <v>471</v>
      </c>
      <c r="K928" s="185">
        <v>350</v>
      </c>
      <c r="L928" s="186">
        <v>1145.8571999999999</v>
      </c>
      <c r="M928" s="187">
        <v>1148.0596</v>
      </c>
      <c r="N928" s="188">
        <f t="shared" si="695"/>
        <v>20</v>
      </c>
      <c r="O928" s="188">
        <f t="shared" si="696"/>
        <v>20</v>
      </c>
      <c r="P928" s="189">
        <f t="shared" si="674"/>
        <v>802870.88</v>
      </c>
      <c r="Q928" s="189">
        <f t="shared" si="675"/>
        <v>770.8400000000438</v>
      </c>
      <c r="R928" s="189">
        <v>117.18</v>
      </c>
      <c r="S928" s="189">
        <f t="shared" si="697"/>
        <v>25.07</v>
      </c>
      <c r="T928" s="189">
        <f t="shared" si="698"/>
        <v>100</v>
      </c>
      <c r="U928" s="189">
        <f t="shared" si="700"/>
        <v>12</v>
      </c>
      <c r="V928" s="189">
        <f>ROUND(P928*L$1809,2)</f>
        <v>22.08</v>
      </c>
      <c r="W928" s="189">
        <f t="shared" si="707"/>
        <v>0</v>
      </c>
      <c r="X928" s="189">
        <f t="shared" si="681"/>
        <v>276.33</v>
      </c>
      <c r="Y928" s="190">
        <f t="shared" si="682"/>
        <v>494.51</v>
      </c>
      <c r="Z928" s="191">
        <v>85.89</v>
      </c>
      <c r="AA928" s="192">
        <f>Z928-Y929-Y928</f>
        <v>-0.93999999999999773</v>
      </c>
      <c r="AB928" s="193">
        <f t="shared" si="684"/>
        <v>1.922054510806517E-3</v>
      </c>
      <c r="AC928" s="194">
        <f t="shared" si="685"/>
        <v>3.4400000000000001E-4</v>
      </c>
      <c r="AD928" s="189" t="s">
        <v>669</v>
      </c>
      <c r="AE928" s="195" t="s">
        <v>403</v>
      </c>
      <c r="AF928" s="119"/>
    </row>
    <row r="929" spans="1:32" ht="12" hidden="1" customHeight="1">
      <c r="A929" s="183">
        <v>44278</v>
      </c>
      <c r="B929" s="184" t="s">
        <v>618</v>
      </c>
      <c r="C929" s="184"/>
      <c r="D929" s="184"/>
      <c r="E929" s="184"/>
      <c r="F929" s="184"/>
      <c r="G929" s="184"/>
      <c r="H929" s="184" t="s">
        <v>654</v>
      </c>
      <c r="I929" s="184" t="s">
        <v>469</v>
      </c>
      <c r="J929" s="184" t="s">
        <v>471</v>
      </c>
      <c r="K929" s="185">
        <v>400</v>
      </c>
      <c r="L929" s="186">
        <v>1408.7813000000001</v>
      </c>
      <c r="M929" s="187">
        <v>1408.7438</v>
      </c>
      <c r="N929" s="188">
        <f t="shared" si="695"/>
        <v>20</v>
      </c>
      <c r="O929" s="188">
        <f t="shared" si="696"/>
        <v>20</v>
      </c>
      <c r="P929" s="189">
        <f t="shared" si="674"/>
        <v>1127010.04</v>
      </c>
      <c r="Q929" s="189">
        <f t="shared" si="675"/>
        <v>-15.00000000005457</v>
      </c>
      <c r="R929" s="189">
        <v>160</v>
      </c>
      <c r="S929" s="189">
        <f t="shared" si="697"/>
        <v>35.799999999999997</v>
      </c>
      <c r="T929" s="189">
        <f t="shared" si="698"/>
        <v>141</v>
      </c>
      <c r="U929" s="189">
        <f t="shared" si="700"/>
        <v>17</v>
      </c>
      <c r="V929" s="189">
        <f>ROUND(P929*M$1809,2)</f>
        <v>38.880000000000003</v>
      </c>
      <c r="W929" s="189">
        <f t="shared" si="707"/>
        <v>0</v>
      </c>
      <c r="X929" s="189">
        <f t="shared" si="681"/>
        <v>392.68</v>
      </c>
      <c r="Y929" s="190">
        <f t="shared" si="682"/>
        <v>-407.68</v>
      </c>
      <c r="Z929" s="191"/>
      <c r="AA929" s="192"/>
      <c r="AB929" s="193">
        <f t="shared" si="684"/>
        <v>-2.661875196677896E-5</v>
      </c>
      <c r="AC929" s="194">
        <f t="shared" si="685"/>
        <v>3.48E-4</v>
      </c>
      <c r="AD929" s="189" t="s">
        <v>669</v>
      </c>
      <c r="AE929" s="195" t="s">
        <v>403</v>
      </c>
      <c r="AF929" s="119"/>
    </row>
    <row r="930" spans="1:32" ht="12" hidden="1" customHeight="1">
      <c r="A930" s="183">
        <v>44279</v>
      </c>
      <c r="B930" s="184" t="s">
        <v>673</v>
      </c>
      <c r="C930" s="184"/>
      <c r="D930" s="184"/>
      <c r="E930" s="184"/>
      <c r="F930" s="184"/>
      <c r="G930" s="184"/>
      <c r="H930" s="184" t="s">
        <v>654</v>
      </c>
      <c r="I930" s="184" t="s">
        <v>469</v>
      </c>
      <c r="J930" s="184" t="s">
        <v>471</v>
      </c>
      <c r="K930" s="185">
        <v>800</v>
      </c>
      <c r="L930" s="186">
        <v>1158.3499999999999</v>
      </c>
      <c r="M930" s="187">
        <v>1161.2156</v>
      </c>
      <c r="N930" s="188">
        <f t="shared" si="695"/>
        <v>20</v>
      </c>
      <c r="O930" s="188">
        <f t="shared" si="696"/>
        <v>20</v>
      </c>
      <c r="P930" s="189">
        <f t="shared" si="674"/>
        <v>1855652.48</v>
      </c>
      <c r="Q930" s="189">
        <f t="shared" si="675"/>
        <v>2292.4800000000687</v>
      </c>
      <c r="R930" s="189">
        <v>280</v>
      </c>
      <c r="S930" s="189">
        <f t="shared" si="697"/>
        <v>59.59</v>
      </c>
      <c r="T930" s="189">
        <f t="shared" si="698"/>
        <v>232</v>
      </c>
      <c r="U930" s="189">
        <f t="shared" si="700"/>
        <v>28</v>
      </c>
      <c r="V930" s="189">
        <f>ROUND(P930*L$1809,2)</f>
        <v>51.03</v>
      </c>
      <c r="W930" s="189">
        <f t="shared" si="707"/>
        <v>0</v>
      </c>
      <c r="X930" s="189">
        <f t="shared" si="681"/>
        <v>650.62</v>
      </c>
      <c r="Y930" s="190">
        <f t="shared" si="682"/>
        <v>1641.86</v>
      </c>
      <c r="Z930" s="191">
        <v>1640.95</v>
      </c>
      <c r="AA930" s="192">
        <f>Z930-Y930</f>
        <v>-0.90999999999985448</v>
      </c>
      <c r="AB930" s="193">
        <f t="shared" si="684"/>
        <v>2.4738636854146727E-3</v>
      </c>
      <c r="AC930" s="194">
        <f t="shared" si="685"/>
        <v>3.5100000000000002E-4</v>
      </c>
      <c r="AD930" s="189" t="s">
        <v>669</v>
      </c>
      <c r="AE930" s="195" t="s">
        <v>403</v>
      </c>
      <c r="AF930" s="119"/>
    </row>
    <row r="931" spans="1:32" ht="12" hidden="1" customHeight="1">
      <c r="A931" s="183">
        <v>44280</v>
      </c>
      <c r="B931" s="184" t="s">
        <v>664</v>
      </c>
      <c r="C931" s="184"/>
      <c r="D931" s="184"/>
      <c r="E931" s="184"/>
      <c r="F931" s="184"/>
      <c r="G931" s="184"/>
      <c r="H931" s="184" t="s">
        <v>654</v>
      </c>
      <c r="I931" s="184" t="s">
        <v>469</v>
      </c>
      <c r="J931" s="184" t="s">
        <v>471</v>
      </c>
      <c r="K931" s="185">
        <v>200</v>
      </c>
      <c r="L931" s="186">
        <v>940.07500000000005</v>
      </c>
      <c r="M931" s="187">
        <v>946.65</v>
      </c>
      <c r="N931" s="188">
        <f t="shared" si="695"/>
        <v>20</v>
      </c>
      <c r="O931" s="188">
        <f t="shared" si="696"/>
        <v>20</v>
      </c>
      <c r="P931" s="189">
        <f t="shared" si="674"/>
        <v>377345</v>
      </c>
      <c r="Q931" s="189">
        <f t="shared" si="675"/>
        <v>1314.9999999999864</v>
      </c>
      <c r="R931" s="189">
        <v>80</v>
      </c>
      <c r="S931" s="189">
        <f t="shared" si="697"/>
        <v>16.739999999999998</v>
      </c>
      <c r="T931" s="189">
        <f t="shared" si="698"/>
        <v>47</v>
      </c>
      <c r="U931" s="189">
        <f t="shared" si="700"/>
        <v>6</v>
      </c>
      <c r="V931" s="189">
        <f t="shared" ref="V931:V932" si="721">ROUND(P931*M$1809,2)</f>
        <v>13.02</v>
      </c>
      <c r="W931" s="189">
        <f t="shared" si="707"/>
        <v>0</v>
      </c>
      <c r="X931" s="189">
        <f t="shared" si="681"/>
        <v>162.76000000000002</v>
      </c>
      <c r="Y931" s="190">
        <f t="shared" si="682"/>
        <v>1152.24</v>
      </c>
      <c r="Z931" s="191">
        <v>2084.06</v>
      </c>
      <c r="AA931" s="192">
        <f>Z931-Y932-Y931</f>
        <v>-0.35999999999989996</v>
      </c>
      <c r="AB931" s="193">
        <f t="shared" si="684"/>
        <v>6.994122809350245E-3</v>
      </c>
      <c r="AC931" s="194">
        <f t="shared" si="685"/>
        <v>4.3100000000000001E-4</v>
      </c>
      <c r="AD931" s="189" t="s">
        <v>669</v>
      </c>
      <c r="AE931" s="195" t="s">
        <v>403</v>
      </c>
      <c r="AF931" s="119"/>
    </row>
    <row r="932" spans="1:32" ht="12" hidden="1" customHeight="1">
      <c r="A932" s="183">
        <v>44280</v>
      </c>
      <c r="B932" s="184" t="s">
        <v>565</v>
      </c>
      <c r="C932" s="184"/>
      <c r="D932" s="184"/>
      <c r="E932" s="184"/>
      <c r="F932" s="184"/>
      <c r="G932" s="184"/>
      <c r="H932" s="184" t="s">
        <v>654</v>
      </c>
      <c r="I932" s="184" t="s">
        <v>469</v>
      </c>
      <c r="J932" s="184" t="s">
        <v>471</v>
      </c>
      <c r="K932" s="185">
        <v>100</v>
      </c>
      <c r="L932" s="186">
        <v>1667</v>
      </c>
      <c r="M932" s="187">
        <v>1677.4</v>
      </c>
      <c r="N932" s="188">
        <f t="shared" si="695"/>
        <v>20</v>
      </c>
      <c r="O932" s="188">
        <f t="shared" si="696"/>
        <v>20</v>
      </c>
      <c r="P932" s="189">
        <f t="shared" si="674"/>
        <v>334440</v>
      </c>
      <c r="Q932" s="189">
        <f t="shared" si="675"/>
        <v>1040.0000000000091</v>
      </c>
      <c r="R932" s="189">
        <f>ROUND(N932+O932,2)</f>
        <v>40</v>
      </c>
      <c r="S932" s="189">
        <f t="shared" si="697"/>
        <v>9.2799999999999994</v>
      </c>
      <c r="T932" s="189">
        <f t="shared" si="698"/>
        <v>42</v>
      </c>
      <c r="U932" s="189">
        <f t="shared" si="700"/>
        <v>5</v>
      </c>
      <c r="V932" s="189">
        <f t="shared" si="721"/>
        <v>11.54</v>
      </c>
      <c r="W932" s="189">
        <f t="shared" si="707"/>
        <v>0</v>
      </c>
      <c r="X932" s="189">
        <f t="shared" si="681"/>
        <v>107.82</v>
      </c>
      <c r="Y932" s="190">
        <f t="shared" si="682"/>
        <v>932.18</v>
      </c>
      <c r="Z932" s="191"/>
      <c r="AA932" s="192"/>
      <c r="AB932" s="193">
        <f t="shared" si="684"/>
        <v>6.2387522495501446E-3</v>
      </c>
      <c r="AC932" s="194">
        <f t="shared" si="685"/>
        <v>3.2200000000000002E-4</v>
      </c>
      <c r="AD932" s="189" t="s">
        <v>669</v>
      </c>
      <c r="AE932" s="195" t="s">
        <v>403</v>
      </c>
      <c r="AF932" s="119"/>
    </row>
    <row r="933" spans="1:32" ht="12" hidden="1" customHeight="1">
      <c r="A933" s="183">
        <v>44281</v>
      </c>
      <c r="B933" s="184" t="s">
        <v>673</v>
      </c>
      <c r="C933" s="184"/>
      <c r="D933" s="184"/>
      <c r="E933" s="184"/>
      <c r="F933" s="184"/>
      <c r="G933" s="184"/>
      <c r="H933" s="184" t="s">
        <v>654</v>
      </c>
      <c r="I933" s="184" t="s">
        <v>469</v>
      </c>
      <c r="J933" s="184" t="s">
        <v>471</v>
      </c>
      <c r="K933" s="185">
        <v>500</v>
      </c>
      <c r="L933" s="186">
        <v>1133.28</v>
      </c>
      <c r="M933" s="187">
        <v>1139.5119999999999</v>
      </c>
      <c r="N933" s="188">
        <f t="shared" si="695"/>
        <v>20</v>
      </c>
      <c r="O933" s="188">
        <f t="shared" si="696"/>
        <v>20</v>
      </c>
      <c r="P933" s="189">
        <f t="shared" si="674"/>
        <v>1136396</v>
      </c>
      <c r="Q933" s="189">
        <f t="shared" si="675"/>
        <v>3115.9999999999854</v>
      </c>
      <c r="R933" s="189">
        <v>160</v>
      </c>
      <c r="S933" s="189">
        <f t="shared" si="697"/>
        <v>34.43</v>
      </c>
      <c r="T933" s="189">
        <f t="shared" si="698"/>
        <v>142</v>
      </c>
      <c r="U933" s="189">
        <f t="shared" si="700"/>
        <v>17</v>
      </c>
      <c r="V933" s="189">
        <f>ROUND(P933*L$1809,2)</f>
        <v>31.25</v>
      </c>
      <c r="W933" s="189">
        <f t="shared" si="707"/>
        <v>0</v>
      </c>
      <c r="X933" s="189">
        <f t="shared" si="681"/>
        <v>384.68</v>
      </c>
      <c r="Y933" s="190">
        <f t="shared" si="682"/>
        <v>2731.32</v>
      </c>
      <c r="Z933" s="191">
        <v>2766.42</v>
      </c>
      <c r="AA933" s="192">
        <f>Z933-Y933-Y934-Y935</f>
        <v>-1.0800000000000896</v>
      </c>
      <c r="AB933" s="193">
        <f t="shared" si="684"/>
        <v>5.4990823097557278E-3</v>
      </c>
      <c r="AC933" s="194">
        <f t="shared" si="685"/>
        <v>3.39E-4</v>
      </c>
      <c r="AD933" s="189" t="s">
        <v>669</v>
      </c>
      <c r="AE933" s="195" t="s">
        <v>403</v>
      </c>
      <c r="AF933" s="119"/>
    </row>
    <row r="934" spans="1:32" ht="12" hidden="1" customHeight="1">
      <c r="A934" s="183">
        <v>44281</v>
      </c>
      <c r="B934" s="184" t="s">
        <v>675</v>
      </c>
      <c r="C934" s="184"/>
      <c r="D934" s="184"/>
      <c r="E934" s="184"/>
      <c r="F934" s="184"/>
      <c r="G934" s="184"/>
      <c r="H934" s="184" t="s">
        <v>654</v>
      </c>
      <c r="I934" s="184" t="s">
        <v>469</v>
      </c>
      <c r="J934" s="184" t="s">
        <v>471</v>
      </c>
      <c r="K934" s="185">
        <v>100</v>
      </c>
      <c r="L934" s="186">
        <v>230.4</v>
      </c>
      <c r="M934" s="187">
        <v>231</v>
      </c>
      <c r="N934" s="188">
        <f t="shared" si="695"/>
        <v>6.91</v>
      </c>
      <c r="O934" s="188">
        <f t="shared" si="696"/>
        <v>6.93</v>
      </c>
      <c r="P934" s="189">
        <f t="shared" si="674"/>
        <v>46140</v>
      </c>
      <c r="Q934" s="189">
        <f t="shared" si="675"/>
        <v>59.999999999999432</v>
      </c>
      <c r="R934" s="189">
        <f>ROUND(N934+O934,2)-2</f>
        <v>11.84</v>
      </c>
      <c r="S934" s="189">
        <f t="shared" si="697"/>
        <v>2.42</v>
      </c>
      <c r="T934" s="189">
        <f t="shared" si="698"/>
        <v>6</v>
      </c>
      <c r="U934" s="189">
        <f t="shared" si="700"/>
        <v>1</v>
      </c>
      <c r="V934" s="189">
        <f t="shared" ref="V934:V935" si="722">ROUND(P934*M$1809,2)</f>
        <v>1.59</v>
      </c>
      <c r="W934" s="189">
        <f t="shared" si="707"/>
        <v>0</v>
      </c>
      <c r="X934" s="189">
        <f t="shared" si="681"/>
        <v>22.849999999999998</v>
      </c>
      <c r="Y934" s="190">
        <f t="shared" si="682"/>
        <v>37.15</v>
      </c>
      <c r="Z934" s="191"/>
      <c r="AA934" s="192"/>
      <c r="AB934" s="193">
        <f t="shared" si="684"/>
        <v>2.6041666666666418E-3</v>
      </c>
      <c r="AC934" s="194">
        <f t="shared" si="685"/>
        <v>4.95E-4</v>
      </c>
      <c r="AD934" s="189" t="s">
        <v>669</v>
      </c>
      <c r="AE934" s="195" t="s">
        <v>403</v>
      </c>
      <c r="AF934" s="119"/>
    </row>
    <row r="935" spans="1:32" ht="12" hidden="1" customHeight="1">
      <c r="A935" s="183">
        <v>44281</v>
      </c>
      <c r="B935" s="184" t="s">
        <v>499</v>
      </c>
      <c r="C935" s="184"/>
      <c r="D935" s="184"/>
      <c r="E935" s="184"/>
      <c r="F935" s="184"/>
      <c r="G935" s="184"/>
      <c r="H935" s="184" t="s">
        <v>654</v>
      </c>
      <c r="I935" s="184" t="s">
        <v>469</v>
      </c>
      <c r="J935" s="184" t="s">
        <v>471</v>
      </c>
      <c r="K935" s="185">
        <v>50</v>
      </c>
      <c r="L935" s="186">
        <v>2522</v>
      </c>
      <c r="M935" s="187">
        <v>2523.85</v>
      </c>
      <c r="N935" s="188">
        <f t="shared" si="695"/>
        <v>20</v>
      </c>
      <c r="O935" s="188">
        <f t="shared" si="696"/>
        <v>20</v>
      </c>
      <c r="P935" s="189">
        <f t="shared" si="674"/>
        <v>252292.5</v>
      </c>
      <c r="Q935" s="189">
        <f t="shared" si="675"/>
        <v>92.499999999995453</v>
      </c>
      <c r="R935" s="189">
        <f t="shared" ref="R935:R937" si="723">ROUND(N935+O935,2)</f>
        <v>40</v>
      </c>
      <c r="S935" s="189">
        <f t="shared" si="697"/>
        <v>8.77</v>
      </c>
      <c r="T935" s="189">
        <f t="shared" si="698"/>
        <v>32</v>
      </c>
      <c r="U935" s="189">
        <f t="shared" si="700"/>
        <v>4</v>
      </c>
      <c r="V935" s="189">
        <f t="shared" si="722"/>
        <v>8.6999999999999993</v>
      </c>
      <c r="W935" s="189">
        <f t="shared" si="707"/>
        <v>0</v>
      </c>
      <c r="X935" s="189">
        <f t="shared" si="681"/>
        <v>93.47</v>
      </c>
      <c r="Y935" s="190">
        <f t="shared" si="682"/>
        <v>-0.97</v>
      </c>
      <c r="Z935" s="191"/>
      <c r="AA935" s="192"/>
      <c r="AB935" s="193">
        <f t="shared" si="684"/>
        <v>7.3354480570971806E-4</v>
      </c>
      <c r="AC935" s="194">
        <f t="shared" si="685"/>
        <v>3.6999999999999999E-4</v>
      </c>
      <c r="AD935" s="189" t="s">
        <v>669</v>
      </c>
      <c r="AE935" s="195" t="s">
        <v>403</v>
      </c>
      <c r="AF935" s="119"/>
    </row>
    <row r="936" spans="1:32" ht="12" hidden="1" customHeight="1">
      <c r="A936" s="183">
        <v>44285</v>
      </c>
      <c r="B936" s="184" t="s">
        <v>481</v>
      </c>
      <c r="C936" s="184"/>
      <c r="D936" s="184"/>
      <c r="E936" s="184"/>
      <c r="F936" s="184"/>
      <c r="G936" s="184"/>
      <c r="H936" s="184" t="s">
        <v>654</v>
      </c>
      <c r="I936" s="184" t="s">
        <v>469</v>
      </c>
      <c r="J936" s="184" t="s">
        <v>471</v>
      </c>
      <c r="K936" s="185">
        <v>100</v>
      </c>
      <c r="L936" s="186">
        <v>79.05</v>
      </c>
      <c r="M936" s="187">
        <v>80.05</v>
      </c>
      <c r="N936" s="188">
        <f t="shared" si="695"/>
        <v>2.37</v>
      </c>
      <c r="O936" s="188">
        <f t="shared" si="696"/>
        <v>2.4</v>
      </c>
      <c r="P936" s="189">
        <f t="shared" si="674"/>
        <v>15910</v>
      </c>
      <c r="Q936" s="189">
        <f t="shared" si="675"/>
        <v>100</v>
      </c>
      <c r="R936" s="189">
        <f t="shared" si="723"/>
        <v>4.7699999999999996</v>
      </c>
      <c r="S936" s="189">
        <f t="shared" si="697"/>
        <v>0.94</v>
      </c>
      <c r="T936" s="189">
        <f t="shared" si="698"/>
        <v>2</v>
      </c>
      <c r="U936" s="189">
        <f t="shared" si="700"/>
        <v>0</v>
      </c>
      <c r="V936" s="189">
        <f t="shared" ref="V936:V938" si="724">ROUND(P936*L$1809,2)</f>
        <v>0.44</v>
      </c>
      <c r="W936" s="189">
        <f t="shared" si="707"/>
        <v>0</v>
      </c>
      <c r="X936" s="189">
        <f t="shared" si="681"/>
        <v>8.1499999999999986</v>
      </c>
      <c r="Y936" s="190">
        <f t="shared" si="682"/>
        <v>91.85</v>
      </c>
      <c r="Z936" s="191">
        <v>9.08</v>
      </c>
      <c r="AA936" s="192">
        <f>Z936-Y937-Y936</f>
        <v>-1.0099999999999909</v>
      </c>
      <c r="AB936" s="193">
        <f t="shared" si="684"/>
        <v>1.2650221378874131E-2</v>
      </c>
      <c r="AC936" s="194">
        <f t="shared" si="685"/>
        <v>5.1199999999999998E-4</v>
      </c>
      <c r="AD936" s="189"/>
      <c r="AE936" s="195" t="s">
        <v>403</v>
      </c>
      <c r="AF936" s="119"/>
    </row>
    <row r="937" spans="1:32" ht="12" hidden="1" customHeight="1">
      <c r="A937" s="183">
        <v>44285</v>
      </c>
      <c r="B937" s="184" t="s">
        <v>676</v>
      </c>
      <c r="C937" s="184"/>
      <c r="D937" s="184"/>
      <c r="E937" s="184"/>
      <c r="F937" s="184"/>
      <c r="G937" s="184"/>
      <c r="H937" s="184" t="s">
        <v>654</v>
      </c>
      <c r="I937" s="184" t="s">
        <v>469</v>
      </c>
      <c r="J937" s="184" t="s">
        <v>471</v>
      </c>
      <c r="K937" s="185">
        <v>100</v>
      </c>
      <c r="L937" s="186">
        <v>113.7</v>
      </c>
      <c r="M937" s="187">
        <v>113</v>
      </c>
      <c r="N937" s="188">
        <f t="shared" si="695"/>
        <v>3.41</v>
      </c>
      <c r="O937" s="188">
        <f t="shared" si="696"/>
        <v>3.39</v>
      </c>
      <c r="P937" s="189">
        <f t="shared" si="674"/>
        <v>22670</v>
      </c>
      <c r="Q937" s="189">
        <f t="shared" si="675"/>
        <v>-70.000000000000284</v>
      </c>
      <c r="R937" s="189">
        <f t="shared" si="723"/>
        <v>6.8</v>
      </c>
      <c r="S937" s="189">
        <f t="shared" si="697"/>
        <v>1.34</v>
      </c>
      <c r="T937" s="189">
        <f t="shared" si="698"/>
        <v>3</v>
      </c>
      <c r="U937" s="189">
        <f t="shared" si="700"/>
        <v>0</v>
      </c>
      <c r="V937" s="189">
        <f t="shared" si="724"/>
        <v>0.62</v>
      </c>
      <c r="W937" s="189">
        <f t="shared" si="707"/>
        <v>0</v>
      </c>
      <c r="X937" s="189">
        <f t="shared" si="681"/>
        <v>11.76</v>
      </c>
      <c r="Y937" s="190">
        <f t="shared" si="682"/>
        <v>-81.760000000000005</v>
      </c>
      <c r="Z937" s="191"/>
      <c r="AA937" s="192"/>
      <c r="AB937" s="193">
        <f t="shared" si="684"/>
        <v>-6.1565523306948361E-3</v>
      </c>
      <c r="AC937" s="194">
        <f t="shared" si="685"/>
        <v>5.1900000000000004E-4</v>
      </c>
      <c r="AD937" s="189"/>
      <c r="AE937" s="195" t="s">
        <v>403</v>
      </c>
      <c r="AF937" s="119"/>
    </row>
    <row r="938" spans="1:32" ht="12" hidden="1" customHeight="1">
      <c r="A938" s="183">
        <v>44286</v>
      </c>
      <c r="B938" s="184" t="s">
        <v>673</v>
      </c>
      <c r="C938" s="184"/>
      <c r="D938" s="184"/>
      <c r="E938" s="184"/>
      <c r="F938" s="184"/>
      <c r="G938" s="184"/>
      <c r="H938" s="184" t="s">
        <v>654</v>
      </c>
      <c r="I938" s="184" t="s">
        <v>469</v>
      </c>
      <c r="J938" s="184" t="s">
        <v>471</v>
      </c>
      <c r="K938" s="185">
        <v>150</v>
      </c>
      <c r="L938" s="186">
        <v>1188.6666700000001</v>
      </c>
      <c r="M938" s="187">
        <v>1171</v>
      </c>
      <c r="N938" s="188">
        <f t="shared" si="695"/>
        <v>20</v>
      </c>
      <c r="O938" s="188">
        <f t="shared" si="696"/>
        <v>20</v>
      </c>
      <c r="P938" s="189">
        <f t="shared" si="674"/>
        <v>353950</v>
      </c>
      <c r="Q938" s="189">
        <f t="shared" si="675"/>
        <v>-2650.0005000000101</v>
      </c>
      <c r="R938" s="189">
        <v>57.67</v>
      </c>
      <c r="S938" s="189">
        <f t="shared" si="697"/>
        <v>12.13</v>
      </c>
      <c r="T938" s="189">
        <f t="shared" si="698"/>
        <v>44</v>
      </c>
      <c r="U938" s="189">
        <f t="shared" si="700"/>
        <v>5</v>
      </c>
      <c r="V938" s="189">
        <f t="shared" si="724"/>
        <v>9.73</v>
      </c>
      <c r="W938" s="189">
        <f t="shared" si="707"/>
        <v>0</v>
      </c>
      <c r="X938" s="189">
        <f t="shared" si="681"/>
        <v>128.53</v>
      </c>
      <c r="Y938" s="190">
        <f t="shared" si="682"/>
        <v>-2778.53</v>
      </c>
      <c r="Z938" s="191">
        <v>-46.65</v>
      </c>
      <c r="AA938" s="192">
        <f>Z938-Y938-Y939-Y940</f>
        <v>-1.0699999999998226</v>
      </c>
      <c r="AB938" s="193">
        <f t="shared" si="684"/>
        <v>-1.4862593901114487E-2</v>
      </c>
      <c r="AC938" s="194">
        <f t="shared" si="685"/>
        <v>3.6299999999999999E-4</v>
      </c>
      <c r="AD938" s="189" t="s">
        <v>669</v>
      </c>
      <c r="AE938" s="195" t="s">
        <v>403</v>
      </c>
      <c r="AF938" s="119"/>
    </row>
    <row r="939" spans="1:32" ht="12" hidden="1" customHeight="1">
      <c r="A939" s="183">
        <v>44286</v>
      </c>
      <c r="B939" s="184" t="s">
        <v>565</v>
      </c>
      <c r="C939" s="184"/>
      <c r="D939" s="184"/>
      <c r="E939" s="184"/>
      <c r="F939" s="184"/>
      <c r="G939" s="184"/>
      <c r="H939" s="184" t="s">
        <v>654</v>
      </c>
      <c r="I939" s="184" t="s">
        <v>469</v>
      </c>
      <c r="J939" s="184" t="s">
        <v>471</v>
      </c>
      <c r="K939" s="185">
        <v>500</v>
      </c>
      <c r="L939" s="186">
        <v>1641.2</v>
      </c>
      <c r="M939" s="187">
        <v>1647.3</v>
      </c>
      <c r="N939" s="188">
        <f t="shared" si="695"/>
        <v>20</v>
      </c>
      <c r="O939" s="188">
        <f t="shared" si="696"/>
        <v>20</v>
      </c>
      <c r="P939" s="189">
        <f t="shared" si="674"/>
        <v>1644250</v>
      </c>
      <c r="Q939" s="189">
        <f t="shared" si="675"/>
        <v>3049.9999999999545</v>
      </c>
      <c r="R939" s="189">
        <v>200</v>
      </c>
      <c r="S939" s="189">
        <f t="shared" si="697"/>
        <v>46.21</v>
      </c>
      <c r="T939" s="189">
        <f t="shared" si="698"/>
        <v>206</v>
      </c>
      <c r="U939" s="189">
        <f t="shared" si="700"/>
        <v>25</v>
      </c>
      <c r="V939" s="189">
        <f>ROUND(P939*M$1809,2)</f>
        <v>56.73</v>
      </c>
      <c r="W939" s="189">
        <f t="shared" si="707"/>
        <v>0</v>
      </c>
      <c r="X939" s="189">
        <f t="shared" si="681"/>
        <v>533.94000000000005</v>
      </c>
      <c r="Y939" s="190">
        <f t="shared" si="682"/>
        <v>2516.06</v>
      </c>
      <c r="Z939" s="191"/>
      <c r="AA939" s="192"/>
      <c r="AB939" s="193">
        <f t="shared" si="684"/>
        <v>3.7167925907871735E-3</v>
      </c>
      <c r="AC939" s="194">
        <f t="shared" si="685"/>
        <v>3.2499999999999999E-4</v>
      </c>
      <c r="AD939" s="189" t="s">
        <v>669</v>
      </c>
      <c r="AE939" s="195" t="s">
        <v>403</v>
      </c>
      <c r="AF939" s="119"/>
    </row>
    <row r="940" spans="1:32" ht="12" hidden="1" customHeight="1">
      <c r="A940" s="183">
        <v>44286</v>
      </c>
      <c r="B940" s="184" t="s">
        <v>677</v>
      </c>
      <c r="C940" s="184"/>
      <c r="D940" s="184"/>
      <c r="E940" s="184"/>
      <c r="F940" s="184"/>
      <c r="G940" s="184"/>
      <c r="H940" s="184" t="s">
        <v>654</v>
      </c>
      <c r="I940" s="184" t="s">
        <v>469</v>
      </c>
      <c r="J940" s="184" t="s">
        <v>471</v>
      </c>
      <c r="K940" s="185">
        <v>100</v>
      </c>
      <c r="L940" s="186">
        <v>754.05</v>
      </c>
      <c r="M940" s="187">
        <v>756.95</v>
      </c>
      <c r="N940" s="188">
        <f t="shared" si="695"/>
        <v>20</v>
      </c>
      <c r="O940" s="188">
        <f t="shared" si="696"/>
        <v>20</v>
      </c>
      <c r="P940" s="189">
        <f t="shared" si="674"/>
        <v>151100</v>
      </c>
      <c r="Q940" s="189">
        <f t="shared" si="675"/>
        <v>290.00000000000909</v>
      </c>
      <c r="R940" s="189">
        <f>ROUND(N940+O940,2)</f>
        <v>40</v>
      </c>
      <c r="S940" s="189">
        <f t="shared" si="697"/>
        <v>7.95</v>
      </c>
      <c r="T940" s="189">
        <f t="shared" si="698"/>
        <v>19</v>
      </c>
      <c r="U940" s="189">
        <f t="shared" si="700"/>
        <v>2</v>
      </c>
      <c r="V940" s="189">
        <f>ROUND(P940*L$1809,2)</f>
        <v>4.16</v>
      </c>
      <c r="W940" s="189">
        <f t="shared" si="707"/>
        <v>0</v>
      </c>
      <c r="X940" s="189">
        <f t="shared" si="681"/>
        <v>73.11</v>
      </c>
      <c r="Y940" s="190">
        <f t="shared" si="682"/>
        <v>216.89</v>
      </c>
      <c r="Z940" s="191"/>
      <c r="AA940" s="192"/>
      <c r="AB940" s="193">
        <f t="shared" si="684"/>
        <v>3.8458988130761766E-3</v>
      </c>
      <c r="AC940" s="194">
        <f t="shared" si="685"/>
        <v>4.84E-4</v>
      </c>
      <c r="AD940" s="189" t="s">
        <v>669</v>
      </c>
      <c r="AE940" s="195" t="s">
        <v>403</v>
      </c>
      <c r="AF940" s="119"/>
    </row>
    <row r="941" spans="1:32" ht="12" hidden="1" customHeight="1">
      <c r="A941" s="183">
        <v>44287</v>
      </c>
      <c r="B941" s="184" t="s">
        <v>678</v>
      </c>
      <c r="C941" s="184"/>
      <c r="D941" s="184"/>
      <c r="E941" s="184"/>
      <c r="F941" s="184"/>
      <c r="G941" s="184"/>
      <c r="H941" s="184" t="s">
        <v>654</v>
      </c>
      <c r="I941" s="184" t="s">
        <v>469</v>
      </c>
      <c r="J941" s="184" t="s">
        <v>471</v>
      </c>
      <c r="K941" s="185">
        <v>200</v>
      </c>
      <c r="L941" s="186">
        <v>1580.05</v>
      </c>
      <c r="M941" s="187">
        <v>1569</v>
      </c>
      <c r="N941" s="188">
        <f t="shared" si="695"/>
        <v>20</v>
      </c>
      <c r="O941" s="188">
        <f t="shared" si="696"/>
        <v>20</v>
      </c>
      <c r="P941" s="189">
        <f t="shared" si="674"/>
        <v>629810</v>
      </c>
      <c r="Q941" s="189">
        <f t="shared" si="675"/>
        <v>-2209.9999999999909</v>
      </c>
      <c r="R941" s="189">
        <v>60</v>
      </c>
      <c r="S941" s="189">
        <f t="shared" si="697"/>
        <v>14.71</v>
      </c>
      <c r="T941" s="189">
        <f t="shared" si="698"/>
        <v>78</v>
      </c>
      <c r="U941" s="189">
        <f t="shared" si="700"/>
        <v>9</v>
      </c>
      <c r="V941" s="189">
        <f>ROUND(P941*M$1809,2)</f>
        <v>21.73</v>
      </c>
      <c r="W941" s="189">
        <f t="shared" si="707"/>
        <v>0</v>
      </c>
      <c r="X941" s="189">
        <f t="shared" si="681"/>
        <v>183.44</v>
      </c>
      <c r="Y941" s="190">
        <f t="shared" si="682"/>
        <v>-2393.44</v>
      </c>
      <c r="Z941" s="191">
        <v>-1086.24</v>
      </c>
      <c r="AA941" s="192">
        <f>Z941-Y941-Y942-Y943</f>
        <v>-1.4099999999999682</v>
      </c>
      <c r="AB941" s="193">
        <f t="shared" si="684"/>
        <v>-6.9934495743805289E-3</v>
      </c>
      <c r="AC941" s="194">
        <f t="shared" si="685"/>
        <v>2.9100000000000003E-4</v>
      </c>
      <c r="AD941" s="189" t="s">
        <v>669</v>
      </c>
      <c r="AE941" s="195" t="s">
        <v>403</v>
      </c>
      <c r="AF941" s="119"/>
    </row>
    <row r="942" spans="1:32" ht="12" hidden="1" customHeight="1">
      <c r="A942" s="183">
        <v>44287</v>
      </c>
      <c r="B942" s="184" t="s">
        <v>673</v>
      </c>
      <c r="C942" s="184"/>
      <c r="D942" s="184"/>
      <c r="E942" s="184"/>
      <c r="F942" s="184"/>
      <c r="G942" s="184"/>
      <c r="H942" s="184" t="s">
        <v>654</v>
      </c>
      <c r="I942" s="184" t="s">
        <v>469</v>
      </c>
      <c r="J942" s="184" t="s">
        <v>471</v>
      </c>
      <c r="K942" s="185">
        <v>650</v>
      </c>
      <c r="L942" s="186">
        <v>1173.9077199999999</v>
      </c>
      <c r="M942" s="187">
        <v>1175.4231</v>
      </c>
      <c r="N942" s="188">
        <f t="shared" si="695"/>
        <v>20</v>
      </c>
      <c r="O942" s="188">
        <f t="shared" si="696"/>
        <v>20</v>
      </c>
      <c r="P942" s="189">
        <f t="shared" si="674"/>
        <v>1527065.03</v>
      </c>
      <c r="Q942" s="189">
        <f t="shared" si="675"/>
        <v>984.99700000003259</v>
      </c>
      <c r="R942" s="189">
        <f>217.39+1</f>
        <v>218.39</v>
      </c>
      <c r="S942" s="189">
        <f t="shared" si="697"/>
        <v>46.87</v>
      </c>
      <c r="T942" s="189">
        <f t="shared" si="698"/>
        <v>191</v>
      </c>
      <c r="U942" s="189">
        <f t="shared" si="700"/>
        <v>23</v>
      </c>
      <c r="V942" s="189">
        <f>ROUND(P942*L$1809,2)</f>
        <v>41.99</v>
      </c>
      <c r="W942" s="189">
        <f t="shared" si="707"/>
        <v>0</v>
      </c>
      <c r="X942" s="189">
        <f t="shared" si="681"/>
        <v>521.25</v>
      </c>
      <c r="Y942" s="190">
        <f t="shared" si="682"/>
        <v>463.75</v>
      </c>
      <c r="Z942" s="191"/>
      <c r="AA942" s="192"/>
      <c r="AB942" s="193">
        <f t="shared" si="684"/>
        <v>1.2908851131842375E-3</v>
      </c>
      <c r="AC942" s="194">
        <f t="shared" si="685"/>
        <v>3.4099999999999999E-4</v>
      </c>
      <c r="AD942" s="189"/>
      <c r="AE942" s="195" t="s">
        <v>403</v>
      </c>
      <c r="AF942" s="119"/>
    </row>
    <row r="943" spans="1:32" ht="12" hidden="1" customHeight="1">
      <c r="A943" s="183">
        <v>44287</v>
      </c>
      <c r="B943" s="184" t="s">
        <v>590</v>
      </c>
      <c r="C943" s="184"/>
      <c r="D943" s="184"/>
      <c r="E943" s="184"/>
      <c r="F943" s="184"/>
      <c r="G943" s="184"/>
      <c r="H943" s="184" t="s">
        <v>654</v>
      </c>
      <c r="I943" s="184" t="s">
        <v>469</v>
      </c>
      <c r="J943" s="184" t="s">
        <v>471</v>
      </c>
      <c r="K943" s="185">
        <v>200</v>
      </c>
      <c r="L943" s="186">
        <v>840.97500000000002</v>
      </c>
      <c r="M943" s="187">
        <v>845.97500000000002</v>
      </c>
      <c r="N943" s="188">
        <f t="shared" si="695"/>
        <v>20</v>
      </c>
      <c r="O943" s="188">
        <f t="shared" si="696"/>
        <v>20</v>
      </c>
      <c r="P943" s="189">
        <f t="shared" si="674"/>
        <v>337390</v>
      </c>
      <c r="Q943" s="189">
        <f t="shared" si="675"/>
        <v>1000</v>
      </c>
      <c r="R943" s="189">
        <v>80</v>
      </c>
      <c r="S943" s="189">
        <f t="shared" si="697"/>
        <v>16.5</v>
      </c>
      <c r="T943" s="189">
        <f t="shared" si="698"/>
        <v>42</v>
      </c>
      <c r="U943" s="189">
        <f t="shared" si="700"/>
        <v>5</v>
      </c>
      <c r="V943" s="189">
        <f t="shared" ref="V943:V944" si="725">ROUND(P943*M$1809,2)</f>
        <v>11.64</v>
      </c>
      <c r="W943" s="189">
        <f t="shared" si="707"/>
        <v>0</v>
      </c>
      <c r="X943" s="189">
        <f t="shared" si="681"/>
        <v>155.13999999999999</v>
      </c>
      <c r="Y943" s="190">
        <f t="shared" si="682"/>
        <v>844.86</v>
      </c>
      <c r="Z943" s="191"/>
      <c r="AA943" s="192"/>
      <c r="AB943" s="193">
        <f t="shared" si="684"/>
        <v>5.9454799488688724E-3</v>
      </c>
      <c r="AC943" s="194">
        <f t="shared" si="685"/>
        <v>4.6000000000000001E-4</v>
      </c>
      <c r="AD943" s="189" t="s">
        <v>669</v>
      </c>
      <c r="AE943" s="195" t="s">
        <v>403</v>
      </c>
      <c r="AF943" s="119"/>
    </row>
    <row r="944" spans="1:32" ht="12" hidden="1" customHeight="1">
      <c r="A944" s="183">
        <v>44291</v>
      </c>
      <c r="B944" s="184" t="s">
        <v>504</v>
      </c>
      <c r="C944" s="184"/>
      <c r="D944" s="184"/>
      <c r="E944" s="184"/>
      <c r="F944" s="184"/>
      <c r="G944" s="184"/>
      <c r="H944" s="184" t="s">
        <v>654</v>
      </c>
      <c r="I944" s="184" t="s">
        <v>469</v>
      </c>
      <c r="J944" s="184" t="s">
        <v>471</v>
      </c>
      <c r="K944" s="185">
        <v>150</v>
      </c>
      <c r="L944" s="186">
        <v>306.8</v>
      </c>
      <c r="M944" s="187">
        <v>300.05</v>
      </c>
      <c r="N944" s="188">
        <f t="shared" si="695"/>
        <v>13.81</v>
      </c>
      <c r="O944" s="188">
        <f t="shared" si="696"/>
        <v>13.5</v>
      </c>
      <c r="P944" s="189">
        <f t="shared" si="674"/>
        <v>91027.5</v>
      </c>
      <c r="Q944" s="189">
        <f t="shared" si="675"/>
        <v>-1012.5</v>
      </c>
      <c r="R944" s="189">
        <f>ROUND(N944+O944,2)</f>
        <v>27.31</v>
      </c>
      <c r="S944" s="189">
        <f t="shared" si="697"/>
        <v>5.48</v>
      </c>
      <c r="T944" s="189">
        <f t="shared" si="698"/>
        <v>11</v>
      </c>
      <c r="U944" s="189">
        <f t="shared" si="700"/>
        <v>1</v>
      </c>
      <c r="V944" s="189">
        <f t="shared" si="725"/>
        <v>3.14</v>
      </c>
      <c r="W944" s="189">
        <f t="shared" si="707"/>
        <v>0</v>
      </c>
      <c r="X944" s="189">
        <f t="shared" si="681"/>
        <v>47.93</v>
      </c>
      <c r="Y944" s="190">
        <f t="shared" si="682"/>
        <v>-1060.43</v>
      </c>
      <c r="Z944" s="191">
        <v>64.510000000000005</v>
      </c>
      <c r="AA944" s="192">
        <f>Z944-Y945-Y944</f>
        <v>-1.4400000000000546</v>
      </c>
      <c r="AB944" s="193">
        <f t="shared" si="684"/>
        <v>-2.2001303780964796E-2</v>
      </c>
      <c r="AC944" s="194">
        <f t="shared" si="685"/>
        <v>5.2700000000000002E-4</v>
      </c>
      <c r="AD944" s="189"/>
      <c r="AE944" s="195" t="s">
        <v>403</v>
      </c>
      <c r="AF944" s="119"/>
    </row>
    <row r="945" spans="1:32" ht="12" hidden="1" customHeight="1">
      <c r="A945" s="183">
        <v>44291</v>
      </c>
      <c r="B945" s="184" t="s">
        <v>679</v>
      </c>
      <c r="C945" s="184"/>
      <c r="D945" s="184"/>
      <c r="E945" s="184"/>
      <c r="F945" s="184"/>
      <c r="G945" s="184"/>
      <c r="H945" s="184" t="s">
        <v>654</v>
      </c>
      <c r="I945" s="184" t="s">
        <v>469</v>
      </c>
      <c r="J945" s="184" t="s">
        <v>471</v>
      </c>
      <c r="K945" s="185">
        <v>750</v>
      </c>
      <c r="L945" s="186">
        <v>543.15</v>
      </c>
      <c r="M945" s="187">
        <v>545.12666999999999</v>
      </c>
      <c r="N945" s="188">
        <f t="shared" si="695"/>
        <v>20</v>
      </c>
      <c r="O945" s="188">
        <f t="shared" si="696"/>
        <v>20</v>
      </c>
      <c r="P945" s="189">
        <f t="shared" si="674"/>
        <v>816207.5</v>
      </c>
      <c r="Q945" s="189">
        <f t="shared" si="675"/>
        <v>1482.5025000000096</v>
      </c>
      <c r="R945" s="189">
        <v>182.74</v>
      </c>
      <c r="S945" s="189">
        <f t="shared" si="697"/>
        <v>36.93</v>
      </c>
      <c r="T945" s="189">
        <f t="shared" si="698"/>
        <v>102</v>
      </c>
      <c r="U945" s="189">
        <f t="shared" si="700"/>
        <v>12</v>
      </c>
      <c r="V945" s="189">
        <f>ROUND(P945*L$1809,2)</f>
        <v>22.45</v>
      </c>
      <c r="W945" s="189">
        <f t="shared" si="707"/>
        <v>0</v>
      </c>
      <c r="X945" s="189">
        <f t="shared" si="681"/>
        <v>356.12</v>
      </c>
      <c r="Y945" s="190">
        <f t="shared" si="682"/>
        <v>1126.3800000000001</v>
      </c>
      <c r="Z945" s="191"/>
      <c r="AA945" s="192"/>
      <c r="AB945" s="193">
        <f t="shared" si="684"/>
        <v>3.6392709196354837E-3</v>
      </c>
      <c r="AC945" s="194">
        <f t="shared" si="685"/>
        <v>4.3600000000000003E-4</v>
      </c>
      <c r="AD945" s="189" t="s">
        <v>669</v>
      </c>
      <c r="AE945" s="195" t="s">
        <v>403</v>
      </c>
      <c r="AF945" s="119"/>
    </row>
    <row r="946" spans="1:32" ht="12" hidden="1" customHeight="1">
      <c r="A946" s="183">
        <v>44292</v>
      </c>
      <c r="B946" s="184" t="s">
        <v>678</v>
      </c>
      <c r="C946" s="184"/>
      <c r="D946" s="184"/>
      <c r="E946" s="184"/>
      <c r="F946" s="184"/>
      <c r="G946" s="184"/>
      <c r="H946" s="184" t="s">
        <v>654</v>
      </c>
      <c r="I946" s="184" t="s">
        <v>469</v>
      </c>
      <c r="J946" s="184" t="s">
        <v>471</v>
      </c>
      <c r="K946" s="185">
        <v>100</v>
      </c>
      <c r="L946" s="186">
        <v>1521</v>
      </c>
      <c r="M946" s="187">
        <v>1528.4</v>
      </c>
      <c r="N946" s="188">
        <f t="shared" si="695"/>
        <v>20</v>
      </c>
      <c r="O946" s="188">
        <f t="shared" si="696"/>
        <v>20</v>
      </c>
      <c r="P946" s="189">
        <f t="shared" si="674"/>
        <v>304940</v>
      </c>
      <c r="Q946" s="189">
        <f t="shared" si="675"/>
        <v>740.00000000000909</v>
      </c>
      <c r="R946" s="189">
        <f>ROUND(N946+O946,2)</f>
        <v>40</v>
      </c>
      <c r="S946" s="189">
        <f t="shared" si="697"/>
        <v>9.09</v>
      </c>
      <c r="T946" s="189">
        <f t="shared" si="698"/>
        <v>38</v>
      </c>
      <c r="U946" s="189">
        <f t="shared" si="700"/>
        <v>5</v>
      </c>
      <c r="V946" s="189">
        <f>ROUND(P946*M$1809,2)</f>
        <v>10.52</v>
      </c>
      <c r="W946" s="189">
        <f t="shared" si="707"/>
        <v>0</v>
      </c>
      <c r="X946" s="189">
        <f t="shared" si="681"/>
        <v>102.61</v>
      </c>
      <c r="Y946" s="190">
        <f t="shared" si="682"/>
        <v>637.39</v>
      </c>
      <c r="Z946" s="191">
        <v>637.24</v>
      </c>
      <c r="AA946" s="192">
        <f>Z946-Y946</f>
        <v>-0.14999999999997726</v>
      </c>
      <c r="AB946" s="193">
        <f t="shared" si="684"/>
        <v>4.8652202498356946E-3</v>
      </c>
      <c r="AC946" s="194">
        <f t="shared" si="685"/>
        <v>3.3599999999999998E-4</v>
      </c>
      <c r="AD946" s="189" t="s">
        <v>669</v>
      </c>
      <c r="AE946" s="195" t="s">
        <v>403</v>
      </c>
      <c r="AF946" s="119"/>
    </row>
    <row r="947" spans="1:32" ht="12" hidden="1" customHeight="1">
      <c r="A947" s="183">
        <v>44293</v>
      </c>
      <c r="B947" s="184" t="s">
        <v>677</v>
      </c>
      <c r="C947" s="184"/>
      <c r="D947" s="184"/>
      <c r="E947" s="184"/>
      <c r="F947" s="184"/>
      <c r="G947" s="184"/>
      <c r="H947" s="184" t="s">
        <v>654</v>
      </c>
      <c r="I947" s="184" t="s">
        <v>469</v>
      </c>
      <c r="J947" s="184" t="s">
        <v>471</v>
      </c>
      <c r="K947" s="185">
        <v>200</v>
      </c>
      <c r="L947" s="186">
        <v>815.22500000000002</v>
      </c>
      <c r="M947" s="187">
        <v>812</v>
      </c>
      <c r="N947" s="188">
        <f t="shared" si="695"/>
        <v>20</v>
      </c>
      <c r="O947" s="188">
        <f t="shared" si="696"/>
        <v>20</v>
      </c>
      <c r="P947" s="189">
        <f t="shared" si="674"/>
        <v>325445</v>
      </c>
      <c r="Q947" s="189">
        <f t="shared" si="675"/>
        <v>-645.00000000000455</v>
      </c>
      <c r="R947" s="189">
        <v>80</v>
      </c>
      <c r="S947" s="189">
        <f t="shared" si="697"/>
        <v>16.010000000000002</v>
      </c>
      <c r="T947" s="189">
        <f t="shared" si="698"/>
        <v>41</v>
      </c>
      <c r="U947" s="189">
        <f t="shared" si="700"/>
        <v>5</v>
      </c>
      <c r="V947" s="189">
        <f>ROUND(P947*L$1809,2)</f>
        <v>8.9499999999999993</v>
      </c>
      <c r="W947" s="189">
        <f t="shared" si="707"/>
        <v>0</v>
      </c>
      <c r="X947" s="189">
        <f t="shared" si="681"/>
        <v>150.95999999999998</v>
      </c>
      <c r="Y947" s="190">
        <f t="shared" si="682"/>
        <v>-795.96</v>
      </c>
      <c r="Z947" s="191">
        <v>-551.41</v>
      </c>
      <c r="AA947" s="192">
        <f>Z947-Y948-Y947</f>
        <v>-0.63999999999987267</v>
      </c>
      <c r="AB947" s="193">
        <f t="shared" si="684"/>
        <v>-3.9559630776779698E-3</v>
      </c>
      <c r="AC947" s="194">
        <f t="shared" si="685"/>
        <v>4.64E-4</v>
      </c>
      <c r="AD947" s="189" t="s">
        <v>669</v>
      </c>
      <c r="AE947" s="195" t="s">
        <v>403</v>
      </c>
      <c r="AF947" s="119"/>
    </row>
    <row r="948" spans="1:32" ht="12" hidden="1" customHeight="1">
      <c r="A948" s="183">
        <v>44293</v>
      </c>
      <c r="B948" s="184" t="s">
        <v>565</v>
      </c>
      <c r="C948" s="184"/>
      <c r="D948" s="184"/>
      <c r="E948" s="184"/>
      <c r="F948" s="184"/>
      <c r="G948" s="184"/>
      <c r="H948" s="184" t="s">
        <v>654</v>
      </c>
      <c r="I948" s="184" t="s">
        <v>469</v>
      </c>
      <c r="J948" s="184" t="s">
        <v>471</v>
      </c>
      <c r="K948" s="185">
        <v>300</v>
      </c>
      <c r="L948" s="186">
        <v>1604.53332</v>
      </c>
      <c r="M948" s="187">
        <v>1606.4</v>
      </c>
      <c r="N948" s="188">
        <f t="shared" si="695"/>
        <v>20</v>
      </c>
      <c r="O948" s="188">
        <f t="shared" si="696"/>
        <v>20</v>
      </c>
      <c r="P948" s="189">
        <f t="shared" si="674"/>
        <v>963280</v>
      </c>
      <c r="Q948" s="189">
        <f t="shared" si="675"/>
        <v>560.00400000002628</v>
      </c>
      <c r="R948" s="189">
        <v>120</v>
      </c>
      <c r="S948" s="189">
        <f t="shared" si="697"/>
        <v>27.58</v>
      </c>
      <c r="T948" s="189">
        <f t="shared" si="698"/>
        <v>120</v>
      </c>
      <c r="U948" s="189">
        <f t="shared" si="700"/>
        <v>14</v>
      </c>
      <c r="V948" s="189">
        <f t="shared" ref="V948:V957" si="726">ROUND(P948*M$1809,2)</f>
        <v>33.229999999999997</v>
      </c>
      <c r="W948" s="189">
        <f t="shared" si="707"/>
        <v>0</v>
      </c>
      <c r="X948" s="189">
        <f t="shared" si="681"/>
        <v>314.81</v>
      </c>
      <c r="Y948" s="190">
        <f t="shared" si="682"/>
        <v>245.19</v>
      </c>
      <c r="Z948" s="191"/>
      <c r="AA948" s="192"/>
      <c r="AB948" s="193">
        <f t="shared" si="684"/>
        <v>1.1633787698469781E-3</v>
      </c>
      <c r="AC948" s="194">
        <f t="shared" si="685"/>
        <v>3.2699999999999998E-4</v>
      </c>
      <c r="AD948" s="189" t="s">
        <v>669</v>
      </c>
      <c r="AE948" s="195" t="s">
        <v>403</v>
      </c>
      <c r="AF948" s="119"/>
    </row>
    <row r="949" spans="1:32" ht="12" hidden="1" customHeight="1">
      <c r="A949" s="183">
        <v>44294</v>
      </c>
      <c r="B949" s="184" t="s">
        <v>680</v>
      </c>
      <c r="C949" s="184"/>
      <c r="D949" s="184"/>
      <c r="E949" s="184"/>
      <c r="F949" s="184"/>
      <c r="G949" s="184"/>
      <c r="H949" s="184" t="s">
        <v>654</v>
      </c>
      <c r="I949" s="184" t="s">
        <v>469</v>
      </c>
      <c r="J949" s="184" t="s">
        <v>471</v>
      </c>
      <c r="K949" s="185">
        <v>200</v>
      </c>
      <c r="L949" s="186">
        <v>1454.5</v>
      </c>
      <c r="M949" s="187">
        <v>1440</v>
      </c>
      <c r="N949" s="188">
        <f t="shared" si="695"/>
        <v>20</v>
      </c>
      <c r="O949" s="188">
        <f t="shared" si="696"/>
        <v>20</v>
      </c>
      <c r="P949" s="189">
        <f t="shared" si="674"/>
        <v>578900</v>
      </c>
      <c r="Q949" s="189">
        <f t="shared" si="675"/>
        <v>-2900</v>
      </c>
      <c r="R949" s="189">
        <v>60</v>
      </c>
      <c r="S949" s="189">
        <f t="shared" si="697"/>
        <v>14.39</v>
      </c>
      <c r="T949" s="189">
        <f t="shared" si="698"/>
        <v>72</v>
      </c>
      <c r="U949" s="189">
        <f t="shared" si="700"/>
        <v>9</v>
      </c>
      <c r="V949" s="189">
        <f t="shared" si="726"/>
        <v>19.97</v>
      </c>
      <c r="W949" s="189">
        <f t="shared" si="707"/>
        <v>0</v>
      </c>
      <c r="X949" s="189">
        <f t="shared" si="681"/>
        <v>175.35999999999999</v>
      </c>
      <c r="Y949" s="190">
        <f t="shared" si="682"/>
        <v>-3075.36</v>
      </c>
      <c r="Z949" s="191">
        <v>-1652.9</v>
      </c>
      <c r="AA949" s="192">
        <f>Z949-Y950-Y949</f>
        <v>-0.54999999999972715</v>
      </c>
      <c r="AB949" s="193">
        <f t="shared" si="684"/>
        <v>-9.9690615331729116E-3</v>
      </c>
      <c r="AC949" s="194">
        <f t="shared" si="685"/>
        <v>3.0299999999999999E-4</v>
      </c>
      <c r="AD949" s="189" t="s">
        <v>669</v>
      </c>
      <c r="AE949" s="195" t="s">
        <v>403</v>
      </c>
      <c r="AF949" s="119"/>
    </row>
    <row r="950" spans="1:32" ht="12" hidden="1" customHeight="1">
      <c r="A950" s="183">
        <v>44294</v>
      </c>
      <c r="B950" s="184" t="s">
        <v>659</v>
      </c>
      <c r="C950" s="184"/>
      <c r="D950" s="184"/>
      <c r="E950" s="184"/>
      <c r="F950" s="184"/>
      <c r="G950" s="184"/>
      <c r="H950" s="184" t="s">
        <v>654</v>
      </c>
      <c r="I950" s="184" t="s">
        <v>469</v>
      </c>
      <c r="J950" s="184" t="s">
        <v>471</v>
      </c>
      <c r="K950" s="185">
        <v>400</v>
      </c>
      <c r="L950" s="186">
        <v>621.75</v>
      </c>
      <c r="M950" s="187">
        <v>625.97500000000002</v>
      </c>
      <c r="N950" s="188">
        <f t="shared" si="695"/>
        <v>20</v>
      </c>
      <c r="O950" s="188">
        <f t="shared" si="696"/>
        <v>20</v>
      </c>
      <c r="P950" s="189">
        <f t="shared" si="674"/>
        <v>499090</v>
      </c>
      <c r="Q950" s="189">
        <f t="shared" si="675"/>
        <v>1690.0000000000091</v>
      </c>
      <c r="R950" s="189">
        <v>149.72</v>
      </c>
      <c r="S950" s="189">
        <f t="shared" si="697"/>
        <v>30.05</v>
      </c>
      <c r="T950" s="189">
        <f t="shared" si="698"/>
        <v>63</v>
      </c>
      <c r="U950" s="189">
        <f t="shared" si="700"/>
        <v>7</v>
      </c>
      <c r="V950" s="189">
        <f t="shared" si="726"/>
        <v>17.22</v>
      </c>
      <c r="W950" s="189">
        <f t="shared" si="707"/>
        <v>0</v>
      </c>
      <c r="X950" s="189">
        <f t="shared" si="681"/>
        <v>266.99</v>
      </c>
      <c r="Y950" s="190">
        <f t="shared" si="682"/>
        <v>1423.01</v>
      </c>
      <c r="Z950" s="191"/>
      <c r="AA950" s="192"/>
      <c r="AB950" s="193">
        <f t="shared" si="684"/>
        <v>6.795335745878605E-3</v>
      </c>
      <c r="AC950" s="194">
        <f t="shared" si="685"/>
        <v>5.3499999999999999E-4</v>
      </c>
      <c r="AD950" s="189" t="s">
        <v>669</v>
      </c>
      <c r="AE950" s="195" t="s">
        <v>403</v>
      </c>
      <c r="AF950" s="119"/>
    </row>
    <row r="951" spans="1:32" ht="12" hidden="1" customHeight="1">
      <c r="A951" s="183">
        <v>44295</v>
      </c>
      <c r="B951" s="184" t="s">
        <v>659</v>
      </c>
      <c r="C951" s="184"/>
      <c r="D951" s="184"/>
      <c r="E951" s="184"/>
      <c r="F951" s="184"/>
      <c r="G951" s="184"/>
      <c r="H951" s="184" t="s">
        <v>654</v>
      </c>
      <c r="I951" s="184" t="s">
        <v>469</v>
      </c>
      <c r="J951" s="184" t="s">
        <v>471</v>
      </c>
      <c r="K951" s="185">
        <v>600</v>
      </c>
      <c r="L951" s="186">
        <v>606.16669999999999</v>
      </c>
      <c r="M951" s="187">
        <v>607.68820000000005</v>
      </c>
      <c r="N951" s="188">
        <f t="shared" si="695"/>
        <v>20</v>
      </c>
      <c r="O951" s="188">
        <f t="shared" si="696"/>
        <v>20</v>
      </c>
      <c r="P951" s="189">
        <f t="shared" si="674"/>
        <v>728312.94</v>
      </c>
      <c r="Q951" s="189">
        <f t="shared" si="675"/>
        <v>912.90000000003602</v>
      </c>
      <c r="R951" s="189">
        <v>202.32</v>
      </c>
      <c r="S951" s="189">
        <f t="shared" si="697"/>
        <v>40.94</v>
      </c>
      <c r="T951" s="189">
        <f t="shared" si="698"/>
        <v>91</v>
      </c>
      <c r="U951" s="189">
        <f t="shared" si="700"/>
        <v>11</v>
      </c>
      <c r="V951" s="189">
        <f t="shared" si="726"/>
        <v>25.13</v>
      </c>
      <c r="W951" s="189">
        <f t="shared" si="707"/>
        <v>0</v>
      </c>
      <c r="X951" s="189">
        <f t="shared" si="681"/>
        <v>370.39</v>
      </c>
      <c r="Y951" s="190">
        <f t="shared" si="682"/>
        <v>542.51</v>
      </c>
      <c r="Z951" s="191">
        <v>542.16</v>
      </c>
      <c r="AA951" s="192">
        <f>Z951-Y951</f>
        <v>-0.35000000000002274</v>
      </c>
      <c r="AB951" s="193">
        <f t="shared" si="684"/>
        <v>2.5100356057171404E-3</v>
      </c>
      <c r="AC951" s="194">
        <f t="shared" si="685"/>
        <v>5.0900000000000001E-4</v>
      </c>
      <c r="AD951" s="189"/>
      <c r="AE951" s="195" t="s">
        <v>403</v>
      </c>
      <c r="AF951" s="119"/>
    </row>
    <row r="952" spans="1:32" ht="12" hidden="1" customHeight="1">
      <c r="A952" s="183">
        <v>44298</v>
      </c>
      <c r="B952" s="184" t="s">
        <v>681</v>
      </c>
      <c r="C952" s="184"/>
      <c r="D952" s="184"/>
      <c r="E952" s="184"/>
      <c r="F952" s="184"/>
      <c r="G952" s="184"/>
      <c r="H952" s="184" t="s">
        <v>654</v>
      </c>
      <c r="I952" s="184" t="s">
        <v>469</v>
      </c>
      <c r="J952" s="184" t="s">
        <v>471</v>
      </c>
      <c r="K952" s="185">
        <v>400</v>
      </c>
      <c r="L952" s="186">
        <v>514.70000000000005</v>
      </c>
      <c r="M952" s="187">
        <v>508.25</v>
      </c>
      <c r="N952" s="188">
        <f t="shared" si="695"/>
        <v>20</v>
      </c>
      <c r="O952" s="188">
        <f t="shared" si="696"/>
        <v>20</v>
      </c>
      <c r="P952" s="189">
        <f t="shared" si="674"/>
        <v>409180</v>
      </c>
      <c r="Q952" s="189">
        <f t="shared" si="675"/>
        <v>-2580.0000000000182</v>
      </c>
      <c r="R952" s="189">
        <v>112.4</v>
      </c>
      <c r="S952" s="189">
        <f t="shared" si="697"/>
        <v>22.77</v>
      </c>
      <c r="T952" s="189">
        <f t="shared" si="698"/>
        <v>51</v>
      </c>
      <c r="U952" s="189">
        <f t="shared" si="700"/>
        <v>6</v>
      </c>
      <c r="V952" s="189">
        <f t="shared" si="726"/>
        <v>14.12</v>
      </c>
      <c r="W952" s="189">
        <f t="shared" si="707"/>
        <v>0</v>
      </c>
      <c r="X952" s="189">
        <f t="shared" si="681"/>
        <v>206.29000000000002</v>
      </c>
      <c r="Y952" s="190">
        <f t="shared" si="682"/>
        <v>-2786.29</v>
      </c>
      <c r="Z952" s="191">
        <v>-5239.67</v>
      </c>
      <c r="AA952" s="192">
        <f>Z952-Y952-Y953-Y954</f>
        <v>-1.0400000000002372</v>
      </c>
      <c r="AB952" s="193">
        <f t="shared" si="684"/>
        <v>-1.2531571789391967E-2</v>
      </c>
      <c r="AC952" s="194">
        <f t="shared" si="685"/>
        <v>5.04E-4</v>
      </c>
      <c r="AD952" s="189"/>
      <c r="AE952" s="195" t="s">
        <v>403</v>
      </c>
      <c r="AF952" s="119"/>
    </row>
    <row r="953" spans="1:32" ht="12" hidden="1" customHeight="1">
      <c r="A953" s="183">
        <v>44298</v>
      </c>
      <c r="B953" s="184" t="s">
        <v>682</v>
      </c>
      <c r="C953" s="184"/>
      <c r="D953" s="184"/>
      <c r="E953" s="184"/>
      <c r="F953" s="184"/>
      <c r="G953" s="184"/>
      <c r="H953" s="184" t="s">
        <v>654</v>
      </c>
      <c r="I953" s="184" t="s">
        <v>469</v>
      </c>
      <c r="J953" s="184" t="s">
        <v>471</v>
      </c>
      <c r="K953" s="185">
        <v>150</v>
      </c>
      <c r="L953" s="186">
        <v>2612.7613000000001</v>
      </c>
      <c r="M953" s="187">
        <v>2599.0416500000001</v>
      </c>
      <c r="N953" s="188">
        <f t="shared" si="695"/>
        <v>20</v>
      </c>
      <c r="O953" s="188">
        <f t="shared" si="696"/>
        <v>20</v>
      </c>
      <c r="P953" s="189">
        <f t="shared" si="674"/>
        <v>781770.44</v>
      </c>
      <c r="Q953" s="189">
        <f t="shared" si="675"/>
        <v>-2057.9475000000002</v>
      </c>
      <c r="R953" s="189">
        <v>196.70999999999998</v>
      </c>
      <c r="S953" s="189">
        <f t="shared" si="697"/>
        <v>40.26</v>
      </c>
      <c r="T953" s="189">
        <f t="shared" si="698"/>
        <v>97</v>
      </c>
      <c r="U953" s="189">
        <f t="shared" si="700"/>
        <v>12</v>
      </c>
      <c r="V953" s="189">
        <f t="shared" si="726"/>
        <v>26.97</v>
      </c>
      <c r="W953" s="189">
        <f t="shared" si="707"/>
        <v>0</v>
      </c>
      <c r="X953" s="189">
        <f t="shared" si="681"/>
        <v>372.93999999999994</v>
      </c>
      <c r="Y953" s="190">
        <f t="shared" si="682"/>
        <v>-2430.89</v>
      </c>
      <c r="Z953" s="191"/>
      <c r="AA953" s="192"/>
      <c r="AB953" s="193">
        <f t="shared" si="684"/>
        <v>-5.2510154678117749E-3</v>
      </c>
      <c r="AC953" s="194">
        <f t="shared" si="685"/>
        <v>4.7699999999999999E-4</v>
      </c>
      <c r="AD953" s="189"/>
      <c r="AE953" s="195" t="s">
        <v>403</v>
      </c>
      <c r="AF953" s="119"/>
    </row>
    <row r="954" spans="1:32" ht="12" hidden="1" customHeight="1">
      <c r="A954" s="183">
        <v>44298</v>
      </c>
      <c r="B954" s="184" t="s">
        <v>459</v>
      </c>
      <c r="C954" s="184"/>
      <c r="D954" s="184"/>
      <c r="E954" s="184"/>
      <c r="F954" s="184"/>
      <c r="G954" s="184"/>
      <c r="H954" s="184" t="s">
        <v>654</v>
      </c>
      <c r="I954" s="184" t="s">
        <v>469</v>
      </c>
      <c r="J954" s="184" t="s">
        <v>471</v>
      </c>
      <c r="K954" s="185">
        <v>200</v>
      </c>
      <c r="L954" s="186">
        <v>923.5</v>
      </c>
      <c r="M954" s="187">
        <v>924.2</v>
      </c>
      <c r="N954" s="188">
        <f t="shared" si="695"/>
        <v>20</v>
      </c>
      <c r="O954" s="188">
        <f t="shared" si="696"/>
        <v>20</v>
      </c>
      <c r="P954" s="189">
        <f t="shared" si="674"/>
        <v>369540</v>
      </c>
      <c r="Q954" s="189">
        <f t="shared" si="675"/>
        <v>140.00000000000909</v>
      </c>
      <c r="R954" s="189">
        <v>80</v>
      </c>
      <c r="S954" s="189">
        <f t="shared" si="697"/>
        <v>16.7</v>
      </c>
      <c r="T954" s="189">
        <f t="shared" si="698"/>
        <v>46</v>
      </c>
      <c r="U954" s="189">
        <f t="shared" si="700"/>
        <v>6</v>
      </c>
      <c r="V954" s="189">
        <f t="shared" si="726"/>
        <v>12.75</v>
      </c>
      <c r="W954" s="189">
        <f t="shared" si="707"/>
        <v>0</v>
      </c>
      <c r="X954" s="189">
        <f t="shared" si="681"/>
        <v>161.44999999999999</v>
      </c>
      <c r="Y954" s="190">
        <f t="shared" si="682"/>
        <v>-21.45</v>
      </c>
      <c r="Z954" s="191"/>
      <c r="AA954" s="192"/>
      <c r="AB954" s="193">
        <f t="shared" si="684"/>
        <v>7.5798592311861993E-4</v>
      </c>
      <c r="AC954" s="194">
        <f t="shared" si="685"/>
        <v>4.37E-4</v>
      </c>
      <c r="AD954" s="189"/>
      <c r="AE954" s="195" t="s">
        <v>403</v>
      </c>
      <c r="AF954" s="119"/>
    </row>
    <row r="955" spans="1:32" ht="12" hidden="1" customHeight="1">
      <c r="A955" s="183">
        <v>44299</v>
      </c>
      <c r="B955" s="184" t="s">
        <v>683</v>
      </c>
      <c r="C955" s="184"/>
      <c r="D955" s="184"/>
      <c r="E955" s="184"/>
      <c r="F955" s="184"/>
      <c r="G955" s="184"/>
      <c r="H955" s="184" t="s">
        <v>654</v>
      </c>
      <c r="I955" s="184" t="s">
        <v>469</v>
      </c>
      <c r="J955" s="184" t="s">
        <v>471</v>
      </c>
      <c r="K955" s="185">
        <v>40</v>
      </c>
      <c r="L955" s="186">
        <v>291.7</v>
      </c>
      <c r="M955" s="187">
        <v>289</v>
      </c>
      <c r="N955" s="188">
        <f t="shared" si="695"/>
        <v>3.5</v>
      </c>
      <c r="O955" s="188">
        <f t="shared" si="696"/>
        <v>3.47</v>
      </c>
      <c r="P955" s="189">
        <f t="shared" si="674"/>
        <v>23228</v>
      </c>
      <c r="Q955" s="189">
        <f t="shared" si="675"/>
        <v>-107.99999999999955</v>
      </c>
      <c r="R955" s="189">
        <f t="shared" ref="R955:R985" si="727">ROUND(N955+O955,2)</f>
        <v>6.97</v>
      </c>
      <c r="S955" s="189">
        <f t="shared" si="697"/>
        <v>1.4</v>
      </c>
      <c r="T955" s="189">
        <f t="shared" si="698"/>
        <v>3</v>
      </c>
      <c r="U955" s="189">
        <f t="shared" si="700"/>
        <v>0</v>
      </c>
      <c r="V955" s="189">
        <f t="shared" si="726"/>
        <v>0.8</v>
      </c>
      <c r="W955" s="189">
        <f t="shared" si="707"/>
        <v>0</v>
      </c>
      <c r="X955" s="189">
        <f t="shared" si="681"/>
        <v>12.17</v>
      </c>
      <c r="Y955" s="190">
        <f t="shared" si="682"/>
        <v>-120.17</v>
      </c>
      <c r="Z955" s="191">
        <v>76.319999999999993</v>
      </c>
      <c r="AA955" s="192">
        <f>Z955-Y955-Y956-Y957</f>
        <v>0.56000000000001648</v>
      </c>
      <c r="AB955" s="193">
        <f t="shared" si="684"/>
        <v>-9.2560850188549496E-3</v>
      </c>
      <c r="AC955" s="194">
        <f t="shared" si="685"/>
        <v>5.2400000000000005E-4</v>
      </c>
      <c r="AD955" s="189"/>
      <c r="AE955" s="195" t="s">
        <v>403</v>
      </c>
      <c r="AF955" s="119"/>
    </row>
    <row r="956" spans="1:32" ht="12" hidden="1" customHeight="1">
      <c r="A956" s="183">
        <v>44299</v>
      </c>
      <c r="B956" s="184" t="s">
        <v>676</v>
      </c>
      <c r="C956" s="184"/>
      <c r="D956" s="184"/>
      <c r="E956" s="184"/>
      <c r="F956" s="184"/>
      <c r="G956" s="184"/>
      <c r="H956" s="184" t="s">
        <v>654</v>
      </c>
      <c r="I956" s="184" t="s">
        <v>469</v>
      </c>
      <c r="J956" s="184" t="s">
        <v>471</v>
      </c>
      <c r="K956" s="185">
        <v>100</v>
      </c>
      <c r="L956" s="186">
        <v>113.4</v>
      </c>
      <c r="M956" s="187">
        <v>115.05</v>
      </c>
      <c r="N956" s="188">
        <f t="shared" si="695"/>
        <v>3.4</v>
      </c>
      <c r="O956" s="188">
        <f t="shared" si="696"/>
        <v>3.45</v>
      </c>
      <c r="P956" s="189">
        <f t="shared" si="674"/>
        <v>22845</v>
      </c>
      <c r="Q956" s="189">
        <f t="shared" si="675"/>
        <v>164.99999999999915</v>
      </c>
      <c r="R956" s="189">
        <f t="shared" si="727"/>
        <v>6.85</v>
      </c>
      <c r="S956" s="189">
        <f t="shared" si="697"/>
        <v>1.38</v>
      </c>
      <c r="T956" s="189">
        <f t="shared" si="698"/>
        <v>3</v>
      </c>
      <c r="U956" s="189">
        <f t="shared" si="700"/>
        <v>0</v>
      </c>
      <c r="V956" s="189">
        <f t="shared" si="726"/>
        <v>0.79</v>
      </c>
      <c r="W956" s="189">
        <f t="shared" si="707"/>
        <v>0</v>
      </c>
      <c r="X956" s="189">
        <f t="shared" si="681"/>
        <v>12.02</v>
      </c>
      <c r="Y956" s="190">
        <f t="shared" si="682"/>
        <v>152.97999999999999</v>
      </c>
      <c r="Z956" s="191"/>
      <c r="AA956" s="192"/>
      <c r="AB956" s="193">
        <f t="shared" si="684"/>
        <v>1.4550264550264475E-2</v>
      </c>
      <c r="AC956" s="194">
        <f t="shared" si="685"/>
        <v>5.2599999999999999E-4</v>
      </c>
      <c r="AD956" s="189"/>
      <c r="AE956" s="195" t="s">
        <v>403</v>
      </c>
      <c r="AF956" s="119"/>
    </row>
    <row r="957" spans="1:32" ht="12" hidden="1" customHeight="1">
      <c r="A957" s="183">
        <v>44299</v>
      </c>
      <c r="B957" s="184" t="s">
        <v>485</v>
      </c>
      <c r="C957" s="184"/>
      <c r="D957" s="184"/>
      <c r="E957" s="184"/>
      <c r="F957" s="184"/>
      <c r="G957" s="184"/>
      <c r="H957" s="184" t="s">
        <v>654</v>
      </c>
      <c r="I957" s="184" t="s">
        <v>469</v>
      </c>
      <c r="J957" s="184" t="s">
        <v>471</v>
      </c>
      <c r="K957" s="185">
        <v>25</v>
      </c>
      <c r="L957" s="186">
        <v>255</v>
      </c>
      <c r="M957" s="187">
        <v>257</v>
      </c>
      <c r="N957" s="188">
        <f t="shared" si="695"/>
        <v>1.91</v>
      </c>
      <c r="O957" s="188">
        <f t="shared" si="696"/>
        <v>1.93</v>
      </c>
      <c r="P957" s="189">
        <f t="shared" si="674"/>
        <v>12800</v>
      </c>
      <c r="Q957" s="189">
        <f t="shared" si="675"/>
        <v>50</v>
      </c>
      <c r="R957" s="189">
        <f t="shared" si="727"/>
        <v>3.84</v>
      </c>
      <c r="S957" s="189">
        <f t="shared" si="697"/>
        <v>0.77</v>
      </c>
      <c r="T957" s="189">
        <f t="shared" si="698"/>
        <v>2</v>
      </c>
      <c r="U957" s="189">
        <f t="shared" si="700"/>
        <v>0</v>
      </c>
      <c r="V957" s="189">
        <f t="shared" si="726"/>
        <v>0.44</v>
      </c>
      <c r="W957" s="189">
        <f t="shared" si="707"/>
        <v>0</v>
      </c>
      <c r="X957" s="189">
        <f t="shared" si="681"/>
        <v>7.05</v>
      </c>
      <c r="Y957" s="190">
        <f t="shared" si="682"/>
        <v>42.95</v>
      </c>
      <c r="Z957" s="191"/>
      <c r="AA957" s="192"/>
      <c r="AB957" s="193">
        <f t="shared" si="684"/>
        <v>7.8431372549019607E-3</v>
      </c>
      <c r="AC957" s="194">
        <f t="shared" si="685"/>
        <v>5.5099999999999995E-4</v>
      </c>
      <c r="AD957" s="189"/>
      <c r="AE957" s="195" t="s">
        <v>403</v>
      </c>
      <c r="AF957" s="119"/>
    </row>
    <row r="958" spans="1:32" ht="12" hidden="1" customHeight="1">
      <c r="A958" s="183">
        <v>44301</v>
      </c>
      <c r="B958" s="184" t="s">
        <v>684</v>
      </c>
      <c r="C958" s="184"/>
      <c r="D958" s="184"/>
      <c r="E958" s="184"/>
      <c r="F958" s="184"/>
      <c r="G958" s="184"/>
      <c r="H958" s="184" t="s">
        <v>654</v>
      </c>
      <c r="I958" s="184" t="s">
        <v>469</v>
      </c>
      <c r="J958" s="184" t="s">
        <v>471</v>
      </c>
      <c r="K958" s="185">
        <v>10</v>
      </c>
      <c r="L958" s="186">
        <v>2136</v>
      </c>
      <c r="M958" s="187">
        <v>2142</v>
      </c>
      <c r="N958" s="188">
        <f t="shared" si="695"/>
        <v>6.41</v>
      </c>
      <c r="O958" s="188">
        <f t="shared" si="696"/>
        <v>6.43</v>
      </c>
      <c r="P958" s="189">
        <f t="shared" si="674"/>
        <v>42780</v>
      </c>
      <c r="Q958" s="189">
        <f t="shared" si="675"/>
        <v>60</v>
      </c>
      <c r="R958" s="189">
        <f t="shared" si="727"/>
        <v>12.84</v>
      </c>
      <c r="S958" s="189">
        <f t="shared" si="697"/>
        <v>2.52</v>
      </c>
      <c r="T958" s="189">
        <f t="shared" si="698"/>
        <v>5</v>
      </c>
      <c r="U958" s="189">
        <f t="shared" si="700"/>
        <v>1</v>
      </c>
      <c r="V958" s="189">
        <f t="shared" ref="V958:V961" si="728">ROUND(P958*L$1809,2)</f>
        <v>1.18</v>
      </c>
      <c r="W958" s="189">
        <f t="shared" si="707"/>
        <v>0</v>
      </c>
      <c r="X958" s="189">
        <f t="shared" si="681"/>
        <v>22.54</v>
      </c>
      <c r="Y958" s="190">
        <f t="shared" si="682"/>
        <v>37.46</v>
      </c>
      <c r="Z958" s="191">
        <v>37.18</v>
      </c>
      <c r="AA958" s="192">
        <f t="shared" ref="AA958:AA959" si="729">Z958-Y958</f>
        <v>-0.28000000000000114</v>
      </c>
      <c r="AB958" s="193">
        <f t="shared" si="684"/>
        <v>2.8089887640449437E-3</v>
      </c>
      <c r="AC958" s="194">
        <f t="shared" si="685"/>
        <v>5.2700000000000002E-4</v>
      </c>
      <c r="AD958" s="189"/>
      <c r="AE958" s="195" t="s">
        <v>403</v>
      </c>
      <c r="AF958" s="119"/>
    </row>
    <row r="959" spans="1:32" ht="12" hidden="1" customHeight="1">
      <c r="A959" s="183">
        <v>44302</v>
      </c>
      <c r="B959" s="184" t="s">
        <v>685</v>
      </c>
      <c r="C959" s="184"/>
      <c r="D959" s="184"/>
      <c r="E959" s="184"/>
      <c r="F959" s="184"/>
      <c r="G959" s="184"/>
      <c r="H959" s="184" t="s">
        <v>654</v>
      </c>
      <c r="I959" s="184" t="s">
        <v>469</v>
      </c>
      <c r="J959" s="184" t="s">
        <v>471</v>
      </c>
      <c r="K959" s="185">
        <v>50</v>
      </c>
      <c r="L959" s="186">
        <v>221.5</v>
      </c>
      <c r="M959" s="187">
        <v>221.3</v>
      </c>
      <c r="N959" s="188">
        <f t="shared" si="695"/>
        <v>3.32</v>
      </c>
      <c r="O959" s="188">
        <f t="shared" si="696"/>
        <v>3.32</v>
      </c>
      <c r="P959" s="189">
        <f t="shared" si="674"/>
        <v>22140</v>
      </c>
      <c r="Q959" s="189">
        <f t="shared" si="675"/>
        <v>-9.9999999999994316</v>
      </c>
      <c r="R959" s="189">
        <f t="shared" si="727"/>
        <v>6.64</v>
      </c>
      <c r="S959" s="189">
        <f t="shared" si="697"/>
        <v>1.31</v>
      </c>
      <c r="T959" s="189">
        <f t="shared" si="698"/>
        <v>3</v>
      </c>
      <c r="U959" s="189">
        <f t="shared" si="700"/>
        <v>0</v>
      </c>
      <c r="V959" s="189">
        <f t="shared" si="728"/>
        <v>0.61</v>
      </c>
      <c r="W959" s="189">
        <f t="shared" si="707"/>
        <v>0</v>
      </c>
      <c r="X959" s="189">
        <f t="shared" si="681"/>
        <v>11.559999999999999</v>
      </c>
      <c r="Y959" s="190">
        <f t="shared" si="682"/>
        <v>-21.56</v>
      </c>
      <c r="Z959" s="191">
        <v>-21.35</v>
      </c>
      <c r="AA959" s="192">
        <f t="shared" si="729"/>
        <v>0.2099999999999973</v>
      </c>
      <c r="AB959" s="193">
        <f t="shared" si="684"/>
        <v>-9.0293453724599832E-4</v>
      </c>
      <c r="AC959" s="194">
        <f t="shared" si="685"/>
        <v>5.22E-4</v>
      </c>
      <c r="AD959" s="189"/>
      <c r="AE959" s="195" t="s">
        <v>403</v>
      </c>
      <c r="AF959" s="119"/>
    </row>
    <row r="960" spans="1:32" ht="12" hidden="1" customHeight="1">
      <c r="A960" s="183">
        <v>44306</v>
      </c>
      <c r="B960" s="184" t="s">
        <v>498</v>
      </c>
      <c r="C960" s="184"/>
      <c r="D960" s="184"/>
      <c r="E960" s="184"/>
      <c r="F960" s="184"/>
      <c r="G960" s="184"/>
      <c r="H960" s="184" t="s">
        <v>654</v>
      </c>
      <c r="I960" s="184" t="s">
        <v>469</v>
      </c>
      <c r="J960" s="184" t="s">
        <v>471</v>
      </c>
      <c r="K960" s="185">
        <v>575</v>
      </c>
      <c r="L960" s="186">
        <v>21.45</v>
      </c>
      <c r="M960" s="187">
        <v>21.5</v>
      </c>
      <c r="N960" s="188">
        <f t="shared" si="695"/>
        <v>3.7</v>
      </c>
      <c r="O960" s="188">
        <f t="shared" si="696"/>
        <v>3.71</v>
      </c>
      <c r="P960" s="189">
        <f t="shared" si="674"/>
        <v>24696.25</v>
      </c>
      <c r="Q960" s="189">
        <f t="shared" si="675"/>
        <v>28.750000000000409</v>
      </c>
      <c r="R960" s="189">
        <f t="shared" si="727"/>
        <v>7.41</v>
      </c>
      <c r="S960" s="189">
        <f t="shared" si="697"/>
        <v>1.46</v>
      </c>
      <c r="T960" s="189">
        <f t="shared" ref="T960:T1141" si="730">ROUND((M960*K960)*K$1807,2)</f>
        <v>3.09</v>
      </c>
      <c r="U960" s="189">
        <f t="shared" ref="U960:U1273" si="731">ROUND((L960*K960)*L$1813,2)</f>
        <v>0.37</v>
      </c>
      <c r="V960" s="189">
        <f t="shared" si="728"/>
        <v>0.68</v>
      </c>
      <c r="W960" s="189">
        <f t="shared" si="707"/>
        <v>0</v>
      </c>
      <c r="X960" s="189">
        <f t="shared" si="681"/>
        <v>13.01</v>
      </c>
      <c r="Y960" s="190">
        <f t="shared" si="682"/>
        <v>15.74</v>
      </c>
      <c r="Z960" s="191">
        <v>250.54</v>
      </c>
      <c r="AA960" s="192">
        <f>Z960-Y961-Y960</f>
        <v>-0.69000000000001727</v>
      </c>
      <c r="AB960" s="193">
        <f t="shared" si="684"/>
        <v>2.3310023310023644E-3</v>
      </c>
      <c r="AC960" s="194">
        <f t="shared" si="685"/>
        <v>5.2700000000000002E-4</v>
      </c>
      <c r="AD960" s="189"/>
      <c r="AE960" s="195" t="s">
        <v>403</v>
      </c>
      <c r="AF960" s="119"/>
    </row>
    <row r="961" spans="1:32" ht="12" hidden="1" customHeight="1">
      <c r="A961" s="183">
        <v>44306</v>
      </c>
      <c r="B961" s="184" t="s">
        <v>486</v>
      </c>
      <c r="C961" s="184"/>
      <c r="D961" s="184"/>
      <c r="E961" s="184"/>
      <c r="F961" s="184"/>
      <c r="G961" s="184"/>
      <c r="H961" s="184" t="s">
        <v>654</v>
      </c>
      <c r="I961" s="184" t="s">
        <v>469</v>
      </c>
      <c r="J961" s="184" t="s">
        <v>471</v>
      </c>
      <c r="K961" s="185">
        <v>25</v>
      </c>
      <c r="L961" s="186">
        <v>545</v>
      </c>
      <c r="M961" s="187">
        <v>555</v>
      </c>
      <c r="N961" s="188">
        <f t="shared" si="695"/>
        <v>4.09</v>
      </c>
      <c r="O961" s="188">
        <f t="shared" si="696"/>
        <v>4.16</v>
      </c>
      <c r="P961" s="189">
        <f t="shared" si="674"/>
        <v>27500</v>
      </c>
      <c r="Q961" s="189">
        <f t="shared" si="675"/>
        <v>250</v>
      </c>
      <c r="R961" s="189">
        <f t="shared" si="727"/>
        <v>8.25</v>
      </c>
      <c r="S961" s="189">
        <f t="shared" si="697"/>
        <v>1.62</v>
      </c>
      <c r="T961" s="189">
        <f t="shared" si="730"/>
        <v>3.47</v>
      </c>
      <c r="U961" s="189">
        <f t="shared" si="731"/>
        <v>0.41</v>
      </c>
      <c r="V961" s="189">
        <f t="shared" si="728"/>
        <v>0.76</v>
      </c>
      <c r="W961" s="189">
        <f t="shared" si="707"/>
        <v>0</v>
      </c>
      <c r="X961" s="189">
        <f t="shared" si="681"/>
        <v>14.510000000000002</v>
      </c>
      <c r="Y961" s="190">
        <f t="shared" si="682"/>
        <v>235.49</v>
      </c>
      <c r="Z961" s="191"/>
      <c r="AA961" s="192"/>
      <c r="AB961" s="193">
        <f t="shared" si="684"/>
        <v>1.834862385321101E-2</v>
      </c>
      <c r="AC961" s="194">
        <f t="shared" si="685"/>
        <v>5.2800000000000004E-4</v>
      </c>
      <c r="AD961" s="189"/>
      <c r="AE961" s="195" t="s">
        <v>403</v>
      </c>
      <c r="AF961" s="119"/>
    </row>
    <row r="962" spans="1:32" ht="12" hidden="1" customHeight="1">
      <c r="A962" s="183">
        <v>44308</v>
      </c>
      <c r="B962" s="184" t="s">
        <v>686</v>
      </c>
      <c r="C962" s="184"/>
      <c r="D962" s="184"/>
      <c r="E962" s="184"/>
      <c r="F962" s="184"/>
      <c r="G962" s="184"/>
      <c r="H962" s="184" t="s">
        <v>654</v>
      </c>
      <c r="I962" s="184" t="s">
        <v>469</v>
      </c>
      <c r="J962" s="184" t="s">
        <v>471</v>
      </c>
      <c r="K962" s="185">
        <v>50</v>
      </c>
      <c r="L962" s="186">
        <v>240.15</v>
      </c>
      <c r="M962" s="187">
        <v>245.25</v>
      </c>
      <c r="N962" s="188">
        <f t="shared" si="695"/>
        <v>3.6</v>
      </c>
      <c r="O962" s="188">
        <f t="shared" si="696"/>
        <v>3.68</v>
      </c>
      <c r="P962" s="189">
        <f t="shared" si="674"/>
        <v>24270</v>
      </c>
      <c r="Q962" s="189">
        <f t="shared" si="675"/>
        <v>254.99999999999972</v>
      </c>
      <c r="R962" s="189">
        <f t="shared" si="727"/>
        <v>7.28</v>
      </c>
      <c r="S962" s="189">
        <f t="shared" si="697"/>
        <v>1.46</v>
      </c>
      <c r="T962" s="189">
        <f t="shared" si="730"/>
        <v>3.07</v>
      </c>
      <c r="U962" s="189">
        <f t="shared" si="731"/>
        <v>0.36</v>
      </c>
      <c r="V962" s="189">
        <f t="shared" ref="V962:V963" si="732">ROUND(P962*M$1809,2)</f>
        <v>0.84</v>
      </c>
      <c r="W962" s="189">
        <f t="shared" si="707"/>
        <v>0</v>
      </c>
      <c r="X962" s="189">
        <f t="shared" si="681"/>
        <v>13.01</v>
      </c>
      <c r="Y962" s="190">
        <f t="shared" si="682"/>
        <v>241.99</v>
      </c>
      <c r="Z962" s="191">
        <v>242.51</v>
      </c>
      <c r="AA962" s="192">
        <f>Z962-Y962</f>
        <v>0.51999999999998181</v>
      </c>
      <c r="AB962" s="193">
        <f t="shared" si="684"/>
        <v>2.1236727045596478E-2</v>
      </c>
      <c r="AC962" s="194">
        <f t="shared" si="685"/>
        <v>5.3600000000000002E-4</v>
      </c>
      <c r="AD962" s="189"/>
      <c r="AE962" s="195" t="s">
        <v>403</v>
      </c>
      <c r="AF962" s="119"/>
    </row>
    <row r="963" spans="1:32" ht="12" hidden="1" customHeight="1">
      <c r="A963" s="183">
        <v>44309</v>
      </c>
      <c r="B963" s="184" t="s">
        <v>687</v>
      </c>
      <c r="C963" s="184"/>
      <c r="D963" s="184"/>
      <c r="E963" s="184"/>
      <c r="F963" s="184"/>
      <c r="G963" s="184"/>
      <c r="H963" s="184" t="s">
        <v>654</v>
      </c>
      <c r="I963" s="184" t="s">
        <v>469</v>
      </c>
      <c r="J963" s="184" t="s">
        <v>471</v>
      </c>
      <c r="K963" s="185">
        <v>20</v>
      </c>
      <c r="L963" s="186">
        <v>1693.25</v>
      </c>
      <c r="M963" s="187">
        <v>1686.4</v>
      </c>
      <c r="N963" s="188">
        <f t="shared" si="695"/>
        <v>10.16</v>
      </c>
      <c r="O963" s="188">
        <f t="shared" si="696"/>
        <v>10.119999999999999</v>
      </c>
      <c r="P963" s="189">
        <f t="shared" si="674"/>
        <v>67593</v>
      </c>
      <c r="Q963" s="189">
        <f t="shared" si="675"/>
        <v>-136.99999999999818</v>
      </c>
      <c r="R963" s="189">
        <f t="shared" si="727"/>
        <v>20.28</v>
      </c>
      <c r="S963" s="189">
        <f t="shared" si="697"/>
        <v>4.07</v>
      </c>
      <c r="T963" s="189">
        <f t="shared" si="730"/>
        <v>8.43</v>
      </c>
      <c r="U963" s="189">
        <f t="shared" si="731"/>
        <v>1.02</v>
      </c>
      <c r="V963" s="189">
        <f t="shared" si="732"/>
        <v>2.33</v>
      </c>
      <c r="W963" s="189">
        <f t="shared" si="707"/>
        <v>0</v>
      </c>
      <c r="X963" s="189">
        <f t="shared" si="681"/>
        <v>36.130000000000003</v>
      </c>
      <c r="Y963" s="190">
        <f t="shared" si="682"/>
        <v>-173.13</v>
      </c>
      <c r="Z963" s="191">
        <v>44.16</v>
      </c>
      <c r="AA963" s="192">
        <f>Z963-Y964-Y963</f>
        <v>0.19999999999998863</v>
      </c>
      <c r="AB963" s="193">
        <f t="shared" si="684"/>
        <v>-4.0454746788719381E-3</v>
      </c>
      <c r="AC963" s="194">
        <f t="shared" si="685"/>
        <v>5.3499999999999999E-4</v>
      </c>
      <c r="AD963" s="189"/>
      <c r="AE963" s="195" t="s">
        <v>403</v>
      </c>
      <c r="AF963" s="119"/>
    </row>
    <row r="964" spans="1:32" ht="12" hidden="1" customHeight="1">
      <c r="A964" s="183">
        <v>44309</v>
      </c>
      <c r="B964" s="184" t="s">
        <v>498</v>
      </c>
      <c r="C964" s="184"/>
      <c r="D964" s="184"/>
      <c r="E964" s="184"/>
      <c r="F964" s="184"/>
      <c r="G964" s="184"/>
      <c r="H964" s="184" t="s">
        <v>654</v>
      </c>
      <c r="I964" s="184" t="s">
        <v>469</v>
      </c>
      <c r="J964" s="184" t="s">
        <v>471</v>
      </c>
      <c r="K964" s="185">
        <v>575</v>
      </c>
      <c r="L964" s="186">
        <v>21.1</v>
      </c>
      <c r="M964" s="187">
        <v>21.5</v>
      </c>
      <c r="N964" s="188">
        <f t="shared" si="695"/>
        <v>3.64</v>
      </c>
      <c r="O964" s="188">
        <f t="shared" si="696"/>
        <v>3.71</v>
      </c>
      <c r="P964" s="189">
        <f t="shared" si="674"/>
        <v>24495</v>
      </c>
      <c r="Q964" s="189">
        <f t="shared" si="675"/>
        <v>229.99999999999918</v>
      </c>
      <c r="R964" s="189">
        <f t="shared" si="727"/>
        <v>7.35</v>
      </c>
      <c r="S964" s="189">
        <f t="shared" si="697"/>
        <v>1.44</v>
      </c>
      <c r="T964" s="189">
        <f t="shared" si="730"/>
        <v>3.09</v>
      </c>
      <c r="U964" s="189">
        <f t="shared" si="731"/>
        <v>0.36</v>
      </c>
      <c r="V964" s="189">
        <f>ROUND(P964*L$1809,2)</f>
        <v>0.67</v>
      </c>
      <c r="W964" s="189">
        <f t="shared" si="707"/>
        <v>0</v>
      </c>
      <c r="X964" s="189">
        <f t="shared" si="681"/>
        <v>12.909999999999998</v>
      </c>
      <c r="Y964" s="190">
        <f t="shared" si="682"/>
        <v>217.09</v>
      </c>
      <c r="Z964" s="191"/>
      <c r="AA964" s="192"/>
      <c r="AB964" s="193">
        <f t="shared" si="684"/>
        <v>1.8957345971563913E-2</v>
      </c>
      <c r="AC964" s="194">
        <f t="shared" si="685"/>
        <v>5.2700000000000002E-4</v>
      </c>
      <c r="AD964" s="189"/>
      <c r="AE964" s="195" t="s">
        <v>403</v>
      </c>
      <c r="AF964" s="119"/>
    </row>
    <row r="965" spans="1:32" ht="12" hidden="1" customHeight="1">
      <c r="A965" s="183">
        <v>44312</v>
      </c>
      <c r="B965" s="184" t="s">
        <v>484</v>
      </c>
      <c r="C965" s="184"/>
      <c r="D965" s="184"/>
      <c r="E965" s="184"/>
      <c r="F965" s="184"/>
      <c r="G965" s="184"/>
      <c r="H965" s="184" t="s">
        <v>654</v>
      </c>
      <c r="I965" s="184" t="s">
        <v>469</v>
      </c>
      <c r="J965" s="184" t="s">
        <v>471</v>
      </c>
      <c r="K965" s="185">
        <v>7</v>
      </c>
      <c r="L965" s="186">
        <v>4780</v>
      </c>
      <c r="M965" s="187">
        <v>4794.2857000000004</v>
      </c>
      <c r="N965" s="188">
        <f t="shared" si="695"/>
        <v>10.039999999999999</v>
      </c>
      <c r="O965" s="188">
        <f t="shared" si="696"/>
        <v>10.07</v>
      </c>
      <c r="P965" s="189">
        <f t="shared" si="674"/>
        <v>67020</v>
      </c>
      <c r="Q965" s="189">
        <f t="shared" si="675"/>
        <v>99.999900000002526</v>
      </c>
      <c r="R965" s="189">
        <f t="shared" si="727"/>
        <v>20.11</v>
      </c>
      <c r="S965" s="189">
        <f t="shared" si="697"/>
        <v>4.04</v>
      </c>
      <c r="T965" s="189">
        <f t="shared" si="730"/>
        <v>8.39</v>
      </c>
      <c r="U965" s="189">
        <f t="shared" si="731"/>
        <v>1</v>
      </c>
      <c r="V965" s="189">
        <f t="shared" ref="V965:V969" si="733">ROUND(P965*M$1809,2)</f>
        <v>2.31</v>
      </c>
      <c r="W965" s="189">
        <f t="shared" si="707"/>
        <v>0</v>
      </c>
      <c r="X965" s="189">
        <f t="shared" si="681"/>
        <v>35.85</v>
      </c>
      <c r="Y965" s="190">
        <f t="shared" si="682"/>
        <v>64.150000000000006</v>
      </c>
      <c r="Z965" s="191">
        <v>137.41999999999999</v>
      </c>
      <c r="AA965" s="192">
        <f>Z965-Y966-Y965</f>
        <v>0.14999999999997726</v>
      </c>
      <c r="AB965" s="193">
        <f t="shared" si="684"/>
        <v>2.9886401673640921E-3</v>
      </c>
      <c r="AC965" s="194">
        <f t="shared" si="685"/>
        <v>5.3499999999999999E-4</v>
      </c>
      <c r="AD965" s="189"/>
      <c r="AE965" s="195" t="s">
        <v>403</v>
      </c>
      <c r="AF965" s="119"/>
    </row>
    <row r="966" spans="1:32" ht="12" hidden="1" customHeight="1">
      <c r="A966" s="183">
        <v>44312</v>
      </c>
      <c r="B966" s="184" t="s">
        <v>485</v>
      </c>
      <c r="C966" s="184"/>
      <c r="D966" s="184"/>
      <c r="E966" s="184"/>
      <c r="F966" s="184"/>
      <c r="G966" s="184"/>
      <c r="H966" s="184" t="s">
        <v>654</v>
      </c>
      <c r="I966" s="184" t="s">
        <v>469</v>
      </c>
      <c r="J966" s="184" t="s">
        <v>471</v>
      </c>
      <c r="K966" s="185">
        <v>25</v>
      </c>
      <c r="L966" s="186">
        <v>256.10000000000002</v>
      </c>
      <c r="M966" s="187">
        <v>259.3</v>
      </c>
      <c r="N966" s="188">
        <f t="shared" si="695"/>
        <v>1.92</v>
      </c>
      <c r="O966" s="188">
        <f t="shared" si="696"/>
        <v>1.94</v>
      </c>
      <c r="P966" s="189">
        <f t="shared" si="674"/>
        <v>12885</v>
      </c>
      <c r="Q966" s="189">
        <f t="shared" si="675"/>
        <v>79.999999999999716</v>
      </c>
      <c r="R966" s="189">
        <f t="shared" si="727"/>
        <v>3.86</v>
      </c>
      <c r="S966" s="189">
        <f t="shared" si="697"/>
        <v>0.77</v>
      </c>
      <c r="T966" s="189">
        <f t="shared" si="730"/>
        <v>1.62</v>
      </c>
      <c r="U966" s="189">
        <f t="shared" si="731"/>
        <v>0.19</v>
      </c>
      <c r="V966" s="189">
        <f t="shared" si="733"/>
        <v>0.44</v>
      </c>
      <c r="W966" s="189">
        <f t="shared" si="707"/>
        <v>0</v>
      </c>
      <c r="X966" s="189">
        <f t="shared" si="681"/>
        <v>6.8800000000000008</v>
      </c>
      <c r="Y966" s="190">
        <f t="shared" si="682"/>
        <v>73.12</v>
      </c>
      <c r="Z966" s="191"/>
      <c r="AA966" s="192"/>
      <c r="AB966" s="193">
        <f t="shared" si="684"/>
        <v>1.2495119094103821E-2</v>
      </c>
      <c r="AC966" s="194">
        <f t="shared" si="685"/>
        <v>5.3399999999999997E-4</v>
      </c>
      <c r="AD966" s="189"/>
      <c r="AE966" s="195" t="s">
        <v>403</v>
      </c>
      <c r="AF966" s="119"/>
    </row>
    <row r="967" spans="1:32" ht="12" hidden="1" customHeight="1">
      <c r="A967" s="183">
        <v>44313</v>
      </c>
      <c r="B967" s="184" t="s">
        <v>498</v>
      </c>
      <c r="C967" s="184"/>
      <c r="D967" s="184"/>
      <c r="E967" s="184"/>
      <c r="F967" s="184"/>
      <c r="G967" s="184"/>
      <c r="H967" s="184" t="s">
        <v>654</v>
      </c>
      <c r="I967" s="184" t="s">
        <v>469</v>
      </c>
      <c r="J967" s="184" t="s">
        <v>471</v>
      </c>
      <c r="K967" s="185">
        <v>575</v>
      </c>
      <c r="L967" s="186">
        <v>21.2</v>
      </c>
      <c r="M967" s="187">
        <v>21.25</v>
      </c>
      <c r="N967" s="188">
        <f t="shared" si="695"/>
        <v>3.66</v>
      </c>
      <c r="O967" s="188">
        <f t="shared" si="696"/>
        <v>3.67</v>
      </c>
      <c r="P967" s="189">
        <f t="shared" si="674"/>
        <v>24408.75</v>
      </c>
      <c r="Q967" s="189">
        <f t="shared" si="675"/>
        <v>28.750000000000409</v>
      </c>
      <c r="R967" s="189">
        <f t="shared" si="727"/>
        <v>7.33</v>
      </c>
      <c r="S967" s="189">
        <f t="shared" si="697"/>
        <v>1.47</v>
      </c>
      <c r="T967" s="189">
        <f t="shared" si="730"/>
        <v>3.05</v>
      </c>
      <c r="U967" s="189">
        <f t="shared" si="731"/>
        <v>0.37</v>
      </c>
      <c r="V967" s="189">
        <f t="shared" si="733"/>
        <v>0.84</v>
      </c>
      <c r="W967" s="189">
        <f t="shared" si="707"/>
        <v>0</v>
      </c>
      <c r="X967" s="189">
        <f t="shared" si="681"/>
        <v>13.06</v>
      </c>
      <c r="Y967" s="190">
        <f t="shared" si="682"/>
        <v>15.69</v>
      </c>
      <c r="Z967" s="191">
        <v>98.61</v>
      </c>
      <c r="AA967" s="192">
        <f>Z967-Y967-Y968-Y969</f>
        <v>-0.37999999999999545</v>
      </c>
      <c r="AB967" s="193">
        <f t="shared" si="684"/>
        <v>2.3584905660377696E-3</v>
      </c>
      <c r="AC967" s="194">
        <f t="shared" si="685"/>
        <v>5.3499999999999999E-4</v>
      </c>
      <c r="AD967" s="189"/>
      <c r="AE967" s="195" t="s">
        <v>403</v>
      </c>
      <c r="AF967" s="119"/>
    </row>
    <row r="968" spans="1:32" ht="12" hidden="1" customHeight="1">
      <c r="A968" s="183">
        <v>44313</v>
      </c>
      <c r="B968" s="184" t="s">
        <v>688</v>
      </c>
      <c r="C968" s="184"/>
      <c r="D968" s="184"/>
      <c r="E968" s="184"/>
      <c r="F968" s="184"/>
      <c r="G968" s="184"/>
      <c r="H968" s="184" t="s">
        <v>654</v>
      </c>
      <c r="I968" s="184" t="s">
        <v>469</v>
      </c>
      <c r="J968" s="184" t="s">
        <v>471</v>
      </c>
      <c r="K968" s="185">
        <v>25</v>
      </c>
      <c r="L968" s="186">
        <v>1845</v>
      </c>
      <c r="M968" s="187">
        <v>1851</v>
      </c>
      <c r="N968" s="188">
        <f t="shared" si="695"/>
        <v>13.84</v>
      </c>
      <c r="O968" s="188">
        <f t="shared" si="696"/>
        <v>13.88</v>
      </c>
      <c r="P968" s="189">
        <f t="shared" si="674"/>
        <v>92400</v>
      </c>
      <c r="Q968" s="189">
        <f t="shared" si="675"/>
        <v>150</v>
      </c>
      <c r="R968" s="189">
        <f t="shared" si="727"/>
        <v>27.72</v>
      </c>
      <c r="S968" s="189">
        <f t="shared" si="697"/>
        <v>5.56</v>
      </c>
      <c r="T968" s="189">
        <f t="shared" si="730"/>
        <v>11.57</v>
      </c>
      <c r="U968" s="189">
        <f t="shared" si="731"/>
        <v>1.38</v>
      </c>
      <c r="V968" s="189">
        <f t="shared" si="733"/>
        <v>3.19</v>
      </c>
      <c r="W968" s="189">
        <f t="shared" si="707"/>
        <v>0</v>
      </c>
      <c r="X968" s="189">
        <f t="shared" si="681"/>
        <v>49.42</v>
      </c>
      <c r="Y968" s="190">
        <f t="shared" si="682"/>
        <v>100.58</v>
      </c>
      <c r="Z968" s="191"/>
      <c r="AA968" s="192"/>
      <c r="AB968" s="193">
        <f t="shared" si="684"/>
        <v>3.2520325203252032E-3</v>
      </c>
      <c r="AC968" s="194">
        <f t="shared" si="685"/>
        <v>5.3499999999999999E-4</v>
      </c>
      <c r="AD968" s="189"/>
      <c r="AE968" s="195" t="s">
        <v>403</v>
      </c>
      <c r="AF968" s="119"/>
    </row>
    <row r="969" spans="1:32" ht="12" hidden="1" customHeight="1">
      <c r="A969" s="183">
        <v>44313</v>
      </c>
      <c r="B969" s="184" t="s">
        <v>482</v>
      </c>
      <c r="C969" s="184"/>
      <c r="D969" s="184"/>
      <c r="E969" s="184"/>
      <c r="F969" s="184"/>
      <c r="G969" s="184"/>
      <c r="H969" s="184" t="s">
        <v>654</v>
      </c>
      <c r="I969" s="184" t="s">
        <v>469</v>
      </c>
      <c r="J969" s="184" t="s">
        <v>471</v>
      </c>
      <c r="K969" s="185">
        <v>150</v>
      </c>
      <c r="L969" s="186">
        <v>61</v>
      </c>
      <c r="M969" s="187">
        <v>60.95</v>
      </c>
      <c r="N969" s="188">
        <f t="shared" si="695"/>
        <v>2.75</v>
      </c>
      <c r="O969" s="188">
        <f t="shared" si="696"/>
        <v>2.74</v>
      </c>
      <c r="P969" s="189">
        <f t="shared" si="674"/>
        <v>18292.5</v>
      </c>
      <c r="Q969" s="189">
        <f t="shared" si="675"/>
        <v>-7.4999999999995737</v>
      </c>
      <c r="R969" s="189">
        <f t="shared" si="727"/>
        <v>5.49</v>
      </c>
      <c r="S969" s="189">
        <f t="shared" si="697"/>
        <v>1.1000000000000001</v>
      </c>
      <c r="T969" s="189">
        <f t="shared" si="730"/>
        <v>2.29</v>
      </c>
      <c r="U969" s="189">
        <f t="shared" si="731"/>
        <v>0.27</v>
      </c>
      <c r="V969" s="189">
        <f t="shared" si="733"/>
        <v>0.63</v>
      </c>
      <c r="W969" s="189">
        <f t="shared" si="707"/>
        <v>0</v>
      </c>
      <c r="X969" s="189">
        <f t="shared" si="681"/>
        <v>9.7799999999999994</v>
      </c>
      <c r="Y969" s="190">
        <f t="shared" si="682"/>
        <v>-17.28</v>
      </c>
      <c r="Z969" s="191"/>
      <c r="AA969" s="192"/>
      <c r="AB969" s="193">
        <f t="shared" si="684"/>
        <v>-8.1967213114749436E-4</v>
      </c>
      <c r="AC969" s="194">
        <f t="shared" si="685"/>
        <v>5.3499999999999999E-4</v>
      </c>
      <c r="AD969" s="189"/>
      <c r="AE969" s="195" t="s">
        <v>403</v>
      </c>
      <c r="AF969" s="119"/>
    </row>
    <row r="970" spans="1:32" ht="12" hidden="1" customHeight="1">
      <c r="A970" s="183">
        <v>44314</v>
      </c>
      <c r="B970" s="184" t="s">
        <v>498</v>
      </c>
      <c r="C970" s="184"/>
      <c r="D970" s="184"/>
      <c r="E970" s="184"/>
      <c r="F970" s="184"/>
      <c r="G970" s="184"/>
      <c r="H970" s="184" t="s">
        <v>654</v>
      </c>
      <c r="I970" s="184" t="s">
        <v>469</v>
      </c>
      <c r="J970" s="184" t="s">
        <v>471</v>
      </c>
      <c r="K970" s="185">
        <v>575</v>
      </c>
      <c r="L970" s="186">
        <v>21.2</v>
      </c>
      <c r="M970" s="187">
        <v>21.25</v>
      </c>
      <c r="N970" s="188">
        <f t="shared" si="695"/>
        <v>3.66</v>
      </c>
      <c r="O970" s="188">
        <f t="shared" si="696"/>
        <v>3.67</v>
      </c>
      <c r="P970" s="189">
        <f t="shared" si="674"/>
        <v>24408.75</v>
      </c>
      <c r="Q970" s="189">
        <f t="shared" si="675"/>
        <v>28.750000000000409</v>
      </c>
      <c r="R970" s="189">
        <f t="shared" si="727"/>
        <v>7.33</v>
      </c>
      <c r="S970" s="189">
        <f t="shared" si="697"/>
        <v>1.44</v>
      </c>
      <c r="T970" s="189">
        <f t="shared" si="730"/>
        <v>3.05</v>
      </c>
      <c r="U970" s="189">
        <f t="shared" si="731"/>
        <v>0.37</v>
      </c>
      <c r="V970" s="189">
        <f t="shared" ref="V970:V971" si="734">ROUND(P970*L$1809,2)</f>
        <v>0.67</v>
      </c>
      <c r="W970" s="189">
        <f t="shared" si="707"/>
        <v>0</v>
      </c>
      <c r="X970" s="189">
        <f t="shared" si="681"/>
        <v>12.86</v>
      </c>
      <c r="Y970" s="190">
        <f t="shared" si="682"/>
        <v>15.89</v>
      </c>
      <c r="Z970" s="191">
        <v>145.84</v>
      </c>
      <c r="AA970" s="192">
        <f>Z970-Y971-Y970</f>
        <v>0.51999999999999602</v>
      </c>
      <c r="AB970" s="193">
        <f t="shared" si="684"/>
        <v>2.3584905660377696E-3</v>
      </c>
      <c r="AC970" s="194">
        <f t="shared" si="685"/>
        <v>5.2700000000000002E-4</v>
      </c>
      <c r="AD970" s="189"/>
      <c r="AE970" s="195" t="s">
        <v>403</v>
      </c>
      <c r="AF970" s="119"/>
    </row>
    <row r="971" spans="1:32" ht="12" hidden="1" customHeight="1">
      <c r="A971" s="183">
        <v>44314</v>
      </c>
      <c r="B971" s="184" t="s">
        <v>689</v>
      </c>
      <c r="C971" s="184"/>
      <c r="D971" s="184"/>
      <c r="E971" s="184"/>
      <c r="F971" s="184"/>
      <c r="G971" s="184"/>
      <c r="H971" s="184" t="s">
        <v>654</v>
      </c>
      <c r="I971" s="184" t="s">
        <v>469</v>
      </c>
      <c r="J971" s="184" t="s">
        <v>471</v>
      </c>
      <c r="K971" s="185">
        <v>50</v>
      </c>
      <c r="L971" s="186">
        <v>199.1</v>
      </c>
      <c r="M971" s="187">
        <v>201.9</v>
      </c>
      <c r="N971" s="188">
        <f t="shared" si="695"/>
        <v>2.99</v>
      </c>
      <c r="O971" s="188">
        <f t="shared" si="696"/>
        <v>3.03</v>
      </c>
      <c r="P971" s="189">
        <f t="shared" si="674"/>
        <v>20050</v>
      </c>
      <c r="Q971" s="189">
        <f t="shared" si="675"/>
        <v>140.00000000000057</v>
      </c>
      <c r="R971" s="189">
        <f t="shared" si="727"/>
        <v>6.02</v>
      </c>
      <c r="S971" s="189">
        <f t="shared" si="697"/>
        <v>1.18</v>
      </c>
      <c r="T971" s="189">
        <f t="shared" si="730"/>
        <v>2.52</v>
      </c>
      <c r="U971" s="189">
        <f t="shared" si="731"/>
        <v>0.3</v>
      </c>
      <c r="V971" s="189">
        <f t="shared" si="734"/>
        <v>0.55000000000000004</v>
      </c>
      <c r="W971" s="189">
        <f t="shared" si="707"/>
        <v>0</v>
      </c>
      <c r="X971" s="189">
        <f t="shared" si="681"/>
        <v>10.57</v>
      </c>
      <c r="Y971" s="190">
        <f t="shared" si="682"/>
        <v>129.43</v>
      </c>
      <c r="Z971" s="191"/>
      <c r="AA971" s="192"/>
      <c r="AB971" s="193">
        <f t="shared" si="684"/>
        <v>1.4063284781516883E-2</v>
      </c>
      <c r="AC971" s="194">
        <f t="shared" si="685"/>
        <v>5.2700000000000002E-4</v>
      </c>
      <c r="AD971" s="189"/>
      <c r="AE971" s="195" t="s">
        <v>403</v>
      </c>
      <c r="AF971" s="119"/>
    </row>
    <row r="972" spans="1:32" ht="12" hidden="1" customHeight="1">
      <c r="A972" s="183">
        <v>44315</v>
      </c>
      <c r="B972" s="184" t="s">
        <v>484</v>
      </c>
      <c r="C972" s="184"/>
      <c r="D972" s="184"/>
      <c r="E972" s="184"/>
      <c r="F972" s="184"/>
      <c r="G972" s="184"/>
      <c r="H972" s="184" t="s">
        <v>654</v>
      </c>
      <c r="I972" s="184" t="s">
        <v>469</v>
      </c>
      <c r="J972" s="184" t="s">
        <v>471</v>
      </c>
      <c r="K972" s="185">
        <v>2</v>
      </c>
      <c r="L972" s="186">
        <v>5470</v>
      </c>
      <c r="M972" s="187">
        <v>5510</v>
      </c>
      <c r="N972" s="188">
        <f t="shared" si="695"/>
        <v>3.28</v>
      </c>
      <c r="O972" s="188">
        <f t="shared" si="696"/>
        <v>3.31</v>
      </c>
      <c r="P972" s="189">
        <f t="shared" si="674"/>
        <v>21960</v>
      </c>
      <c r="Q972" s="189">
        <f t="shared" si="675"/>
        <v>80</v>
      </c>
      <c r="R972" s="189">
        <f t="shared" si="727"/>
        <v>6.59</v>
      </c>
      <c r="S972" s="189">
        <f t="shared" si="697"/>
        <v>1.32</v>
      </c>
      <c r="T972" s="189">
        <f t="shared" si="730"/>
        <v>2.76</v>
      </c>
      <c r="U972" s="189">
        <f t="shared" si="731"/>
        <v>0.33</v>
      </c>
      <c r="V972" s="189">
        <f t="shared" ref="V972:V973" si="735">ROUND(P972*M$1809,2)</f>
        <v>0.76</v>
      </c>
      <c r="W972" s="189">
        <f t="shared" si="707"/>
        <v>0</v>
      </c>
      <c r="X972" s="189">
        <f t="shared" si="681"/>
        <v>11.76</v>
      </c>
      <c r="Y972" s="190">
        <f t="shared" si="682"/>
        <v>68.239999999999995</v>
      </c>
      <c r="Z972" s="191">
        <v>122.46000000000001</v>
      </c>
      <c r="AA972" s="192">
        <f>Z972-Y972-Y973-Y974</f>
        <v>0.12000000000000455</v>
      </c>
      <c r="AB972" s="193">
        <f t="shared" si="684"/>
        <v>7.3126142595978062E-3</v>
      </c>
      <c r="AC972" s="194">
        <f t="shared" si="685"/>
        <v>5.3600000000000002E-4</v>
      </c>
      <c r="AD972" s="189"/>
      <c r="AE972" s="195" t="s">
        <v>403</v>
      </c>
      <c r="AF972" s="119"/>
    </row>
    <row r="973" spans="1:32" ht="12" hidden="1" customHeight="1">
      <c r="A973" s="183">
        <v>44315</v>
      </c>
      <c r="B973" s="184" t="s">
        <v>490</v>
      </c>
      <c r="C973" s="184"/>
      <c r="D973" s="184"/>
      <c r="E973" s="184"/>
      <c r="F973" s="184"/>
      <c r="G973" s="184"/>
      <c r="H973" s="184" t="s">
        <v>654</v>
      </c>
      <c r="I973" s="184" t="s">
        <v>469</v>
      </c>
      <c r="J973" s="184" t="s">
        <v>471</v>
      </c>
      <c r="K973" s="185">
        <v>5</v>
      </c>
      <c r="L973" s="186">
        <v>2416</v>
      </c>
      <c r="M973" s="187">
        <v>2440</v>
      </c>
      <c r="N973" s="188">
        <f t="shared" si="695"/>
        <v>3.62</v>
      </c>
      <c r="O973" s="188">
        <f t="shared" si="696"/>
        <v>3.66</v>
      </c>
      <c r="P973" s="189">
        <f t="shared" si="674"/>
        <v>24280</v>
      </c>
      <c r="Q973" s="189">
        <f t="shared" si="675"/>
        <v>120</v>
      </c>
      <c r="R973" s="189">
        <f t="shared" si="727"/>
        <v>7.28</v>
      </c>
      <c r="S973" s="189">
        <f t="shared" si="697"/>
        <v>1.46</v>
      </c>
      <c r="T973" s="189">
        <f t="shared" si="730"/>
        <v>3.05</v>
      </c>
      <c r="U973" s="189">
        <f t="shared" si="731"/>
        <v>0.36</v>
      </c>
      <c r="V973" s="189">
        <f t="shared" si="735"/>
        <v>0.84</v>
      </c>
      <c r="W973" s="189">
        <f t="shared" si="707"/>
        <v>0</v>
      </c>
      <c r="X973" s="189">
        <f t="shared" si="681"/>
        <v>12.989999999999998</v>
      </c>
      <c r="Y973" s="190">
        <f t="shared" si="682"/>
        <v>107.01</v>
      </c>
      <c r="Z973" s="191"/>
      <c r="AA973" s="192"/>
      <c r="AB973" s="193">
        <f t="shared" si="684"/>
        <v>9.9337748344370865E-3</v>
      </c>
      <c r="AC973" s="194">
        <f t="shared" si="685"/>
        <v>5.3499999999999999E-4</v>
      </c>
      <c r="AD973" s="189"/>
      <c r="AE973" s="195" t="s">
        <v>403</v>
      </c>
      <c r="AF973" s="119"/>
    </row>
    <row r="974" spans="1:32" ht="12" hidden="1" customHeight="1">
      <c r="A974" s="183">
        <v>44315</v>
      </c>
      <c r="B974" s="184" t="s">
        <v>539</v>
      </c>
      <c r="C974" s="184"/>
      <c r="D974" s="184"/>
      <c r="E974" s="184"/>
      <c r="F974" s="184"/>
      <c r="G974" s="184"/>
      <c r="H974" s="184" t="s">
        <v>654</v>
      </c>
      <c r="I974" s="184" t="s">
        <v>469</v>
      </c>
      <c r="J974" s="184" t="s">
        <v>471</v>
      </c>
      <c r="K974" s="185">
        <v>50</v>
      </c>
      <c r="L974" s="186">
        <v>150.69999999999999</v>
      </c>
      <c r="M974" s="187">
        <v>149.80000000000001</v>
      </c>
      <c r="N974" s="188">
        <f t="shared" si="695"/>
        <v>2.2599999999999998</v>
      </c>
      <c r="O974" s="188">
        <f t="shared" si="696"/>
        <v>2.25</v>
      </c>
      <c r="P974" s="189">
        <f t="shared" si="674"/>
        <v>15025</v>
      </c>
      <c r="Q974" s="189">
        <f t="shared" si="675"/>
        <v>-44.999999999998863</v>
      </c>
      <c r="R974" s="189">
        <f t="shared" si="727"/>
        <v>4.51</v>
      </c>
      <c r="S974" s="189">
        <f t="shared" si="697"/>
        <v>0.89</v>
      </c>
      <c r="T974" s="189">
        <f t="shared" si="730"/>
        <v>1.87</v>
      </c>
      <c r="U974" s="189">
        <f t="shared" si="731"/>
        <v>0.23</v>
      </c>
      <c r="V974" s="189">
        <f t="shared" ref="V974:V976" si="736">ROUND(P974*L$1809,2)</f>
        <v>0.41</v>
      </c>
      <c r="W974" s="189">
        <f t="shared" si="707"/>
        <v>0</v>
      </c>
      <c r="X974" s="189">
        <f t="shared" si="681"/>
        <v>7.91</v>
      </c>
      <c r="Y974" s="190">
        <f t="shared" si="682"/>
        <v>-52.91</v>
      </c>
      <c r="Z974" s="191"/>
      <c r="AA974" s="192"/>
      <c r="AB974" s="193">
        <f t="shared" si="684"/>
        <v>-5.9721300597211499E-3</v>
      </c>
      <c r="AC974" s="194">
        <f t="shared" si="685"/>
        <v>5.2599999999999999E-4</v>
      </c>
      <c r="AD974" s="189"/>
      <c r="AE974" s="195" t="s">
        <v>403</v>
      </c>
      <c r="AF974" s="119"/>
    </row>
    <row r="975" spans="1:32" ht="12" hidden="1" customHeight="1">
      <c r="A975" s="183">
        <v>44316</v>
      </c>
      <c r="B975" s="184" t="s">
        <v>498</v>
      </c>
      <c r="C975" s="184"/>
      <c r="D975" s="184"/>
      <c r="E975" s="184"/>
      <c r="F975" s="184"/>
      <c r="G975" s="184"/>
      <c r="H975" s="184" t="s">
        <v>654</v>
      </c>
      <c r="I975" s="184" t="s">
        <v>469</v>
      </c>
      <c r="J975" s="184" t="s">
        <v>471</v>
      </c>
      <c r="K975" s="185">
        <v>1000</v>
      </c>
      <c r="L975" s="186">
        <v>21.25</v>
      </c>
      <c r="M975" s="187">
        <v>21.3</v>
      </c>
      <c r="N975" s="188">
        <f t="shared" si="695"/>
        <v>6.38</v>
      </c>
      <c r="O975" s="188">
        <f t="shared" si="696"/>
        <v>6.39</v>
      </c>
      <c r="P975" s="189">
        <f t="shared" si="674"/>
        <v>42550</v>
      </c>
      <c r="Q975" s="189">
        <f t="shared" si="675"/>
        <v>50.000000000000711</v>
      </c>
      <c r="R975" s="189">
        <f t="shared" si="727"/>
        <v>12.77</v>
      </c>
      <c r="S975" s="189">
        <f t="shared" si="697"/>
        <v>2.5099999999999998</v>
      </c>
      <c r="T975" s="189">
        <f t="shared" si="730"/>
        <v>5.33</v>
      </c>
      <c r="U975" s="189">
        <f t="shared" si="731"/>
        <v>0.64</v>
      </c>
      <c r="V975" s="189">
        <f t="shared" si="736"/>
        <v>1.17</v>
      </c>
      <c r="W975" s="189">
        <f t="shared" si="707"/>
        <v>0</v>
      </c>
      <c r="X975" s="189">
        <f t="shared" si="681"/>
        <v>22.42</v>
      </c>
      <c r="Y975" s="190">
        <f t="shared" si="682"/>
        <v>27.58</v>
      </c>
      <c r="Z975" s="191">
        <f>46.21+0.97</f>
        <v>47.18</v>
      </c>
      <c r="AA975" s="192">
        <f>Z975-Y975-Y976-Y977</f>
        <v>0.12000000000000099</v>
      </c>
      <c r="AB975" s="193">
        <f t="shared" si="684"/>
        <v>2.3529411764706219E-3</v>
      </c>
      <c r="AC975" s="194">
        <f t="shared" si="685"/>
        <v>5.2700000000000002E-4</v>
      </c>
      <c r="AD975" s="189"/>
      <c r="AE975" s="195" t="s">
        <v>403</v>
      </c>
      <c r="AF975" s="119"/>
    </row>
    <row r="976" spans="1:32" ht="12" hidden="1" customHeight="1">
      <c r="A976" s="183">
        <v>44316</v>
      </c>
      <c r="B976" s="184" t="s">
        <v>480</v>
      </c>
      <c r="C976" s="184"/>
      <c r="D976" s="184"/>
      <c r="E976" s="184"/>
      <c r="F976" s="184"/>
      <c r="G976" s="184"/>
      <c r="H976" s="184" t="s">
        <v>654</v>
      </c>
      <c r="I976" s="184" t="s">
        <v>469</v>
      </c>
      <c r="J976" s="184" t="s">
        <v>471</v>
      </c>
      <c r="K976" s="185">
        <v>200</v>
      </c>
      <c r="L976" s="186">
        <v>132.80000000000001</v>
      </c>
      <c r="M976" s="187">
        <v>132.97499999999999</v>
      </c>
      <c r="N976" s="188">
        <f t="shared" si="695"/>
        <v>7.97</v>
      </c>
      <c r="O976" s="188">
        <f t="shared" si="696"/>
        <v>7.98</v>
      </c>
      <c r="P976" s="189">
        <f t="shared" si="674"/>
        <v>53155</v>
      </c>
      <c r="Q976" s="189">
        <f t="shared" si="675"/>
        <v>34.999999999996589</v>
      </c>
      <c r="R976" s="189">
        <f t="shared" si="727"/>
        <v>15.95</v>
      </c>
      <c r="S976" s="189">
        <f t="shared" si="697"/>
        <v>3.13</v>
      </c>
      <c r="T976" s="189">
        <f t="shared" si="730"/>
        <v>6.65</v>
      </c>
      <c r="U976" s="189">
        <f t="shared" si="731"/>
        <v>0.8</v>
      </c>
      <c r="V976" s="189">
        <f t="shared" si="736"/>
        <v>1.46</v>
      </c>
      <c r="W976" s="189">
        <f t="shared" si="707"/>
        <v>0</v>
      </c>
      <c r="X976" s="189">
        <f t="shared" si="681"/>
        <v>27.99</v>
      </c>
      <c r="Y976" s="190">
        <f t="shared" si="682"/>
        <v>7.01</v>
      </c>
      <c r="Z976" s="191"/>
      <c r="AA976" s="192"/>
      <c r="AB976" s="193">
        <f t="shared" si="684"/>
        <v>1.3177710843372209E-3</v>
      </c>
      <c r="AC976" s="194">
        <f t="shared" si="685"/>
        <v>5.2700000000000002E-4</v>
      </c>
      <c r="AD976" s="189"/>
      <c r="AE976" s="195" t="s">
        <v>403</v>
      </c>
      <c r="AF976" s="119"/>
    </row>
    <row r="977" spans="1:32" ht="12" hidden="1" customHeight="1">
      <c r="A977" s="183">
        <v>44316</v>
      </c>
      <c r="B977" s="184" t="s">
        <v>481</v>
      </c>
      <c r="C977" s="184"/>
      <c r="D977" s="184"/>
      <c r="E977" s="184"/>
      <c r="F977" s="184"/>
      <c r="G977" s="184"/>
      <c r="H977" s="184" t="s">
        <v>654</v>
      </c>
      <c r="I977" s="184" t="s">
        <v>469</v>
      </c>
      <c r="J977" s="184" t="s">
        <v>471</v>
      </c>
      <c r="K977" s="185">
        <v>100</v>
      </c>
      <c r="L977" s="186">
        <v>117</v>
      </c>
      <c r="M977" s="187">
        <v>117.25</v>
      </c>
      <c r="N977" s="188">
        <f t="shared" si="695"/>
        <v>3.51</v>
      </c>
      <c r="O977" s="188">
        <f t="shared" si="696"/>
        <v>3.52</v>
      </c>
      <c r="P977" s="189">
        <f t="shared" si="674"/>
        <v>23425</v>
      </c>
      <c r="Q977" s="189">
        <f t="shared" si="675"/>
        <v>25</v>
      </c>
      <c r="R977" s="189">
        <f t="shared" si="727"/>
        <v>7.03</v>
      </c>
      <c r="S977" s="189">
        <f t="shared" si="697"/>
        <v>1.41</v>
      </c>
      <c r="T977" s="189">
        <f t="shared" si="730"/>
        <v>2.93</v>
      </c>
      <c r="U977" s="189">
        <f t="shared" si="731"/>
        <v>0.35</v>
      </c>
      <c r="V977" s="189">
        <f>ROUND(P977*M$1809,2)</f>
        <v>0.81</v>
      </c>
      <c r="W977" s="189">
        <f t="shared" si="707"/>
        <v>0</v>
      </c>
      <c r="X977" s="189">
        <f t="shared" si="681"/>
        <v>12.53</v>
      </c>
      <c r="Y977" s="190">
        <f t="shared" si="682"/>
        <v>12.47</v>
      </c>
      <c r="Z977" s="191"/>
      <c r="AA977" s="192"/>
      <c r="AB977" s="193">
        <f t="shared" si="684"/>
        <v>2.136752136752137E-3</v>
      </c>
      <c r="AC977" s="194">
        <f t="shared" si="685"/>
        <v>5.3499999999999999E-4</v>
      </c>
      <c r="AD977" s="189"/>
      <c r="AE977" s="195" t="s">
        <v>403</v>
      </c>
      <c r="AF977" s="119"/>
    </row>
    <row r="978" spans="1:32" ht="12" hidden="1" customHeight="1">
      <c r="A978" s="183">
        <v>44319</v>
      </c>
      <c r="B978" s="184" t="s">
        <v>491</v>
      </c>
      <c r="C978" s="184"/>
      <c r="D978" s="184"/>
      <c r="E978" s="184"/>
      <c r="F978" s="184"/>
      <c r="G978" s="184"/>
      <c r="H978" s="184" t="s">
        <v>654</v>
      </c>
      <c r="I978" s="184" t="s">
        <v>469</v>
      </c>
      <c r="J978" s="184" t="s">
        <v>471</v>
      </c>
      <c r="K978" s="185">
        <v>40</v>
      </c>
      <c r="L978" s="186">
        <v>571</v>
      </c>
      <c r="M978" s="187">
        <v>578</v>
      </c>
      <c r="N978" s="188">
        <f t="shared" si="695"/>
        <v>6.85</v>
      </c>
      <c r="O978" s="188">
        <f t="shared" si="696"/>
        <v>6.94</v>
      </c>
      <c r="P978" s="189">
        <f t="shared" si="674"/>
        <v>45960</v>
      </c>
      <c r="Q978" s="189">
        <f t="shared" si="675"/>
        <v>280</v>
      </c>
      <c r="R978" s="189">
        <f t="shared" si="727"/>
        <v>13.79</v>
      </c>
      <c r="S978" s="189">
        <f t="shared" si="697"/>
        <v>2.71</v>
      </c>
      <c r="T978" s="189">
        <f t="shared" si="730"/>
        <v>5.78</v>
      </c>
      <c r="U978" s="189">
        <f t="shared" si="731"/>
        <v>0.69</v>
      </c>
      <c r="V978" s="189">
        <f t="shared" ref="V978:V983" si="737">ROUND(P978*L$1809,2)</f>
        <v>1.26</v>
      </c>
      <c r="W978" s="189">
        <f t="shared" si="707"/>
        <v>0</v>
      </c>
      <c r="X978" s="189">
        <f t="shared" si="681"/>
        <v>24.230000000000004</v>
      </c>
      <c r="Y978" s="190">
        <f t="shared" si="682"/>
        <v>255.77</v>
      </c>
      <c r="Z978" s="191">
        <v>1314.0600000000002</v>
      </c>
      <c r="AA978" s="192">
        <f>Z978-Y978-Y979-Y980-Y981-Y982-Y983-Y984</f>
        <v>-0.46999999999979991</v>
      </c>
      <c r="AB978" s="193">
        <f t="shared" si="684"/>
        <v>1.2259194395796848E-2</v>
      </c>
      <c r="AC978" s="194">
        <f t="shared" si="685"/>
        <v>5.2700000000000002E-4</v>
      </c>
      <c r="AD978" s="189"/>
      <c r="AE978" s="195" t="s">
        <v>403</v>
      </c>
      <c r="AF978" s="119"/>
    </row>
    <row r="979" spans="1:32" ht="12" hidden="1" customHeight="1">
      <c r="A979" s="183">
        <v>44319</v>
      </c>
      <c r="B979" s="184" t="s">
        <v>690</v>
      </c>
      <c r="C979" s="184"/>
      <c r="D979" s="184"/>
      <c r="E979" s="184"/>
      <c r="F979" s="184"/>
      <c r="G979" s="184"/>
      <c r="H979" s="184" t="s">
        <v>654</v>
      </c>
      <c r="I979" s="184" t="s">
        <v>469</v>
      </c>
      <c r="J979" s="184" t="s">
        <v>471</v>
      </c>
      <c r="K979" s="185">
        <v>100</v>
      </c>
      <c r="L979" s="186">
        <v>439</v>
      </c>
      <c r="M979" s="187">
        <v>440.4</v>
      </c>
      <c r="N979" s="188">
        <f t="shared" si="695"/>
        <v>13.17</v>
      </c>
      <c r="O979" s="188">
        <f t="shared" si="696"/>
        <v>13.21</v>
      </c>
      <c r="P979" s="189">
        <f t="shared" si="674"/>
        <v>87940</v>
      </c>
      <c r="Q979" s="189">
        <f t="shared" si="675"/>
        <v>139.99999999999773</v>
      </c>
      <c r="R979" s="189">
        <f t="shared" si="727"/>
        <v>26.38</v>
      </c>
      <c r="S979" s="189">
        <f t="shared" si="697"/>
        <v>5.18</v>
      </c>
      <c r="T979" s="189">
        <f t="shared" si="730"/>
        <v>11.01</v>
      </c>
      <c r="U979" s="189">
        <f t="shared" si="731"/>
        <v>1.32</v>
      </c>
      <c r="V979" s="189">
        <f t="shared" si="737"/>
        <v>2.42</v>
      </c>
      <c r="W979" s="189">
        <f t="shared" si="707"/>
        <v>0</v>
      </c>
      <c r="X979" s="189">
        <f t="shared" si="681"/>
        <v>46.31</v>
      </c>
      <c r="Y979" s="190">
        <f t="shared" si="682"/>
        <v>93.69</v>
      </c>
      <c r="Z979" s="191"/>
      <c r="AA979" s="192"/>
      <c r="AB979" s="193">
        <f t="shared" si="684"/>
        <v>3.1890660592254609E-3</v>
      </c>
      <c r="AC979" s="194">
        <f t="shared" si="685"/>
        <v>5.2700000000000002E-4</v>
      </c>
      <c r="AD979" s="189"/>
      <c r="AE979" s="195" t="s">
        <v>403</v>
      </c>
      <c r="AF979" s="119"/>
    </row>
    <row r="980" spans="1:32" ht="12" hidden="1" customHeight="1">
      <c r="A980" s="183">
        <v>44319</v>
      </c>
      <c r="B980" s="184" t="s">
        <v>498</v>
      </c>
      <c r="C980" s="184"/>
      <c r="D980" s="184"/>
      <c r="E980" s="184"/>
      <c r="F980" s="184"/>
      <c r="G980" s="184"/>
      <c r="H980" s="184" t="s">
        <v>654</v>
      </c>
      <c r="I980" s="184" t="s">
        <v>469</v>
      </c>
      <c r="J980" s="184" t="s">
        <v>471</v>
      </c>
      <c r="K980" s="185">
        <v>1000</v>
      </c>
      <c r="L980" s="186">
        <v>21.05</v>
      </c>
      <c r="M980" s="187">
        <v>21.05</v>
      </c>
      <c r="N980" s="188">
        <f t="shared" si="695"/>
        <v>6.32</v>
      </c>
      <c r="O980" s="188">
        <f t="shared" si="696"/>
        <v>6.32</v>
      </c>
      <c r="P980" s="189">
        <f t="shared" si="674"/>
        <v>42100</v>
      </c>
      <c r="Q980" s="189">
        <f t="shared" si="675"/>
        <v>0</v>
      </c>
      <c r="R980" s="189">
        <f t="shared" si="727"/>
        <v>12.64</v>
      </c>
      <c r="S980" s="189">
        <f t="shared" si="697"/>
        <v>2.48</v>
      </c>
      <c r="T980" s="189">
        <f t="shared" si="730"/>
        <v>5.26</v>
      </c>
      <c r="U980" s="189">
        <f t="shared" si="731"/>
        <v>0.63</v>
      </c>
      <c r="V980" s="189">
        <f t="shared" si="737"/>
        <v>1.1599999999999999</v>
      </c>
      <c r="W980" s="189">
        <f t="shared" si="707"/>
        <v>0</v>
      </c>
      <c r="X980" s="189">
        <f t="shared" si="681"/>
        <v>22.17</v>
      </c>
      <c r="Y980" s="190">
        <f t="shared" si="682"/>
        <v>-22.17</v>
      </c>
      <c r="Z980" s="191"/>
      <c r="AA980" s="192"/>
      <c r="AB980" s="193">
        <f t="shared" si="684"/>
        <v>0</v>
      </c>
      <c r="AC980" s="194">
        <f t="shared" si="685"/>
        <v>5.2700000000000002E-4</v>
      </c>
      <c r="AD980" s="189"/>
      <c r="AE980" s="195" t="s">
        <v>403</v>
      </c>
      <c r="AF980" s="119"/>
    </row>
    <row r="981" spans="1:32" ht="12" hidden="1" customHeight="1">
      <c r="A981" s="183">
        <v>44319</v>
      </c>
      <c r="B981" s="184" t="s">
        <v>483</v>
      </c>
      <c r="C981" s="184"/>
      <c r="D981" s="184"/>
      <c r="E981" s="184"/>
      <c r="F981" s="184"/>
      <c r="G981" s="184"/>
      <c r="H981" s="184" t="s">
        <v>654</v>
      </c>
      <c r="I981" s="184" t="s">
        <v>469</v>
      </c>
      <c r="J981" s="184" t="s">
        <v>471</v>
      </c>
      <c r="K981" s="185">
        <v>100</v>
      </c>
      <c r="L981" s="186">
        <v>241</v>
      </c>
      <c r="M981" s="187">
        <v>242.5</v>
      </c>
      <c r="N981" s="188">
        <f t="shared" si="695"/>
        <v>7.23</v>
      </c>
      <c r="O981" s="188">
        <f t="shared" si="696"/>
        <v>7.28</v>
      </c>
      <c r="P981" s="189">
        <f t="shared" si="674"/>
        <v>48350</v>
      </c>
      <c r="Q981" s="189">
        <f t="shared" si="675"/>
        <v>150</v>
      </c>
      <c r="R981" s="189">
        <f t="shared" si="727"/>
        <v>14.51</v>
      </c>
      <c r="S981" s="189">
        <f t="shared" si="697"/>
        <v>2.85</v>
      </c>
      <c r="T981" s="189">
        <f t="shared" si="730"/>
        <v>6.06</v>
      </c>
      <c r="U981" s="189">
        <f t="shared" si="731"/>
        <v>0.72</v>
      </c>
      <c r="V981" s="189">
        <f t="shared" si="737"/>
        <v>1.33</v>
      </c>
      <c r="W981" s="189">
        <f t="shared" si="707"/>
        <v>0</v>
      </c>
      <c r="X981" s="189">
        <f t="shared" si="681"/>
        <v>25.47</v>
      </c>
      <c r="Y981" s="190">
        <f t="shared" si="682"/>
        <v>124.53</v>
      </c>
      <c r="Z981" s="191"/>
      <c r="AA981" s="192"/>
      <c r="AB981" s="193">
        <f t="shared" si="684"/>
        <v>6.2240663900414933E-3</v>
      </c>
      <c r="AC981" s="194">
        <f t="shared" si="685"/>
        <v>5.2700000000000002E-4</v>
      </c>
      <c r="AD981" s="189"/>
      <c r="AE981" s="195" t="s">
        <v>403</v>
      </c>
      <c r="AF981" s="119"/>
    </row>
    <row r="982" spans="1:32" ht="12" hidden="1" customHeight="1">
      <c r="A982" s="183">
        <v>44319</v>
      </c>
      <c r="B982" s="184" t="s">
        <v>691</v>
      </c>
      <c r="C982" s="184"/>
      <c r="D982" s="184"/>
      <c r="E982" s="184"/>
      <c r="F982" s="184"/>
      <c r="G982" s="184"/>
      <c r="H982" s="184" t="s">
        <v>654</v>
      </c>
      <c r="I982" s="184" t="s">
        <v>469</v>
      </c>
      <c r="J982" s="184" t="s">
        <v>471</v>
      </c>
      <c r="K982" s="185">
        <v>5</v>
      </c>
      <c r="L982" s="186">
        <v>2570</v>
      </c>
      <c r="M982" s="187">
        <v>2565</v>
      </c>
      <c r="N982" s="188">
        <f t="shared" si="695"/>
        <v>3.86</v>
      </c>
      <c r="O982" s="188">
        <f t="shared" si="696"/>
        <v>3.85</v>
      </c>
      <c r="P982" s="189">
        <f t="shared" si="674"/>
        <v>25675</v>
      </c>
      <c r="Q982" s="189">
        <f t="shared" si="675"/>
        <v>-25</v>
      </c>
      <c r="R982" s="189">
        <f t="shared" si="727"/>
        <v>7.71</v>
      </c>
      <c r="S982" s="189">
        <f t="shared" si="697"/>
        <v>1.52</v>
      </c>
      <c r="T982" s="189">
        <f t="shared" si="730"/>
        <v>3.21</v>
      </c>
      <c r="U982" s="189">
        <f t="shared" si="731"/>
        <v>0.39</v>
      </c>
      <c r="V982" s="189">
        <f t="shared" si="737"/>
        <v>0.71</v>
      </c>
      <c r="W982" s="189">
        <f t="shared" si="707"/>
        <v>0</v>
      </c>
      <c r="X982" s="189">
        <f t="shared" si="681"/>
        <v>13.540000000000003</v>
      </c>
      <c r="Y982" s="190">
        <f t="shared" si="682"/>
        <v>-38.54</v>
      </c>
      <c r="Z982" s="191"/>
      <c r="AA982" s="192"/>
      <c r="AB982" s="193">
        <f t="shared" si="684"/>
        <v>-1.9455252918287938E-3</v>
      </c>
      <c r="AC982" s="194">
        <f t="shared" si="685"/>
        <v>5.2700000000000002E-4</v>
      </c>
      <c r="AD982" s="189"/>
      <c r="AE982" s="195" t="s">
        <v>403</v>
      </c>
      <c r="AF982" s="119"/>
    </row>
    <row r="983" spans="1:32" ht="12" hidden="1" customHeight="1">
      <c r="A983" s="183">
        <v>44319</v>
      </c>
      <c r="B983" s="184" t="s">
        <v>692</v>
      </c>
      <c r="C983" s="184"/>
      <c r="D983" s="184"/>
      <c r="E983" s="184"/>
      <c r="F983" s="184"/>
      <c r="G983" s="184"/>
      <c r="H983" s="184" t="s">
        <v>654</v>
      </c>
      <c r="I983" s="184" t="s">
        <v>469</v>
      </c>
      <c r="J983" s="184" t="s">
        <v>471</v>
      </c>
      <c r="K983" s="185">
        <v>1</v>
      </c>
      <c r="L983" s="186">
        <v>10910</v>
      </c>
      <c r="M983" s="187">
        <v>11035</v>
      </c>
      <c r="N983" s="188">
        <f t="shared" si="695"/>
        <v>3.27</v>
      </c>
      <c r="O983" s="188">
        <f t="shared" si="696"/>
        <v>3.31</v>
      </c>
      <c r="P983" s="189">
        <f t="shared" si="674"/>
        <v>21945</v>
      </c>
      <c r="Q983" s="189">
        <f t="shared" si="675"/>
        <v>125</v>
      </c>
      <c r="R983" s="189">
        <f t="shared" si="727"/>
        <v>6.58</v>
      </c>
      <c r="S983" s="189">
        <f t="shared" si="697"/>
        <v>1.29</v>
      </c>
      <c r="T983" s="189">
        <f t="shared" si="730"/>
        <v>2.76</v>
      </c>
      <c r="U983" s="189">
        <f t="shared" si="731"/>
        <v>0.33</v>
      </c>
      <c r="V983" s="189">
        <f t="shared" si="737"/>
        <v>0.6</v>
      </c>
      <c r="W983" s="189">
        <f t="shared" si="707"/>
        <v>0</v>
      </c>
      <c r="X983" s="189">
        <f t="shared" si="681"/>
        <v>11.559999999999999</v>
      </c>
      <c r="Y983" s="190">
        <f t="shared" si="682"/>
        <v>113.44</v>
      </c>
      <c r="Z983" s="191"/>
      <c r="AA983" s="192"/>
      <c r="AB983" s="193">
        <f t="shared" si="684"/>
        <v>1.1457378551787351E-2</v>
      </c>
      <c r="AC983" s="194">
        <f t="shared" si="685"/>
        <v>5.2700000000000002E-4</v>
      </c>
      <c r="AD983" s="189"/>
      <c r="AE983" s="195" t="s">
        <v>403</v>
      </c>
      <c r="AF983" s="119"/>
    </row>
    <row r="984" spans="1:32" ht="12" hidden="1" customHeight="1">
      <c r="A984" s="183">
        <v>44319</v>
      </c>
      <c r="B984" s="184" t="s">
        <v>693</v>
      </c>
      <c r="C984" s="184"/>
      <c r="D984" s="184"/>
      <c r="E984" s="184"/>
      <c r="F984" s="184"/>
      <c r="G984" s="184"/>
      <c r="H984" s="184" t="s">
        <v>654</v>
      </c>
      <c r="I984" s="184" t="s">
        <v>469</v>
      </c>
      <c r="J984" s="184" t="s">
        <v>471</v>
      </c>
      <c r="K984" s="185">
        <v>100</v>
      </c>
      <c r="L984" s="186">
        <v>226</v>
      </c>
      <c r="M984" s="187">
        <v>234.125</v>
      </c>
      <c r="N984" s="188">
        <f t="shared" si="695"/>
        <v>6.78</v>
      </c>
      <c r="O984" s="188">
        <f t="shared" si="696"/>
        <v>7.02</v>
      </c>
      <c r="P984" s="189">
        <f t="shared" si="674"/>
        <v>46012.5</v>
      </c>
      <c r="Q984" s="189">
        <f t="shared" si="675"/>
        <v>812.5</v>
      </c>
      <c r="R984" s="189">
        <f t="shared" si="727"/>
        <v>13.8</v>
      </c>
      <c r="S984" s="189">
        <f t="shared" si="697"/>
        <v>2.77</v>
      </c>
      <c r="T984" s="189">
        <f t="shared" si="730"/>
        <v>5.85</v>
      </c>
      <c r="U984" s="189">
        <f t="shared" si="731"/>
        <v>0.68</v>
      </c>
      <c r="V984" s="189">
        <f>ROUND(P984*M$1809,2)</f>
        <v>1.59</v>
      </c>
      <c r="W984" s="189">
        <f t="shared" si="707"/>
        <v>0</v>
      </c>
      <c r="X984" s="189">
        <f t="shared" si="681"/>
        <v>24.69</v>
      </c>
      <c r="Y984" s="190">
        <f t="shared" si="682"/>
        <v>787.81</v>
      </c>
      <c r="Z984" s="191"/>
      <c r="AA984" s="192"/>
      <c r="AB984" s="193">
        <f t="shared" si="684"/>
        <v>3.5951327433628319E-2</v>
      </c>
      <c r="AC984" s="194">
        <f t="shared" si="685"/>
        <v>5.3700000000000004E-4</v>
      </c>
      <c r="AD984" s="189"/>
      <c r="AE984" s="195" t="s">
        <v>403</v>
      </c>
      <c r="AF984" s="119"/>
    </row>
    <row r="985" spans="1:32" ht="12" hidden="1" customHeight="1">
      <c r="A985" s="183">
        <v>44320</v>
      </c>
      <c r="B985" s="184" t="s">
        <v>491</v>
      </c>
      <c r="C985" s="184"/>
      <c r="D985" s="184"/>
      <c r="E985" s="184"/>
      <c r="F985" s="184"/>
      <c r="G985" s="184"/>
      <c r="H985" s="184" t="s">
        <v>654</v>
      </c>
      <c r="I985" s="184" t="s">
        <v>469</v>
      </c>
      <c r="J985" s="184" t="s">
        <v>471</v>
      </c>
      <c r="K985" s="185">
        <v>10</v>
      </c>
      <c r="L985" s="186">
        <v>600</v>
      </c>
      <c r="M985" s="187">
        <v>600.15</v>
      </c>
      <c r="N985" s="188">
        <f t="shared" si="695"/>
        <v>1.8</v>
      </c>
      <c r="O985" s="188">
        <f t="shared" si="696"/>
        <v>1.8</v>
      </c>
      <c r="P985" s="189">
        <f t="shared" si="674"/>
        <v>12001.5</v>
      </c>
      <c r="Q985" s="189">
        <f t="shared" si="675"/>
        <v>1.4999999999997726</v>
      </c>
      <c r="R985" s="189">
        <f t="shared" si="727"/>
        <v>3.6</v>
      </c>
      <c r="S985" s="189">
        <f t="shared" si="697"/>
        <v>0.71</v>
      </c>
      <c r="T985" s="189">
        <f t="shared" si="730"/>
        <v>1.5</v>
      </c>
      <c r="U985" s="189">
        <f t="shared" si="731"/>
        <v>0.18</v>
      </c>
      <c r="V985" s="189">
        <f t="shared" ref="V985:V989" si="738">ROUND(P985*L$1809,2)</f>
        <v>0.33</v>
      </c>
      <c r="W985" s="189">
        <f t="shared" si="707"/>
        <v>0</v>
      </c>
      <c r="X985" s="189">
        <f t="shared" si="681"/>
        <v>6.32</v>
      </c>
      <c r="Y985" s="190">
        <f t="shared" si="682"/>
        <v>-4.82</v>
      </c>
      <c r="Z985" s="191">
        <f>536.62-1.54</f>
        <v>535.08000000000004</v>
      </c>
      <c r="AA985" s="192">
        <f>Z985-Y985-Y986-Y987</f>
        <v>0.39000000000007162</v>
      </c>
      <c r="AB985" s="193">
        <f t="shared" si="684"/>
        <v>2.4999999999996211E-4</v>
      </c>
      <c r="AC985" s="194">
        <f t="shared" si="685"/>
        <v>5.2700000000000002E-4</v>
      </c>
      <c r="AD985" s="189"/>
      <c r="AE985" s="195" t="s">
        <v>403</v>
      </c>
      <c r="AF985" s="119"/>
    </row>
    <row r="986" spans="1:32" ht="12" hidden="1" customHeight="1">
      <c r="A986" s="183">
        <v>44320</v>
      </c>
      <c r="B986" s="184" t="s">
        <v>480</v>
      </c>
      <c r="C986" s="184"/>
      <c r="D986" s="184"/>
      <c r="E986" s="184"/>
      <c r="F986" s="184"/>
      <c r="G986" s="184"/>
      <c r="H986" s="184" t="s">
        <v>654</v>
      </c>
      <c r="I986" s="184" t="s">
        <v>469</v>
      </c>
      <c r="J986" s="184" t="s">
        <v>471</v>
      </c>
      <c r="K986" s="185">
        <v>100</v>
      </c>
      <c r="L986" s="186">
        <v>132</v>
      </c>
      <c r="M986" s="187">
        <v>136</v>
      </c>
      <c r="N986" s="188">
        <f t="shared" si="695"/>
        <v>3.96</v>
      </c>
      <c r="O986" s="188">
        <f t="shared" si="696"/>
        <v>4.08</v>
      </c>
      <c r="P986" s="189">
        <f t="shared" si="674"/>
        <v>26800</v>
      </c>
      <c r="Q986" s="189">
        <f t="shared" si="675"/>
        <v>400</v>
      </c>
      <c r="R986" s="189">
        <f>ROUND(N986+O986,2)+2</f>
        <v>10.039999999999999</v>
      </c>
      <c r="S986" s="189">
        <f t="shared" si="697"/>
        <v>1.94</v>
      </c>
      <c r="T986" s="189">
        <f t="shared" si="730"/>
        <v>3.4</v>
      </c>
      <c r="U986" s="189">
        <f t="shared" si="731"/>
        <v>0.4</v>
      </c>
      <c r="V986" s="189">
        <f t="shared" si="738"/>
        <v>0.74</v>
      </c>
      <c r="W986" s="189">
        <f t="shared" si="707"/>
        <v>0</v>
      </c>
      <c r="X986" s="189">
        <f t="shared" si="681"/>
        <v>16.52</v>
      </c>
      <c r="Y986" s="190">
        <f t="shared" si="682"/>
        <v>383.48</v>
      </c>
      <c r="Z986" s="191"/>
      <c r="AA986" s="192"/>
      <c r="AB986" s="193">
        <f t="shared" si="684"/>
        <v>3.0303030303030304E-2</v>
      </c>
      <c r="AC986" s="194">
        <f t="shared" si="685"/>
        <v>6.1600000000000001E-4</v>
      </c>
      <c r="AD986" s="189"/>
      <c r="AE986" s="195" t="s">
        <v>403</v>
      </c>
      <c r="AF986" s="119"/>
    </row>
    <row r="987" spans="1:32" ht="12" hidden="1" customHeight="1">
      <c r="A987" s="183">
        <v>44320</v>
      </c>
      <c r="B987" s="184" t="s">
        <v>485</v>
      </c>
      <c r="C987" s="184"/>
      <c r="D987" s="184"/>
      <c r="E987" s="184"/>
      <c r="F987" s="184"/>
      <c r="G987" s="184"/>
      <c r="H987" s="184" t="s">
        <v>654</v>
      </c>
      <c r="I987" s="184" t="s">
        <v>469</v>
      </c>
      <c r="J987" s="184" t="s">
        <v>471</v>
      </c>
      <c r="K987" s="185">
        <v>25</v>
      </c>
      <c r="L987" s="186">
        <v>242</v>
      </c>
      <c r="M987" s="187">
        <v>248.5</v>
      </c>
      <c r="N987" s="188">
        <f t="shared" si="695"/>
        <v>1.82</v>
      </c>
      <c r="O987" s="188">
        <f t="shared" si="696"/>
        <v>1.86</v>
      </c>
      <c r="P987" s="189">
        <f t="shared" si="674"/>
        <v>12262.5</v>
      </c>
      <c r="Q987" s="189">
        <f t="shared" si="675"/>
        <v>162.5</v>
      </c>
      <c r="R987" s="189">
        <f t="shared" ref="R987:R989" si="739">ROUND(N987+O987,2)</f>
        <v>3.68</v>
      </c>
      <c r="S987" s="189">
        <f t="shared" si="697"/>
        <v>0.72</v>
      </c>
      <c r="T987" s="189">
        <f t="shared" si="730"/>
        <v>1.55</v>
      </c>
      <c r="U987" s="189">
        <f t="shared" si="731"/>
        <v>0.18</v>
      </c>
      <c r="V987" s="189">
        <f t="shared" si="738"/>
        <v>0.34</v>
      </c>
      <c r="W987" s="189">
        <f t="shared" si="707"/>
        <v>0</v>
      </c>
      <c r="X987" s="189">
        <f t="shared" si="681"/>
        <v>6.47</v>
      </c>
      <c r="Y987" s="190">
        <f t="shared" si="682"/>
        <v>156.03</v>
      </c>
      <c r="Z987" s="191"/>
      <c r="AA987" s="192"/>
      <c r="AB987" s="193">
        <f t="shared" si="684"/>
        <v>2.6859504132231406E-2</v>
      </c>
      <c r="AC987" s="194">
        <f t="shared" si="685"/>
        <v>5.2800000000000004E-4</v>
      </c>
      <c r="AD987" s="189"/>
      <c r="AE987" s="195" t="s">
        <v>403</v>
      </c>
      <c r="AF987" s="119"/>
    </row>
    <row r="988" spans="1:32" ht="12" hidden="1" customHeight="1">
      <c r="A988" s="183">
        <v>44321</v>
      </c>
      <c r="B988" s="184" t="s">
        <v>480</v>
      </c>
      <c r="C988" s="184"/>
      <c r="D988" s="184"/>
      <c r="E988" s="184"/>
      <c r="F988" s="184"/>
      <c r="G988" s="184"/>
      <c r="H988" s="184" t="s">
        <v>654</v>
      </c>
      <c r="I988" s="184" t="s">
        <v>469</v>
      </c>
      <c r="J988" s="184" t="s">
        <v>471</v>
      </c>
      <c r="K988" s="185">
        <v>100</v>
      </c>
      <c r="L988" s="186">
        <v>138.30000000000001</v>
      </c>
      <c r="M988" s="187">
        <v>135.35</v>
      </c>
      <c r="N988" s="188">
        <f t="shared" si="695"/>
        <v>4.1500000000000004</v>
      </c>
      <c r="O988" s="188">
        <f t="shared" si="696"/>
        <v>4.0599999999999996</v>
      </c>
      <c r="P988" s="189">
        <f t="shared" si="674"/>
        <v>27365</v>
      </c>
      <c r="Q988" s="189">
        <f t="shared" si="675"/>
        <v>-295.00000000000171</v>
      </c>
      <c r="R988" s="189">
        <f t="shared" si="739"/>
        <v>8.2100000000000009</v>
      </c>
      <c r="S988" s="189">
        <f t="shared" si="697"/>
        <v>1.61</v>
      </c>
      <c r="T988" s="189">
        <f t="shared" si="730"/>
        <v>3.38</v>
      </c>
      <c r="U988" s="189">
        <f t="shared" si="731"/>
        <v>0.41</v>
      </c>
      <c r="V988" s="189">
        <f t="shared" si="738"/>
        <v>0.75</v>
      </c>
      <c r="W988" s="189">
        <f t="shared" si="707"/>
        <v>0</v>
      </c>
      <c r="X988" s="189">
        <f t="shared" si="681"/>
        <v>14.36</v>
      </c>
      <c r="Y988" s="190">
        <f t="shared" si="682"/>
        <v>-309.36</v>
      </c>
      <c r="Z988" s="191">
        <v>-814.81</v>
      </c>
      <c r="AA988" s="192">
        <f>Z988-Y988-Y989-Y990-Y991-Y992-Y993</f>
        <v>-0.87999999999991019</v>
      </c>
      <c r="AB988" s="193">
        <f t="shared" si="684"/>
        <v>-2.1330441070137506E-2</v>
      </c>
      <c r="AC988" s="194">
        <f t="shared" si="685"/>
        <v>5.2499999999999997E-4</v>
      </c>
      <c r="AD988" s="189"/>
      <c r="AE988" s="195" t="s">
        <v>403</v>
      </c>
      <c r="AF988" s="119"/>
    </row>
    <row r="989" spans="1:32" ht="12" hidden="1" customHeight="1">
      <c r="A989" s="183">
        <v>44321</v>
      </c>
      <c r="B989" s="184" t="s">
        <v>498</v>
      </c>
      <c r="C989" s="184"/>
      <c r="D989" s="184"/>
      <c r="E989" s="184"/>
      <c r="F989" s="184"/>
      <c r="G989" s="184"/>
      <c r="H989" s="184" t="s">
        <v>654</v>
      </c>
      <c r="I989" s="184" t="s">
        <v>469</v>
      </c>
      <c r="J989" s="184" t="s">
        <v>471</v>
      </c>
      <c r="K989" s="185">
        <v>1000</v>
      </c>
      <c r="L989" s="186">
        <v>21.05</v>
      </c>
      <c r="M989" s="187">
        <v>21.1</v>
      </c>
      <c r="N989" s="188">
        <f t="shared" si="695"/>
        <v>6.32</v>
      </c>
      <c r="O989" s="188">
        <f t="shared" si="696"/>
        <v>6.33</v>
      </c>
      <c r="P989" s="189">
        <f t="shared" si="674"/>
        <v>42150</v>
      </c>
      <c r="Q989" s="189">
        <f t="shared" si="675"/>
        <v>50.000000000000711</v>
      </c>
      <c r="R989" s="189">
        <f t="shared" si="739"/>
        <v>12.65</v>
      </c>
      <c r="S989" s="189">
        <f t="shared" si="697"/>
        <v>2.4900000000000002</v>
      </c>
      <c r="T989" s="189">
        <f t="shared" si="730"/>
        <v>5.28</v>
      </c>
      <c r="U989" s="189">
        <f t="shared" si="731"/>
        <v>0.63</v>
      </c>
      <c r="V989" s="189">
        <f t="shared" si="738"/>
        <v>1.1599999999999999</v>
      </c>
      <c r="W989" s="189">
        <f t="shared" si="707"/>
        <v>0</v>
      </c>
      <c r="X989" s="189">
        <f t="shared" si="681"/>
        <v>22.21</v>
      </c>
      <c r="Y989" s="190">
        <f t="shared" si="682"/>
        <v>27.79</v>
      </c>
      <c r="Z989" s="191"/>
      <c r="AA989" s="192"/>
      <c r="AB989" s="193">
        <f t="shared" si="684"/>
        <v>2.3752969121140478E-3</v>
      </c>
      <c r="AC989" s="194">
        <f t="shared" si="685"/>
        <v>5.2700000000000002E-4</v>
      </c>
      <c r="AD989" s="189"/>
      <c r="AE989" s="195" t="s">
        <v>403</v>
      </c>
      <c r="AF989" s="119"/>
    </row>
    <row r="990" spans="1:32" ht="12" hidden="1" customHeight="1">
      <c r="A990" s="183">
        <v>44321</v>
      </c>
      <c r="B990" s="184" t="s">
        <v>479</v>
      </c>
      <c r="C990" s="184"/>
      <c r="D990" s="184"/>
      <c r="E990" s="184"/>
      <c r="F990" s="184"/>
      <c r="G990" s="184"/>
      <c r="H990" s="184" t="s">
        <v>654</v>
      </c>
      <c r="I990" s="184" t="s">
        <v>469</v>
      </c>
      <c r="J990" s="184" t="s">
        <v>471</v>
      </c>
      <c r="K990" s="185">
        <v>300</v>
      </c>
      <c r="L990" s="186">
        <v>355.18335000000002</v>
      </c>
      <c r="M990" s="187">
        <v>354.9667</v>
      </c>
      <c r="N990" s="188">
        <f t="shared" si="695"/>
        <v>20</v>
      </c>
      <c r="O990" s="188">
        <f t="shared" si="696"/>
        <v>20</v>
      </c>
      <c r="P990" s="189">
        <f t="shared" si="674"/>
        <v>213045.02</v>
      </c>
      <c r="Q990" s="189">
        <f t="shared" si="675"/>
        <v>-64.995000000004666</v>
      </c>
      <c r="R990" s="189">
        <v>63.92</v>
      </c>
      <c r="S990" s="189">
        <f t="shared" si="697"/>
        <v>12.83</v>
      </c>
      <c r="T990" s="189">
        <f t="shared" si="730"/>
        <v>26.62</v>
      </c>
      <c r="U990" s="189">
        <f t="shared" si="731"/>
        <v>3.2</v>
      </c>
      <c r="V990" s="189">
        <f>ROUND(P990*M$1809,2)</f>
        <v>7.35</v>
      </c>
      <c r="W990" s="189">
        <f t="shared" si="707"/>
        <v>0</v>
      </c>
      <c r="X990" s="189">
        <f t="shared" si="681"/>
        <v>113.92</v>
      </c>
      <c r="Y990" s="190">
        <f t="shared" si="682"/>
        <v>-178.92</v>
      </c>
      <c r="Z990" s="191"/>
      <c r="AA990" s="192"/>
      <c r="AB990" s="193">
        <f t="shared" si="684"/>
        <v>-6.0996665525007163E-4</v>
      </c>
      <c r="AC990" s="194">
        <f t="shared" si="685"/>
        <v>5.3499999999999999E-4</v>
      </c>
      <c r="AD990" s="189"/>
      <c r="AE990" s="195" t="s">
        <v>403</v>
      </c>
      <c r="AF990" s="119"/>
    </row>
    <row r="991" spans="1:32" ht="12" hidden="1" customHeight="1">
      <c r="A991" s="183">
        <v>44321</v>
      </c>
      <c r="B991" s="184" t="s">
        <v>694</v>
      </c>
      <c r="C991" s="184"/>
      <c r="D991" s="184"/>
      <c r="E991" s="184"/>
      <c r="F991" s="184"/>
      <c r="G991" s="184"/>
      <c r="H991" s="184" t="s">
        <v>654</v>
      </c>
      <c r="I991" s="184" t="s">
        <v>469</v>
      </c>
      <c r="J991" s="184" t="s">
        <v>471</v>
      </c>
      <c r="K991" s="185">
        <v>15</v>
      </c>
      <c r="L991" s="186">
        <v>2949.6667000000002</v>
      </c>
      <c r="M991" s="187">
        <v>2920</v>
      </c>
      <c r="N991" s="188">
        <f t="shared" si="695"/>
        <v>13.27</v>
      </c>
      <c r="O991" s="188">
        <f t="shared" si="696"/>
        <v>13.14</v>
      </c>
      <c r="P991" s="189">
        <f t="shared" si="674"/>
        <v>88045</v>
      </c>
      <c r="Q991" s="189">
        <f t="shared" si="675"/>
        <v>-445.00050000000329</v>
      </c>
      <c r="R991" s="189">
        <f t="shared" ref="R991:R1006" si="740">ROUND(N991+O991,2)</f>
        <v>26.41</v>
      </c>
      <c r="S991" s="189">
        <f t="shared" si="697"/>
        <v>5.19</v>
      </c>
      <c r="T991" s="189">
        <f t="shared" si="730"/>
        <v>10.95</v>
      </c>
      <c r="U991" s="189">
        <f t="shared" si="731"/>
        <v>1.33</v>
      </c>
      <c r="V991" s="189">
        <f>ROUND(P991*L$1809,2)</f>
        <v>2.42</v>
      </c>
      <c r="W991" s="189">
        <f t="shared" si="707"/>
        <v>0</v>
      </c>
      <c r="X991" s="189">
        <f t="shared" si="681"/>
        <v>46.3</v>
      </c>
      <c r="Y991" s="190">
        <f t="shared" si="682"/>
        <v>-491.3</v>
      </c>
      <c r="Z991" s="191"/>
      <c r="AA991" s="192"/>
      <c r="AB991" s="193">
        <f t="shared" si="684"/>
        <v>-1.0057644817972219E-2</v>
      </c>
      <c r="AC991" s="194">
        <f t="shared" si="685"/>
        <v>5.2599999999999999E-4</v>
      </c>
      <c r="AD991" s="189"/>
      <c r="AE991" s="195" t="s">
        <v>403</v>
      </c>
      <c r="AF991" s="119"/>
    </row>
    <row r="992" spans="1:32" ht="12" hidden="1" customHeight="1">
      <c r="A992" s="183">
        <v>44321</v>
      </c>
      <c r="B992" s="184" t="s">
        <v>511</v>
      </c>
      <c r="C992" s="184"/>
      <c r="D992" s="184"/>
      <c r="E992" s="184"/>
      <c r="F992" s="184"/>
      <c r="G992" s="184"/>
      <c r="H992" s="184" t="s">
        <v>654</v>
      </c>
      <c r="I992" s="184" t="s">
        <v>469</v>
      </c>
      <c r="J992" s="184" t="s">
        <v>471</v>
      </c>
      <c r="K992" s="185">
        <v>10</v>
      </c>
      <c r="L992" s="186">
        <v>939.85</v>
      </c>
      <c r="M992" s="187">
        <v>938.6</v>
      </c>
      <c r="N992" s="188">
        <f t="shared" si="695"/>
        <v>2.82</v>
      </c>
      <c r="O992" s="188">
        <f t="shared" si="696"/>
        <v>2.82</v>
      </c>
      <c r="P992" s="189">
        <f t="shared" si="674"/>
        <v>18784.5</v>
      </c>
      <c r="Q992" s="189">
        <f t="shared" si="675"/>
        <v>-12.5</v>
      </c>
      <c r="R992" s="189">
        <f t="shared" si="740"/>
        <v>5.64</v>
      </c>
      <c r="S992" s="189">
        <f t="shared" si="697"/>
        <v>1.1299999999999999</v>
      </c>
      <c r="T992" s="189">
        <f t="shared" si="730"/>
        <v>2.35</v>
      </c>
      <c r="U992" s="189">
        <f t="shared" si="731"/>
        <v>0.28000000000000003</v>
      </c>
      <c r="V992" s="189">
        <f t="shared" ref="V992:V994" si="741">ROUND(P992*M$1809,2)</f>
        <v>0.65</v>
      </c>
      <c r="W992" s="189">
        <f t="shared" si="707"/>
        <v>0</v>
      </c>
      <c r="X992" s="189">
        <f t="shared" si="681"/>
        <v>10.049999999999999</v>
      </c>
      <c r="Y992" s="190">
        <f t="shared" si="682"/>
        <v>-22.55</v>
      </c>
      <c r="Z992" s="191"/>
      <c r="AA992" s="192"/>
      <c r="AB992" s="193">
        <f t="shared" si="684"/>
        <v>-1.3299994680002127E-3</v>
      </c>
      <c r="AC992" s="194">
        <f t="shared" si="685"/>
        <v>5.3499999999999999E-4</v>
      </c>
      <c r="AD992" s="189"/>
      <c r="AE992" s="195" t="s">
        <v>403</v>
      </c>
      <c r="AF992" s="119"/>
    </row>
    <row r="993" spans="1:32" ht="12" hidden="1" customHeight="1">
      <c r="A993" s="183">
        <v>44321</v>
      </c>
      <c r="B993" s="184" t="s">
        <v>695</v>
      </c>
      <c r="C993" s="184"/>
      <c r="D993" s="184"/>
      <c r="E993" s="184"/>
      <c r="F993" s="184"/>
      <c r="G993" s="184"/>
      <c r="H993" s="184" t="s">
        <v>654</v>
      </c>
      <c r="I993" s="184" t="s">
        <v>469</v>
      </c>
      <c r="J993" s="184" t="s">
        <v>471</v>
      </c>
      <c r="K993" s="185">
        <v>25</v>
      </c>
      <c r="L993" s="186">
        <v>541</v>
      </c>
      <c r="M993" s="187">
        <v>548</v>
      </c>
      <c r="N993" s="188">
        <f t="shared" si="695"/>
        <v>4.0599999999999996</v>
      </c>
      <c r="O993" s="188">
        <f t="shared" si="696"/>
        <v>4.1100000000000003</v>
      </c>
      <c r="P993" s="189">
        <f t="shared" si="674"/>
        <v>27225</v>
      </c>
      <c r="Q993" s="189">
        <f t="shared" si="675"/>
        <v>175</v>
      </c>
      <c r="R993" s="189">
        <f t="shared" si="740"/>
        <v>8.17</v>
      </c>
      <c r="S993" s="189">
        <f t="shared" si="697"/>
        <v>1.64</v>
      </c>
      <c r="T993" s="189">
        <f t="shared" si="730"/>
        <v>3.43</v>
      </c>
      <c r="U993" s="189">
        <f t="shared" si="731"/>
        <v>0.41</v>
      </c>
      <c r="V993" s="189">
        <f t="shared" si="741"/>
        <v>0.94</v>
      </c>
      <c r="W993" s="189">
        <f t="shared" si="707"/>
        <v>0</v>
      </c>
      <c r="X993" s="189">
        <f t="shared" si="681"/>
        <v>14.59</v>
      </c>
      <c r="Y993" s="190">
        <f t="shared" si="682"/>
        <v>160.41</v>
      </c>
      <c r="Z993" s="191"/>
      <c r="AA993" s="192"/>
      <c r="AB993" s="193">
        <f t="shared" si="684"/>
        <v>1.2939001848428836E-2</v>
      </c>
      <c r="AC993" s="194">
        <f t="shared" si="685"/>
        <v>5.3600000000000002E-4</v>
      </c>
      <c r="AD993" s="189"/>
      <c r="AE993" s="195" t="s">
        <v>403</v>
      </c>
      <c r="AF993" s="119"/>
    </row>
    <row r="994" spans="1:32" ht="12" hidden="1" customHeight="1">
      <c r="A994" s="183">
        <v>44322</v>
      </c>
      <c r="B994" s="184" t="s">
        <v>696</v>
      </c>
      <c r="C994" s="184"/>
      <c r="D994" s="184"/>
      <c r="E994" s="184"/>
      <c r="F994" s="184"/>
      <c r="G994" s="184"/>
      <c r="H994" s="184" t="s">
        <v>654</v>
      </c>
      <c r="I994" s="184" t="s">
        <v>469</v>
      </c>
      <c r="J994" s="184" t="s">
        <v>471</v>
      </c>
      <c r="K994" s="185">
        <v>50</v>
      </c>
      <c r="L994" s="186">
        <v>651.54999999999995</v>
      </c>
      <c r="M994" s="187">
        <v>647.20000000000005</v>
      </c>
      <c r="N994" s="188">
        <f t="shared" si="695"/>
        <v>9.77</v>
      </c>
      <c r="O994" s="188">
        <f t="shared" si="696"/>
        <v>9.7100000000000009</v>
      </c>
      <c r="P994" s="189">
        <f t="shared" si="674"/>
        <v>64937.5</v>
      </c>
      <c r="Q994" s="189">
        <f t="shared" si="675"/>
        <v>-217.49999999999545</v>
      </c>
      <c r="R994" s="189">
        <f t="shared" si="740"/>
        <v>19.48</v>
      </c>
      <c r="S994" s="189">
        <f t="shared" si="697"/>
        <v>3.91</v>
      </c>
      <c r="T994" s="189">
        <f t="shared" si="730"/>
        <v>8.09</v>
      </c>
      <c r="U994" s="189">
        <f t="shared" si="731"/>
        <v>0.98</v>
      </c>
      <c r="V994" s="189">
        <f t="shared" si="741"/>
        <v>2.2400000000000002</v>
      </c>
      <c r="W994" s="189">
        <f t="shared" si="707"/>
        <v>0</v>
      </c>
      <c r="X994" s="189">
        <f t="shared" si="681"/>
        <v>34.700000000000003</v>
      </c>
      <c r="Y994" s="190">
        <f t="shared" si="682"/>
        <v>-252.2</v>
      </c>
      <c r="Z994" s="191">
        <v>-214.35</v>
      </c>
      <c r="AA994" s="192">
        <f>Z994-Y994-Y995-Y996</f>
        <v>0.75999999999999446</v>
      </c>
      <c r="AB994" s="193">
        <f t="shared" si="684"/>
        <v>-6.6763870769701627E-3</v>
      </c>
      <c r="AC994" s="194">
        <f t="shared" si="685"/>
        <v>5.3399999999999997E-4</v>
      </c>
      <c r="AD994" s="189"/>
      <c r="AE994" s="195" t="s">
        <v>403</v>
      </c>
      <c r="AF994" s="119"/>
    </row>
    <row r="995" spans="1:32" ht="12" hidden="1" customHeight="1">
      <c r="A995" s="183">
        <v>44322</v>
      </c>
      <c r="B995" s="184" t="s">
        <v>498</v>
      </c>
      <c r="C995" s="184"/>
      <c r="D995" s="184"/>
      <c r="E995" s="184"/>
      <c r="F995" s="184"/>
      <c r="G995" s="184"/>
      <c r="H995" s="184" t="s">
        <v>654</v>
      </c>
      <c r="I995" s="184" t="s">
        <v>469</v>
      </c>
      <c r="J995" s="184" t="s">
        <v>471</v>
      </c>
      <c r="K995" s="185">
        <v>1075</v>
      </c>
      <c r="L995" s="186">
        <v>21.1</v>
      </c>
      <c r="M995" s="187">
        <v>21.15</v>
      </c>
      <c r="N995" s="188">
        <f t="shared" si="695"/>
        <v>6.8</v>
      </c>
      <c r="O995" s="188">
        <f t="shared" si="696"/>
        <v>6.82</v>
      </c>
      <c r="P995" s="189">
        <f t="shared" si="674"/>
        <v>45418.75</v>
      </c>
      <c r="Q995" s="189">
        <f t="shared" si="675"/>
        <v>53.749999999996945</v>
      </c>
      <c r="R995" s="189">
        <f t="shared" si="740"/>
        <v>13.62</v>
      </c>
      <c r="S995" s="189">
        <f t="shared" si="697"/>
        <v>2.68</v>
      </c>
      <c r="T995" s="189">
        <f t="shared" si="730"/>
        <v>5.68</v>
      </c>
      <c r="U995" s="189">
        <f t="shared" si="731"/>
        <v>0.68</v>
      </c>
      <c r="V995" s="189">
        <f t="shared" ref="V995:V999" si="742">ROUND(P995*L$1809,2)</f>
        <v>1.25</v>
      </c>
      <c r="W995" s="189">
        <f t="shared" si="707"/>
        <v>0</v>
      </c>
      <c r="X995" s="189">
        <f t="shared" si="681"/>
        <v>23.91</v>
      </c>
      <c r="Y995" s="190">
        <f t="shared" si="682"/>
        <v>29.84</v>
      </c>
      <c r="Z995" s="191"/>
      <c r="AA995" s="192"/>
      <c r="AB995" s="193">
        <f t="shared" si="684"/>
        <v>2.3696682464453629E-3</v>
      </c>
      <c r="AC995" s="194">
        <f t="shared" si="685"/>
        <v>5.2599999999999999E-4</v>
      </c>
      <c r="AD995" s="189"/>
      <c r="AE995" s="195" t="s">
        <v>403</v>
      </c>
      <c r="AF995" s="119"/>
    </row>
    <row r="996" spans="1:32" ht="12" hidden="1" customHeight="1">
      <c r="A996" s="183">
        <v>44322</v>
      </c>
      <c r="B996" s="184" t="s">
        <v>492</v>
      </c>
      <c r="C996" s="184"/>
      <c r="D996" s="184"/>
      <c r="E996" s="184"/>
      <c r="F996" s="184"/>
      <c r="G996" s="184"/>
      <c r="H996" s="184" t="s">
        <v>654</v>
      </c>
      <c r="I996" s="184" t="s">
        <v>469</v>
      </c>
      <c r="J996" s="184" t="s">
        <v>471</v>
      </c>
      <c r="K996" s="185">
        <v>5</v>
      </c>
      <c r="L996" s="186">
        <v>2417</v>
      </c>
      <c r="M996" s="187">
        <v>2421</v>
      </c>
      <c r="N996" s="188">
        <f t="shared" si="695"/>
        <v>3.63</v>
      </c>
      <c r="O996" s="188">
        <f t="shared" si="696"/>
        <v>3.63</v>
      </c>
      <c r="P996" s="189">
        <f t="shared" si="674"/>
        <v>24190</v>
      </c>
      <c r="Q996" s="189">
        <f t="shared" si="675"/>
        <v>20</v>
      </c>
      <c r="R996" s="189">
        <f t="shared" si="740"/>
        <v>7.26</v>
      </c>
      <c r="S996" s="189">
        <f t="shared" si="697"/>
        <v>1.43</v>
      </c>
      <c r="T996" s="189">
        <f t="shared" si="730"/>
        <v>3.03</v>
      </c>
      <c r="U996" s="189">
        <f t="shared" si="731"/>
        <v>0.36</v>
      </c>
      <c r="V996" s="189">
        <f t="shared" si="742"/>
        <v>0.67</v>
      </c>
      <c r="W996" s="189">
        <f t="shared" si="707"/>
        <v>0</v>
      </c>
      <c r="X996" s="189">
        <f t="shared" si="681"/>
        <v>12.749999999999998</v>
      </c>
      <c r="Y996" s="190">
        <f t="shared" si="682"/>
        <v>7.25</v>
      </c>
      <c r="Z996" s="191"/>
      <c r="AA996" s="192"/>
      <c r="AB996" s="193">
        <f t="shared" si="684"/>
        <v>1.6549441456350847E-3</v>
      </c>
      <c r="AC996" s="194">
        <f t="shared" si="685"/>
        <v>5.2700000000000002E-4</v>
      </c>
      <c r="AD996" s="189"/>
      <c r="AE996" s="195" t="s">
        <v>403</v>
      </c>
      <c r="AF996" s="119"/>
    </row>
    <row r="997" spans="1:32" ht="12" hidden="1" customHeight="1">
      <c r="A997" s="183">
        <v>44323</v>
      </c>
      <c r="B997" s="184" t="s">
        <v>481</v>
      </c>
      <c r="C997" s="184"/>
      <c r="D997" s="184"/>
      <c r="E997" s="184"/>
      <c r="F997" s="184"/>
      <c r="G997" s="184"/>
      <c r="H997" s="184" t="s">
        <v>654</v>
      </c>
      <c r="I997" s="184" t="s">
        <v>469</v>
      </c>
      <c r="J997" s="184" t="s">
        <v>471</v>
      </c>
      <c r="K997" s="185">
        <v>150</v>
      </c>
      <c r="L997" s="186">
        <v>143.63329999999999</v>
      </c>
      <c r="M997" s="187">
        <v>138.69999999999999</v>
      </c>
      <c r="N997" s="188">
        <f t="shared" si="695"/>
        <v>6.46</v>
      </c>
      <c r="O997" s="188">
        <f t="shared" si="696"/>
        <v>6.24</v>
      </c>
      <c r="P997" s="189">
        <f t="shared" si="674"/>
        <v>42350</v>
      </c>
      <c r="Q997" s="189">
        <f t="shared" si="675"/>
        <v>-739.99500000000035</v>
      </c>
      <c r="R997" s="189">
        <f t="shared" si="740"/>
        <v>12.7</v>
      </c>
      <c r="S997" s="189">
        <f t="shared" si="697"/>
        <v>2.4900000000000002</v>
      </c>
      <c r="T997" s="189">
        <f t="shared" si="730"/>
        <v>5.2</v>
      </c>
      <c r="U997" s="189">
        <f t="shared" si="731"/>
        <v>0.65</v>
      </c>
      <c r="V997" s="189">
        <f t="shared" si="742"/>
        <v>1.1599999999999999</v>
      </c>
      <c r="W997" s="189">
        <f t="shared" si="707"/>
        <v>0</v>
      </c>
      <c r="X997" s="189">
        <f t="shared" si="681"/>
        <v>22.2</v>
      </c>
      <c r="Y997" s="190">
        <f t="shared" si="682"/>
        <v>-762.2</v>
      </c>
      <c r="Z997" s="191">
        <v>-615.06000000000006</v>
      </c>
      <c r="AA997" s="192">
        <f>Z997-Y997-Y998-Y999</f>
        <v>0.20999999999999375</v>
      </c>
      <c r="AB997" s="193">
        <f t="shared" si="684"/>
        <v>-3.4346492073913243E-2</v>
      </c>
      <c r="AC997" s="194">
        <f t="shared" si="685"/>
        <v>5.2400000000000005E-4</v>
      </c>
      <c r="AD997" s="189"/>
      <c r="AE997" s="195" t="s">
        <v>403</v>
      </c>
      <c r="AF997" s="119"/>
    </row>
    <row r="998" spans="1:32" ht="12" hidden="1" customHeight="1">
      <c r="A998" s="183">
        <v>44323</v>
      </c>
      <c r="B998" s="184" t="s">
        <v>490</v>
      </c>
      <c r="C998" s="184"/>
      <c r="D998" s="184"/>
      <c r="E998" s="184"/>
      <c r="F998" s="184"/>
      <c r="G998" s="184"/>
      <c r="H998" s="184" t="s">
        <v>654</v>
      </c>
      <c r="I998" s="184" t="s">
        <v>469</v>
      </c>
      <c r="J998" s="184" t="s">
        <v>471</v>
      </c>
      <c r="K998" s="185">
        <v>5</v>
      </c>
      <c r="L998" s="186">
        <v>2400</v>
      </c>
      <c r="M998" s="187">
        <v>2415</v>
      </c>
      <c r="N998" s="188">
        <f t="shared" si="695"/>
        <v>3.6</v>
      </c>
      <c r="O998" s="188">
        <f t="shared" si="696"/>
        <v>3.62</v>
      </c>
      <c r="P998" s="189">
        <f t="shared" si="674"/>
        <v>24075</v>
      </c>
      <c r="Q998" s="189">
        <f t="shared" si="675"/>
        <v>75</v>
      </c>
      <c r="R998" s="189">
        <f t="shared" si="740"/>
        <v>7.22</v>
      </c>
      <c r="S998" s="189">
        <f t="shared" si="697"/>
        <v>1.42</v>
      </c>
      <c r="T998" s="189">
        <f t="shared" si="730"/>
        <v>3.02</v>
      </c>
      <c r="U998" s="189">
        <f t="shared" si="731"/>
        <v>0.36</v>
      </c>
      <c r="V998" s="189">
        <f t="shared" si="742"/>
        <v>0.66</v>
      </c>
      <c r="W998" s="189">
        <f t="shared" si="707"/>
        <v>0</v>
      </c>
      <c r="X998" s="189">
        <f t="shared" si="681"/>
        <v>12.68</v>
      </c>
      <c r="Y998" s="190">
        <f t="shared" si="682"/>
        <v>62.32</v>
      </c>
      <c r="Z998" s="191"/>
      <c r="AA998" s="192"/>
      <c r="AB998" s="193">
        <f t="shared" si="684"/>
        <v>6.2500000000000003E-3</v>
      </c>
      <c r="AC998" s="194">
        <f t="shared" si="685"/>
        <v>5.2700000000000002E-4</v>
      </c>
      <c r="AD998" s="189"/>
      <c r="AE998" s="195" t="s">
        <v>403</v>
      </c>
      <c r="AF998" s="119"/>
    </row>
    <row r="999" spans="1:32" ht="12" hidden="1" customHeight="1">
      <c r="A999" s="183">
        <v>44323</v>
      </c>
      <c r="B999" s="184" t="s">
        <v>495</v>
      </c>
      <c r="C999" s="184"/>
      <c r="D999" s="184"/>
      <c r="E999" s="184"/>
      <c r="F999" s="184"/>
      <c r="G999" s="184"/>
      <c r="H999" s="184" t="s">
        <v>654</v>
      </c>
      <c r="I999" s="184" t="s">
        <v>469</v>
      </c>
      <c r="J999" s="184" t="s">
        <v>471</v>
      </c>
      <c r="K999" s="185">
        <v>100</v>
      </c>
      <c r="L999" s="186">
        <v>50.6</v>
      </c>
      <c r="M999" s="187">
        <v>51.5</v>
      </c>
      <c r="N999" s="188">
        <f t="shared" si="695"/>
        <v>1.52</v>
      </c>
      <c r="O999" s="188">
        <f t="shared" si="696"/>
        <v>1.55</v>
      </c>
      <c r="P999" s="189">
        <f t="shared" si="674"/>
        <v>10210</v>
      </c>
      <c r="Q999" s="189">
        <f t="shared" si="675"/>
        <v>89.999999999999858</v>
      </c>
      <c r="R999" s="189">
        <f t="shared" si="740"/>
        <v>3.07</v>
      </c>
      <c r="S999" s="189">
        <f t="shared" si="697"/>
        <v>0.6</v>
      </c>
      <c r="T999" s="189">
        <f t="shared" si="730"/>
        <v>1.29</v>
      </c>
      <c r="U999" s="189">
        <f t="shared" si="731"/>
        <v>0.15</v>
      </c>
      <c r="V999" s="189">
        <f t="shared" si="742"/>
        <v>0.28000000000000003</v>
      </c>
      <c r="W999" s="189">
        <f t="shared" si="707"/>
        <v>0</v>
      </c>
      <c r="X999" s="189">
        <f t="shared" si="681"/>
        <v>5.3900000000000006</v>
      </c>
      <c r="Y999" s="190">
        <f t="shared" si="682"/>
        <v>84.61</v>
      </c>
      <c r="Z999" s="191"/>
      <c r="AA999" s="192"/>
      <c r="AB999" s="193">
        <f t="shared" si="684"/>
        <v>1.7786561264822105E-2</v>
      </c>
      <c r="AC999" s="194">
        <f t="shared" si="685"/>
        <v>5.2800000000000004E-4</v>
      </c>
      <c r="AD999" s="189"/>
      <c r="AE999" s="195" t="s">
        <v>403</v>
      </c>
      <c r="AF999" s="119"/>
    </row>
    <row r="1000" spans="1:32" ht="12" hidden="1" customHeight="1">
      <c r="A1000" s="183">
        <v>44326</v>
      </c>
      <c r="B1000" s="184" t="s">
        <v>498</v>
      </c>
      <c r="C1000" s="184"/>
      <c r="D1000" s="184"/>
      <c r="E1000" s="184"/>
      <c r="F1000" s="184"/>
      <c r="G1000" s="184"/>
      <c r="H1000" s="184" t="s">
        <v>654</v>
      </c>
      <c r="I1000" s="184" t="s">
        <v>469</v>
      </c>
      <c r="J1000" s="184" t="s">
        <v>471</v>
      </c>
      <c r="K1000" s="185">
        <v>1075</v>
      </c>
      <c r="L1000" s="186">
        <v>21.2</v>
      </c>
      <c r="M1000" s="187">
        <v>21.25</v>
      </c>
      <c r="N1000" s="188">
        <f t="shared" si="695"/>
        <v>6.84</v>
      </c>
      <c r="O1000" s="188">
        <f t="shared" si="696"/>
        <v>6.85</v>
      </c>
      <c r="P1000" s="189">
        <f t="shared" si="674"/>
        <v>45633.75</v>
      </c>
      <c r="Q1000" s="189">
        <f t="shared" si="675"/>
        <v>53.750000000000767</v>
      </c>
      <c r="R1000" s="189">
        <f t="shared" si="740"/>
        <v>13.69</v>
      </c>
      <c r="S1000" s="189">
        <f t="shared" si="697"/>
        <v>2.75</v>
      </c>
      <c r="T1000" s="189">
        <f t="shared" si="730"/>
        <v>5.71</v>
      </c>
      <c r="U1000" s="189">
        <f t="shared" si="731"/>
        <v>0.68</v>
      </c>
      <c r="V1000" s="189">
        <f>ROUND(P1000*M$1809,2)</f>
        <v>1.57</v>
      </c>
      <c r="W1000" s="189">
        <f t="shared" si="707"/>
        <v>0</v>
      </c>
      <c r="X1000" s="189">
        <f t="shared" si="681"/>
        <v>24.4</v>
      </c>
      <c r="Y1000" s="190">
        <f t="shared" si="682"/>
        <v>29.35</v>
      </c>
      <c r="Z1000" s="191">
        <v>-47.57</v>
      </c>
      <c r="AA1000" s="192">
        <f>Z1000-Y1000-Y1001</f>
        <v>-0.15999999999999659</v>
      </c>
      <c r="AB1000" s="193">
        <f t="shared" si="684"/>
        <v>2.3584905660377696E-3</v>
      </c>
      <c r="AC1000" s="194">
        <f t="shared" si="685"/>
        <v>5.3499999999999999E-4</v>
      </c>
      <c r="AD1000" s="189"/>
      <c r="AE1000" s="195" t="s">
        <v>403</v>
      </c>
      <c r="AF1000" s="119"/>
    </row>
    <row r="1001" spans="1:32" ht="12" hidden="1" customHeight="1">
      <c r="A1001" s="183">
        <v>44326</v>
      </c>
      <c r="B1001" s="184" t="s">
        <v>697</v>
      </c>
      <c r="C1001" s="184"/>
      <c r="D1001" s="184"/>
      <c r="E1001" s="184"/>
      <c r="F1001" s="184"/>
      <c r="G1001" s="184"/>
      <c r="H1001" s="184" t="s">
        <v>654</v>
      </c>
      <c r="I1001" s="184" t="s">
        <v>469</v>
      </c>
      <c r="J1001" s="184" t="s">
        <v>471</v>
      </c>
      <c r="K1001" s="185">
        <v>75</v>
      </c>
      <c r="L1001" s="186">
        <v>465.68329999999997</v>
      </c>
      <c r="M1001" s="187">
        <v>465.15</v>
      </c>
      <c r="N1001" s="188">
        <f t="shared" si="695"/>
        <v>10.48</v>
      </c>
      <c r="O1001" s="188">
        <f t="shared" si="696"/>
        <v>10.47</v>
      </c>
      <c r="P1001" s="189">
        <f t="shared" si="674"/>
        <v>69812.5</v>
      </c>
      <c r="Q1001" s="189">
        <f t="shared" si="675"/>
        <v>-39.997499999999775</v>
      </c>
      <c r="R1001" s="189">
        <f t="shared" si="740"/>
        <v>20.95</v>
      </c>
      <c r="S1001" s="189">
        <f t="shared" si="697"/>
        <v>4.12</v>
      </c>
      <c r="T1001" s="189">
        <f t="shared" si="730"/>
        <v>8.7200000000000006</v>
      </c>
      <c r="U1001" s="189">
        <f t="shared" si="731"/>
        <v>1.05</v>
      </c>
      <c r="V1001" s="189">
        <f t="shared" ref="V1001:V1004" si="743">ROUND(P1001*L$1809,2)</f>
        <v>1.92</v>
      </c>
      <c r="W1001" s="189">
        <f t="shared" si="707"/>
        <v>0</v>
      </c>
      <c r="X1001" s="189">
        <f t="shared" si="681"/>
        <v>36.76</v>
      </c>
      <c r="Y1001" s="190">
        <f t="shared" si="682"/>
        <v>-76.760000000000005</v>
      </c>
      <c r="Z1001" s="191"/>
      <c r="AA1001" s="192"/>
      <c r="AB1001" s="193">
        <f t="shared" si="684"/>
        <v>-1.1451988937546118E-3</v>
      </c>
      <c r="AC1001" s="194">
        <f t="shared" si="685"/>
        <v>5.2700000000000002E-4</v>
      </c>
      <c r="AD1001" s="189"/>
      <c r="AE1001" s="195" t="s">
        <v>403</v>
      </c>
      <c r="AF1001" s="119"/>
    </row>
    <row r="1002" spans="1:32" ht="12" hidden="1" customHeight="1">
      <c r="A1002" s="183">
        <v>44330</v>
      </c>
      <c r="B1002" s="184" t="s">
        <v>495</v>
      </c>
      <c r="C1002" s="184"/>
      <c r="D1002" s="184"/>
      <c r="E1002" s="184"/>
      <c r="F1002" s="184"/>
      <c r="G1002" s="184"/>
      <c r="H1002" s="184" t="s">
        <v>654</v>
      </c>
      <c r="I1002" s="184" t="s">
        <v>469</v>
      </c>
      <c r="J1002" s="184" t="s">
        <v>471</v>
      </c>
      <c r="K1002" s="185">
        <v>100</v>
      </c>
      <c r="L1002" s="186">
        <v>51</v>
      </c>
      <c r="M1002" s="187">
        <v>51.8</v>
      </c>
      <c r="N1002" s="188">
        <f t="shared" si="695"/>
        <v>1.53</v>
      </c>
      <c r="O1002" s="188">
        <f t="shared" si="696"/>
        <v>1.55</v>
      </c>
      <c r="P1002" s="189">
        <f t="shared" si="674"/>
        <v>10280</v>
      </c>
      <c r="Q1002" s="189">
        <f t="shared" si="675"/>
        <v>79.999999999999716</v>
      </c>
      <c r="R1002" s="189">
        <f t="shared" si="740"/>
        <v>3.08</v>
      </c>
      <c r="S1002" s="189">
        <f t="shared" si="697"/>
        <v>0.6</v>
      </c>
      <c r="T1002" s="189">
        <f t="shared" si="730"/>
        <v>1.3</v>
      </c>
      <c r="U1002" s="189">
        <f t="shared" si="731"/>
        <v>0.15</v>
      </c>
      <c r="V1002" s="189">
        <f t="shared" si="743"/>
        <v>0.28000000000000003</v>
      </c>
      <c r="W1002" s="189">
        <f t="shared" ref="W1002:W1003" si="744">ROUND(P1002*J$1815,2)</f>
        <v>0.01</v>
      </c>
      <c r="X1002" s="189">
        <f t="shared" si="681"/>
        <v>5.4200000000000008</v>
      </c>
      <c r="Y1002" s="190">
        <f t="shared" si="682"/>
        <v>74.58</v>
      </c>
      <c r="Z1002" s="191">
        <v>267.01</v>
      </c>
      <c r="AA1002" s="192">
        <f>Z1002-Y1003-Y1002</f>
        <v>-0.84000000000001762</v>
      </c>
      <c r="AB1002" s="193">
        <f t="shared" si="684"/>
        <v>1.5686274509803866E-2</v>
      </c>
      <c r="AC1002" s="194">
        <f t="shared" si="685"/>
        <v>5.2700000000000002E-4</v>
      </c>
      <c r="AD1002" s="189"/>
      <c r="AE1002" s="195" t="s">
        <v>403</v>
      </c>
      <c r="AF1002" s="119"/>
    </row>
    <row r="1003" spans="1:32" ht="12" hidden="1" customHeight="1">
      <c r="A1003" s="183">
        <v>44330</v>
      </c>
      <c r="B1003" s="184" t="s">
        <v>481</v>
      </c>
      <c r="C1003" s="184"/>
      <c r="D1003" s="184"/>
      <c r="E1003" s="184"/>
      <c r="F1003" s="184"/>
      <c r="G1003" s="184"/>
      <c r="H1003" s="184" t="s">
        <v>654</v>
      </c>
      <c r="I1003" s="184" t="s">
        <v>469</v>
      </c>
      <c r="J1003" s="184" t="s">
        <v>471</v>
      </c>
      <c r="K1003" s="185">
        <v>50</v>
      </c>
      <c r="L1003" s="186">
        <v>125</v>
      </c>
      <c r="M1003" s="187">
        <v>129</v>
      </c>
      <c r="N1003" s="188">
        <f t="shared" si="695"/>
        <v>1.88</v>
      </c>
      <c r="O1003" s="188">
        <f t="shared" si="696"/>
        <v>1.94</v>
      </c>
      <c r="P1003" s="189">
        <f t="shared" si="674"/>
        <v>12700</v>
      </c>
      <c r="Q1003" s="189">
        <f t="shared" si="675"/>
        <v>200</v>
      </c>
      <c r="R1003" s="189">
        <f t="shared" si="740"/>
        <v>3.82</v>
      </c>
      <c r="S1003" s="189">
        <f t="shared" si="697"/>
        <v>0.75</v>
      </c>
      <c r="T1003" s="189">
        <f t="shared" si="730"/>
        <v>1.61</v>
      </c>
      <c r="U1003" s="189">
        <f t="shared" si="731"/>
        <v>0.19</v>
      </c>
      <c r="V1003" s="189">
        <f t="shared" si="743"/>
        <v>0.35</v>
      </c>
      <c r="W1003" s="189">
        <f t="shared" si="744"/>
        <v>0.01</v>
      </c>
      <c r="X1003" s="189">
        <f t="shared" si="681"/>
        <v>6.73</v>
      </c>
      <c r="Y1003" s="190">
        <f t="shared" si="682"/>
        <v>193.27</v>
      </c>
      <c r="Z1003" s="191"/>
      <c r="AA1003" s="192"/>
      <c r="AB1003" s="193">
        <f t="shared" si="684"/>
        <v>3.2000000000000001E-2</v>
      </c>
      <c r="AC1003" s="194">
        <f t="shared" si="685"/>
        <v>5.2999999999999998E-4</v>
      </c>
      <c r="AD1003" s="189"/>
      <c r="AE1003" s="195" t="s">
        <v>403</v>
      </c>
      <c r="AF1003" s="119"/>
    </row>
    <row r="1004" spans="1:32" ht="12" hidden="1" customHeight="1">
      <c r="A1004" s="183">
        <v>44333</v>
      </c>
      <c r="B1004" s="184" t="s">
        <v>457</v>
      </c>
      <c r="C1004" s="184"/>
      <c r="D1004" s="184"/>
      <c r="E1004" s="184"/>
      <c r="F1004" s="184"/>
      <c r="G1004" s="184"/>
      <c r="H1004" s="184" t="s">
        <v>654</v>
      </c>
      <c r="I1004" s="184" t="s">
        <v>469</v>
      </c>
      <c r="J1004" s="184" t="s">
        <v>471</v>
      </c>
      <c r="K1004" s="185">
        <v>100</v>
      </c>
      <c r="L1004" s="186">
        <v>67</v>
      </c>
      <c r="M1004" s="187">
        <v>69.650000000000006</v>
      </c>
      <c r="N1004" s="188">
        <f t="shared" si="695"/>
        <v>2.0099999999999998</v>
      </c>
      <c r="O1004" s="188">
        <f t="shared" si="696"/>
        <v>2.09</v>
      </c>
      <c r="P1004" s="189">
        <f t="shared" si="674"/>
        <v>13665</v>
      </c>
      <c r="Q1004" s="189">
        <f t="shared" si="675"/>
        <v>265.00000000000057</v>
      </c>
      <c r="R1004" s="189">
        <f t="shared" si="740"/>
        <v>4.0999999999999996</v>
      </c>
      <c r="S1004" s="189">
        <f t="shared" si="697"/>
        <v>0.81</v>
      </c>
      <c r="T1004" s="189">
        <f t="shared" si="730"/>
        <v>1.74</v>
      </c>
      <c r="U1004" s="189">
        <f t="shared" si="731"/>
        <v>0.2</v>
      </c>
      <c r="V1004" s="189">
        <f t="shared" si="743"/>
        <v>0.38</v>
      </c>
      <c r="W1004" s="189">
        <f>ROUND(P1004*I$1815,2)</f>
        <v>0</v>
      </c>
      <c r="X1004" s="189">
        <f t="shared" si="681"/>
        <v>7.23</v>
      </c>
      <c r="Y1004" s="190">
        <f t="shared" si="682"/>
        <v>257.77</v>
      </c>
      <c r="Z1004" s="191">
        <v>257.89999999999998</v>
      </c>
      <c r="AA1004" s="192">
        <f t="shared" ref="AA1004:AA1005" si="745">Z1004-Y1004</f>
        <v>0.12999999999999545</v>
      </c>
      <c r="AB1004" s="193">
        <f t="shared" si="684"/>
        <v>3.9552238805970232E-2</v>
      </c>
      <c r="AC1004" s="194">
        <f t="shared" si="685"/>
        <v>5.2899999999999996E-4</v>
      </c>
      <c r="AD1004" s="189"/>
      <c r="AE1004" s="195" t="s">
        <v>403</v>
      </c>
      <c r="AF1004" s="119"/>
    </row>
    <row r="1005" spans="1:32" ht="12" hidden="1" customHeight="1">
      <c r="A1005" s="183">
        <v>44335</v>
      </c>
      <c r="B1005" s="184" t="s">
        <v>698</v>
      </c>
      <c r="C1005" s="184"/>
      <c r="D1005" s="184"/>
      <c r="E1005" s="184"/>
      <c r="F1005" s="184"/>
      <c r="G1005" s="184"/>
      <c r="H1005" s="184" t="s">
        <v>654</v>
      </c>
      <c r="I1005" s="184" t="s">
        <v>469</v>
      </c>
      <c r="J1005" s="184" t="s">
        <v>471</v>
      </c>
      <c r="K1005" s="185">
        <v>15</v>
      </c>
      <c r="L1005" s="186">
        <v>667</v>
      </c>
      <c r="M1005" s="187">
        <v>685.05</v>
      </c>
      <c r="N1005" s="188">
        <f t="shared" si="695"/>
        <v>3</v>
      </c>
      <c r="O1005" s="188">
        <f t="shared" si="696"/>
        <v>3.08</v>
      </c>
      <c r="P1005" s="189">
        <f t="shared" si="674"/>
        <v>20280.75</v>
      </c>
      <c r="Q1005" s="189">
        <f t="shared" si="675"/>
        <v>270.74999999999932</v>
      </c>
      <c r="R1005" s="189">
        <f t="shared" si="740"/>
        <v>6.08</v>
      </c>
      <c r="S1005" s="189">
        <f t="shared" si="697"/>
        <v>1.22</v>
      </c>
      <c r="T1005" s="189">
        <f t="shared" si="730"/>
        <v>2.57</v>
      </c>
      <c r="U1005" s="189">
        <f t="shared" si="731"/>
        <v>0.3</v>
      </c>
      <c r="V1005" s="189">
        <f>ROUND(P1005*M$1809,2)</f>
        <v>0.7</v>
      </c>
      <c r="W1005" s="189">
        <f>ROUND(P1005*J$1815,2)</f>
        <v>0.02</v>
      </c>
      <c r="X1005" s="189">
        <f t="shared" si="681"/>
        <v>10.889999999999999</v>
      </c>
      <c r="Y1005" s="190">
        <f t="shared" si="682"/>
        <v>259.86</v>
      </c>
      <c r="Z1005" s="191">
        <f>259.86+0.66</f>
        <v>260.52000000000004</v>
      </c>
      <c r="AA1005" s="192">
        <f t="shared" si="745"/>
        <v>0.66000000000002501</v>
      </c>
      <c r="AB1005" s="193">
        <f t="shared" si="684"/>
        <v>2.7061469265367247E-2</v>
      </c>
      <c r="AC1005" s="194">
        <f t="shared" si="685"/>
        <v>5.3700000000000004E-4</v>
      </c>
      <c r="AD1005" s="189"/>
      <c r="AE1005" s="195" t="s">
        <v>403</v>
      </c>
      <c r="AF1005" s="119"/>
    </row>
    <row r="1006" spans="1:32" ht="12" hidden="1" customHeight="1">
      <c r="A1006" s="183">
        <v>44336</v>
      </c>
      <c r="B1006" s="184" t="s">
        <v>699</v>
      </c>
      <c r="C1006" s="184"/>
      <c r="D1006" s="184"/>
      <c r="E1006" s="184"/>
      <c r="F1006" s="184"/>
      <c r="G1006" s="184"/>
      <c r="H1006" s="184" t="s">
        <v>654</v>
      </c>
      <c r="I1006" s="184" t="s">
        <v>469</v>
      </c>
      <c r="J1006" s="184" t="s">
        <v>471</v>
      </c>
      <c r="K1006" s="185">
        <v>100</v>
      </c>
      <c r="L1006" s="186">
        <v>140</v>
      </c>
      <c r="M1006" s="187">
        <v>140.94999999999999</v>
      </c>
      <c r="N1006" s="188">
        <f t="shared" si="695"/>
        <v>4.2</v>
      </c>
      <c r="O1006" s="188">
        <f t="shared" si="696"/>
        <v>4.2300000000000004</v>
      </c>
      <c r="P1006" s="189">
        <f t="shared" si="674"/>
        <v>28095</v>
      </c>
      <c r="Q1006" s="189">
        <f t="shared" si="675"/>
        <v>94.999999999998863</v>
      </c>
      <c r="R1006" s="189">
        <f t="shared" si="740"/>
        <v>8.43</v>
      </c>
      <c r="S1006" s="189">
        <f t="shared" si="697"/>
        <v>1.66</v>
      </c>
      <c r="T1006" s="189">
        <f t="shared" si="730"/>
        <v>3.52</v>
      </c>
      <c r="U1006" s="189">
        <f t="shared" si="731"/>
        <v>0.42</v>
      </c>
      <c r="V1006" s="189">
        <f t="shared" ref="V1006:V1010" si="746">ROUND(P1006*L$1809,2)</f>
        <v>0.77</v>
      </c>
      <c r="W1006" s="189">
        <f t="shared" ref="W1006:W1043" si="747">ROUND(P1006*I$1815,2)</f>
        <v>0</v>
      </c>
      <c r="X1006" s="189">
        <f t="shared" si="681"/>
        <v>14.799999999999999</v>
      </c>
      <c r="Y1006" s="190">
        <f t="shared" si="682"/>
        <v>80.2</v>
      </c>
      <c r="Z1006" s="191">
        <v>-248.06</v>
      </c>
      <c r="AA1006" s="192">
        <f>Z1006-Y1006-Y1007-Y1008</f>
        <v>-0.3699999999999477</v>
      </c>
      <c r="AB1006" s="193">
        <f t="shared" si="684"/>
        <v>6.7857142857142049E-3</v>
      </c>
      <c r="AC1006" s="194">
        <f t="shared" si="685"/>
        <v>5.2700000000000002E-4</v>
      </c>
      <c r="AD1006" s="189"/>
      <c r="AE1006" s="195" t="s">
        <v>403</v>
      </c>
      <c r="AF1006" s="119"/>
    </row>
    <row r="1007" spans="1:32" ht="12" hidden="1" customHeight="1">
      <c r="A1007" s="183">
        <v>44336</v>
      </c>
      <c r="B1007" s="184" t="s">
        <v>486</v>
      </c>
      <c r="C1007" s="184"/>
      <c r="D1007" s="184"/>
      <c r="E1007" s="184"/>
      <c r="F1007" s="184"/>
      <c r="G1007" s="184"/>
      <c r="H1007" s="184" t="s">
        <v>654</v>
      </c>
      <c r="I1007" s="184" t="s">
        <v>469</v>
      </c>
      <c r="J1007" s="184" t="s">
        <v>471</v>
      </c>
      <c r="K1007" s="185">
        <v>250</v>
      </c>
      <c r="L1007" s="186">
        <v>568.39739999999995</v>
      </c>
      <c r="M1007" s="187">
        <v>566.79999999999995</v>
      </c>
      <c r="N1007" s="188">
        <f t="shared" si="695"/>
        <v>20</v>
      </c>
      <c r="O1007" s="188">
        <f t="shared" si="696"/>
        <v>20</v>
      </c>
      <c r="P1007" s="189">
        <f t="shared" si="674"/>
        <v>283799.34999999998</v>
      </c>
      <c r="Q1007" s="189">
        <f t="shared" si="675"/>
        <v>-399.34999999999832</v>
      </c>
      <c r="R1007" s="189">
        <v>81</v>
      </c>
      <c r="S1007" s="189">
        <f t="shared" si="697"/>
        <v>15.98</v>
      </c>
      <c r="T1007" s="189">
        <f t="shared" si="730"/>
        <v>35.43</v>
      </c>
      <c r="U1007" s="189">
        <f t="shared" si="731"/>
        <v>4.26</v>
      </c>
      <c r="V1007" s="189">
        <f t="shared" si="746"/>
        <v>7.8</v>
      </c>
      <c r="W1007" s="189">
        <f t="shared" si="747"/>
        <v>0</v>
      </c>
      <c r="X1007" s="189">
        <f t="shared" si="681"/>
        <v>144.47</v>
      </c>
      <c r="Y1007" s="190">
        <f t="shared" si="682"/>
        <v>-543.82000000000005</v>
      </c>
      <c r="Z1007" s="191"/>
      <c r="AA1007" s="192"/>
      <c r="AB1007" s="193">
        <f t="shared" si="684"/>
        <v>-2.8103576828465322E-3</v>
      </c>
      <c r="AC1007" s="194">
        <f t="shared" si="685"/>
        <v>5.0900000000000001E-4</v>
      </c>
      <c r="AD1007" s="189"/>
      <c r="AE1007" s="195" t="s">
        <v>403</v>
      </c>
      <c r="AF1007" s="119"/>
    </row>
    <row r="1008" spans="1:32" ht="12" hidden="1" customHeight="1">
      <c r="A1008" s="183">
        <v>44336</v>
      </c>
      <c r="B1008" s="184" t="s">
        <v>700</v>
      </c>
      <c r="C1008" s="184"/>
      <c r="D1008" s="184"/>
      <c r="E1008" s="184"/>
      <c r="F1008" s="184"/>
      <c r="G1008" s="184"/>
      <c r="H1008" s="184" t="s">
        <v>654</v>
      </c>
      <c r="I1008" s="184" t="s">
        <v>469</v>
      </c>
      <c r="J1008" s="184" t="s">
        <v>471</v>
      </c>
      <c r="K1008" s="185">
        <v>10</v>
      </c>
      <c r="L1008" s="186">
        <v>3220</v>
      </c>
      <c r="M1008" s="187">
        <v>3245</v>
      </c>
      <c r="N1008" s="188">
        <f t="shared" si="695"/>
        <v>9.66</v>
      </c>
      <c r="O1008" s="188">
        <f t="shared" si="696"/>
        <v>9.74</v>
      </c>
      <c r="P1008" s="189">
        <f t="shared" si="674"/>
        <v>64650</v>
      </c>
      <c r="Q1008" s="189">
        <f t="shared" si="675"/>
        <v>250</v>
      </c>
      <c r="R1008" s="189">
        <f t="shared" ref="R1008:R1009" si="748">ROUND(N1008+O1008,2)</f>
        <v>19.399999999999999</v>
      </c>
      <c r="S1008" s="189">
        <f t="shared" si="697"/>
        <v>3.81</v>
      </c>
      <c r="T1008" s="189">
        <f t="shared" si="730"/>
        <v>8.11</v>
      </c>
      <c r="U1008" s="189">
        <f t="shared" si="731"/>
        <v>0.97</v>
      </c>
      <c r="V1008" s="189">
        <f t="shared" si="746"/>
        <v>1.78</v>
      </c>
      <c r="W1008" s="189">
        <f t="shared" si="747"/>
        <v>0</v>
      </c>
      <c r="X1008" s="189">
        <f t="shared" si="681"/>
        <v>34.07</v>
      </c>
      <c r="Y1008" s="190">
        <f t="shared" si="682"/>
        <v>215.93</v>
      </c>
      <c r="Z1008" s="191"/>
      <c r="AA1008" s="192"/>
      <c r="AB1008" s="193">
        <f t="shared" si="684"/>
        <v>7.763975155279503E-3</v>
      </c>
      <c r="AC1008" s="194">
        <f t="shared" si="685"/>
        <v>5.2700000000000002E-4</v>
      </c>
      <c r="AD1008" s="189"/>
      <c r="AE1008" s="195" t="s">
        <v>403</v>
      </c>
      <c r="AF1008" s="119"/>
    </row>
    <row r="1009" spans="1:32" ht="12" hidden="1" customHeight="1">
      <c r="A1009" s="183">
        <v>44337</v>
      </c>
      <c r="B1009" s="184" t="s">
        <v>700</v>
      </c>
      <c r="C1009" s="184"/>
      <c r="D1009" s="184"/>
      <c r="E1009" s="184"/>
      <c r="F1009" s="184"/>
      <c r="G1009" s="184"/>
      <c r="H1009" s="184" t="s">
        <v>654</v>
      </c>
      <c r="I1009" s="184" t="s">
        <v>469</v>
      </c>
      <c r="J1009" s="184" t="s">
        <v>471</v>
      </c>
      <c r="K1009" s="185">
        <v>10</v>
      </c>
      <c r="L1009" s="186">
        <v>3230</v>
      </c>
      <c r="M1009" s="187">
        <v>3236</v>
      </c>
      <c r="N1009" s="188">
        <f t="shared" si="695"/>
        <v>9.69</v>
      </c>
      <c r="O1009" s="188">
        <f t="shared" si="696"/>
        <v>9.7100000000000009</v>
      </c>
      <c r="P1009" s="189">
        <f t="shared" si="674"/>
        <v>64660</v>
      </c>
      <c r="Q1009" s="189">
        <f t="shared" si="675"/>
        <v>60</v>
      </c>
      <c r="R1009" s="189">
        <f t="shared" si="748"/>
        <v>19.399999999999999</v>
      </c>
      <c r="S1009" s="189">
        <f t="shared" si="697"/>
        <v>3.81</v>
      </c>
      <c r="T1009" s="189">
        <f t="shared" si="730"/>
        <v>8.09</v>
      </c>
      <c r="U1009" s="189">
        <f t="shared" si="731"/>
        <v>0.97</v>
      </c>
      <c r="V1009" s="189">
        <f t="shared" si="746"/>
        <v>1.78</v>
      </c>
      <c r="W1009" s="189">
        <f t="shared" si="747"/>
        <v>0</v>
      </c>
      <c r="X1009" s="189">
        <f t="shared" si="681"/>
        <v>34.049999999999997</v>
      </c>
      <c r="Y1009" s="190">
        <f t="shared" si="682"/>
        <v>25.95</v>
      </c>
      <c r="Z1009" s="191">
        <v>136.4</v>
      </c>
      <c r="AA1009" s="192">
        <f>Z1009-Y1009-Y1010-Y1011</f>
        <v>7.000000000000739E-2</v>
      </c>
      <c r="AB1009" s="193">
        <f t="shared" si="684"/>
        <v>1.8575851393188853E-3</v>
      </c>
      <c r="AC1009" s="194">
        <f t="shared" si="685"/>
        <v>5.2700000000000002E-4</v>
      </c>
      <c r="AD1009" s="189"/>
      <c r="AE1009" s="195" t="s">
        <v>403</v>
      </c>
      <c r="AF1009" s="119"/>
    </row>
    <row r="1010" spans="1:32" ht="12" hidden="1" customHeight="1">
      <c r="A1010" s="183">
        <v>44337</v>
      </c>
      <c r="B1010" s="184" t="s">
        <v>701</v>
      </c>
      <c r="C1010" s="184"/>
      <c r="D1010" s="184"/>
      <c r="E1010" s="184"/>
      <c r="F1010" s="184"/>
      <c r="G1010" s="184"/>
      <c r="H1010" s="184" t="s">
        <v>654</v>
      </c>
      <c r="I1010" s="184" t="s">
        <v>469</v>
      </c>
      <c r="J1010" s="184" t="s">
        <v>471</v>
      </c>
      <c r="K1010" s="185">
        <v>10</v>
      </c>
      <c r="L1010" s="186">
        <v>1870</v>
      </c>
      <c r="M1010" s="187">
        <v>1876</v>
      </c>
      <c r="N1010" s="188">
        <f t="shared" si="695"/>
        <v>5.61</v>
      </c>
      <c r="O1010" s="188">
        <f t="shared" si="696"/>
        <v>5.63</v>
      </c>
      <c r="P1010" s="189">
        <f t="shared" si="674"/>
        <v>37460</v>
      </c>
      <c r="Q1010" s="189">
        <f t="shared" si="675"/>
        <v>60</v>
      </c>
      <c r="R1010" s="189">
        <f>ROUND(N1010+O1010,2)+2</f>
        <v>13.24</v>
      </c>
      <c r="S1010" s="189">
        <f t="shared" si="697"/>
        <v>2.57</v>
      </c>
      <c r="T1010" s="189">
        <f t="shared" si="730"/>
        <v>4.6900000000000004</v>
      </c>
      <c r="U1010" s="189">
        <f t="shared" si="731"/>
        <v>0.56000000000000005</v>
      </c>
      <c r="V1010" s="189">
        <f t="shared" si="746"/>
        <v>1.03</v>
      </c>
      <c r="W1010" s="189">
        <f t="shared" si="747"/>
        <v>0</v>
      </c>
      <c r="X1010" s="189">
        <f t="shared" si="681"/>
        <v>22.09</v>
      </c>
      <c r="Y1010" s="190">
        <f t="shared" si="682"/>
        <v>37.909999999999997</v>
      </c>
      <c r="Z1010" s="191"/>
      <c r="AA1010" s="192"/>
      <c r="AB1010" s="193">
        <f t="shared" si="684"/>
        <v>3.2085561497326204E-3</v>
      </c>
      <c r="AC1010" s="194">
        <f t="shared" si="685"/>
        <v>5.9000000000000003E-4</v>
      </c>
      <c r="AD1010" s="189"/>
      <c r="AE1010" s="195" t="s">
        <v>403</v>
      </c>
      <c r="AF1010" s="119"/>
    </row>
    <row r="1011" spans="1:32" ht="12" hidden="1" customHeight="1">
      <c r="A1011" s="183">
        <v>44337</v>
      </c>
      <c r="B1011" s="184" t="s">
        <v>500</v>
      </c>
      <c r="C1011" s="184"/>
      <c r="D1011" s="184"/>
      <c r="E1011" s="184"/>
      <c r="F1011" s="184"/>
      <c r="G1011" s="184"/>
      <c r="H1011" s="184" t="s">
        <v>654</v>
      </c>
      <c r="I1011" s="184" t="s">
        <v>469</v>
      </c>
      <c r="J1011" s="184" t="s">
        <v>471</v>
      </c>
      <c r="K1011" s="185">
        <v>1000</v>
      </c>
      <c r="L1011" s="186">
        <v>119.125</v>
      </c>
      <c r="M1011" s="187">
        <v>119.325</v>
      </c>
      <c r="N1011" s="188">
        <f t="shared" si="695"/>
        <v>20</v>
      </c>
      <c r="O1011" s="188">
        <f t="shared" si="696"/>
        <v>20</v>
      </c>
      <c r="P1011" s="189">
        <f t="shared" si="674"/>
        <v>238450</v>
      </c>
      <c r="Q1011" s="189">
        <f t="shared" si="675"/>
        <v>200.00000000000284</v>
      </c>
      <c r="R1011" s="189">
        <v>71.539999999999992</v>
      </c>
      <c r="S1011" s="189">
        <f t="shared" si="697"/>
        <v>14.36</v>
      </c>
      <c r="T1011" s="189">
        <f t="shared" si="730"/>
        <v>29.83</v>
      </c>
      <c r="U1011" s="189">
        <f t="shared" si="731"/>
        <v>3.57</v>
      </c>
      <c r="V1011" s="189">
        <f t="shared" ref="V1011:V1012" si="749">ROUND(P1011*M$1809,2)</f>
        <v>8.23</v>
      </c>
      <c r="W1011" s="189">
        <f t="shared" si="747"/>
        <v>0</v>
      </c>
      <c r="X1011" s="189">
        <f t="shared" si="681"/>
        <v>127.52999999999999</v>
      </c>
      <c r="Y1011" s="190">
        <f t="shared" si="682"/>
        <v>72.47</v>
      </c>
      <c r="Z1011" s="191"/>
      <c r="AA1011" s="192"/>
      <c r="AB1011" s="193">
        <f t="shared" si="684"/>
        <v>1.6789087093389535E-3</v>
      </c>
      <c r="AC1011" s="194">
        <f t="shared" si="685"/>
        <v>5.3499999999999999E-4</v>
      </c>
      <c r="AD1011" s="189"/>
      <c r="AE1011" s="195" t="s">
        <v>403</v>
      </c>
      <c r="AF1011" s="119"/>
    </row>
    <row r="1012" spans="1:32" ht="12" hidden="1" customHeight="1">
      <c r="A1012" s="183">
        <v>44340</v>
      </c>
      <c r="B1012" s="184" t="s">
        <v>503</v>
      </c>
      <c r="C1012" s="184"/>
      <c r="D1012" s="184"/>
      <c r="E1012" s="184"/>
      <c r="F1012" s="184"/>
      <c r="G1012" s="184"/>
      <c r="H1012" s="184" t="s">
        <v>654</v>
      </c>
      <c r="I1012" s="184" t="s">
        <v>469</v>
      </c>
      <c r="J1012" s="184" t="s">
        <v>471</v>
      </c>
      <c r="K1012" s="185">
        <v>100</v>
      </c>
      <c r="L1012" s="186">
        <v>108.4</v>
      </c>
      <c r="M1012" s="187">
        <v>108.25</v>
      </c>
      <c r="N1012" s="188">
        <f t="shared" si="695"/>
        <v>3.25</v>
      </c>
      <c r="O1012" s="188">
        <f t="shared" si="696"/>
        <v>3.25</v>
      </c>
      <c r="P1012" s="189">
        <f t="shared" si="674"/>
        <v>21665</v>
      </c>
      <c r="Q1012" s="189">
        <f t="shared" si="675"/>
        <v>-15.000000000000568</v>
      </c>
      <c r="R1012" s="189">
        <f t="shared" ref="R1012:R1049" si="750">ROUND(N1012+O1012,2)</f>
        <v>6.5</v>
      </c>
      <c r="S1012" s="189">
        <f t="shared" si="697"/>
        <v>1.31</v>
      </c>
      <c r="T1012" s="189">
        <f t="shared" si="730"/>
        <v>2.71</v>
      </c>
      <c r="U1012" s="189">
        <f t="shared" si="731"/>
        <v>0.33</v>
      </c>
      <c r="V1012" s="189">
        <f t="shared" si="749"/>
        <v>0.75</v>
      </c>
      <c r="W1012" s="189">
        <f t="shared" si="747"/>
        <v>0</v>
      </c>
      <c r="X1012" s="189">
        <f t="shared" si="681"/>
        <v>11.6</v>
      </c>
      <c r="Y1012" s="190">
        <f t="shared" si="682"/>
        <v>-26.6</v>
      </c>
      <c r="Z1012" s="191">
        <v>-26.42</v>
      </c>
      <c r="AA1012" s="192">
        <f t="shared" ref="AA1012:AA1016" si="751">Z1012-Y1012</f>
        <v>0.17999999999999972</v>
      </c>
      <c r="AB1012" s="193">
        <f t="shared" si="684"/>
        <v>-1.3837638376384288E-3</v>
      </c>
      <c r="AC1012" s="194">
        <f t="shared" si="685"/>
        <v>5.3499999999999999E-4</v>
      </c>
      <c r="AD1012" s="189"/>
      <c r="AE1012" s="195" t="s">
        <v>403</v>
      </c>
      <c r="AF1012" s="119"/>
    </row>
    <row r="1013" spans="1:32" ht="12" hidden="1" customHeight="1">
      <c r="A1013" s="183">
        <v>44341</v>
      </c>
      <c r="B1013" s="184" t="s">
        <v>683</v>
      </c>
      <c r="C1013" s="184"/>
      <c r="D1013" s="184"/>
      <c r="E1013" s="184"/>
      <c r="F1013" s="184"/>
      <c r="G1013" s="184"/>
      <c r="H1013" s="184" t="s">
        <v>654</v>
      </c>
      <c r="I1013" s="184" t="s">
        <v>469</v>
      </c>
      <c r="J1013" s="184" t="s">
        <v>471</v>
      </c>
      <c r="K1013" s="185">
        <v>50</v>
      </c>
      <c r="L1013" s="186">
        <v>286</v>
      </c>
      <c r="M1013" s="187">
        <v>288</v>
      </c>
      <c r="N1013" s="188">
        <f t="shared" si="695"/>
        <v>4.29</v>
      </c>
      <c r="O1013" s="188">
        <f t="shared" si="696"/>
        <v>4.32</v>
      </c>
      <c r="P1013" s="189">
        <f t="shared" si="674"/>
        <v>28700</v>
      </c>
      <c r="Q1013" s="189">
        <f t="shared" si="675"/>
        <v>100</v>
      </c>
      <c r="R1013" s="189">
        <f t="shared" si="750"/>
        <v>8.61</v>
      </c>
      <c r="S1013" s="189">
        <f t="shared" si="697"/>
        <v>1.69</v>
      </c>
      <c r="T1013" s="189">
        <f t="shared" si="730"/>
        <v>3.6</v>
      </c>
      <c r="U1013" s="189">
        <f t="shared" si="731"/>
        <v>0.43</v>
      </c>
      <c r="V1013" s="189">
        <f t="shared" ref="V1013:V1014" si="752">ROUND(P1013*L$1809,2)</f>
        <v>0.79</v>
      </c>
      <c r="W1013" s="189">
        <f t="shared" si="747"/>
        <v>0</v>
      </c>
      <c r="X1013" s="189">
        <f t="shared" si="681"/>
        <v>15.119999999999997</v>
      </c>
      <c r="Y1013" s="190">
        <f t="shared" si="682"/>
        <v>84.88</v>
      </c>
      <c r="Z1013" s="191">
        <v>85.81</v>
      </c>
      <c r="AA1013" s="192">
        <f t="shared" si="751"/>
        <v>0.93000000000000682</v>
      </c>
      <c r="AB1013" s="193">
        <f t="shared" si="684"/>
        <v>6.993006993006993E-3</v>
      </c>
      <c r="AC1013" s="194">
        <f t="shared" si="685"/>
        <v>5.2700000000000002E-4</v>
      </c>
      <c r="AD1013" s="189"/>
      <c r="AE1013" s="195" t="s">
        <v>403</v>
      </c>
      <c r="AF1013" s="119"/>
    </row>
    <row r="1014" spans="1:32" ht="12" hidden="1" customHeight="1">
      <c r="A1014" s="183">
        <v>44342</v>
      </c>
      <c r="B1014" s="184" t="s">
        <v>702</v>
      </c>
      <c r="C1014" s="184"/>
      <c r="D1014" s="184"/>
      <c r="E1014" s="184"/>
      <c r="F1014" s="184"/>
      <c r="G1014" s="184"/>
      <c r="H1014" s="184" t="s">
        <v>654</v>
      </c>
      <c r="I1014" s="184" t="s">
        <v>469</v>
      </c>
      <c r="J1014" s="184" t="s">
        <v>471</v>
      </c>
      <c r="K1014" s="185">
        <v>50</v>
      </c>
      <c r="L1014" s="186">
        <v>843.6</v>
      </c>
      <c r="M1014" s="187">
        <v>846</v>
      </c>
      <c r="N1014" s="188">
        <f t="shared" si="695"/>
        <v>12.65</v>
      </c>
      <c r="O1014" s="188">
        <f t="shared" si="696"/>
        <v>12.69</v>
      </c>
      <c r="P1014" s="189">
        <f t="shared" si="674"/>
        <v>84480</v>
      </c>
      <c r="Q1014" s="189">
        <f t="shared" si="675"/>
        <v>119.99999999999886</v>
      </c>
      <c r="R1014" s="189">
        <f t="shared" si="750"/>
        <v>25.34</v>
      </c>
      <c r="S1014" s="189">
        <f t="shared" si="697"/>
        <v>4.9800000000000004</v>
      </c>
      <c r="T1014" s="189">
        <f t="shared" si="730"/>
        <v>10.58</v>
      </c>
      <c r="U1014" s="189">
        <f t="shared" si="731"/>
        <v>1.27</v>
      </c>
      <c r="V1014" s="189">
        <f t="shared" si="752"/>
        <v>2.3199999999999998</v>
      </c>
      <c r="W1014" s="189">
        <f t="shared" si="747"/>
        <v>0</v>
      </c>
      <c r="X1014" s="189">
        <f t="shared" si="681"/>
        <v>44.49</v>
      </c>
      <c r="Y1014" s="190">
        <f t="shared" si="682"/>
        <v>75.510000000000005</v>
      </c>
      <c r="Z1014" s="191">
        <v>75.22999999999999</v>
      </c>
      <c r="AA1014" s="192">
        <f t="shared" si="751"/>
        <v>-0.28000000000001535</v>
      </c>
      <c r="AB1014" s="193">
        <f t="shared" si="684"/>
        <v>2.8449502133712388E-3</v>
      </c>
      <c r="AC1014" s="194">
        <f t="shared" si="685"/>
        <v>5.2700000000000002E-4</v>
      </c>
      <c r="AD1014" s="189"/>
      <c r="AE1014" s="195" t="s">
        <v>403</v>
      </c>
      <c r="AF1014" s="119"/>
    </row>
    <row r="1015" spans="1:32" ht="12" hidden="1" customHeight="1">
      <c r="A1015" s="183">
        <v>44343</v>
      </c>
      <c r="B1015" s="184" t="s">
        <v>514</v>
      </c>
      <c r="C1015" s="184"/>
      <c r="D1015" s="184"/>
      <c r="E1015" s="184"/>
      <c r="F1015" s="184"/>
      <c r="G1015" s="184"/>
      <c r="H1015" s="184" t="s">
        <v>654</v>
      </c>
      <c r="I1015" s="184" t="s">
        <v>469</v>
      </c>
      <c r="J1015" s="184" t="s">
        <v>471</v>
      </c>
      <c r="K1015" s="185">
        <v>100</v>
      </c>
      <c r="L1015" s="186">
        <v>209</v>
      </c>
      <c r="M1015" s="187">
        <v>208.95</v>
      </c>
      <c r="N1015" s="188">
        <f t="shared" si="695"/>
        <v>6.27</v>
      </c>
      <c r="O1015" s="188">
        <f t="shared" si="696"/>
        <v>6.27</v>
      </c>
      <c r="P1015" s="189">
        <f t="shared" si="674"/>
        <v>41795</v>
      </c>
      <c r="Q1015" s="189">
        <f t="shared" si="675"/>
        <v>-5.0000000000011369</v>
      </c>
      <c r="R1015" s="189">
        <f t="shared" si="750"/>
        <v>12.54</v>
      </c>
      <c r="S1015" s="189">
        <f t="shared" si="697"/>
        <v>2.52</v>
      </c>
      <c r="T1015" s="189">
        <f t="shared" si="730"/>
        <v>5.22</v>
      </c>
      <c r="U1015" s="189">
        <f t="shared" si="731"/>
        <v>0.63</v>
      </c>
      <c r="V1015" s="189">
        <f>ROUND(P1015*M$1809,2)</f>
        <v>1.44</v>
      </c>
      <c r="W1015" s="189">
        <f t="shared" si="747"/>
        <v>0</v>
      </c>
      <c r="X1015" s="189">
        <f t="shared" si="681"/>
        <v>22.349999999999998</v>
      </c>
      <c r="Y1015" s="190">
        <f t="shared" si="682"/>
        <v>-27.35</v>
      </c>
      <c r="Z1015" s="191">
        <v>-28.59</v>
      </c>
      <c r="AA1015" s="192">
        <f t="shared" si="751"/>
        <v>-1.2399999999999984</v>
      </c>
      <c r="AB1015" s="193">
        <f t="shared" si="684"/>
        <v>-2.3923444976081996E-4</v>
      </c>
      <c r="AC1015" s="194">
        <f t="shared" si="685"/>
        <v>5.3499999999999999E-4</v>
      </c>
      <c r="AD1015" s="189"/>
      <c r="AE1015" s="195" t="s">
        <v>403</v>
      </c>
      <c r="AF1015" s="119"/>
    </row>
    <row r="1016" spans="1:32" ht="12" hidden="1" customHeight="1">
      <c r="A1016" s="183">
        <v>44356</v>
      </c>
      <c r="B1016" s="184" t="s">
        <v>585</v>
      </c>
      <c r="C1016" s="184"/>
      <c r="D1016" s="184"/>
      <c r="E1016" s="184"/>
      <c r="F1016" s="184"/>
      <c r="G1016" s="184"/>
      <c r="H1016" s="184" t="s">
        <v>654</v>
      </c>
      <c r="I1016" s="184" t="s">
        <v>469</v>
      </c>
      <c r="J1016" s="184" t="s">
        <v>471</v>
      </c>
      <c r="K1016" s="185">
        <v>100</v>
      </c>
      <c r="L1016" s="186">
        <v>97</v>
      </c>
      <c r="M1016" s="187">
        <v>97.25</v>
      </c>
      <c r="N1016" s="188">
        <f t="shared" si="695"/>
        <v>2.91</v>
      </c>
      <c r="O1016" s="188">
        <f t="shared" si="696"/>
        <v>2.92</v>
      </c>
      <c r="P1016" s="189">
        <f t="shared" si="674"/>
        <v>19425</v>
      </c>
      <c r="Q1016" s="189">
        <f t="shared" si="675"/>
        <v>25</v>
      </c>
      <c r="R1016" s="189">
        <f t="shared" si="750"/>
        <v>5.83</v>
      </c>
      <c r="S1016" s="189">
        <f t="shared" si="697"/>
        <v>1.1399999999999999</v>
      </c>
      <c r="T1016" s="189">
        <f t="shared" si="730"/>
        <v>2.4300000000000002</v>
      </c>
      <c r="U1016" s="189">
        <f t="shared" si="731"/>
        <v>0.28999999999999998</v>
      </c>
      <c r="V1016" s="189">
        <f t="shared" ref="V1016:V1023" si="753">ROUND(P1016*L$1809,2)</f>
        <v>0.53</v>
      </c>
      <c r="W1016" s="189">
        <f t="shared" si="747"/>
        <v>0</v>
      </c>
      <c r="X1016" s="189">
        <f t="shared" si="681"/>
        <v>10.219999999999999</v>
      </c>
      <c r="Y1016" s="190">
        <f t="shared" si="682"/>
        <v>14.78</v>
      </c>
      <c r="Z1016" s="191">
        <v>14.91</v>
      </c>
      <c r="AA1016" s="192">
        <f t="shared" si="751"/>
        <v>0.13000000000000078</v>
      </c>
      <c r="AB1016" s="193">
        <f t="shared" si="684"/>
        <v>2.5773195876288659E-3</v>
      </c>
      <c r="AC1016" s="194">
        <f t="shared" si="685"/>
        <v>5.2599999999999999E-4</v>
      </c>
      <c r="AD1016" s="189"/>
      <c r="AE1016" s="195" t="s">
        <v>403</v>
      </c>
      <c r="AF1016" s="119"/>
    </row>
    <row r="1017" spans="1:32" ht="12" hidden="1" customHeight="1">
      <c r="A1017" s="183">
        <v>44357</v>
      </c>
      <c r="B1017" s="184" t="s">
        <v>703</v>
      </c>
      <c r="C1017" s="184"/>
      <c r="D1017" s="184"/>
      <c r="E1017" s="184"/>
      <c r="F1017" s="184"/>
      <c r="G1017" s="184"/>
      <c r="H1017" s="184" t="s">
        <v>654</v>
      </c>
      <c r="I1017" s="184" t="s">
        <v>469</v>
      </c>
      <c r="J1017" s="184" t="s">
        <v>471</v>
      </c>
      <c r="K1017" s="185">
        <v>50</v>
      </c>
      <c r="L1017" s="186">
        <v>252</v>
      </c>
      <c r="M1017" s="187">
        <v>256.55</v>
      </c>
      <c r="N1017" s="188">
        <f t="shared" si="695"/>
        <v>3.78</v>
      </c>
      <c r="O1017" s="188">
        <f t="shared" si="696"/>
        <v>3.85</v>
      </c>
      <c r="P1017" s="189">
        <f t="shared" si="674"/>
        <v>25427.5</v>
      </c>
      <c r="Q1017" s="189">
        <f t="shared" si="675"/>
        <v>227.50000000000057</v>
      </c>
      <c r="R1017" s="189">
        <f t="shared" si="750"/>
        <v>7.63</v>
      </c>
      <c r="S1017" s="189">
        <f t="shared" si="697"/>
        <v>1.5</v>
      </c>
      <c r="T1017" s="189">
        <f t="shared" si="730"/>
        <v>3.21</v>
      </c>
      <c r="U1017" s="189">
        <f t="shared" si="731"/>
        <v>0.38</v>
      </c>
      <c r="V1017" s="189">
        <f t="shared" si="753"/>
        <v>0.7</v>
      </c>
      <c r="W1017" s="189">
        <f t="shared" si="747"/>
        <v>0</v>
      </c>
      <c r="X1017" s="189">
        <f t="shared" si="681"/>
        <v>13.42</v>
      </c>
      <c r="Y1017" s="190">
        <f t="shared" si="682"/>
        <v>214.08</v>
      </c>
      <c r="Z1017" s="191">
        <v>792.76</v>
      </c>
      <c r="AA1017" s="192">
        <f>Z1017-Y1018-Y1017</f>
        <v>-1.000000000007617E-2</v>
      </c>
      <c r="AB1017" s="193">
        <f t="shared" si="684"/>
        <v>1.8055555555555599E-2</v>
      </c>
      <c r="AC1017" s="194">
        <f t="shared" si="685"/>
        <v>5.2800000000000004E-4</v>
      </c>
      <c r="AD1017" s="189"/>
      <c r="AE1017" s="195" t="s">
        <v>403</v>
      </c>
      <c r="AF1017" s="119"/>
    </row>
    <row r="1018" spans="1:32" ht="12" hidden="1" customHeight="1">
      <c r="A1018" s="183">
        <v>44357</v>
      </c>
      <c r="B1018" s="184" t="s">
        <v>704</v>
      </c>
      <c r="C1018" s="184"/>
      <c r="D1018" s="184"/>
      <c r="E1018" s="184"/>
      <c r="F1018" s="184"/>
      <c r="G1018" s="184"/>
      <c r="H1018" s="184" t="s">
        <v>654</v>
      </c>
      <c r="I1018" s="184" t="s">
        <v>469</v>
      </c>
      <c r="J1018" s="184" t="s">
        <v>471</v>
      </c>
      <c r="K1018" s="185">
        <v>25</v>
      </c>
      <c r="L1018" s="186">
        <v>795</v>
      </c>
      <c r="M1018" s="187">
        <v>819</v>
      </c>
      <c r="N1018" s="188">
        <f t="shared" si="695"/>
        <v>5.96</v>
      </c>
      <c r="O1018" s="188">
        <f t="shared" si="696"/>
        <v>6.14</v>
      </c>
      <c r="P1018" s="189">
        <f t="shared" si="674"/>
        <v>40350</v>
      </c>
      <c r="Q1018" s="189">
        <f t="shared" si="675"/>
        <v>600</v>
      </c>
      <c r="R1018" s="189">
        <f t="shared" si="750"/>
        <v>12.1</v>
      </c>
      <c r="S1018" s="189">
        <f t="shared" si="697"/>
        <v>2.38</v>
      </c>
      <c r="T1018" s="189">
        <f t="shared" si="730"/>
        <v>5.12</v>
      </c>
      <c r="U1018" s="189">
        <f t="shared" si="731"/>
        <v>0.6</v>
      </c>
      <c r="V1018" s="189">
        <f t="shared" si="753"/>
        <v>1.1100000000000001</v>
      </c>
      <c r="W1018" s="189">
        <f t="shared" si="747"/>
        <v>0</v>
      </c>
      <c r="X1018" s="189">
        <f t="shared" si="681"/>
        <v>21.310000000000002</v>
      </c>
      <c r="Y1018" s="190">
        <f t="shared" si="682"/>
        <v>578.69000000000005</v>
      </c>
      <c r="Z1018" s="191"/>
      <c r="AA1018" s="192"/>
      <c r="AB1018" s="193">
        <f t="shared" si="684"/>
        <v>3.0188679245283019E-2</v>
      </c>
      <c r="AC1018" s="194">
        <f t="shared" si="685"/>
        <v>5.2800000000000004E-4</v>
      </c>
      <c r="AD1018" s="189"/>
      <c r="AE1018" s="195" t="s">
        <v>403</v>
      </c>
      <c r="AF1018" s="119"/>
    </row>
    <row r="1019" spans="1:32" ht="12" hidden="1" customHeight="1">
      <c r="A1019" s="183">
        <v>44358</v>
      </c>
      <c r="B1019" s="184" t="s">
        <v>705</v>
      </c>
      <c r="C1019" s="184"/>
      <c r="D1019" s="184"/>
      <c r="E1019" s="184"/>
      <c r="F1019" s="184"/>
      <c r="G1019" s="184"/>
      <c r="H1019" s="184" t="s">
        <v>654</v>
      </c>
      <c r="I1019" s="184" t="s">
        <v>469</v>
      </c>
      <c r="J1019" s="184" t="s">
        <v>471</v>
      </c>
      <c r="K1019" s="185">
        <v>10</v>
      </c>
      <c r="L1019" s="186">
        <v>1165</v>
      </c>
      <c r="M1019" s="187">
        <v>1211.7</v>
      </c>
      <c r="N1019" s="188">
        <f t="shared" si="695"/>
        <v>3.5</v>
      </c>
      <c r="O1019" s="188">
        <f t="shared" si="696"/>
        <v>3.64</v>
      </c>
      <c r="P1019" s="189">
        <f t="shared" si="674"/>
        <v>23767</v>
      </c>
      <c r="Q1019" s="189">
        <f t="shared" si="675"/>
        <v>467.00000000000045</v>
      </c>
      <c r="R1019" s="189">
        <f t="shared" si="750"/>
        <v>7.14</v>
      </c>
      <c r="S1019" s="189">
        <f t="shared" si="697"/>
        <v>1.4</v>
      </c>
      <c r="T1019" s="189">
        <f t="shared" si="730"/>
        <v>3.03</v>
      </c>
      <c r="U1019" s="189">
        <f t="shared" si="731"/>
        <v>0.35</v>
      </c>
      <c r="V1019" s="189">
        <f t="shared" si="753"/>
        <v>0.65</v>
      </c>
      <c r="W1019" s="189">
        <f t="shared" si="747"/>
        <v>0</v>
      </c>
      <c r="X1019" s="189">
        <f t="shared" si="681"/>
        <v>12.569999999999999</v>
      </c>
      <c r="Y1019" s="190">
        <f t="shared" si="682"/>
        <v>454.43</v>
      </c>
      <c r="Z1019" s="191">
        <v>454.31</v>
      </c>
      <c r="AA1019" s="192">
        <f t="shared" ref="AA1019:AA1020" si="754">Z1019-Y1019</f>
        <v>-0.12000000000000455</v>
      </c>
      <c r="AB1019" s="193">
        <f t="shared" si="684"/>
        <v>4.0085836909871282E-2</v>
      </c>
      <c r="AC1019" s="194">
        <f t="shared" si="685"/>
        <v>5.2899999999999996E-4</v>
      </c>
      <c r="AD1019" s="189"/>
      <c r="AE1019" s="195" t="s">
        <v>403</v>
      </c>
      <c r="AF1019" s="119"/>
    </row>
    <row r="1020" spans="1:32" ht="12" hidden="1" customHeight="1">
      <c r="A1020" s="183">
        <v>44365</v>
      </c>
      <c r="B1020" s="184" t="s">
        <v>530</v>
      </c>
      <c r="C1020" s="184"/>
      <c r="D1020" s="184"/>
      <c r="E1020" s="184"/>
      <c r="F1020" s="184"/>
      <c r="G1020" s="184"/>
      <c r="H1020" s="184" t="s">
        <v>654</v>
      </c>
      <c r="I1020" s="184" t="s">
        <v>469</v>
      </c>
      <c r="J1020" s="184" t="s">
        <v>471</v>
      </c>
      <c r="K1020" s="185">
        <v>20</v>
      </c>
      <c r="L1020" s="186">
        <v>738</v>
      </c>
      <c r="M1020" s="187">
        <v>751.01750000000004</v>
      </c>
      <c r="N1020" s="188">
        <f t="shared" si="695"/>
        <v>4.43</v>
      </c>
      <c r="O1020" s="188">
        <f t="shared" si="696"/>
        <v>4.51</v>
      </c>
      <c r="P1020" s="189">
        <f t="shared" si="674"/>
        <v>29780.35</v>
      </c>
      <c r="Q1020" s="189">
        <f t="shared" si="675"/>
        <v>260.35000000000082</v>
      </c>
      <c r="R1020" s="189">
        <f t="shared" si="750"/>
        <v>8.94</v>
      </c>
      <c r="S1020" s="189">
        <f t="shared" si="697"/>
        <v>1.76</v>
      </c>
      <c r="T1020" s="189">
        <f t="shared" si="730"/>
        <v>3.76</v>
      </c>
      <c r="U1020" s="189">
        <f t="shared" si="731"/>
        <v>0.44</v>
      </c>
      <c r="V1020" s="189">
        <f t="shared" si="753"/>
        <v>0.82</v>
      </c>
      <c r="W1020" s="189">
        <f t="shared" si="747"/>
        <v>0</v>
      </c>
      <c r="X1020" s="189">
        <f t="shared" si="681"/>
        <v>15.719999999999999</v>
      </c>
      <c r="Y1020" s="190">
        <f t="shared" si="682"/>
        <v>244.63</v>
      </c>
      <c r="Z1020" s="191">
        <v>244.58</v>
      </c>
      <c r="AA1020" s="192">
        <f t="shared" si="754"/>
        <v>-4.9999999999982947E-2</v>
      </c>
      <c r="AB1020" s="193">
        <f t="shared" si="684"/>
        <v>1.7638888888888943E-2</v>
      </c>
      <c r="AC1020" s="194">
        <f t="shared" si="685"/>
        <v>5.2800000000000004E-4</v>
      </c>
      <c r="AD1020" s="189"/>
      <c r="AE1020" s="195" t="s">
        <v>403</v>
      </c>
      <c r="AF1020" s="119"/>
    </row>
    <row r="1021" spans="1:32" ht="12" hidden="1" customHeight="1">
      <c r="A1021" s="183">
        <v>44370</v>
      </c>
      <c r="B1021" s="184" t="s">
        <v>535</v>
      </c>
      <c r="C1021" s="184"/>
      <c r="D1021" s="184"/>
      <c r="E1021" s="184"/>
      <c r="F1021" s="184"/>
      <c r="G1021" s="184"/>
      <c r="H1021" s="184" t="s">
        <v>654</v>
      </c>
      <c r="I1021" s="184" t="s">
        <v>469</v>
      </c>
      <c r="J1021" s="184" t="s">
        <v>471</v>
      </c>
      <c r="K1021" s="185">
        <v>100</v>
      </c>
      <c r="L1021" s="186">
        <v>148</v>
      </c>
      <c r="M1021" s="187">
        <v>152</v>
      </c>
      <c r="N1021" s="188">
        <f t="shared" si="695"/>
        <v>4.4400000000000004</v>
      </c>
      <c r="O1021" s="188">
        <f t="shared" si="696"/>
        <v>4.5599999999999996</v>
      </c>
      <c r="P1021" s="189">
        <f t="shared" si="674"/>
        <v>30000</v>
      </c>
      <c r="Q1021" s="189">
        <f t="shared" si="675"/>
        <v>400</v>
      </c>
      <c r="R1021" s="189">
        <f t="shared" si="750"/>
        <v>9</v>
      </c>
      <c r="S1021" s="189">
        <f t="shared" si="697"/>
        <v>1.77</v>
      </c>
      <c r="T1021" s="189">
        <f t="shared" si="730"/>
        <v>3.8</v>
      </c>
      <c r="U1021" s="189">
        <f t="shared" si="731"/>
        <v>0.44</v>
      </c>
      <c r="V1021" s="189">
        <f t="shared" si="753"/>
        <v>0.83</v>
      </c>
      <c r="W1021" s="189">
        <f t="shared" si="747"/>
        <v>0</v>
      </c>
      <c r="X1021" s="189">
        <f t="shared" si="681"/>
        <v>15.84</v>
      </c>
      <c r="Y1021" s="190">
        <f t="shared" si="682"/>
        <v>384.16</v>
      </c>
      <c r="Z1021" s="191">
        <v>-125.61</v>
      </c>
      <c r="AA1021" s="192">
        <f>Z1021-Y1021-Y1022-Y1023-Y1024</f>
        <v>-0.14000000000010004</v>
      </c>
      <c r="AB1021" s="193">
        <f t="shared" si="684"/>
        <v>2.7027027027027029E-2</v>
      </c>
      <c r="AC1021" s="194">
        <f t="shared" si="685"/>
        <v>5.2800000000000004E-4</v>
      </c>
      <c r="AD1021" s="189"/>
      <c r="AE1021" s="195" t="s">
        <v>403</v>
      </c>
      <c r="AF1021" s="119"/>
    </row>
    <row r="1022" spans="1:32" ht="12" hidden="1" customHeight="1">
      <c r="A1022" s="183">
        <v>44370</v>
      </c>
      <c r="B1022" s="184" t="s">
        <v>507</v>
      </c>
      <c r="C1022" s="184"/>
      <c r="D1022" s="184"/>
      <c r="E1022" s="184"/>
      <c r="F1022" s="184"/>
      <c r="G1022" s="184"/>
      <c r="H1022" s="184" t="s">
        <v>654</v>
      </c>
      <c r="I1022" s="184" t="s">
        <v>469</v>
      </c>
      <c r="J1022" s="184" t="s">
        <v>471</v>
      </c>
      <c r="K1022" s="185">
        <v>2500</v>
      </c>
      <c r="L1022" s="186">
        <v>9.9499999999999993</v>
      </c>
      <c r="M1022" s="187">
        <v>10.050000000000001</v>
      </c>
      <c r="N1022" s="188">
        <f t="shared" si="695"/>
        <v>7.46</v>
      </c>
      <c r="O1022" s="188">
        <f t="shared" si="696"/>
        <v>7.54</v>
      </c>
      <c r="P1022" s="189">
        <f t="shared" si="674"/>
        <v>50000</v>
      </c>
      <c r="Q1022" s="189">
        <f t="shared" si="675"/>
        <v>250.00000000000355</v>
      </c>
      <c r="R1022" s="189">
        <f t="shared" si="750"/>
        <v>15</v>
      </c>
      <c r="S1022" s="189">
        <f t="shared" si="697"/>
        <v>2.95</v>
      </c>
      <c r="T1022" s="189">
        <f t="shared" si="730"/>
        <v>6.28</v>
      </c>
      <c r="U1022" s="189">
        <f t="shared" si="731"/>
        <v>0.75</v>
      </c>
      <c r="V1022" s="189">
        <f t="shared" si="753"/>
        <v>1.38</v>
      </c>
      <c r="W1022" s="189">
        <f t="shared" si="747"/>
        <v>0</v>
      </c>
      <c r="X1022" s="189">
        <f t="shared" si="681"/>
        <v>26.36</v>
      </c>
      <c r="Y1022" s="190">
        <f t="shared" si="682"/>
        <v>223.64</v>
      </c>
      <c r="Z1022" s="191"/>
      <c r="AA1022" s="192"/>
      <c r="AB1022" s="193">
        <f t="shared" si="684"/>
        <v>1.0050251256281551E-2</v>
      </c>
      <c r="AC1022" s="194">
        <f t="shared" si="685"/>
        <v>5.2700000000000002E-4</v>
      </c>
      <c r="AD1022" s="189"/>
      <c r="AE1022" s="195" t="s">
        <v>403</v>
      </c>
      <c r="AF1022" s="119"/>
    </row>
    <row r="1023" spans="1:32" ht="12" hidden="1" customHeight="1">
      <c r="A1023" s="183">
        <v>44370</v>
      </c>
      <c r="B1023" s="184" t="s">
        <v>533</v>
      </c>
      <c r="C1023" s="184"/>
      <c r="D1023" s="184"/>
      <c r="E1023" s="184"/>
      <c r="F1023" s="184"/>
      <c r="G1023" s="184"/>
      <c r="H1023" s="184" t="s">
        <v>654</v>
      </c>
      <c r="I1023" s="184" t="s">
        <v>469</v>
      </c>
      <c r="J1023" s="184" t="s">
        <v>471</v>
      </c>
      <c r="K1023" s="185">
        <v>200</v>
      </c>
      <c r="L1023" s="186">
        <v>84</v>
      </c>
      <c r="M1023" s="187">
        <v>85</v>
      </c>
      <c r="N1023" s="188">
        <f t="shared" si="695"/>
        <v>5.04</v>
      </c>
      <c r="O1023" s="188">
        <f t="shared" si="696"/>
        <v>5.0999999999999996</v>
      </c>
      <c r="P1023" s="189">
        <f t="shared" si="674"/>
        <v>33800</v>
      </c>
      <c r="Q1023" s="189">
        <f t="shared" si="675"/>
        <v>200</v>
      </c>
      <c r="R1023" s="189">
        <f t="shared" si="750"/>
        <v>10.14</v>
      </c>
      <c r="S1023" s="189">
        <f t="shared" si="697"/>
        <v>1.99</v>
      </c>
      <c r="T1023" s="189">
        <f t="shared" si="730"/>
        <v>4.25</v>
      </c>
      <c r="U1023" s="189">
        <f t="shared" si="731"/>
        <v>0.5</v>
      </c>
      <c r="V1023" s="189">
        <f t="shared" si="753"/>
        <v>0.93</v>
      </c>
      <c r="W1023" s="189">
        <f t="shared" si="747"/>
        <v>0</v>
      </c>
      <c r="X1023" s="189">
        <f t="shared" si="681"/>
        <v>17.810000000000002</v>
      </c>
      <c r="Y1023" s="190">
        <f t="shared" si="682"/>
        <v>182.19</v>
      </c>
      <c r="Z1023" s="191"/>
      <c r="AA1023" s="192"/>
      <c r="AB1023" s="193">
        <f t="shared" si="684"/>
        <v>1.1904761904761904E-2</v>
      </c>
      <c r="AC1023" s="194">
        <f t="shared" si="685"/>
        <v>5.2700000000000002E-4</v>
      </c>
      <c r="AD1023" s="189"/>
      <c r="AE1023" s="195" t="s">
        <v>403</v>
      </c>
      <c r="AF1023" s="119"/>
    </row>
    <row r="1024" spans="1:32" ht="12" hidden="1" customHeight="1">
      <c r="A1024" s="183">
        <v>44370</v>
      </c>
      <c r="B1024" s="184" t="s">
        <v>695</v>
      </c>
      <c r="C1024" s="184"/>
      <c r="D1024" s="184"/>
      <c r="E1024" s="184"/>
      <c r="F1024" s="184"/>
      <c r="G1024" s="184"/>
      <c r="H1024" s="184" t="s">
        <v>654</v>
      </c>
      <c r="I1024" s="184" t="s">
        <v>469</v>
      </c>
      <c r="J1024" s="184" t="s">
        <v>471</v>
      </c>
      <c r="K1024" s="185">
        <v>25</v>
      </c>
      <c r="L1024" s="186">
        <v>600</v>
      </c>
      <c r="M1024" s="187">
        <v>564</v>
      </c>
      <c r="N1024" s="188">
        <f t="shared" si="695"/>
        <v>4.5</v>
      </c>
      <c r="O1024" s="188">
        <f t="shared" si="696"/>
        <v>4.2300000000000004</v>
      </c>
      <c r="P1024" s="189">
        <f t="shared" si="674"/>
        <v>29100</v>
      </c>
      <c r="Q1024" s="189">
        <f t="shared" si="675"/>
        <v>-900</v>
      </c>
      <c r="R1024" s="189">
        <f t="shared" si="750"/>
        <v>8.73</v>
      </c>
      <c r="S1024" s="189">
        <f t="shared" si="697"/>
        <v>1.75</v>
      </c>
      <c r="T1024" s="189">
        <f t="shared" si="730"/>
        <v>3.53</v>
      </c>
      <c r="U1024" s="189">
        <f t="shared" si="731"/>
        <v>0.45</v>
      </c>
      <c r="V1024" s="189">
        <f>ROUND(P1024*M$1809,2)</f>
        <v>1</v>
      </c>
      <c r="W1024" s="189">
        <f t="shared" si="747"/>
        <v>0</v>
      </c>
      <c r="X1024" s="189">
        <f t="shared" si="681"/>
        <v>15.459999999999999</v>
      </c>
      <c r="Y1024" s="190">
        <f t="shared" si="682"/>
        <v>-915.46</v>
      </c>
      <c r="Z1024" s="191"/>
      <c r="AA1024" s="192"/>
      <c r="AB1024" s="193">
        <f t="shared" si="684"/>
        <v>-0.06</v>
      </c>
      <c r="AC1024" s="194">
        <f t="shared" si="685"/>
        <v>5.31E-4</v>
      </c>
      <c r="AD1024" s="189"/>
      <c r="AE1024" s="195" t="s">
        <v>403</v>
      </c>
      <c r="AF1024" s="119"/>
    </row>
    <row r="1025" spans="1:32" ht="12" hidden="1" customHeight="1">
      <c r="A1025" s="183">
        <v>44371</v>
      </c>
      <c r="B1025" s="184" t="s">
        <v>533</v>
      </c>
      <c r="C1025" s="184"/>
      <c r="D1025" s="184"/>
      <c r="E1025" s="184"/>
      <c r="F1025" s="184"/>
      <c r="G1025" s="184"/>
      <c r="H1025" s="184" t="s">
        <v>654</v>
      </c>
      <c r="I1025" s="184" t="s">
        <v>469</v>
      </c>
      <c r="J1025" s="184" t="s">
        <v>471</v>
      </c>
      <c r="K1025" s="185">
        <v>200</v>
      </c>
      <c r="L1025" s="186">
        <v>84.1</v>
      </c>
      <c r="M1025" s="187">
        <v>85.25</v>
      </c>
      <c r="N1025" s="188">
        <f t="shared" si="695"/>
        <v>5.05</v>
      </c>
      <c r="O1025" s="188">
        <f t="shared" si="696"/>
        <v>5.12</v>
      </c>
      <c r="P1025" s="189">
        <f t="shared" si="674"/>
        <v>33870</v>
      </c>
      <c r="Q1025" s="189">
        <f t="shared" si="675"/>
        <v>230.00000000000114</v>
      </c>
      <c r="R1025" s="189">
        <f t="shared" si="750"/>
        <v>10.17</v>
      </c>
      <c r="S1025" s="189">
        <f t="shared" si="697"/>
        <v>2</v>
      </c>
      <c r="T1025" s="189">
        <f t="shared" si="730"/>
        <v>4.26</v>
      </c>
      <c r="U1025" s="189">
        <f t="shared" si="731"/>
        <v>0.5</v>
      </c>
      <c r="V1025" s="189">
        <f t="shared" ref="V1025:V1042" si="755">ROUND(P1025*L$1809,2)</f>
        <v>0.93</v>
      </c>
      <c r="W1025" s="189">
        <f t="shared" si="747"/>
        <v>0</v>
      </c>
      <c r="X1025" s="189">
        <f t="shared" si="681"/>
        <v>17.86</v>
      </c>
      <c r="Y1025" s="190">
        <f t="shared" si="682"/>
        <v>212.14</v>
      </c>
      <c r="Z1025" s="191">
        <v>245.01</v>
      </c>
      <c r="AA1025" s="192">
        <f>Z1025-Y1026-Y1025</f>
        <v>-0.50999999999999091</v>
      </c>
      <c r="AB1025" s="193">
        <f t="shared" si="684"/>
        <v>1.3674197384066656E-2</v>
      </c>
      <c r="AC1025" s="194">
        <f t="shared" si="685"/>
        <v>5.2700000000000002E-4</v>
      </c>
      <c r="AD1025" s="189"/>
      <c r="AE1025" s="195" t="s">
        <v>403</v>
      </c>
      <c r="AF1025" s="119"/>
    </row>
    <row r="1026" spans="1:32" ht="12" hidden="1" customHeight="1">
      <c r="A1026" s="183">
        <v>44371</v>
      </c>
      <c r="B1026" s="184" t="s">
        <v>547</v>
      </c>
      <c r="C1026" s="184"/>
      <c r="D1026" s="184"/>
      <c r="E1026" s="184"/>
      <c r="F1026" s="184"/>
      <c r="G1026" s="184"/>
      <c r="H1026" s="184" t="s">
        <v>654</v>
      </c>
      <c r="I1026" s="184" t="s">
        <v>469</v>
      </c>
      <c r="J1026" s="184" t="s">
        <v>471</v>
      </c>
      <c r="K1026" s="185">
        <v>500</v>
      </c>
      <c r="L1026" s="186">
        <v>31.5</v>
      </c>
      <c r="M1026" s="187">
        <v>31.6</v>
      </c>
      <c r="N1026" s="188">
        <f t="shared" si="695"/>
        <v>4.7300000000000004</v>
      </c>
      <c r="O1026" s="188">
        <f t="shared" si="696"/>
        <v>4.74</v>
      </c>
      <c r="P1026" s="189">
        <f t="shared" si="674"/>
        <v>31550</v>
      </c>
      <c r="Q1026" s="189">
        <f t="shared" si="675"/>
        <v>50.000000000000711</v>
      </c>
      <c r="R1026" s="189">
        <f t="shared" si="750"/>
        <v>9.4700000000000006</v>
      </c>
      <c r="S1026" s="189">
        <f t="shared" si="697"/>
        <v>1.86</v>
      </c>
      <c r="T1026" s="189">
        <f t="shared" si="730"/>
        <v>3.95</v>
      </c>
      <c r="U1026" s="189">
        <f t="shared" si="731"/>
        <v>0.47</v>
      </c>
      <c r="V1026" s="189">
        <f t="shared" si="755"/>
        <v>0.87</v>
      </c>
      <c r="W1026" s="189">
        <f t="shared" si="747"/>
        <v>0</v>
      </c>
      <c r="X1026" s="189">
        <f t="shared" si="681"/>
        <v>16.62</v>
      </c>
      <c r="Y1026" s="190">
        <f t="shared" si="682"/>
        <v>33.380000000000003</v>
      </c>
      <c r="Z1026" s="191"/>
      <c r="AA1026" s="192"/>
      <c r="AB1026" s="193">
        <f t="shared" si="684"/>
        <v>3.1746031746032197E-3</v>
      </c>
      <c r="AC1026" s="194">
        <f t="shared" si="685"/>
        <v>5.2700000000000002E-4</v>
      </c>
      <c r="AD1026" s="189"/>
      <c r="AE1026" s="195" t="s">
        <v>403</v>
      </c>
      <c r="AF1026" s="119"/>
    </row>
    <row r="1027" spans="1:32" ht="12" hidden="1" customHeight="1">
      <c r="A1027" s="183">
        <v>44372</v>
      </c>
      <c r="B1027" s="184" t="s">
        <v>530</v>
      </c>
      <c r="C1027" s="184"/>
      <c r="D1027" s="184"/>
      <c r="E1027" s="184"/>
      <c r="F1027" s="184"/>
      <c r="G1027" s="184"/>
      <c r="H1027" s="184" t="s">
        <v>654</v>
      </c>
      <c r="I1027" s="184" t="s">
        <v>469</v>
      </c>
      <c r="J1027" s="184" t="s">
        <v>471</v>
      </c>
      <c r="K1027" s="185">
        <v>20</v>
      </c>
      <c r="L1027" s="186">
        <v>760</v>
      </c>
      <c r="M1027" s="187">
        <v>763</v>
      </c>
      <c r="N1027" s="188">
        <f t="shared" si="695"/>
        <v>4.5599999999999996</v>
      </c>
      <c r="O1027" s="188">
        <f t="shared" si="696"/>
        <v>4.58</v>
      </c>
      <c r="P1027" s="189">
        <f t="shared" si="674"/>
        <v>30460</v>
      </c>
      <c r="Q1027" s="189">
        <f t="shared" si="675"/>
        <v>60</v>
      </c>
      <c r="R1027" s="189">
        <f t="shared" si="750"/>
        <v>9.14</v>
      </c>
      <c r="S1027" s="189">
        <f t="shared" si="697"/>
        <v>1.8</v>
      </c>
      <c r="T1027" s="189">
        <f t="shared" si="730"/>
        <v>3.82</v>
      </c>
      <c r="U1027" s="189">
        <f t="shared" si="731"/>
        <v>0.46</v>
      </c>
      <c r="V1027" s="189">
        <f t="shared" si="755"/>
        <v>0.84</v>
      </c>
      <c r="W1027" s="189">
        <f t="shared" si="747"/>
        <v>0</v>
      </c>
      <c r="X1027" s="189">
        <f t="shared" si="681"/>
        <v>16.060000000000002</v>
      </c>
      <c r="Y1027" s="190">
        <f t="shared" si="682"/>
        <v>43.94</v>
      </c>
      <c r="Z1027" s="191">
        <v>783.21</v>
      </c>
      <c r="AA1027" s="192">
        <f>Z1027-Y1027-Y1028-Y1029-Y1030-Y1031</f>
        <v>-0.90000000000003411</v>
      </c>
      <c r="AB1027" s="193">
        <f t="shared" si="684"/>
        <v>3.9473684210526317E-3</v>
      </c>
      <c r="AC1027" s="194">
        <f t="shared" si="685"/>
        <v>5.2700000000000002E-4</v>
      </c>
      <c r="AD1027" s="189"/>
      <c r="AE1027" s="195" t="s">
        <v>403</v>
      </c>
      <c r="AF1027" s="119"/>
    </row>
    <row r="1028" spans="1:32" ht="12" hidden="1" customHeight="1">
      <c r="A1028" s="183">
        <v>44372</v>
      </c>
      <c r="B1028" s="184" t="s">
        <v>535</v>
      </c>
      <c r="C1028" s="184"/>
      <c r="D1028" s="184"/>
      <c r="E1028" s="184"/>
      <c r="F1028" s="184"/>
      <c r="G1028" s="184"/>
      <c r="H1028" s="184" t="s">
        <v>654</v>
      </c>
      <c r="I1028" s="184" t="s">
        <v>469</v>
      </c>
      <c r="J1028" s="184" t="s">
        <v>471</v>
      </c>
      <c r="K1028" s="185">
        <v>100</v>
      </c>
      <c r="L1028" s="186">
        <v>149.5</v>
      </c>
      <c r="M1028" s="187">
        <v>150.75</v>
      </c>
      <c r="N1028" s="188">
        <f t="shared" si="695"/>
        <v>4.49</v>
      </c>
      <c r="O1028" s="188">
        <f t="shared" si="696"/>
        <v>4.5199999999999996</v>
      </c>
      <c r="P1028" s="189">
        <f t="shared" si="674"/>
        <v>30025</v>
      </c>
      <c r="Q1028" s="189">
        <f t="shared" si="675"/>
        <v>125</v>
      </c>
      <c r="R1028" s="189">
        <f t="shared" si="750"/>
        <v>9.01</v>
      </c>
      <c r="S1028" s="189">
        <f t="shared" si="697"/>
        <v>1.77</v>
      </c>
      <c r="T1028" s="189">
        <f t="shared" si="730"/>
        <v>3.77</v>
      </c>
      <c r="U1028" s="189">
        <f t="shared" si="731"/>
        <v>0.45</v>
      </c>
      <c r="V1028" s="189">
        <f t="shared" si="755"/>
        <v>0.83</v>
      </c>
      <c r="W1028" s="189">
        <f t="shared" si="747"/>
        <v>0</v>
      </c>
      <c r="X1028" s="189">
        <f t="shared" si="681"/>
        <v>15.829999999999998</v>
      </c>
      <c r="Y1028" s="190">
        <f t="shared" si="682"/>
        <v>109.17</v>
      </c>
      <c r="Z1028" s="191"/>
      <c r="AA1028" s="192"/>
      <c r="AB1028" s="193">
        <f t="shared" si="684"/>
        <v>8.3612040133779261E-3</v>
      </c>
      <c r="AC1028" s="194">
        <f t="shared" si="685"/>
        <v>5.2700000000000002E-4</v>
      </c>
      <c r="AD1028" s="189"/>
      <c r="AE1028" s="195" t="s">
        <v>403</v>
      </c>
      <c r="AF1028" s="119"/>
    </row>
    <row r="1029" spans="1:32" ht="12" hidden="1" customHeight="1">
      <c r="A1029" s="183">
        <v>44372</v>
      </c>
      <c r="B1029" s="184" t="s">
        <v>525</v>
      </c>
      <c r="C1029" s="184"/>
      <c r="D1029" s="184"/>
      <c r="E1029" s="184"/>
      <c r="F1029" s="184"/>
      <c r="G1029" s="184"/>
      <c r="H1029" s="184" t="s">
        <v>654</v>
      </c>
      <c r="I1029" s="184" t="s">
        <v>469</v>
      </c>
      <c r="J1029" s="184" t="s">
        <v>471</v>
      </c>
      <c r="K1029" s="185">
        <v>200</v>
      </c>
      <c r="L1029" s="186">
        <v>106.5</v>
      </c>
      <c r="M1029" s="187">
        <v>107.2</v>
      </c>
      <c r="N1029" s="188">
        <f t="shared" si="695"/>
        <v>6.39</v>
      </c>
      <c r="O1029" s="188">
        <f t="shared" si="696"/>
        <v>6.43</v>
      </c>
      <c r="P1029" s="189">
        <f t="shared" si="674"/>
        <v>42740</v>
      </c>
      <c r="Q1029" s="189">
        <f t="shared" si="675"/>
        <v>140.00000000000057</v>
      </c>
      <c r="R1029" s="189">
        <f t="shared" si="750"/>
        <v>12.82</v>
      </c>
      <c r="S1029" s="189">
        <f t="shared" si="697"/>
        <v>2.52</v>
      </c>
      <c r="T1029" s="189">
        <f t="shared" si="730"/>
        <v>5.36</v>
      </c>
      <c r="U1029" s="189">
        <f t="shared" si="731"/>
        <v>0.64</v>
      </c>
      <c r="V1029" s="189">
        <f t="shared" si="755"/>
        <v>1.18</v>
      </c>
      <c r="W1029" s="189">
        <f t="shared" si="747"/>
        <v>0</v>
      </c>
      <c r="X1029" s="189">
        <f t="shared" si="681"/>
        <v>22.52</v>
      </c>
      <c r="Y1029" s="190">
        <f t="shared" si="682"/>
        <v>117.48</v>
      </c>
      <c r="Z1029" s="191"/>
      <c r="AA1029" s="192"/>
      <c r="AB1029" s="193">
        <f t="shared" si="684"/>
        <v>6.5727699530516697E-3</v>
      </c>
      <c r="AC1029" s="194">
        <f t="shared" si="685"/>
        <v>5.2700000000000002E-4</v>
      </c>
      <c r="AD1029" s="189"/>
      <c r="AE1029" s="195" t="s">
        <v>403</v>
      </c>
      <c r="AF1029" s="119"/>
    </row>
    <row r="1030" spans="1:32" ht="12" hidden="1" customHeight="1">
      <c r="A1030" s="183">
        <v>44372</v>
      </c>
      <c r="B1030" s="184" t="s">
        <v>533</v>
      </c>
      <c r="C1030" s="184"/>
      <c r="D1030" s="184"/>
      <c r="E1030" s="184"/>
      <c r="F1030" s="184"/>
      <c r="G1030" s="184"/>
      <c r="H1030" s="184" t="s">
        <v>654</v>
      </c>
      <c r="I1030" s="184" t="s">
        <v>469</v>
      </c>
      <c r="J1030" s="184" t="s">
        <v>471</v>
      </c>
      <c r="K1030" s="185">
        <v>200</v>
      </c>
      <c r="L1030" s="186">
        <v>83.75</v>
      </c>
      <c r="M1030" s="187">
        <v>84.25</v>
      </c>
      <c r="N1030" s="188">
        <f t="shared" si="695"/>
        <v>5.03</v>
      </c>
      <c r="O1030" s="188">
        <f t="shared" si="696"/>
        <v>5.0599999999999996</v>
      </c>
      <c r="P1030" s="189">
        <f t="shared" si="674"/>
        <v>33600</v>
      </c>
      <c r="Q1030" s="189">
        <f t="shared" si="675"/>
        <v>100</v>
      </c>
      <c r="R1030" s="189">
        <f t="shared" si="750"/>
        <v>10.09</v>
      </c>
      <c r="S1030" s="189">
        <f t="shared" si="697"/>
        <v>1.98</v>
      </c>
      <c r="T1030" s="189">
        <f t="shared" si="730"/>
        <v>4.21</v>
      </c>
      <c r="U1030" s="189">
        <f t="shared" si="731"/>
        <v>0.5</v>
      </c>
      <c r="V1030" s="189">
        <f t="shared" si="755"/>
        <v>0.92</v>
      </c>
      <c r="W1030" s="189">
        <f t="shared" si="747"/>
        <v>0</v>
      </c>
      <c r="X1030" s="189">
        <f t="shared" si="681"/>
        <v>17.700000000000003</v>
      </c>
      <c r="Y1030" s="190">
        <f t="shared" si="682"/>
        <v>82.3</v>
      </c>
      <c r="Z1030" s="191"/>
      <c r="AA1030" s="192"/>
      <c r="AB1030" s="193">
        <f t="shared" si="684"/>
        <v>5.9701492537313433E-3</v>
      </c>
      <c r="AC1030" s="194">
        <f t="shared" si="685"/>
        <v>5.2700000000000002E-4</v>
      </c>
      <c r="AD1030" s="189"/>
      <c r="AE1030" s="195" t="s">
        <v>403</v>
      </c>
      <c r="AF1030" s="119"/>
    </row>
    <row r="1031" spans="1:32" ht="12" hidden="1" customHeight="1">
      <c r="A1031" s="183">
        <v>44372</v>
      </c>
      <c r="B1031" s="184" t="s">
        <v>538</v>
      </c>
      <c r="C1031" s="184"/>
      <c r="D1031" s="184"/>
      <c r="E1031" s="184"/>
      <c r="F1031" s="184"/>
      <c r="G1031" s="184"/>
      <c r="H1031" s="184" t="s">
        <v>654</v>
      </c>
      <c r="I1031" s="184" t="s">
        <v>469</v>
      </c>
      <c r="J1031" s="184" t="s">
        <v>471</v>
      </c>
      <c r="K1031" s="185">
        <v>45</v>
      </c>
      <c r="L1031" s="186">
        <v>390</v>
      </c>
      <c r="M1031" s="187">
        <v>400</v>
      </c>
      <c r="N1031" s="188">
        <f t="shared" si="695"/>
        <v>5.27</v>
      </c>
      <c r="O1031" s="188">
        <f t="shared" si="696"/>
        <v>5.4</v>
      </c>
      <c r="P1031" s="189">
        <f t="shared" si="674"/>
        <v>35550</v>
      </c>
      <c r="Q1031" s="189">
        <f t="shared" si="675"/>
        <v>450</v>
      </c>
      <c r="R1031" s="189">
        <f t="shared" si="750"/>
        <v>10.67</v>
      </c>
      <c r="S1031" s="189">
        <f t="shared" si="697"/>
        <v>2.1</v>
      </c>
      <c r="T1031" s="189">
        <f t="shared" si="730"/>
        <v>4.5</v>
      </c>
      <c r="U1031" s="189">
        <f t="shared" si="731"/>
        <v>0.53</v>
      </c>
      <c r="V1031" s="189">
        <f t="shared" si="755"/>
        <v>0.98</v>
      </c>
      <c r="W1031" s="189">
        <f t="shared" si="747"/>
        <v>0</v>
      </c>
      <c r="X1031" s="189">
        <f t="shared" si="681"/>
        <v>18.78</v>
      </c>
      <c r="Y1031" s="190">
        <f t="shared" si="682"/>
        <v>431.22</v>
      </c>
      <c r="Z1031" s="191"/>
      <c r="AA1031" s="192"/>
      <c r="AB1031" s="193">
        <f t="shared" si="684"/>
        <v>2.564102564102564E-2</v>
      </c>
      <c r="AC1031" s="194">
        <f t="shared" si="685"/>
        <v>5.2800000000000004E-4</v>
      </c>
      <c r="AD1031" s="189"/>
      <c r="AE1031" s="195" t="s">
        <v>403</v>
      </c>
      <c r="AF1031" s="119"/>
    </row>
    <row r="1032" spans="1:32" ht="12" hidden="1" customHeight="1">
      <c r="A1032" s="183">
        <v>44375</v>
      </c>
      <c r="B1032" s="184" t="s">
        <v>481</v>
      </c>
      <c r="C1032" s="184"/>
      <c r="D1032" s="184"/>
      <c r="E1032" s="184"/>
      <c r="F1032" s="184"/>
      <c r="G1032" s="184"/>
      <c r="H1032" s="184" t="s">
        <v>654</v>
      </c>
      <c r="I1032" s="184" t="s">
        <v>469</v>
      </c>
      <c r="J1032" s="184" t="s">
        <v>471</v>
      </c>
      <c r="K1032" s="185">
        <v>100</v>
      </c>
      <c r="L1032" s="186">
        <v>132</v>
      </c>
      <c r="M1032" s="187">
        <v>133</v>
      </c>
      <c r="N1032" s="188">
        <f t="shared" si="695"/>
        <v>3.96</v>
      </c>
      <c r="O1032" s="188">
        <f t="shared" si="696"/>
        <v>3.99</v>
      </c>
      <c r="P1032" s="189">
        <f t="shared" si="674"/>
        <v>26500</v>
      </c>
      <c r="Q1032" s="189">
        <f t="shared" si="675"/>
        <v>100</v>
      </c>
      <c r="R1032" s="189">
        <f t="shared" si="750"/>
        <v>7.95</v>
      </c>
      <c r="S1032" s="189">
        <f t="shared" si="697"/>
        <v>1.56</v>
      </c>
      <c r="T1032" s="189">
        <f t="shared" si="730"/>
        <v>3.33</v>
      </c>
      <c r="U1032" s="189">
        <f t="shared" si="731"/>
        <v>0.4</v>
      </c>
      <c r="V1032" s="189">
        <f t="shared" si="755"/>
        <v>0.73</v>
      </c>
      <c r="W1032" s="189">
        <f t="shared" si="747"/>
        <v>0</v>
      </c>
      <c r="X1032" s="189">
        <f t="shared" si="681"/>
        <v>13.97</v>
      </c>
      <c r="Y1032" s="190">
        <f t="shared" si="682"/>
        <v>86.03</v>
      </c>
      <c r="Z1032" s="191">
        <v>224.14000000000001</v>
      </c>
      <c r="AA1032" s="192">
        <f>Z1032-Y1033-Y1032</f>
        <v>0.87000000000000455</v>
      </c>
      <c r="AB1032" s="193">
        <f t="shared" si="684"/>
        <v>7.575757575757576E-3</v>
      </c>
      <c r="AC1032" s="194">
        <f t="shared" si="685"/>
        <v>5.2700000000000002E-4</v>
      </c>
      <c r="AD1032" s="189"/>
      <c r="AE1032" s="195" t="s">
        <v>403</v>
      </c>
      <c r="AF1032" s="119"/>
    </row>
    <row r="1033" spans="1:32" ht="12" hidden="1" customHeight="1">
      <c r="A1033" s="183">
        <v>44375</v>
      </c>
      <c r="B1033" s="184" t="s">
        <v>525</v>
      </c>
      <c r="C1033" s="184"/>
      <c r="D1033" s="184"/>
      <c r="E1033" s="184"/>
      <c r="F1033" s="184"/>
      <c r="G1033" s="184"/>
      <c r="H1033" s="184" t="s">
        <v>654</v>
      </c>
      <c r="I1033" s="184" t="s">
        <v>469</v>
      </c>
      <c r="J1033" s="184" t="s">
        <v>471</v>
      </c>
      <c r="K1033" s="185">
        <v>200</v>
      </c>
      <c r="L1033" s="186">
        <v>107.5</v>
      </c>
      <c r="M1033" s="187">
        <v>108.3</v>
      </c>
      <c r="N1033" s="188">
        <f t="shared" si="695"/>
        <v>6.45</v>
      </c>
      <c r="O1033" s="188">
        <f t="shared" si="696"/>
        <v>6.5</v>
      </c>
      <c r="P1033" s="189">
        <f t="shared" si="674"/>
        <v>43160</v>
      </c>
      <c r="Q1033" s="189">
        <f t="shared" si="675"/>
        <v>159.99999999999943</v>
      </c>
      <c r="R1033" s="189">
        <f t="shared" si="750"/>
        <v>12.95</v>
      </c>
      <c r="S1033" s="189">
        <f t="shared" si="697"/>
        <v>2.5499999999999998</v>
      </c>
      <c r="T1033" s="189">
        <f t="shared" si="730"/>
        <v>5.42</v>
      </c>
      <c r="U1033" s="189">
        <f t="shared" si="731"/>
        <v>0.65</v>
      </c>
      <c r="V1033" s="189">
        <f t="shared" si="755"/>
        <v>1.19</v>
      </c>
      <c r="W1033" s="189">
        <f t="shared" si="747"/>
        <v>0</v>
      </c>
      <c r="X1033" s="189">
        <f t="shared" si="681"/>
        <v>22.76</v>
      </c>
      <c r="Y1033" s="190">
        <f t="shared" si="682"/>
        <v>137.24</v>
      </c>
      <c r="Z1033" s="191"/>
      <c r="AA1033" s="192"/>
      <c r="AB1033" s="193">
        <f t="shared" si="684"/>
        <v>7.4418604651162526E-3</v>
      </c>
      <c r="AC1033" s="194">
        <f t="shared" si="685"/>
        <v>5.2700000000000002E-4</v>
      </c>
      <c r="AD1033" s="189"/>
      <c r="AE1033" s="195" t="s">
        <v>403</v>
      </c>
      <c r="AF1033" s="119"/>
    </row>
    <row r="1034" spans="1:32" ht="12" hidden="1" customHeight="1">
      <c r="A1034" s="183">
        <v>44376</v>
      </c>
      <c r="B1034" s="184" t="s">
        <v>481</v>
      </c>
      <c r="C1034" s="184"/>
      <c r="D1034" s="184"/>
      <c r="E1034" s="184"/>
      <c r="F1034" s="184"/>
      <c r="G1034" s="184"/>
      <c r="H1034" s="184" t="s">
        <v>654</v>
      </c>
      <c r="I1034" s="184" t="s">
        <v>469</v>
      </c>
      <c r="J1034" s="184" t="s">
        <v>471</v>
      </c>
      <c r="K1034" s="185">
        <v>100</v>
      </c>
      <c r="L1034" s="186">
        <v>132</v>
      </c>
      <c r="M1034" s="187">
        <v>133.75</v>
      </c>
      <c r="N1034" s="188">
        <f t="shared" si="695"/>
        <v>3.96</v>
      </c>
      <c r="O1034" s="188">
        <f t="shared" si="696"/>
        <v>4.01</v>
      </c>
      <c r="P1034" s="189">
        <f t="shared" si="674"/>
        <v>26575</v>
      </c>
      <c r="Q1034" s="189">
        <f t="shared" si="675"/>
        <v>175</v>
      </c>
      <c r="R1034" s="189">
        <f t="shared" si="750"/>
        <v>7.97</v>
      </c>
      <c r="S1034" s="189">
        <f t="shared" si="697"/>
        <v>1.57</v>
      </c>
      <c r="T1034" s="189">
        <f t="shared" si="730"/>
        <v>3.34</v>
      </c>
      <c r="U1034" s="189">
        <f t="shared" si="731"/>
        <v>0.4</v>
      </c>
      <c r="V1034" s="189">
        <f t="shared" si="755"/>
        <v>0.73</v>
      </c>
      <c r="W1034" s="189">
        <f t="shared" si="747"/>
        <v>0</v>
      </c>
      <c r="X1034" s="189">
        <f t="shared" si="681"/>
        <v>14.01</v>
      </c>
      <c r="Y1034" s="190">
        <f t="shared" si="682"/>
        <v>160.99</v>
      </c>
      <c r="Z1034" s="191">
        <v>547.92000000000007</v>
      </c>
      <c r="AA1034" s="192">
        <f>Z1034-Y1034-Y1035-Y1036</f>
        <v>0.57000000000005002</v>
      </c>
      <c r="AB1034" s="193">
        <f t="shared" si="684"/>
        <v>1.3257575757575758E-2</v>
      </c>
      <c r="AC1034" s="194">
        <f t="shared" si="685"/>
        <v>5.2700000000000002E-4</v>
      </c>
      <c r="AD1034" s="189"/>
      <c r="AE1034" s="195" t="s">
        <v>403</v>
      </c>
      <c r="AF1034" s="119"/>
    </row>
    <row r="1035" spans="1:32" ht="12" hidden="1" customHeight="1">
      <c r="A1035" s="183">
        <v>44376</v>
      </c>
      <c r="B1035" s="184" t="s">
        <v>525</v>
      </c>
      <c r="C1035" s="184"/>
      <c r="D1035" s="184"/>
      <c r="E1035" s="184"/>
      <c r="F1035" s="184"/>
      <c r="G1035" s="184"/>
      <c r="H1035" s="184" t="s">
        <v>654</v>
      </c>
      <c r="I1035" s="184" t="s">
        <v>469</v>
      </c>
      <c r="J1035" s="184" t="s">
        <v>471</v>
      </c>
      <c r="K1035" s="185">
        <v>400</v>
      </c>
      <c r="L1035" s="186">
        <v>107.625</v>
      </c>
      <c r="M1035" s="187">
        <v>108.375</v>
      </c>
      <c r="N1035" s="188">
        <f t="shared" si="695"/>
        <v>12.92</v>
      </c>
      <c r="O1035" s="188">
        <f t="shared" si="696"/>
        <v>13.01</v>
      </c>
      <c r="P1035" s="189">
        <f t="shared" si="674"/>
        <v>86400</v>
      </c>
      <c r="Q1035" s="189">
        <f t="shared" si="675"/>
        <v>300</v>
      </c>
      <c r="R1035" s="189">
        <f t="shared" si="750"/>
        <v>25.93</v>
      </c>
      <c r="S1035" s="189">
        <f t="shared" si="697"/>
        <v>5.0999999999999996</v>
      </c>
      <c r="T1035" s="189">
        <f t="shared" si="730"/>
        <v>10.84</v>
      </c>
      <c r="U1035" s="189">
        <f t="shared" si="731"/>
        <v>1.29</v>
      </c>
      <c r="V1035" s="189">
        <f t="shared" si="755"/>
        <v>2.38</v>
      </c>
      <c r="W1035" s="189">
        <f t="shared" si="747"/>
        <v>0</v>
      </c>
      <c r="X1035" s="189">
        <f t="shared" si="681"/>
        <v>45.540000000000006</v>
      </c>
      <c r="Y1035" s="190">
        <f t="shared" si="682"/>
        <v>254.46</v>
      </c>
      <c r="Z1035" s="191"/>
      <c r="AA1035" s="192"/>
      <c r="AB1035" s="193">
        <f t="shared" si="684"/>
        <v>6.9686411149825784E-3</v>
      </c>
      <c r="AC1035" s="194">
        <f t="shared" si="685"/>
        <v>5.2700000000000002E-4</v>
      </c>
      <c r="AD1035" s="189"/>
      <c r="AE1035" s="195" t="s">
        <v>403</v>
      </c>
      <c r="AF1035" s="119"/>
    </row>
    <row r="1036" spans="1:32" ht="12" hidden="1" customHeight="1">
      <c r="A1036" s="183">
        <v>44376</v>
      </c>
      <c r="B1036" s="184" t="s">
        <v>533</v>
      </c>
      <c r="C1036" s="184"/>
      <c r="D1036" s="184"/>
      <c r="E1036" s="184"/>
      <c r="F1036" s="184"/>
      <c r="G1036" s="184"/>
      <c r="H1036" s="184" t="s">
        <v>654</v>
      </c>
      <c r="I1036" s="184" t="s">
        <v>469</v>
      </c>
      <c r="J1036" s="184" t="s">
        <v>471</v>
      </c>
      <c r="K1036" s="185">
        <v>200</v>
      </c>
      <c r="L1036" s="186">
        <v>85.5</v>
      </c>
      <c r="M1036" s="187">
        <v>86.25</v>
      </c>
      <c r="N1036" s="188">
        <f t="shared" si="695"/>
        <v>5.13</v>
      </c>
      <c r="O1036" s="188">
        <f t="shared" si="696"/>
        <v>5.18</v>
      </c>
      <c r="P1036" s="189">
        <f t="shared" si="674"/>
        <v>34350</v>
      </c>
      <c r="Q1036" s="189">
        <f t="shared" si="675"/>
        <v>150</v>
      </c>
      <c r="R1036" s="189">
        <f t="shared" si="750"/>
        <v>10.31</v>
      </c>
      <c r="S1036" s="189">
        <f t="shared" si="697"/>
        <v>2.0299999999999998</v>
      </c>
      <c r="T1036" s="189">
        <f t="shared" si="730"/>
        <v>4.3099999999999996</v>
      </c>
      <c r="U1036" s="189">
        <f t="shared" si="731"/>
        <v>0.51</v>
      </c>
      <c r="V1036" s="189">
        <f t="shared" si="755"/>
        <v>0.94</v>
      </c>
      <c r="W1036" s="189">
        <f t="shared" si="747"/>
        <v>0</v>
      </c>
      <c r="X1036" s="189">
        <f t="shared" si="681"/>
        <v>18.100000000000001</v>
      </c>
      <c r="Y1036" s="190">
        <f t="shared" si="682"/>
        <v>131.9</v>
      </c>
      <c r="Z1036" s="191"/>
      <c r="AA1036" s="192"/>
      <c r="AB1036" s="193">
        <f t="shared" si="684"/>
        <v>8.771929824561403E-3</v>
      </c>
      <c r="AC1036" s="194">
        <f t="shared" si="685"/>
        <v>5.2700000000000002E-4</v>
      </c>
      <c r="AD1036" s="189"/>
      <c r="AE1036" s="195" t="s">
        <v>403</v>
      </c>
      <c r="AF1036" s="119"/>
    </row>
    <row r="1037" spans="1:32" ht="12" hidden="1" customHeight="1">
      <c r="A1037" s="183">
        <v>44377</v>
      </c>
      <c r="B1037" s="184" t="s">
        <v>481</v>
      </c>
      <c r="C1037" s="184"/>
      <c r="D1037" s="184"/>
      <c r="E1037" s="184"/>
      <c r="F1037" s="184"/>
      <c r="G1037" s="184"/>
      <c r="H1037" s="184" t="s">
        <v>654</v>
      </c>
      <c r="I1037" s="184" t="s">
        <v>469</v>
      </c>
      <c r="J1037" s="184" t="s">
        <v>471</v>
      </c>
      <c r="K1037" s="185">
        <v>100</v>
      </c>
      <c r="L1037" s="186">
        <v>132</v>
      </c>
      <c r="M1037" s="187">
        <v>133.25</v>
      </c>
      <c r="N1037" s="188">
        <f t="shared" si="695"/>
        <v>3.96</v>
      </c>
      <c r="O1037" s="188">
        <f t="shared" si="696"/>
        <v>4</v>
      </c>
      <c r="P1037" s="189">
        <f t="shared" si="674"/>
        <v>26525</v>
      </c>
      <c r="Q1037" s="189">
        <f t="shared" si="675"/>
        <v>125</v>
      </c>
      <c r="R1037" s="189">
        <f t="shared" si="750"/>
        <v>7.96</v>
      </c>
      <c r="S1037" s="189">
        <f t="shared" si="697"/>
        <v>1.56</v>
      </c>
      <c r="T1037" s="189">
        <f t="shared" si="730"/>
        <v>3.33</v>
      </c>
      <c r="U1037" s="189">
        <f t="shared" si="731"/>
        <v>0.4</v>
      </c>
      <c r="V1037" s="189">
        <f t="shared" si="755"/>
        <v>0.73</v>
      </c>
      <c r="W1037" s="189">
        <f t="shared" si="747"/>
        <v>0</v>
      </c>
      <c r="X1037" s="189">
        <f t="shared" si="681"/>
        <v>13.98</v>
      </c>
      <c r="Y1037" s="190">
        <f t="shared" si="682"/>
        <v>111.02</v>
      </c>
      <c r="Z1037" s="191">
        <v>218.59</v>
      </c>
      <c r="AA1037" s="192">
        <f>Z1037-Y1038-Y1037</f>
        <v>0.96000000000000796</v>
      </c>
      <c r="AB1037" s="193">
        <f t="shared" si="684"/>
        <v>9.46969696969697E-3</v>
      </c>
      <c r="AC1037" s="194">
        <f t="shared" si="685"/>
        <v>5.2700000000000002E-4</v>
      </c>
      <c r="AD1037" s="189"/>
      <c r="AE1037" s="195" t="s">
        <v>403</v>
      </c>
      <c r="AF1037" s="119"/>
    </row>
    <row r="1038" spans="1:32" ht="12" hidden="1" customHeight="1">
      <c r="A1038" s="183">
        <v>44377</v>
      </c>
      <c r="B1038" s="184" t="s">
        <v>525</v>
      </c>
      <c r="C1038" s="184"/>
      <c r="D1038" s="184"/>
      <c r="E1038" s="184"/>
      <c r="F1038" s="184"/>
      <c r="G1038" s="184"/>
      <c r="H1038" s="184" t="s">
        <v>654</v>
      </c>
      <c r="I1038" s="184" t="s">
        <v>469</v>
      </c>
      <c r="J1038" s="184" t="s">
        <v>471</v>
      </c>
      <c r="K1038" s="185">
        <v>200</v>
      </c>
      <c r="L1038" s="186">
        <v>110.72499999999999</v>
      </c>
      <c r="M1038" s="187">
        <v>111.375</v>
      </c>
      <c r="N1038" s="188">
        <f t="shared" si="695"/>
        <v>6.64</v>
      </c>
      <c r="O1038" s="188">
        <f t="shared" si="696"/>
        <v>6.68</v>
      </c>
      <c r="P1038" s="189">
        <f t="shared" si="674"/>
        <v>44420</v>
      </c>
      <c r="Q1038" s="189">
        <f t="shared" si="675"/>
        <v>130.00000000000114</v>
      </c>
      <c r="R1038" s="189">
        <f t="shared" si="750"/>
        <v>13.32</v>
      </c>
      <c r="S1038" s="189">
        <f t="shared" si="697"/>
        <v>2.62</v>
      </c>
      <c r="T1038" s="189">
        <f t="shared" si="730"/>
        <v>5.57</v>
      </c>
      <c r="U1038" s="189">
        <f t="shared" si="731"/>
        <v>0.66</v>
      </c>
      <c r="V1038" s="189">
        <f t="shared" si="755"/>
        <v>1.22</v>
      </c>
      <c r="W1038" s="189">
        <f t="shared" si="747"/>
        <v>0</v>
      </c>
      <c r="X1038" s="189">
        <f t="shared" si="681"/>
        <v>23.39</v>
      </c>
      <c r="Y1038" s="190">
        <f t="shared" si="682"/>
        <v>106.61</v>
      </c>
      <c r="Z1038" s="191"/>
      <c r="AA1038" s="192"/>
      <c r="AB1038" s="193">
        <f t="shared" si="684"/>
        <v>5.8703996387446892E-3</v>
      </c>
      <c r="AC1038" s="194">
        <f t="shared" si="685"/>
        <v>5.2700000000000002E-4</v>
      </c>
      <c r="AD1038" s="189"/>
      <c r="AE1038" s="195" t="s">
        <v>403</v>
      </c>
      <c r="AF1038" s="119"/>
    </row>
    <row r="1039" spans="1:32" ht="12" hidden="1" customHeight="1">
      <c r="A1039" s="183">
        <v>44378</v>
      </c>
      <c r="B1039" s="184" t="s">
        <v>543</v>
      </c>
      <c r="C1039" s="184"/>
      <c r="D1039" s="184"/>
      <c r="E1039" s="184"/>
      <c r="F1039" s="184"/>
      <c r="G1039" s="184"/>
      <c r="H1039" s="184" t="s">
        <v>654</v>
      </c>
      <c r="I1039" s="184" t="s">
        <v>469</v>
      </c>
      <c r="J1039" s="184" t="s">
        <v>471</v>
      </c>
      <c r="K1039" s="185">
        <v>100</v>
      </c>
      <c r="L1039" s="186">
        <v>90.2</v>
      </c>
      <c r="M1039" s="187">
        <v>91.9</v>
      </c>
      <c r="N1039" s="188">
        <f t="shared" si="695"/>
        <v>2.71</v>
      </c>
      <c r="O1039" s="188">
        <f t="shared" si="696"/>
        <v>2.76</v>
      </c>
      <c r="P1039" s="189">
        <f t="shared" si="674"/>
        <v>18210</v>
      </c>
      <c r="Q1039" s="189">
        <f t="shared" si="675"/>
        <v>170.00000000000028</v>
      </c>
      <c r="R1039" s="189">
        <f t="shared" si="750"/>
        <v>5.47</v>
      </c>
      <c r="S1039" s="189">
        <f t="shared" si="697"/>
        <v>1.07</v>
      </c>
      <c r="T1039" s="189">
        <f t="shared" si="730"/>
        <v>2.2999999999999998</v>
      </c>
      <c r="U1039" s="189">
        <f t="shared" si="731"/>
        <v>0.27</v>
      </c>
      <c r="V1039" s="189">
        <f t="shared" si="755"/>
        <v>0.5</v>
      </c>
      <c r="W1039" s="189">
        <f t="shared" si="747"/>
        <v>0</v>
      </c>
      <c r="X1039" s="189">
        <f t="shared" si="681"/>
        <v>9.61</v>
      </c>
      <c r="Y1039" s="190">
        <f t="shared" si="682"/>
        <v>160.38999999999999</v>
      </c>
      <c r="Z1039" s="191">
        <v>333.23</v>
      </c>
      <c r="AA1039" s="192">
        <f>Z1039-Y1039-Y1040-Y1041</f>
        <v>-0.46999999999997755</v>
      </c>
      <c r="AB1039" s="193">
        <f t="shared" si="684"/>
        <v>1.8847006651884733E-2</v>
      </c>
      <c r="AC1039" s="194">
        <f t="shared" si="685"/>
        <v>5.2800000000000004E-4</v>
      </c>
      <c r="AD1039" s="189"/>
      <c r="AE1039" s="195" t="s">
        <v>403</v>
      </c>
      <c r="AF1039" s="119"/>
    </row>
    <row r="1040" spans="1:32" ht="12" hidden="1" customHeight="1">
      <c r="A1040" s="183">
        <v>44378</v>
      </c>
      <c r="B1040" s="184" t="s">
        <v>491</v>
      </c>
      <c r="C1040" s="184"/>
      <c r="D1040" s="184"/>
      <c r="E1040" s="184"/>
      <c r="F1040" s="184"/>
      <c r="G1040" s="184"/>
      <c r="H1040" s="184" t="s">
        <v>654</v>
      </c>
      <c r="I1040" s="184" t="s">
        <v>469</v>
      </c>
      <c r="J1040" s="184" t="s">
        <v>471</v>
      </c>
      <c r="K1040" s="185">
        <v>50</v>
      </c>
      <c r="L1040" s="186">
        <v>159</v>
      </c>
      <c r="M1040" s="187">
        <v>162</v>
      </c>
      <c r="N1040" s="188">
        <f t="shared" si="695"/>
        <v>2.39</v>
      </c>
      <c r="O1040" s="188">
        <f t="shared" si="696"/>
        <v>2.4300000000000002</v>
      </c>
      <c r="P1040" s="189">
        <f t="shared" si="674"/>
        <v>16050</v>
      </c>
      <c r="Q1040" s="189">
        <f t="shared" si="675"/>
        <v>150</v>
      </c>
      <c r="R1040" s="189">
        <f t="shared" si="750"/>
        <v>4.82</v>
      </c>
      <c r="S1040" s="189">
        <f t="shared" si="697"/>
        <v>0.95</v>
      </c>
      <c r="T1040" s="189">
        <f t="shared" si="730"/>
        <v>2.0299999999999998</v>
      </c>
      <c r="U1040" s="189">
        <f t="shared" si="731"/>
        <v>0.24</v>
      </c>
      <c r="V1040" s="189">
        <f t="shared" si="755"/>
        <v>0.44</v>
      </c>
      <c r="W1040" s="189">
        <f t="shared" si="747"/>
        <v>0</v>
      </c>
      <c r="X1040" s="189">
        <f t="shared" si="681"/>
        <v>8.48</v>
      </c>
      <c r="Y1040" s="190">
        <f t="shared" si="682"/>
        <v>141.52000000000001</v>
      </c>
      <c r="Z1040" s="191"/>
      <c r="AA1040" s="192"/>
      <c r="AB1040" s="193">
        <f t="shared" si="684"/>
        <v>1.8867924528301886E-2</v>
      </c>
      <c r="AC1040" s="194">
        <f t="shared" si="685"/>
        <v>5.2800000000000004E-4</v>
      </c>
      <c r="AD1040" s="189"/>
      <c r="AE1040" s="195" t="s">
        <v>403</v>
      </c>
      <c r="AF1040" s="119"/>
    </row>
    <row r="1041" spans="1:32" ht="12" hidden="1" customHeight="1">
      <c r="A1041" s="183">
        <v>44378</v>
      </c>
      <c r="B1041" s="184" t="s">
        <v>536</v>
      </c>
      <c r="C1041" s="184"/>
      <c r="D1041" s="184"/>
      <c r="E1041" s="184"/>
      <c r="F1041" s="184"/>
      <c r="G1041" s="184"/>
      <c r="H1041" s="184" t="s">
        <v>654</v>
      </c>
      <c r="I1041" s="184" t="s">
        <v>469</v>
      </c>
      <c r="J1041" s="184" t="s">
        <v>471</v>
      </c>
      <c r="K1041" s="185">
        <v>50</v>
      </c>
      <c r="L1041" s="186">
        <v>345</v>
      </c>
      <c r="M1041" s="187">
        <v>346</v>
      </c>
      <c r="N1041" s="188">
        <f t="shared" si="695"/>
        <v>5.18</v>
      </c>
      <c r="O1041" s="188">
        <f t="shared" si="696"/>
        <v>5.19</v>
      </c>
      <c r="P1041" s="189">
        <f t="shared" si="674"/>
        <v>34550</v>
      </c>
      <c r="Q1041" s="189">
        <f t="shared" si="675"/>
        <v>50</v>
      </c>
      <c r="R1041" s="189">
        <f t="shared" si="750"/>
        <v>10.37</v>
      </c>
      <c r="S1041" s="189">
        <f t="shared" si="697"/>
        <v>2.04</v>
      </c>
      <c r="T1041" s="189">
        <f t="shared" si="730"/>
        <v>4.33</v>
      </c>
      <c r="U1041" s="189">
        <f t="shared" si="731"/>
        <v>0.52</v>
      </c>
      <c r="V1041" s="189">
        <f t="shared" si="755"/>
        <v>0.95</v>
      </c>
      <c r="W1041" s="189">
        <f t="shared" si="747"/>
        <v>0</v>
      </c>
      <c r="X1041" s="189">
        <f t="shared" si="681"/>
        <v>18.21</v>
      </c>
      <c r="Y1041" s="190">
        <f t="shared" si="682"/>
        <v>31.79</v>
      </c>
      <c r="Z1041" s="191"/>
      <c r="AA1041" s="192"/>
      <c r="AB1041" s="193">
        <f t="shared" si="684"/>
        <v>2.8985507246376812E-3</v>
      </c>
      <c r="AC1041" s="194">
        <f t="shared" si="685"/>
        <v>5.2700000000000002E-4</v>
      </c>
      <c r="AD1041" s="189"/>
      <c r="AE1041" s="195" t="s">
        <v>403</v>
      </c>
      <c r="AF1041" s="119"/>
    </row>
    <row r="1042" spans="1:32" ht="12" hidden="1" customHeight="1">
      <c r="A1042" s="183">
        <v>44379</v>
      </c>
      <c r="B1042" s="184" t="s">
        <v>536</v>
      </c>
      <c r="C1042" s="184"/>
      <c r="D1042" s="184"/>
      <c r="E1042" s="184"/>
      <c r="F1042" s="184"/>
      <c r="G1042" s="184"/>
      <c r="H1042" s="184" t="s">
        <v>654</v>
      </c>
      <c r="I1042" s="184" t="s">
        <v>469</v>
      </c>
      <c r="J1042" s="184" t="s">
        <v>471</v>
      </c>
      <c r="K1042" s="185">
        <v>50</v>
      </c>
      <c r="L1042" s="186">
        <v>380</v>
      </c>
      <c r="M1042" s="187">
        <v>370</v>
      </c>
      <c r="N1042" s="188">
        <f t="shared" si="695"/>
        <v>5.7</v>
      </c>
      <c r="O1042" s="188">
        <f t="shared" si="696"/>
        <v>5.55</v>
      </c>
      <c r="P1042" s="189">
        <f t="shared" si="674"/>
        <v>37500</v>
      </c>
      <c r="Q1042" s="189">
        <f t="shared" si="675"/>
        <v>-500</v>
      </c>
      <c r="R1042" s="189">
        <f t="shared" si="750"/>
        <v>11.25</v>
      </c>
      <c r="S1042" s="189">
        <f t="shared" si="697"/>
        <v>2.21</v>
      </c>
      <c r="T1042" s="189">
        <f t="shared" si="730"/>
        <v>4.63</v>
      </c>
      <c r="U1042" s="189">
        <f t="shared" si="731"/>
        <v>0.56999999999999995</v>
      </c>
      <c r="V1042" s="189">
        <f t="shared" si="755"/>
        <v>1.03</v>
      </c>
      <c r="W1042" s="189">
        <f t="shared" si="747"/>
        <v>0</v>
      </c>
      <c r="X1042" s="189">
        <f t="shared" si="681"/>
        <v>19.690000000000001</v>
      </c>
      <c r="Y1042" s="190">
        <f t="shared" si="682"/>
        <v>-519.69000000000005</v>
      </c>
      <c r="Z1042" s="191">
        <v>-520.39</v>
      </c>
      <c r="AA1042" s="192">
        <f t="shared" ref="AA1042:AA1049" si="756">Z1042-Y1042</f>
        <v>-0.69999999999993179</v>
      </c>
      <c r="AB1042" s="193">
        <f t="shared" si="684"/>
        <v>-2.6315789473684209E-2</v>
      </c>
      <c r="AC1042" s="194">
        <f t="shared" si="685"/>
        <v>5.2499999999999997E-4</v>
      </c>
      <c r="AD1042" s="189"/>
      <c r="AE1042" s="195" t="s">
        <v>403</v>
      </c>
      <c r="AF1042" s="119"/>
    </row>
    <row r="1043" spans="1:32" ht="12" hidden="1" customHeight="1">
      <c r="A1043" s="183">
        <v>44383</v>
      </c>
      <c r="B1043" s="184" t="s">
        <v>465</v>
      </c>
      <c r="C1043" s="184"/>
      <c r="D1043" s="184"/>
      <c r="E1043" s="184"/>
      <c r="F1043" s="184"/>
      <c r="G1043" s="184"/>
      <c r="H1043" s="184" t="s">
        <v>654</v>
      </c>
      <c r="I1043" s="184" t="s">
        <v>469</v>
      </c>
      <c r="J1043" s="184" t="s">
        <v>471</v>
      </c>
      <c r="K1043" s="185">
        <v>50</v>
      </c>
      <c r="L1043" s="186">
        <v>125</v>
      </c>
      <c r="M1043" s="187">
        <v>125.8</v>
      </c>
      <c r="N1043" s="188">
        <f t="shared" si="695"/>
        <v>1.88</v>
      </c>
      <c r="O1043" s="188">
        <f t="shared" si="696"/>
        <v>1.89</v>
      </c>
      <c r="P1043" s="189">
        <f t="shared" si="674"/>
        <v>12540</v>
      </c>
      <c r="Q1043" s="189">
        <f t="shared" si="675"/>
        <v>39.999999999999858</v>
      </c>
      <c r="R1043" s="189">
        <f t="shared" si="750"/>
        <v>3.77</v>
      </c>
      <c r="S1043" s="189">
        <f t="shared" si="697"/>
        <v>0.76</v>
      </c>
      <c r="T1043" s="189">
        <f t="shared" si="730"/>
        <v>1.57</v>
      </c>
      <c r="U1043" s="189">
        <f t="shared" si="731"/>
        <v>0.19</v>
      </c>
      <c r="V1043" s="189">
        <f>ROUND(P1043*M$1809,2)</f>
        <v>0.43</v>
      </c>
      <c r="W1043" s="189">
        <f t="shared" si="747"/>
        <v>0</v>
      </c>
      <c r="X1043" s="189">
        <f t="shared" si="681"/>
        <v>6.7200000000000006</v>
      </c>
      <c r="Y1043" s="190">
        <f t="shared" si="682"/>
        <v>33.28</v>
      </c>
      <c r="Z1043" s="191">
        <v>34.660000000000004</v>
      </c>
      <c r="AA1043" s="192">
        <f t="shared" si="756"/>
        <v>1.3800000000000026</v>
      </c>
      <c r="AB1043" s="193">
        <f t="shared" si="684"/>
        <v>6.3999999999999769E-3</v>
      </c>
      <c r="AC1043" s="194">
        <f t="shared" si="685"/>
        <v>5.3600000000000002E-4</v>
      </c>
      <c r="AD1043" s="189"/>
      <c r="AE1043" s="195" t="s">
        <v>403</v>
      </c>
      <c r="AF1043" s="119"/>
    </row>
    <row r="1044" spans="1:32" ht="12" hidden="1" customHeight="1">
      <c r="A1044" s="183">
        <v>44393</v>
      </c>
      <c r="B1044" s="184" t="s">
        <v>622</v>
      </c>
      <c r="C1044" s="184"/>
      <c r="D1044" s="184"/>
      <c r="E1044" s="184"/>
      <c r="F1044" s="184"/>
      <c r="G1044" s="184"/>
      <c r="H1044" s="184" t="s">
        <v>654</v>
      </c>
      <c r="I1044" s="184" t="s">
        <v>469</v>
      </c>
      <c r="J1044" s="184" t="s">
        <v>471</v>
      </c>
      <c r="K1044" s="185">
        <v>5</v>
      </c>
      <c r="L1044" s="186">
        <v>845</v>
      </c>
      <c r="M1044" s="187">
        <v>855</v>
      </c>
      <c r="N1044" s="188">
        <f t="shared" si="695"/>
        <v>1.27</v>
      </c>
      <c r="O1044" s="188">
        <f t="shared" si="696"/>
        <v>1.28</v>
      </c>
      <c r="P1044" s="189">
        <f t="shared" si="674"/>
        <v>8500</v>
      </c>
      <c r="Q1044" s="189">
        <f t="shared" si="675"/>
        <v>50</v>
      </c>
      <c r="R1044" s="189">
        <f t="shared" si="750"/>
        <v>2.5499999999999998</v>
      </c>
      <c r="S1044" s="189">
        <f t="shared" si="697"/>
        <v>0.5</v>
      </c>
      <c r="T1044" s="189">
        <f t="shared" si="730"/>
        <v>1.07</v>
      </c>
      <c r="U1044" s="189">
        <f t="shared" si="731"/>
        <v>0.13</v>
      </c>
      <c r="V1044" s="189">
        <f t="shared" ref="V1044:V1045" si="757">ROUND(P1044*L$1809,2)</f>
        <v>0.23</v>
      </c>
      <c r="W1044" s="189">
        <f t="shared" ref="W1044:W1409" si="758">ROUND(P1044*J$1815,2)</f>
        <v>0.01</v>
      </c>
      <c r="X1044" s="189">
        <f t="shared" si="681"/>
        <v>4.49</v>
      </c>
      <c r="Y1044" s="190">
        <f t="shared" si="682"/>
        <v>45.51</v>
      </c>
      <c r="Z1044" s="191">
        <v>45.62</v>
      </c>
      <c r="AA1044" s="192">
        <f t="shared" si="756"/>
        <v>0.10999999999999943</v>
      </c>
      <c r="AB1044" s="193">
        <f t="shared" si="684"/>
        <v>1.1834319526627219E-2</v>
      </c>
      <c r="AC1044" s="194">
        <f t="shared" si="685"/>
        <v>5.2800000000000004E-4</v>
      </c>
      <c r="AD1044" s="189"/>
      <c r="AE1044" s="195" t="s">
        <v>403</v>
      </c>
      <c r="AF1044" s="119"/>
    </row>
    <row r="1045" spans="1:32" ht="12" hidden="1" customHeight="1">
      <c r="A1045" s="183">
        <v>44407</v>
      </c>
      <c r="B1045" s="184" t="s">
        <v>481</v>
      </c>
      <c r="C1045" s="184"/>
      <c r="D1045" s="184"/>
      <c r="E1045" s="184"/>
      <c r="F1045" s="184"/>
      <c r="G1045" s="184"/>
      <c r="H1045" s="184" t="s">
        <v>654</v>
      </c>
      <c r="I1045" s="184" t="s">
        <v>469</v>
      </c>
      <c r="J1045" s="184" t="s">
        <v>471</v>
      </c>
      <c r="K1045" s="185">
        <v>100</v>
      </c>
      <c r="L1045" s="186">
        <v>141.5</v>
      </c>
      <c r="M1045" s="187">
        <v>145</v>
      </c>
      <c r="N1045" s="188">
        <f t="shared" si="695"/>
        <v>4.25</v>
      </c>
      <c r="O1045" s="188">
        <f t="shared" si="696"/>
        <v>4.3499999999999996</v>
      </c>
      <c r="P1045" s="189">
        <f t="shared" si="674"/>
        <v>28650</v>
      </c>
      <c r="Q1045" s="189">
        <f t="shared" si="675"/>
        <v>350</v>
      </c>
      <c r="R1045" s="189">
        <f t="shared" si="750"/>
        <v>8.6</v>
      </c>
      <c r="S1045" s="189">
        <f t="shared" si="697"/>
        <v>1.69</v>
      </c>
      <c r="T1045" s="189">
        <f t="shared" si="730"/>
        <v>3.63</v>
      </c>
      <c r="U1045" s="189">
        <f t="shared" si="731"/>
        <v>0.42</v>
      </c>
      <c r="V1045" s="189">
        <f t="shared" si="757"/>
        <v>0.79</v>
      </c>
      <c r="W1045" s="189">
        <f t="shared" si="758"/>
        <v>0.03</v>
      </c>
      <c r="X1045" s="189">
        <f t="shared" si="681"/>
        <v>15.159999999999998</v>
      </c>
      <c r="Y1045" s="190">
        <f t="shared" si="682"/>
        <v>334.84</v>
      </c>
      <c r="Z1045" s="191">
        <v>334.55</v>
      </c>
      <c r="AA1045" s="192">
        <f t="shared" si="756"/>
        <v>-0.28999999999996362</v>
      </c>
      <c r="AB1045" s="193">
        <f t="shared" si="684"/>
        <v>2.4734982332155476E-2</v>
      </c>
      <c r="AC1045" s="194">
        <f t="shared" si="685"/>
        <v>5.2899999999999996E-4</v>
      </c>
      <c r="AD1045" s="189"/>
      <c r="AE1045" s="195" t="s">
        <v>403</v>
      </c>
      <c r="AF1045" s="119"/>
    </row>
    <row r="1046" spans="1:32" ht="12" hidden="1" customHeight="1">
      <c r="A1046" s="183">
        <v>44413</v>
      </c>
      <c r="B1046" s="184" t="s">
        <v>481</v>
      </c>
      <c r="C1046" s="184"/>
      <c r="D1046" s="184"/>
      <c r="E1046" s="184"/>
      <c r="F1046" s="184"/>
      <c r="G1046" s="184"/>
      <c r="H1046" s="184" t="s">
        <v>654</v>
      </c>
      <c r="I1046" s="184" t="s">
        <v>469</v>
      </c>
      <c r="J1046" s="184" t="s">
        <v>471</v>
      </c>
      <c r="K1046" s="185">
        <v>100</v>
      </c>
      <c r="L1046" s="186">
        <v>142.4</v>
      </c>
      <c r="M1046" s="187">
        <v>143.5</v>
      </c>
      <c r="N1046" s="188">
        <f t="shared" si="695"/>
        <v>4.2699999999999996</v>
      </c>
      <c r="O1046" s="188">
        <f t="shared" si="696"/>
        <v>4.3099999999999996</v>
      </c>
      <c r="P1046" s="189">
        <f t="shared" si="674"/>
        <v>28590</v>
      </c>
      <c r="Q1046" s="189">
        <f t="shared" si="675"/>
        <v>109.99999999999943</v>
      </c>
      <c r="R1046" s="189">
        <f t="shared" si="750"/>
        <v>8.58</v>
      </c>
      <c r="S1046" s="189">
        <f t="shared" si="697"/>
        <v>1.72</v>
      </c>
      <c r="T1046" s="189">
        <f t="shared" si="730"/>
        <v>3.59</v>
      </c>
      <c r="U1046" s="189">
        <f t="shared" si="731"/>
        <v>0.43</v>
      </c>
      <c r="V1046" s="189">
        <f>ROUND(P1046*M$1809,2)</f>
        <v>0.99</v>
      </c>
      <c r="W1046" s="189">
        <f t="shared" si="758"/>
        <v>0.03</v>
      </c>
      <c r="X1046" s="189">
        <f t="shared" si="681"/>
        <v>15.34</v>
      </c>
      <c r="Y1046" s="190">
        <f t="shared" si="682"/>
        <v>94.66</v>
      </c>
      <c r="Z1046" s="191">
        <v>94.68</v>
      </c>
      <c r="AA1046" s="192">
        <f t="shared" si="756"/>
        <v>2.0000000000010232E-2</v>
      </c>
      <c r="AB1046" s="193">
        <f t="shared" si="684"/>
        <v>7.7247191011235554E-3</v>
      </c>
      <c r="AC1046" s="194">
        <f t="shared" si="685"/>
        <v>5.3700000000000004E-4</v>
      </c>
      <c r="AD1046" s="189"/>
      <c r="AE1046" s="195" t="s">
        <v>403</v>
      </c>
      <c r="AF1046" s="119"/>
    </row>
    <row r="1047" spans="1:32" ht="12" hidden="1" customHeight="1">
      <c r="A1047" s="183">
        <v>44414</v>
      </c>
      <c r="B1047" s="184" t="s">
        <v>507</v>
      </c>
      <c r="C1047" s="184"/>
      <c r="D1047" s="184"/>
      <c r="E1047" s="184"/>
      <c r="F1047" s="184"/>
      <c r="G1047" s="184"/>
      <c r="H1047" s="184" t="s">
        <v>654</v>
      </c>
      <c r="I1047" s="184" t="s">
        <v>469</v>
      </c>
      <c r="J1047" s="184" t="s">
        <v>471</v>
      </c>
      <c r="K1047" s="185">
        <v>4000</v>
      </c>
      <c r="L1047" s="186">
        <v>7.15</v>
      </c>
      <c r="M1047" s="187">
        <v>7.1</v>
      </c>
      <c r="N1047" s="188">
        <f t="shared" si="695"/>
        <v>8.58</v>
      </c>
      <c r="O1047" s="188">
        <f t="shared" si="696"/>
        <v>8.52</v>
      </c>
      <c r="P1047" s="189">
        <f t="shared" si="674"/>
        <v>57000</v>
      </c>
      <c r="Q1047" s="189">
        <f t="shared" si="675"/>
        <v>-200.00000000000284</v>
      </c>
      <c r="R1047" s="189">
        <f t="shared" si="750"/>
        <v>17.100000000000001</v>
      </c>
      <c r="S1047" s="189">
        <f t="shared" si="697"/>
        <v>3.36</v>
      </c>
      <c r="T1047" s="189">
        <f t="shared" si="730"/>
        <v>7.1</v>
      </c>
      <c r="U1047" s="189">
        <f t="shared" si="731"/>
        <v>0.86</v>
      </c>
      <c r="V1047" s="189">
        <f t="shared" ref="V1047:V1050" si="759">ROUND(P1047*L$1809,2)</f>
        <v>1.57</v>
      </c>
      <c r="W1047" s="189">
        <f t="shared" si="758"/>
        <v>0.06</v>
      </c>
      <c r="X1047" s="189">
        <f t="shared" si="681"/>
        <v>30.05</v>
      </c>
      <c r="Y1047" s="190">
        <f t="shared" si="682"/>
        <v>-230.05</v>
      </c>
      <c r="Z1047" s="191">
        <v>-230.09</v>
      </c>
      <c r="AA1047" s="192">
        <f t="shared" si="756"/>
        <v>-3.9999999999992042E-2</v>
      </c>
      <c r="AB1047" s="193">
        <f t="shared" si="684"/>
        <v>-6.9930069930070919E-3</v>
      </c>
      <c r="AC1047" s="194">
        <f t="shared" si="685"/>
        <v>5.2700000000000002E-4</v>
      </c>
      <c r="AD1047" s="189"/>
      <c r="AE1047" s="195" t="s">
        <v>403</v>
      </c>
      <c r="AF1047" s="119"/>
    </row>
    <row r="1048" spans="1:32" ht="12" hidden="1" customHeight="1">
      <c r="A1048" s="183">
        <v>44439</v>
      </c>
      <c r="B1048" s="184" t="s">
        <v>550</v>
      </c>
      <c r="C1048" s="184"/>
      <c r="D1048" s="184"/>
      <c r="E1048" s="184"/>
      <c r="F1048" s="184"/>
      <c r="G1048" s="184"/>
      <c r="H1048" s="184" t="s">
        <v>654</v>
      </c>
      <c r="I1048" s="184" t="s">
        <v>469</v>
      </c>
      <c r="J1048" s="184" t="s">
        <v>471</v>
      </c>
      <c r="K1048" s="185">
        <v>25</v>
      </c>
      <c r="L1048" s="186">
        <v>313</v>
      </c>
      <c r="M1048" s="187">
        <v>314</v>
      </c>
      <c r="N1048" s="188">
        <f t="shared" si="695"/>
        <v>2.35</v>
      </c>
      <c r="O1048" s="188">
        <f t="shared" si="696"/>
        <v>2.36</v>
      </c>
      <c r="P1048" s="189">
        <f t="shared" si="674"/>
        <v>15675</v>
      </c>
      <c r="Q1048" s="189">
        <f t="shared" si="675"/>
        <v>25</v>
      </c>
      <c r="R1048" s="189">
        <f t="shared" si="750"/>
        <v>4.71</v>
      </c>
      <c r="S1048" s="189">
        <f t="shared" si="697"/>
        <v>0.93</v>
      </c>
      <c r="T1048" s="189">
        <f t="shared" si="730"/>
        <v>1.96</v>
      </c>
      <c r="U1048" s="189">
        <f t="shared" si="731"/>
        <v>0.23</v>
      </c>
      <c r="V1048" s="189">
        <f t="shared" si="759"/>
        <v>0.43</v>
      </c>
      <c r="W1048" s="189">
        <f t="shared" si="758"/>
        <v>0.02</v>
      </c>
      <c r="X1048" s="189">
        <f t="shared" si="681"/>
        <v>8.2799999999999994</v>
      </c>
      <c r="Y1048" s="190">
        <f t="shared" si="682"/>
        <v>16.72</v>
      </c>
      <c r="Z1048" s="191">
        <v>16.5</v>
      </c>
      <c r="AA1048" s="192">
        <f t="shared" si="756"/>
        <v>-0.21999999999999886</v>
      </c>
      <c r="AB1048" s="193">
        <f t="shared" si="684"/>
        <v>3.1948881789137379E-3</v>
      </c>
      <c r="AC1048" s="194">
        <f t="shared" si="685"/>
        <v>5.2800000000000004E-4</v>
      </c>
      <c r="AD1048" s="189"/>
      <c r="AE1048" s="195" t="s">
        <v>403</v>
      </c>
      <c r="AF1048" s="119"/>
    </row>
    <row r="1049" spans="1:32" ht="12" hidden="1" customHeight="1">
      <c r="A1049" s="183">
        <v>44440</v>
      </c>
      <c r="B1049" s="184" t="s">
        <v>550</v>
      </c>
      <c r="C1049" s="184"/>
      <c r="D1049" s="184"/>
      <c r="E1049" s="184"/>
      <c r="F1049" s="184"/>
      <c r="G1049" s="184"/>
      <c r="H1049" s="184" t="s">
        <v>654</v>
      </c>
      <c r="I1049" s="184" t="s">
        <v>469</v>
      </c>
      <c r="J1049" s="184" t="s">
        <v>471</v>
      </c>
      <c r="K1049" s="185">
        <v>25</v>
      </c>
      <c r="L1049" s="186">
        <v>337</v>
      </c>
      <c r="M1049" s="187">
        <v>321.95</v>
      </c>
      <c r="N1049" s="188">
        <f t="shared" si="695"/>
        <v>2.5299999999999998</v>
      </c>
      <c r="O1049" s="188">
        <f t="shared" si="696"/>
        <v>2.41</v>
      </c>
      <c r="P1049" s="189">
        <f t="shared" si="674"/>
        <v>16473.75</v>
      </c>
      <c r="Q1049" s="189">
        <f t="shared" si="675"/>
        <v>-376.25000000000028</v>
      </c>
      <c r="R1049" s="189">
        <f t="shared" si="750"/>
        <v>4.9400000000000004</v>
      </c>
      <c r="S1049" s="189">
        <f t="shared" si="697"/>
        <v>0.97</v>
      </c>
      <c r="T1049" s="189">
        <f t="shared" si="730"/>
        <v>2.0099999999999998</v>
      </c>
      <c r="U1049" s="189">
        <f t="shared" si="731"/>
        <v>0.25</v>
      </c>
      <c r="V1049" s="189">
        <f t="shared" si="759"/>
        <v>0.45</v>
      </c>
      <c r="W1049" s="189">
        <f t="shared" si="758"/>
        <v>0.02</v>
      </c>
      <c r="X1049" s="189">
        <f t="shared" si="681"/>
        <v>8.6399999999999988</v>
      </c>
      <c r="Y1049" s="190">
        <f t="shared" si="682"/>
        <v>-384.89</v>
      </c>
      <c r="Z1049" s="191">
        <v>-385.16</v>
      </c>
      <c r="AA1049" s="192">
        <f t="shared" si="756"/>
        <v>-0.27000000000003865</v>
      </c>
      <c r="AB1049" s="193">
        <f t="shared" si="684"/>
        <v>-4.4658753709198848E-2</v>
      </c>
      <c r="AC1049" s="194">
        <f t="shared" si="685"/>
        <v>5.2400000000000005E-4</v>
      </c>
      <c r="AD1049" s="189"/>
      <c r="AE1049" s="195" t="s">
        <v>403</v>
      </c>
      <c r="AF1049" s="119"/>
    </row>
    <row r="1050" spans="1:32" ht="12" hidden="1" customHeight="1">
      <c r="A1050" s="183">
        <v>44441</v>
      </c>
      <c r="B1050" s="184" t="s">
        <v>507</v>
      </c>
      <c r="C1050" s="184"/>
      <c r="D1050" s="184"/>
      <c r="E1050" s="184"/>
      <c r="F1050" s="184"/>
      <c r="G1050" s="184"/>
      <c r="H1050" s="184" t="s">
        <v>654</v>
      </c>
      <c r="I1050" s="184" t="s">
        <v>469</v>
      </c>
      <c r="J1050" s="184" t="s">
        <v>471</v>
      </c>
      <c r="K1050" s="185">
        <v>16000</v>
      </c>
      <c r="L1050" s="186">
        <v>6.6749999999999998</v>
      </c>
      <c r="M1050" s="187">
        <v>6.5625</v>
      </c>
      <c r="N1050" s="188">
        <f t="shared" si="695"/>
        <v>20</v>
      </c>
      <c r="O1050" s="188">
        <f t="shared" si="696"/>
        <v>20</v>
      </c>
      <c r="P1050" s="189">
        <f t="shared" si="674"/>
        <v>211800</v>
      </c>
      <c r="Q1050" s="189">
        <f t="shared" si="675"/>
        <v>-1799.9999999999973</v>
      </c>
      <c r="R1050" s="189">
        <v>63.54</v>
      </c>
      <c r="S1050" s="189">
        <f t="shared" si="697"/>
        <v>12.48</v>
      </c>
      <c r="T1050" s="189">
        <f t="shared" si="730"/>
        <v>26.25</v>
      </c>
      <c r="U1050" s="189">
        <f t="shared" si="731"/>
        <v>3.2</v>
      </c>
      <c r="V1050" s="189">
        <f t="shared" si="759"/>
        <v>5.82</v>
      </c>
      <c r="W1050" s="189">
        <f t="shared" si="758"/>
        <v>0.21</v>
      </c>
      <c r="X1050" s="189">
        <f t="shared" si="681"/>
        <v>111.49999999999999</v>
      </c>
      <c r="Y1050" s="190">
        <f t="shared" si="682"/>
        <v>-1911.5</v>
      </c>
      <c r="Z1050" s="191">
        <v>-1916.81</v>
      </c>
      <c r="AA1050" s="192">
        <f>Z1050-Y1051-Y1050</f>
        <v>0.75</v>
      </c>
      <c r="AB1050" s="193">
        <f t="shared" si="684"/>
        <v>-1.6853932584269638E-2</v>
      </c>
      <c r="AC1050" s="194">
        <f t="shared" si="685"/>
        <v>5.2599999999999999E-4</v>
      </c>
      <c r="AD1050" s="189"/>
      <c r="AE1050" s="195" t="s">
        <v>403</v>
      </c>
      <c r="AF1050" s="119"/>
    </row>
    <row r="1051" spans="1:32" ht="12" hidden="1" customHeight="1">
      <c r="A1051" s="183">
        <v>44441</v>
      </c>
      <c r="B1051" s="184" t="s">
        <v>486</v>
      </c>
      <c r="C1051" s="184"/>
      <c r="D1051" s="184"/>
      <c r="E1051" s="184"/>
      <c r="F1051" s="184"/>
      <c r="G1051" s="184"/>
      <c r="H1051" s="184" t="s">
        <v>654</v>
      </c>
      <c r="I1051" s="184" t="s">
        <v>469</v>
      </c>
      <c r="J1051" s="184" t="s">
        <v>471</v>
      </c>
      <c r="K1051" s="185">
        <v>50</v>
      </c>
      <c r="L1051" s="186">
        <v>579.5</v>
      </c>
      <c r="M1051" s="187">
        <v>580</v>
      </c>
      <c r="N1051" s="188">
        <f t="shared" si="695"/>
        <v>8.69</v>
      </c>
      <c r="O1051" s="188">
        <f t="shared" si="696"/>
        <v>8.6999999999999993</v>
      </c>
      <c r="P1051" s="189">
        <f t="shared" si="674"/>
        <v>57975</v>
      </c>
      <c r="Q1051" s="189">
        <f t="shared" si="675"/>
        <v>25</v>
      </c>
      <c r="R1051" s="189">
        <f t="shared" ref="R1051:R1056" si="760">ROUND(N1051+O1051,2)</f>
        <v>17.39</v>
      </c>
      <c r="S1051" s="189">
        <f t="shared" si="697"/>
        <v>3.49</v>
      </c>
      <c r="T1051" s="189">
        <f t="shared" si="730"/>
        <v>7.25</v>
      </c>
      <c r="U1051" s="189">
        <f t="shared" si="731"/>
        <v>0.87</v>
      </c>
      <c r="V1051" s="189">
        <f t="shared" ref="V1051:V1052" si="761">ROUND(P1051*M$1809,2)</f>
        <v>2</v>
      </c>
      <c r="W1051" s="189">
        <f t="shared" si="758"/>
        <v>0.06</v>
      </c>
      <c r="X1051" s="189">
        <f t="shared" si="681"/>
        <v>31.060000000000002</v>
      </c>
      <c r="Y1051" s="190">
        <f t="shared" si="682"/>
        <v>-6.06</v>
      </c>
      <c r="Z1051" s="191"/>
      <c r="AA1051" s="192"/>
      <c r="AB1051" s="193">
        <f t="shared" si="684"/>
        <v>8.6281276962899055E-4</v>
      </c>
      <c r="AC1051" s="194">
        <f t="shared" si="685"/>
        <v>5.3600000000000002E-4</v>
      </c>
      <c r="AD1051" s="189"/>
      <c r="AE1051" s="195" t="s">
        <v>403</v>
      </c>
      <c r="AF1051" s="119"/>
    </row>
    <row r="1052" spans="1:32" ht="12" hidden="1" customHeight="1">
      <c r="A1052" s="183">
        <v>44447</v>
      </c>
      <c r="B1052" s="184" t="s">
        <v>507</v>
      </c>
      <c r="C1052" s="184"/>
      <c r="D1052" s="184"/>
      <c r="E1052" s="184"/>
      <c r="F1052" s="184"/>
      <c r="G1052" s="184"/>
      <c r="H1052" s="184" t="s">
        <v>654</v>
      </c>
      <c r="I1052" s="184" t="s">
        <v>469</v>
      </c>
      <c r="J1052" s="184" t="s">
        <v>471</v>
      </c>
      <c r="K1052" s="185">
        <v>1000</v>
      </c>
      <c r="L1052" s="186">
        <v>8.68</v>
      </c>
      <c r="M1052" s="187">
        <v>8.75</v>
      </c>
      <c r="N1052" s="188">
        <f t="shared" si="695"/>
        <v>2.6</v>
      </c>
      <c r="O1052" s="188">
        <f t="shared" si="696"/>
        <v>2.63</v>
      </c>
      <c r="P1052" s="189">
        <f t="shared" si="674"/>
        <v>17430</v>
      </c>
      <c r="Q1052" s="189">
        <f t="shared" si="675"/>
        <v>70.000000000000284</v>
      </c>
      <c r="R1052" s="189">
        <f t="shared" si="760"/>
        <v>5.23</v>
      </c>
      <c r="S1052" s="189">
        <f t="shared" si="697"/>
        <v>1.05</v>
      </c>
      <c r="T1052" s="189">
        <f t="shared" si="730"/>
        <v>2.19</v>
      </c>
      <c r="U1052" s="189">
        <f t="shared" si="731"/>
        <v>0.26</v>
      </c>
      <c r="V1052" s="189">
        <f t="shared" si="761"/>
        <v>0.6</v>
      </c>
      <c r="W1052" s="189">
        <f t="shared" si="758"/>
        <v>0.02</v>
      </c>
      <c r="X1052" s="189">
        <f t="shared" si="681"/>
        <v>9.35</v>
      </c>
      <c r="Y1052" s="190">
        <f t="shared" si="682"/>
        <v>60.65</v>
      </c>
      <c r="Z1052" s="191">
        <v>61.1</v>
      </c>
      <c r="AA1052" s="192">
        <f t="shared" ref="AA1052:AA1053" si="762">Z1052-Y1052</f>
        <v>0.45000000000000284</v>
      </c>
      <c r="AB1052" s="193">
        <f t="shared" si="684"/>
        <v>8.0645161290322908E-3</v>
      </c>
      <c r="AC1052" s="194">
        <f t="shared" si="685"/>
        <v>5.3600000000000002E-4</v>
      </c>
      <c r="AD1052" s="189"/>
      <c r="AE1052" s="195" t="s">
        <v>403</v>
      </c>
      <c r="AF1052" s="119"/>
    </row>
    <row r="1053" spans="1:32" ht="12" hidden="1" customHeight="1">
      <c r="A1053" s="183">
        <v>44453</v>
      </c>
      <c r="B1053" s="184" t="s">
        <v>553</v>
      </c>
      <c r="C1053" s="184"/>
      <c r="D1053" s="184"/>
      <c r="E1053" s="184"/>
      <c r="F1053" s="184"/>
      <c r="G1053" s="184"/>
      <c r="H1053" s="184" t="s">
        <v>654</v>
      </c>
      <c r="I1053" s="184" t="s">
        <v>469</v>
      </c>
      <c r="J1053" s="184" t="s">
        <v>471</v>
      </c>
      <c r="K1053" s="185">
        <v>200</v>
      </c>
      <c r="L1053" s="186">
        <v>12.45</v>
      </c>
      <c r="M1053" s="187">
        <v>12.55</v>
      </c>
      <c r="N1053" s="188">
        <f t="shared" si="695"/>
        <v>0.75</v>
      </c>
      <c r="O1053" s="188">
        <f t="shared" si="696"/>
        <v>0.75</v>
      </c>
      <c r="P1053" s="189">
        <f t="shared" si="674"/>
        <v>5000</v>
      </c>
      <c r="Q1053" s="189">
        <f t="shared" si="675"/>
        <v>20.000000000000284</v>
      </c>
      <c r="R1053" s="189">
        <f t="shared" si="760"/>
        <v>1.5</v>
      </c>
      <c r="S1053" s="189">
        <f t="shared" si="697"/>
        <v>0.3</v>
      </c>
      <c r="T1053" s="189">
        <f t="shared" si="730"/>
        <v>0.63</v>
      </c>
      <c r="U1053" s="189">
        <f t="shared" si="731"/>
        <v>7.0000000000000007E-2</v>
      </c>
      <c r="V1053" s="189">
        <f t="shared" ref="V1053:V1054" si="763">ROUND(P1053*L$1809,2)</f>
        <v>0.14000000000000001</v>
      </c>
      <c r="W1053" s="189">
        <f t="shared" si="758"/>
        <v>0.01</v>
      </c>
      <c r="X1053" s="189">
        <f t="shared" si="681"/>
        <v>2.65</v>
      </c>
      <c r="Y1053" s="190">
        <f t="shared" si="682"/>
        <v>17.350000000000001</v>
      </c>
      <c r="Z1053" s="191">
        <v>17.059999999999999</v>
      </c>
      <c r="AA1053" s="192">
        <f t="shared" si="762"/>
        <v>-0.2900000000000027</v>
      </c>
      <c r="AB1053" s="193">
        <f t="shared" si="684"/>
        <v>8.0321285140563387E-3</v>
      </c>
      <c r="AC1053" s="194">
        <f t="shared" si="685"/>
        <v>5.2999999999999998E-4</v>
      </c>
      <c r="AD1053" s="189"/>
      <c r="AE1053" s="195" t="s">
        <v>403</v>
      </c>
      <c r="AF1053" s="119"/>
    </row>
    <row r="1054" spans="1:32" ht="12" hidden="1" customHeight="1">
      <c r="A1054" s="183">
        <v>44454</v>
      </c>
      <c r="B1054" s="184" t="s">
        <v>507</v>
      </c>
      <c r="C1054" s="184"/>
      <c r="D1054" s="184"/>
      <c r="E1054" s="184"/>
      <c r="F1054" s="184"/>
      <c r="G1054" s="184"/>
      <c r="H1054" s="184" t="s">
        <v>654</v>
      </c>
      <c r="I1054" s="184" t="s">
        <v>469</v>
      </c>
      <c r="J1054" s="184" t="s">
        <v>471</v>
      </c>
      <c r="K1054" s="185">
        <v>4000</v>
      </c>
      <c r="L1054" s="186">
        <v>9.0250000000000004</v>
      </c>
      <c r="M1054" s="187">
        <v>9.125</v>
      </c>
      <c r="N1054" s="188">
        <f t="shared" si="695"/>
        <v>10.83</v>
      </c>
      <c r="O1054" s="188">
        <f t="shared" si="696"/>
        <v>10.95</v>
      </c>
      <c r="P1054" s="189">
        <f t="shared" si="674"/>
        <v>72600</v>
      </c>
      <c r="Q1054" s="189">
        <f t="shared" si="675"/>
        <v>399.99999999999858</v>
      </c>
      <c r="R1054" s="189">
        <f t="shared" si="760"/>
        <v>21.78</v>
      </c>
      <c r="S1054" s="189">
        <f t="shared" si="697"/>
        <v>4.28</v>
      </c>
      <c r="T1054" s="189">
        <f t="shared" si="730"/>
        <v>9.1300000000000008</v>
      </c>
      <c r="U1054" s="189">
        <f t="shared" si="731"/>
        <v>1.08</v>
      </c>
      <c r="V1054" s="189">
        <f t="shared" si="763"/>
        <v>2</v>
      </c>
      <c r="W1054" s="189">
        <f t="shared" si="758"/>
        <v>7.0000000000000007E-2</v>
      </c>
      <c r="X1054" s="189">
        <f t="shared" si="681"/>
        <v>38.340000000000003</v>
      </c>
      <c r="Y1054" s="190">
        <f t="shared" si="682"/>
        <v>361.66</v>
      </c>
      <c r="Z1054" s="191">
        <v>364.16</v>
      </c>
      <c r="AA1054" s="192">
        <f>Z1054-Y1054-Y1055-Y1056</f>
        <v>-0.83999999999999986</v>
      </c>
      <c r="AB1054" s="193">
        <f t="shared" si="684"/>
        <v>1.1080332409972259E-2</v>
      </c>
      <c r="AC1054" s="194">
        <f t="shared" si="685"/>
        <v>5.2800000000000004E-4</v>
      </c>
      <c r="AD1054" s="189"/>
      <c r="AE1054" s="195" t="s">
        <v>403</v>
      </c>
      <c r="AF1054" s="119"/>
    </row>
    <row r="1055" spans="1:32" ht="12" hidden="1" customHeight="1">
      <c r="A1055" s="183">
        <v>44454</v>
      </c>
      <c r="B1055" s="184" t="s">
        <v>553</v>
      </c>
      <c r="C1055" s="184"/>
      <c r="D1055" s="184"/>
      <c r="E1055" s="184"/>
      <c r="F1055" s="184"/>
      <c r="G1055" s="184"/>
      <c r="H1055" s="184" t="s">
        <v>654</v>
      </c>
      <c r="I1055" s="184" t="s">
        <v>469</v>
      </c>
      <c r="J1055" s="184" t="s">
        <v>471</v>
      </c>
      <c r="K1055" s="185">
        <v>200</v>
      </c>
      <c r="L1055" s="186">
        <v>12.75</v>
      </c>
      <c r="M1055" s="187">
        <v>12.7</v>
      </c>
      <c r="N1055" s="188">
        <f t="shared" si="695"/>
        <v>0.77</v>
      </c>
      <c r="O1055" s="188">
        <f t="shared" si="696"/>
        <v>0.76</v>
      </c>
      <c r="P1055" s="189">
        <f t="shared" si="674"/>
        <v>5090</v>
      </c>
      <c r="Q1055" s="189">
        <f t="shared" si="675"/>
        <v>-10.000000000000142</v>
      </c>
      <c r="R1055" s="189">
        <f t="shared" si="760"/>
        <v>1.53</v>
      </c>
      <c r="S1055" s="189">
        <f t="shared" si="697"/>
        <v>0.31</v>
      </c>
      <c r="T1055" s="189">
        <f t="shared" si="730"/>
        <v>0.64</v>
      </c>
      <c r="U1055" s="189">
        <f t="shared" si="731"/>
        <v>0.08</v>
      </c>
      <c r="V1055" s="189">
        <f t="shared" ref="V1055:V1057" si="764">ROUND(P1055*M$1809,2)</f>
        <v>0.18</v>
      </c>
      <c r="W1055" s="189">
        <f t="shared" si="758"/>
        <v>0.01</v>
      </c>
      <c r="X1055" s="189">
        <f t="shared" si="681"/>
        <v>2.75</v>
      </c>
      <c r="Y1055" s="190">
        <f t="shared" si="682"/>
        <v>-12.75</v>
      </c>
      <c r="Z1055" s="191"/>
      <c r="AA1055" s="192"/>
      <c r="AB1055" s="193">
        <f t="shared" si="684"/>
        <v>-3.9215686274510358E-3</v>
      </c>
      <c r="AC1055" s="194">
        <f t="shared" si="685"/>
        <v>5.4000000000000001E-4</v>
      </c>
      <c r="AD1055" s="189"/>
      <c r="AE1055" s="195" t="s">
        <v>403</v>
      </c>
      <c r="AF1055" s="119"/>
    </row>
    <row r="1056" spans="1:32" ht="12" hidden="1" customHeight="1">
      <c r="A1056" s="183">
        <v>44454</v>
      </c>
      <c r="B1056" s="184" t="s">
        <v>564</v>
      </c>
      <c r="C1056" s="184"/>
      <c r="D1056" s="184"/>
      <c r="E1056" s="184"/>
      <c r="F1056" s="184"/>
      <c r="G1056" s="184"/>
      <c r="H1056" s="184" t="s">
        <v>654</v>
      </c>
      <c r="I1056" s="184" t="s">
        <v>469</v>
      </c>
      <c r="J1056" s="184" t="s">
        <v>471</v>
      </c>
      <c r="K1056" s="185">
        <v>50</v>
      </c>
      <c r="L1056" s="186">
        <v>72.599999999999994</v>
      </c>
      <c r="M1056" s="187">
        <v>73</v>
      </c>
      <c r="N1056" s="188">
        <f t="shared" si="695"/>
        <v>1.0900000000000001</v>
      </c>
      <c r="O1056" s="188">
        <f t="shared" si="696"/>
        <v>1.1000000000000001</v>
      </c>
      <c r="P1056" s="189">
        <f t="shared" si="674"/>
        <v>7280</v>
      </c>
      <c r="Q1056" s="189">
        <f t="shared" si="675"/>
        <v>20.000000000000284</v>
      </c>
      <c r="R1056" s="189">
        <f t="shared" si="760"/>
        <v>2.19</v>
      </c>
      <c r="S1056" s="189">
        <f t="shared" si="697"/>
        <v>0.44</v>
      </c>
      <c r="T1056" s="189">
        <f t="shared" si="730"/>
        <v>0.91</v>
      </c>
      <c r="U1056" s="189">
        <f t="shared" si="731"/>
        <v>0.11</v>
      </c>
      <c r="V1056" s="189">
        <f t="shared" si="764"/>
        <v>0.25</v>
      </c>
      <c r="W1056" s="189">
        <f t="shared" si="758"/>
        <v>0.01</v>
      </c>
      <c r="X1056" s="189">
        <f t="shared" si="681"/>
        <v>3.9099999999999997</v>
      </c>
      <c r="Y1056" s="190">
        <f t="shared" si="682"/>
        <v>16.09</v>
      </c>
      <c r="Z1056" s="191"/>
      <c r="AA1056" s="192"/>
      <c r="AB1056" s="193">
        <f t="shared" si="684"/>
        <v>5.509641873278316E-3</v>
      </c>
      <c r="AC1056" s="194">
        <f t="shared" si="685"/>
        <v>5.3700000000000004E-4</v>
      </c>
      <c r="AD1056" s="189"/>
      <c r="AE1056" s="195" t="s">
        <v>403</v>
      </c>
      <c r="AF1056" s="119"/>
    </row>
    <row r="1057" spans="1:32" ht="12" hidden="1" customHeight="1">
      <c r="A1057" s="183">
        <v>44455</v>
      </c>
      <c r="B1057" s="184" t="s">
        <v>507</v>
      </c>
      <c r="C1057" s="184"/>
      <c r="D1057" s="184"/>
      <c r="E1057" s="184"/>
      <c r="F1057" s="184"/>
      <c r="G1057" s="184"/>
      <c r="H1057" s="184" t="s">
        <v>654</v>
      </c>
      <c r="I1057" s="184" t="s">
        <v>469</v>
      </c>
      <c r="J1057" s="184" t="s">
        <v>471</v>
      </c>
      <c r="K1057" s="185">
        <v>7000</v>
      </c>
      <c r="L1057" s="186">
        <v>10.5143</v>
      </c>
      <c r="M1057" s="187">
        <v>10.25</v>
      </c>
      <c r="N1057" s="188">
        <f t="shared" si="695"/>
        <v>20</v>
      </c>
      <c r="O1057" s="188">
        <f t="shared" si="696"/>
        <v>20</v>
      </c>
      <c r="P1057" s="189">
        <f t="shared" si="674"/>
        <v>145350.1</v>
      </c>
      <c r="Q1057" s="189">
        <f t="shared" si="675"/>
        <v>-1850.1000000000029</v>
      </c>
      <c r="R1057" s="189">
        <v>43.61</v>
      </c>
      <c r="S1057" s="189">
        <f t="shared" si="697"/>
        <v>8.75</v>
      </c>
      <c r="T1057" s="189">
        <f t="shared" si="730"/>
        <v>17.940000000000001</v>
      </c>
      <c r="U1057" s="189">
        <f t="shared" si="731"/>
        <v>2.21</v>
      </c>
      <c r="V1057" s="189">
        <f t="shared" si="764"/>
        <v>5.01</v>
      </c>
      <c r="W1057" s="189">
        <f t="shared" si="758"/>
        <v>0.15</v>
      </c>
      <c r="X1057" s="189">
        <f t="shared" si="681"/>
        <v>77.67</v>
      </c>
      <c r="Y1057" s="190">
        <f t="shared" si="682"/>
        <v>-1927.77</v>
      </c>
      <c r="Z1057" s="191">
        <v>-2015.67</v>
      </c>
      <c r="AA1057" s="192">
        <f>Z1057-Y1058-Y1057</f>
        <v>0.32999999999992724</v>
      </c>
      <c r="AB1057" s="193">
        <f t="shared" si="684"/>
        <v>-2.5137194107073265E-2</v>
      </c>
      <c r="AC1057" s="194">
        <f t="shared" si="685"/>
        <v>5.3399999999999997E-4</v>
      </c>
      <c r="AD1057" s="189"/>
      <c r="AE1057" s="195" t="s">
        <v>403</v>
      </c>
      <c r="AF1057" s="119"/>
    </row>
    <row r="1058" spans="1:32" ht="12" hidden="1" customHeight="1">
      <c r="A1058" s="183">
        <v>44455</v>
      </c>
      <c r="B1058" s="184" t="s">
        <v>519</v>
      </c>
      <c r="C1058" s="184"/>
      <c r="D1058" s="184"/>
      <c r="E1058" s="184"/>
      <c r="F1058" s="184"/>
      <c r="G1058" s="184"/>
      <c r="H1058" s="184" t="s">
        <v>654</v>
      </c>
      <c r="I1058" s="184" t="s">
        <v>469</v>
      </c>
      <c r="J1058" s="184" t="s">
        <v>471</v>
      </c>
      <c r="K1058" s="185">
        <v>200</v>
      </c>
      <c r="L1058" s="186">
        <v>41.85</v>
      </c>
      <c r="M1058" s="187">
        <v>41.5</v>
      </c>
      <c r="N1058" s="188">
        <f t="shared" si="695"/>
        <v>2.5099999999999998</v>
      </c>
      <c r="O1058" s="188">
        <f t="shared" si="696"/>
        <v>2.4900000000000002</v>
      </c>
      <c r="P1058" s="189">
        <f t="shared" si="674"/>
        <v>16670</v>
      </c>
      <c r="Q1058" s="189">
        <f t="shared" si="675"/>
        <v>-70.000000000000284</v>
      </c>
      <c r="R1058" s="189">
        <f>ROUND(N1058+O1058,2)+8</f>
        <v>13</v>
      </c>
      <c r="S1058" s="189">
        <f t="shared" si="697"/>
        <v>2.42</v>
      </c>
      <c r="T1058" s="189">
        <f t="shared" si="730"/>
        <v>2.08</v>
      </c>
      <c r="U1058" s="189">
        <f t="shared" si="731"/>
        <v>0.25</v>
      </c>
      <c r="V1058" s="189">
        <f>ROUND(P1058*L$1809,2)</f>
        <v>0.46</v>
      </c>
      <c r="W1058" s="189">
        <f t="shared" si="758"/>
        <v>0.02</v>
      </c>
      <c r="X1058" s="189">
        <f t="shared" si="681"/>
        <v>18.23</v>
      </c>
      <c r="Y1058" s="190">
        <f t="shared" si="682"/>
        <v>-88.23</v>
      </c>
      <c r="Z1058" s="191"/>
      <c r="AA1058" s="192"/>
      <c r="AB1058" s="193">
        <f t="shared" si="684"/>
        <v>-8.3632019115890428E-3</v>
      </c>
      <c r="AC1058" s="194">
        <f t="shared" si="685"/>
        <v>1.0939999999999999E-3</v>
      </c>
      <c r="AD1058" s="189"/>
      <c r="AE1058" s="195" t="s">
        <v>403</v>
      </c>
      <c r="AF1058" s="119"/>
    </row>
    <row r="1059" spans="1:32" ht="12" hidden="1" customHeight="1">
      <c r="A1059" s="183">
        <v>44456</v>
      </c>
      <c r="B1059" s="184" t="s">
        <v>553</v>
      </c>
      <c r="C1059" s="184"/>
      <c r="D1059" s="184"/>
      <c r="E1059" s="184"/>
      <c r="F1059" s="184"/>
      <c r="G1059" s="184"/>
      <c r="H1059" s="184" t="s">
        <v>654</v>
      </c>
      <c r="I1059" s="184" t="s">
        <v>469</v>
      </c>
      <c r="J1059" s="184" t="s">
        <v>471</v>
      </c>
      <c r="K1059" s="185">
        <v>200</v>
      </c>
      <c r="L1059" s="186">
        <v>13.475</v>
      </c>
      <c r="M1059" s="187">
        <v>13.35</v>
      </c>
      <c r="N1059" s="188">
        <f t="shared" si="695"/>
        <v>0.81</v>
      </c>
      <c r="O1059" s="188">
        <f t="shared" si="696"/>
        <v>0.8</v>
      </c>
      <c r="P1059" s="189">
        <f t="shared" si="674"/>
        <v>5365</v>
      </c>
      <c r="Q1059" s="189">
        <f t="shared" si="675"/>
        <v>-25</v>
      </c>
      <c r="R1059" s="189">
        <f t="shared" ref="R1059:R1070" si="765">ROUND(N1059+O1059,2)</f>
        <v>1.61</v>
      </c>
      <c r="S1059" s="189">
        <f t="shared" si="697"/>
        <v>0.32</v>
      </c>
      <c r="T1059" s="189">
        <f t="shared" si="730"/>
        <v>0.67</v>
      </c>
      <c r="U1059" s="189">
        <f t="shared" si="731"/>
        <v>0.08</v>
      </c>
      <c r="V1059" s="189">
        <f>ROUND(P1059*M$1809,2)</f>
        <v>0.19</v>
      </c>
      <c r="W1059" s="189">
        <f t="shared" si="758"/>
        <v>0.01</v>
      </c>
      <c r="X1059" s="189">
        <f t="shared" si="681"/>
        <v>2.88</v>
      </c>
      <c r="Y1059" s="190">
        <f t="shared" si="682"/>
        <v>-27.88</v>
      </c>
      <c r="Z1059" s="191">
        <v>-27.65</v>
      </c>
      <c r="AA1059" s="192">
        <f>Z1059-Y1059</f>
        <v>0.23000000000000043</v>
      </c>
      <c r="AB1059" s="193">
        <f t="shared" si="684"/>
        <v>-9.2764378478664197E-3</v>
      </c>
      <c r="AC1059" s="194">
        <f t="shared" si="685"/>
        <v>5.3700000000000004E-4</v>
      </c>
      <c r="AD1059" s="189"/>
      <c r="AE1059" s="195" t="s">
        <v>403</v>
      </c>
      <c r="AF1059" s="119"/>
    </row>
    <row r="1060" spans="1:32" ht="12" hidden="1" customHeight="1">
      <c r="A1060" s="183">
        <v>44456</v>
      </c>
      <c r="B1060" s="184" t="s">
        <v>562</v>
      </c>
      <c r="C1060" s="184"/>
      <c r="D1060" s="184"/>
      <c r="E1060" s="184"/>
      <c r="F1060" s="184"/>
      <c r="G1060" s="184"/>
      <c r="H1060" s="184" t="s">
        <v>654</v>
      </c>
      <c r="I1060" s="184" t="s">
        <v>469</v>
      </c>
      <c r="J1060" s="184" t="s">
        <v>471</v>
      </c>
      <c r="K1060" s="185">
        <v>5</v>
      </c>
      <c r="L1060" s="186">
        <v>1350</v>
      </c>
      <c r="M1060" s="187">
        <v>1374</v>
      </c>
      <c r="N1060" s="188">
        <f t="shared" si="695"/>
        <v>2.0299999999999998</v>
      </c>
      <c r="O1060" s="188">
        <f t="shared" si="696"/>
        <v>2.06</v>
      </c>
      <c r="P1060" s="189">
        <f t="shared" si="674"/>
        <v>13620</v>
      </c>
      <c r="Q1060" s="189">
        <f t="shared" si="675"/>
        <v>120</v>
      </c>
      <c r="R1060" s="189">
        <f t="shared" si="765"/>
        <v>4.09</v>
      </c>
      <c r="S1060" s="189">
        <f t="shared" si="697"/>
        <v>0.8</v>
      </c>
      <c r="T1060" s="189">
        <f t="shared" si="730"/>
        <v>1.72</v>
      </c>
      <c r="U1060" s="189">
        <f t="shared" si="731"/>
        <v>0.2</v>
      </c>
      <c r="V1060" s="189">
        <f>ROUND(P1060*L$1809,2)</f>
        <v>0.37</v>
      </c>
      <c r="W1060" s="189">
        <f t="shared" si="758"/>
        <v>0.01</v>
      </c>
      <c r="X1060" s="189">
        <f t="shared" si="681"/>
        <v>7.1899999999999995</v>
      </c>
      <c r="Y1060" s="190">
        <f t="shared" si="682"/>
        <v>112.81</v>
      </c>
      <c r="Z1060" s="191">
        <v>105</v>
      </c>
      <c r="AA1060" s="192"/>
      <c r="AB1060" s="193">
        <f t="shared" si="684"/>
        <v>1.7777777777777778E-2</v>
      </c>
      <c r="AC1060" s="194">
        <f t="shared" si="685"/>
        <v>5.2800000000000004E-4</v>
      </c>
      <c r="AD1060" s="189"/>
      <c r="AE1060" s="195" t="s">
        <v>403</v>
      </c>
      <c r="AF1060" s="119"/>
    </row>
    <row r="1061" spans="1:32" ht="12" hidden="1" customHeight="1">
      <c r="A1061" s="183">
        <v>44460</v>
      </c>
      <c r="B1061" s="184" t="s">
        <v>659</v>
      </c>
      <c r="C1061" s="184"/>
      <c r="D1061" s="184"/>
      <c r="E1061" s="184"/>
      <c r="F1061" s="184"/>
      <c r="G1061" s="184"/>
      <c r="H1061" s="184" t="s">
        <v>654</v>
      </c>
      <c r="I1061" s="184" t="s">
        <v>469</v>
      </c>
      <c r="J1061" s="184" t="s">
        <v>471</v>
      </c>
      <c r="K1061" s="185">
        <v>10</v>
      </c>
      <c r="L1061" s="186">
        <v>642</v>
      </c>
      <c r="M1061" s="187">
        <v>662</v>
      </c>
      <c r="N1061" s="188">
        <f t="shared" si="695"/>
        <v>1.93</v>
      </c>
      <c r="O1061" s="188">
        <f t="shared" si="696"/>
        <v>1.99</v>
      </c>
      <c r="P1061" s="189">
        <f t="shared" si="674"/>
        <v>13040</v>
      </c>
      <c r="Q1061" s="189">
        <f t="shared" si="675"/>
        <v>200</v>
      </c>
      <c r="R1061" s="189">
        <f t="shared" si="765"/>
        <v>3.92</v>
      </c>
      <c r="S1061" s="189">
        <f t="shared" si="697"/>
        <v>0.79</v>
      </c>
      <c r="T1061" s="189">
        <f t="shared" si="730"/>
        <v>1.66</v>
      </c>
      <c r="U1061" s="189">
        <f t="shared" si="731"/>
        <v>0.19</v>
      </c>
      <c r="V1061" s="189">
        <f t="shared" ref="V1061:V1063" si="766">ROUND(P1061*M$1809,2)</f>
        <v>0.45</v>
      </c>
      <c r="W1061" s="189">
        <f t="shared" si="758"/>
        <v>0.01</v>
      </c>
      <c r="X1061" s="189">
        <f t="shared" si="681"/>
        <v>7.0200000000000005</v>
      </c>
      <c r="Y1061" s="190">
        <f t="shared" si="682"/>
        <v>192.98</v>
      </c>
      <c r="Z1061" s="191">
        <v>371.25</v>
      </c>
      <c r="AA1061" s="192">
        <f>Z1061-Y1062-Y1061</f>
        <v>-0.94999999999998863</v>
      </c>
      <c r="AB1061" s="193">
        <f t="shared" si="684"/>
        <v>3.1152647975077882E-2</v>
      </c>
      <c r="AC1061" s="194">
        <f t="shared" si="685"/>
        <v>5.3799999999999996E-4</v>
      </c>
      <c r="AD1061" s="189"/>
      <c r="AE1061" s="195" t="s">
        <v>403</v>
      </c>
      <c r="AF1061" s="119"/>
    </row>
    <row r="1062" spans="1:32" ht="12" hidden="1" customHeight="1">
      <c r="A1062" s="183">
        <v>44460</v>
      </c>
      <c r="B1062" s="184" t="s">
        <v>481</v>
      </c>
      <c r="C1062" s="184"/>
      <c r="D1062" s="184"/>
      <c r="E1062" s="184"/>
      <c r="F1062" s="184"/>
      <c r="G1062" s="184"/>
      <c r="H1062" s="184" t="s">
        <v>654</v>
      </c>
      <c r="I1062" s="184" t="s">
        <v>469</v>
      </c>
      <c r="J1062" s="184" t="s">
        <v>471</v>
      </c>
      <c r="K1062" s="185">
        <v>50</v>
      </c>
      <c r="L1062" s="186">
        <v>105.5</v>
      </c>
      <c r="M1062" s="187">
        <v>109.2</v>
      </c>
      <c r="N1062" s="188">
        <f t="shared" si="695"/>
        <v>1.58</v>
      </c>
      <c r="O1062" s="188">
        <f t="shared" si="696"/>
        <v>1.64</v>
      </c>
      <c r="P1062" s="189">
        <f t="shared" si="674"/>
        <v>10735</v>
      </c>
      <c r="Q1062" s="189">
        <f t="shared" si="675"/>
        <v>185.00000000000014</v>
      </c>
      <c r="R1062" s="189">
        <f t="shared" si="765"/>
        <v>3.22</v>
      </c>
      <c r="S1062" s="189">
        <f t="shared" si="697"/>
        <v>0.65</v>
      </c>
      <c r="T1062" s="189">
        <f t="shared" si="730"/>
        <v>1.37</v>
      </c>
      <c r="U1062" s="189">
        <f t="shared" si="731"/>
        <v>0.16</v>
      </c>
      <c r="V1062" s="189">
        <f t="shared" si="766"/>
        <v>0.37</v>
      </c>
      <c r="W1062" s="189">
        <f t="shared" si="758"/>
        <v>0.01</v>
      </c>
      <c r="X1062" s="189">
        <f t="shared" si="681"/>
        <v>5.78</v>
      </c>
      <c r="Y1062" s="190">
        <f t="shared" si="682"/>
        <v>179.22</v>
      </c>
      <c r="Z1062" s="191"/>
      <c r="AA1062" s="192"/>
      <c r="AB1062" s="193">
        <f t="shared" si="684"/>
        <v>3.5071090047393394E-2</v>
      </c>
      <c r="AC1062" s="194">
        <f t="shared" si="685"/>
        <v>5.3799999999999996E-4</v>
      </c>
      <c r="AD1062" s="189"/>
      <c r="AE1062" s="195" t="s">
        <v>403</v>
      </c>
      <c r="AF1062" s="119"/>
    </row>
    <row r="1063" spans="1:32" ht="12" hidden="1" customHeight="1">
      <c r="A1063" s="183">
        <v>44461</v>
      </c>
      <c r="B1063" s="184" t="s">
        <v>565</v>
      </c>
      <c r="C1063" s="184"/>
      <c r="D1063" s="184"/>
      <c r="E1063" s="184"/>
      <c r="F1063" s="184"/>
      <c r="G1063" s="184"/>
      <c r="H1063" s="184" t="s">
        <v>654</v>
      </c>
      <c r="I1063" s="184" t="s">
        <v>469</v>
      </c>
      <c r="J1063" s="184" t="s">
        <v>471</v>
      </c>
      <c r="K1063" s="185">
        <v>5</v>
      </c>
      <c r="L1063" s="186">
        <v>2240</v>
      </c>
      <c r="M1063" s="187">
        <v>2280</v>
      </c>
      <c r="N1063" s="188">
        <f t="shared" si="695"/>
        <v>3.36</v>
      </c>
      <c r="O1063" s="188">
        <f t="shared" si="696"/>
        <v>3.42</v>
      </c>
      <c r="P1063" s="189">
        <f t="shared" si="674"/>
        <v>22600</v>
      </c>
      <c r="Q1063" s="189">
        <f t="shared" si="675"/>
        <v>200</v>
      </c>
      <c r="R1063" s="189">
        <f t="shared" si="765"/>
        <v>6.78</v>
      </c>
      <c r="S1063" s="189">
        <f t="shared" si="697"/>
        <v>1.36</v>
      </c>
      <c r="T1063" s="189">
        <f t="shared" si="730"/>
        <v>2.85</v>
      </c>
      <c r="U1063" s="189">
        <f t="shared" si="731"/>
        <v>0.34</v>
      </c>
      <c r="V1063" s="189">
        <f t="shared" si="766"/>
        <v>0.78</v>
      </c>
      <c r="W1063" s="189">
        <f t="shared" si="758"/>
        <v>0.02</v>
      </c>
      <c r="X1063" s="189">
        <f t="shared" si="681"/>
        <v>12.129999999999999</v>
      </c>
      <c r="Y1063" s="190">
        <f t="shared" si="682"/>
        <v>187.87</v>
      </c>
      <c r="Z1063" s="191">
        <v>187.15</v>
      </c>
      <c r="AA1063" s="192">
        <f>Z1063-Y1063</f>
        <v>-0.71999999999999886</v>
      </c>
      <c r="AB1063" s="193">
        <f t="shared" si="684"/>
        <v>1.7857142857142856E-2</v>
      </c>
      <c r="AC1063" s="194">
        <f t="shared" si="685"/>
        <v>5.3700000000000004E-4</v>
      </c>
      <c r="AD1063" s="189"/>
      <c r="AE1063" s="195" t="s">
        <v>403</v>
      </c>
      <c r="AF1063" s="119"/>
    </row>
    <row r="1064" spans="1:32" ht="12" hidden="1" customHeight="1">
      <c r="A1064" s="183">
        <v>44462</v>
      </c>
      <c r="B1064" s="184" t="s">
        <v>567</v>
      </c>
      <c r="C1064" s="184"/>
      <c r="D1064" s="184"/>
      <c r="E1064" s="184"/>
      <c r="F1064" s="184"/>
      <c r="G1064" s="184"/>
      <c r="H1064" s="184" t="s">
        <v>654</v>
      </c>
      <c r="I1064" s="184" t="s">
        <v>469</v>
      </c>
      <c r="J1064" s="184" t="s">
        <v>471</v>
      </c>
      <c r="K1064" s="185">
        <v>5</v>
      </c>
      <c r="L1064" s="186">
        <v>1523</v>
      </c>
      <c r="M1064" s="187">
        <v>1525</v>
      </c>
      <c r="N1064" s="188">
        <f t="shared" si="695"/>
        <v>2.2799999999999998</v>
      </c>
      <c r="O1064" s="188">
        <f t="shared" si="696"/>
        <v>2.29</v>
      </c>
      <c r="P1064" s="189">
        <f t="shared" si="674"/>
        <v>15240</v>
      </c>
      <c r="Q1064" s="189">
        <f t="shared" si="675"/>
        <v>10</v>
      </c>
      <c r="R1064" s="189">
        <f t="shared" si="765"/>
        <v>4.57</v>
      </c>
      <c r="S1064" s="189">
        <f t="shared" si="697"/>
        <v>0.9</v>
      </c>
      <c r="T1064" s="189">
        <f t="shared" si="730"/>
        <v>1.91</v>
      </c>
      <c r="U1064" s="189">
        <f t="shared" si="731"/>
        <v>0.23</v>
      </c>
      <c r="V1064" s="189">
        <f t="shared" ref="V1064:V1066" si="767">ROUND(P1064*L$1809,2)</f>
        <v>0.42</v>
      </c>
      <c r="W1064" s="189">
        <f t="shared" si="758"/>
        <v>0.02</v>
      </c>
      <c r="X1064" s="189">
        <f t="shared" si="681"/>
        <v>8.0500000000000007</v>
      </c>
      <c r="Y1064" s="190">
        <f t="shared" si="682"/>
        <v>1.95</v>
      </c>
      <c r="Z1064" s="191">
        <v>10.77</v>
      </c>
      <c r="AA1064" s="192">
        <f>Z1064-Y1065-Y1064</f>
        <v>-1.0000000000000453E-2</v>
      </c>
      <c r="AB1064" s="193">
        <f t="shared" si="684"/>
        <v>1.3131976362442547E-3</v>
      </c>
      <c r="AC1064" s="194">
        <f t="shared" si="685"/>
        <v>5.2800000000000004E-4</v>
      </c>
      <c r="AD1064" s="189"/>
      <c r="AE1064" s="195" t="s">
        <v>403</v>
      </c>
      <c r="AF1064" s="119"/>
    </row>
    <row r="1065" spans="1:32" ht="12" hidden="1" customHeight="1">
      <c r="A1065" s="183">
        <v>44462</v>
      </c>
      <c r="B1065" s="184" t="s">
        <v>706</v>
      </c>
      <c r="C1065" s="184"/>
      <c r="D1065" s="184"/>
      <c r="E1065" s="184"/>
      <c r="F1065" s="184"/>
      <c r="G1065" s="184"/>
      <c r="H1065" s="184" t="s">
        <v>654</v>
      </c>
      <c r="I1065" s="184" t="s">
        <v>469</v>
      </c>
      <c r="J1065" s="184" t="s">
        <v>471</v>
      </c>
      <c r="K1065" s="185">
        <v>10</v>
      </c>
      <c r="L1065" s="186">
        <v>1058</v>
      </c>
      <c r="M1065" s="187">
        <v>1060</v>
      </c>
      <c r="N1065" s="188">
        <f t="shared" si="695"/>
        <v>3.17</v>
      </c>
      <c r="O1065" s="188">
        <f t="shared" si="696"/>
        <v>3.18</v>
      </c>
      <c r="P1065" s="189">
        <f t="shared" si="674"/>
        <v>21180</v>
      </c>
      <c r="Q1065" s="189">
        <f t="shared" si="675"/>
        <v>20</v>
      </c>
      <c r="R1065" s="189">
        <f t="shared" si="765"/>
        <v>6.35</v>
      </c>
      <c r="S1065" s="189">
        <f t="shared" si="697"/>
        <v>1.25</v>
      </c>
      <c r="T1065" s="189">
        <f t="shared" si="730"/>
        <v>2.65</v>
      </c>
      <c r="U1065" s="189">
        <f t="shared" si="731"/>
        <v>0.32</v>
      </c>
      <c r="V1065" s="189">
        <f t="shared" si="767"/>
        <v>0.57999999999999996</v>
      </c>
      <c r="W1065" s="189">
        <f t="shared" si="758"/>
        <v>0.02</v>
      </c>
      <c r="X1065" s="189">
        <f t="shared" si="681"/>
        <v>11.17</v>
      </c>
      <c r="Y1065" s="190">
        <f t="shared" si="682"/>
        <v>8.83</v>
      </c>
      <c r="Z1065" s="191"/>
      <c r="AA1065" s="192"/>
      <c r="AB1065" s="193">
        <f t="shared" si="684"/>
        <v>1.890359168241966E-3</v>
      </c>
      <c r="AC1065" s="194">
        <f t="shared" si="685"/>
        <v>5.2700000000000002E-4</v>
      </c>
      <c r="AD1065" s="189"/>
      <c r="AE1065" s="195" t="s">
        <v>403</v>
      </c>
      <c r="AF1065" s="119"/>
    </row>
    <row r="1066" spans="1:32" ht="12" hidden="1" customHeight="1">
      <c r="A1066" s="183">
        <v>44463</v>
      </c>
      <c r="B1066" s="184" t="s">
        <v>707</v>
      </c>
      <c r="C1066" s="184"/>
      <c r="D1066" s="184"/>
      <c r="E1066" s="184"/>
      <c r="F1066" s="184"/>
      <c r="G1066" s="184"/>
      <c r="H1066" s="184" t="s">
        <v>654</v>
      </c>
      <c r="I1066" s="184" t="s">
        <v>469</v>
      </c>
      <c r="J1066" s="184" t="s">
        <v>471</v>
      </c>
      <c r="K1066" s="185">
        <v>10</v>
      </c>
      <c r="L1066" s="186">
        <v>662</v>
      </c>
      <c r="M1066" s="187">
        <v>660</v>
      </c>
      <c r="N1066" s="188">
        <f t="shared" si="695"/>
        <v>1.99</v>
      </c>
      <c r="O1066" s="188">
        <f t="shared" si="696"/>
        <v>1.98</v>
      </c>
      <c r="P1066" s="189">
        <f t="shared" si="674"/>
        <v>13220</v>
      </c>
      <c r="Q1066" s="189">
        <f t="shared" si="675"/>
        <v>-20</v>
      </c>
      <c r="R1066" s="189">
        <f t="shared" si="765"/>
        <v>3.97</v>
      </c>
      <c r="S1066" s="189">
        <f t="shared" si="697"/>
        <v>0.78</v>
      </c>
      <c r="T1066" s="189">
        <f t="shared" si="730"/>
        <v>1.65</v>
      </c>
      <c r="U1066" s="189">
        <f t="shared" si="731"/>
        <v>0.2</v>
      </c>
      <c r="V1066" s="189">
        <f t="shared" si="767"/>
        <v>0.36</v>
      </c>
      <c r="W1066" s="189">
        <f t="shared" si="758"/>
        <v>0.01</v>
      </c>
      <c r="X1066" s="189">
        <f t="shared" si="681"/>
        <v>6.9700000000000006</v>
      </c>
      <c r="Y1066" s="190">
        <f t="shared" si="682"/>
        <v>-26.97</v>
      </c>
      <c r="Z1066" s="191">
        <v>-5.95</v>
      </c>
      <c r="AA1066" s="192">
        <f>Z1066-Y1066-Y1067-Y1068</f>
        <v>0.58999999999999986</v>
      </c>
      <c r="AB1066" s="193">
        <f t="shared" si="684"/>
        <v>-3.0211480362537764E-3</v>
      </c>
      <c r="AC1066" s="194">
        <f t="shared" si="685"/>
        <v>5.2700000000000002E-4</v>
      </c>
      <c r="AD1066" s="189"/>
      <c r="AE1066" s="195" t="s">
        <v>403</v>
      </c>
      <c r="AF1066" s="119"/>
    </row>
    <row r="1067" spans="1:32" ht="12" hidden="1" customHeight="1">
      <c r="A1067" s="183">
        <v>44463</v>
      </c>
      <c r="B1067" s="184" t="s">
        <v>565</v>
      </c>
      <c r="C1067" s="184"/>
      <c r="D1067" s="184"/>
      <c r="E1067" s="184"/>
      <c r="F1067" s="184"/>
      <c r="G1067" s="184"/>
      <c r="H1067" s="184" t="s">
        <v>654</v>
      </c>
      <c r="I1067" s="184" t="s">
        <v>469</v>
      </c>
      <c r="J1067" s="184" t="s">
        <v>471</v>
      </c>
      <c r="K1067" s="185">
        <v>5</v>
      </c>
      <c r="L1067" s="186">
        <v>2145</v>
      </c>
      <c r="M1067" s="187">
        <v>2148</v>
      </c>
      <c r="N1067" s="188">
        <f t="shared" si="695"/>
        <v>3.22</v>
      </c>
      <c r="O1067" s="188">
        <f t="shared" si="696"/>
        <v>3.22</v>
      </c>
      <c r="P1067" s="189">
        <f t="shared" si="674"/>
        <v>21465</v>
      </c>
      <c r="Q1067" s="189">
        <f t="shared" si="675"/>
        <v>15</v>
      </c>
      <c r="R1067" s="189">
        <f t="shared" si="765"/>
        <v>6.44</v>
      </c>
      <c r="S1067" s="189">
        <f t="shared" si="697"/>
        <v>1.29</v>
      </c>
      <c r="T1067" s="189">
        <f t="shared" si="730"/>
        <v>2.69</v>
      </c>
      <c r="U1067" s="189">
        <f t="shared" si="731"/>
        <v>0.32</v>
      </c>
      <c r="V1067" s="189">
        <f t="shared" ref="V1067:V1069" si="768">ROUND(P1067*M$1809,2)</f>
        <v>0.74</v>
      </c>
      <c r="W1067" s="189">
        <f t="shared" si="758"/>
        <v>0.02</v>
      </c>
      <c r="X1067" s="189">
        <f t="shared" si="681"/>
        <v>11.5</v>
      </c>
      <c r="Y1067" s="190">
        <f t="shared" si="682"/>
        <v>3.5</v>
      </c>
      <c r="Z1067" s="191"/>
      <c r="AA1067" s="192"/>
      <c r="AB1067" s="193">
        <f t="shared" si="684"/>
        <v>1.3986013986013986E-3</v>
      </c>
      <c r="AC1067" s="194">
        <f t="shared" si="685"/>
        <v>5.3600000000000002E-4</v>
      </c>
      <c r="AD1067" s="189"/>
      <c r="AE1067" s="195" t="s">
        <v>403</v>
      </c>
      <c r="AF1067" s="119"/>
    </row>
    <row r="1068" spans="1:32" ht="12" hidden="1" customHeight="1">
      <c r="A1068" s="183">
        <v>44463</v>
      </c>
      <c r="B1068" s="184" t="s">
        <v>567</v>
      </c>
      <c r="C1068" s="184"/>
      <c r="D1068" s="184"/>
      <c r="E1068" s="184"/>
      <c r="F1068" s="184"/>
      <c r="G1068" s="184"/>
      <c r="H1068" s="184" t="s">
        <v>654</v>
      </c>
      <c r="I1068" s="184" t="s">
        <v>469</v>
      </c>
      <c r="J1068" s="184" t="s">
        <v>471</v>
      </c>
      <c r="K1068" s="185">
        <v>5</v>
      </c>
      <c r="L1068" s="186">
        <v>1500</v>
      </c>
      <c r="M1068" s="187">
        <v>1505</v>
      </c>
      <c r="N1068" s="188">
        <f t="shared" si="695"/>
        <v>2.25</v>
      </c>
      <c r="O1068" s="188">
        <f t="shared" si="696"/>
        <v>2.2599999999999998</v>
      </c>
      <c r="P1068" s="189">
        <f t="shared" si="674"/>
        <v>15025</v>
      </c>
      <c r="Q1068" s="189">
        <f t="shared" si="675"/>
        <v>25</v>
      </c>
      <c r="R1068" s="189">
        <f t="shared" si="765"/>
        <v>4.51</v>
      </c>
      <c r="S1068" s="189">
        <f t="shared" si="697"/>
        <v>0.91</v>
      </c>
      <c r="T1068" s="189">
        <f t="shared" si="730"/>
        <v>1.88</v>
      </c>
      <c r="U1068" s="189">
        <f t="shared" si="731"/>
        <v>0.23</v>
      </c>
      <c r="V1068" s="189">
        <f t="shared" si="768"/>
        <v>0.52</v>
      </c>
      <c r="W1068" s="189">
        <f t="shared" si="758"/>
        <v>0.02</v>
      </c>
      <c r="X1068" s="189">
        <f t="shared" si="681"/>
        <v>8.07</v>
      </c>
      <c r="Y1068" s="190">
        <f t="shared" si="682"/>
        <v>16.93</v>
      </c>
      <c r="Z1068" s="191"/>
      <c r="AA1068" s="192"/>
      <c r="AB1068" s="193">
        <f t="shared" si="684"/>
        <v>3.3333333333333335E-3</v>
      </c>
      <c r="AC1068" s="194">
        <f t="shared" si="685"/>
        <v>5.3700000000000004E-4</v>
      </c>
      <c r="AD1068" s="189"/>
      <c r="AE1068" s="195" t="s">
        <v>403</v>
      </c>
      <c r="AF1068" s="119"/>
    </row>
    <row r="1069" spans="1:32" ht="12" hidden="1" customHeight="1">
      <c r="A1069" s="183">
        <v>44467</v>
      </c>
      <c r="B1069" s="184" t="s">
        <v>460</v>
      </c>
      <c r="C1069" s="184"/>
      <c r="D1069" s="184"/>
      <c r="E1069" s="184"/>
      <c r="F1069" s="184"/>
      <c r="G1069" s="184"/>
      <c r="H1069" s="184" t="s">
        <v>654</v>
      </c>
      <c r="I1069" s="184" t="s">
        <v>469</v>
      </c>
      <c r="J1069" s="184" t="s">
        <v>471</v>
      </c>
      <c r="K1069" s="185">
        <v>2</v>
      </c>
      <c r="L1069" s="186">
        <v>2525</v>
      </c>
      <c r="M1069" s="187">
        <v>2560</v>
      </c>
      <c r="N1069" s="188">
        <f t="shared" si="695"/>
        <v>1.52</v>
      </c>
      <c r="O1069" s="188">
        <f t="shared" si="696"/>
        <v>1.54</v>
      </c>
      <c r="P1069" s="189">
        <f t="shared" si="674"/>
        <v>10170</v>
      </c>
      <c r="Q1069" s="189">
        <f t="shared" si="675"/>
        <v>70</v>
      </c>
      <c r="R1069" s="189">
        <f t="shared" si="765"/>
        <v>3.06</v>
      </c>
      <c r="S1069" s="189">
        <f t="shared" si="697"/>
        <v>0.61</v>
      </c>
      <c r="T1069" s="189">
        <f t="shared" si="730"/>
        <v>1.28</v>
      </c>
      <c r="U1069" s="189">
        <f t="shared" si="731"/>
        <v>0.15</v>
      </c>
      <c r="V1069" s="189">
        <f t="shared" si="768"/>
        <v>0.35</v>
      </c>
      <c r="W1069" s="189">
        <f t="shared" si="758"/>
        <v>0.01</v>
      </c>
      <c r="X1069" s="189">
        <f t="shared" si="681"/>
        <v>5.46</v>
      </c>
      <c r="Y1069" s="190">
        <f t="shared" si="682"/>
        <v>64.540000000000006</v>
      </c>
      <c r="Z1069" s="191">
        <v>64.010000000000005</v>
      </c>
      <c r="AA1069" s="192">
        <f t="shared" ref="AA1069:AA1077" si="769">Z1069-Y1069</f>
        <v>-0.53000000000000114</v>
      </c>
      <c r="AB1069" s="193">
        <f t="shared" si="684"/>
        <v>1.3861386138613862E-2</v>
      </c>
      <c r="AC1069" s="194">
        <f t="shared" si="685"/>
        <v>5.3700000000000004E-4</v>
      </c>
      <c r="AD1069" s="189"/>
      <c r="AE1069" s="195" t="s">
        <v>403</v>
      </c>
      <c r="AF1069" s="119"/>
    </row>
    <row r="1070" spans="1:32" ht="12" hidden="1" customHeight="1">
      <c r="A1070" s="183">
        <v>44468</v>
      </c>
      <c r="B1070" s="184" t="s">
        <v>690</v>
      </c>
      <c r="C1070" s="184"/>
      <c r="D1070" s="184"/>
      <c r="E1070" s="184"/>
      <c r="F1070" s="184"/>
      <c r="G1070" s="184"/>
      <c r="H1070" s="184" t="s">
        <v>654</v>
      </c>
      <c r="I1070" s="184" t="s">
        <v>469</v>
      </c>
      <c r="J1070" s="184" t="s">
        <v>471</v>
      </c>
      <c r="K1070" s="185">
        <v>15</v>
      </c>
      <c r="L1070" s="186">
        <v>369</v>
      </c>
      <c r="M1070" s="187">
        <v>384</v>
      </c>
      <c r="N1070" s="188">
        <f t="shared" si="695"/>
        <v>1.66</v>
      </c>
      <c r="O1070" s="188">
        <f t="shared" si="696"/>
        <v>1.73</v>
      </c>
      <c r="P1070" s="189">
        <f t="shared" si="674"/>
        <v>11295</v>
      </c>
      <c r="Q1070" s="189">
        <f t="shared" si="675"/>
        <v>225</v>
      </c>
      <c r="R1070" s="189">
        <f t="shared" si="765"/>
        <v>3.39</v>
      </c>
      <c r="S1070" s="189">
        <f t="shared" si="697"/>
        <v>0.67</v>
      </c>
      <c r="T1070" s="189">
        <f t="shared" si="730"/>
        <v>1.44</v>
      </c>
      <c r="U1070" s="189">
        <f t="shared" si="731"/>
        <v>0.17</v>
      </c>
      <c r="V1070" s="189">
        <f t="shared" ref="V1070:V1071" si="770">ROUND(P1070*L$1809,2)</f>
        <v>0.31</v>
      </c>
      <c r="W1070" s="189">
        <f t="shared" si="758"/>
        <v>0.01</v>
      </c>
      <c r="X1070" s="189">
        <f t="shared" si="681"/>
        <v>5.9899999999999993</v>
      </c>
      <c r="Y1070" s="190">
        <f t="shared" si="682"/>
        <v>219.01</v>
      </c>
      <c r="Z1070" s="191">
        <v>219.62</v>
      </c>
      <c r="AA1070" s="192">
        <f t="shared" si="769"/>
        <v>0.61000000000001364</v>
      </c>
      <c r="AB1070" s="193">
        <f t="shared" si="684"/>
        <v>4.065040650406504E-2</v>
      </c>
      <c r="AC1070" s="194">
        <f t="shared" si="685"/>
        <v>5.2999999999999998E-4</v>
      </c>
      <c r="AD1070" s="189"/>
      <c r="AE1070" s="195" t="s">
        <v>403</v>
      </c>
      <c r="AF1070" s="119"/>
    </row>
    <row r="1071" spans="1:32" ht="12" hidden="1" customHeight="1">
      <c r="A1071" s="183">
        <v>44473</v>
      </c>
      <c r="B1071" s="184" t="s">
        <v>575</v>
      </c>
      <c r="C1071" s="184"/>
      <c r="D1071" s="184"/>
      <c r="E1071" s="184"/>
      <c r="F1071" s="184"/>
      <c r="G1071" s="184"/>
      <c r="H1071" s="184" t="s">
        <v>654</v>
      </c>
      <c r="I1071" s="184" t="s">
        <v>469</v>
      </c>
      <c r="J1071" s="184" t="s">
        <v>448</v>
      </c>
      <c r="K1071" s="185">
        <v>200</v>
      </c>
      <c r="L1071" s="186">
        <v>1140</v>
      </c>
      <c r="M1071" s="187">
        <v>1165</v>
      </c>
      <c r="N1071" s="188">
        <f t="shared" si="695"/>
        <v>20</v>
      </c>
      <c r="O1071" s="188">
        <f t="shared" si="696"/>
        <v>20</v>
      </c>
      <c r="P1071" s="189">
        <f t="shared" si="674"/>
        <v>461000</v>
      </c>
      <c r="Q1071" s="189">
        <f t="shared" si="675"/>
        <v>5000</v>
      </c>
      <c r="R1071" s="189">
        <v>80</v>
      </c>
      <c r="S1071" s="189">
        <f t="shared" si="697"/>
        <v>16.68</v>
      </c>
      <c r="T1071" s="189">
        <f t="shared" si="730"/>
        <v>58.25</v>
      </c>
      <c r="U1071" s="189">
        <f t="shared" si="731"/>
        <v>6.84</v>
      </c>
      <c r="V1071" s="189">
        <f t="shared" si="770"/>
        <v>12.68</v>
      </c>
      <c r="W1071" s="189">
        <f t="shared" si="758"/>
        <v>0.46</v>
      </c>
      <c r="X1071" s="189">
        <f t="shared" si="681"/>
        <v>174.91000000000003</v>
      </c>
      <c r="Y1071" s="190">
        <f t="shared" si="682"/>
        <v>4825.09</v>
      </c>
      <c r="Z1071" s="191">
        <v>4825.18</v>
      </c>
      <c r="AA1071" s="192">
        <f t="shared" si="769"/>
        <v>9.0000000000145519E-2</v>
      </c>
      <c r="AB1071" s="193">
        <f t="shared" si="684"/>
        <v>2.1929824561403508E-2</v>
      </c>
      <c r="AC1071" s="194">
        <f t="shared" si="685"/>
        <v>3.79E-4</v>
      </c>
      <c r="AD1071" s="189"/>
      <c r="AE1071" s="195" t="s">
        <v>403</v>
      </c>
      <c r="AF1071" s="119"/>
    </row>
    <row r="1072" spans="1:32" ht="12" hidden="1" customHeight="1">
      <c r="A1072" s="183">
        <v>44474</v>
      </c>
      <c r="B1072" s="184" t="s">
        <v>575</v>
      </c>
      <c r="C1072" s="184"/>
      <c r="D1072" s="184"/>
      <c r="E1072" s="184"/>
      <c r="F1072" s="184"/>
      <c r="G1072" s="184"/>
      <c r="H1072" s="184" t="s">
        <v>654</v>
      </c>
      <c r="I1072" s="184" t="s">
        <v>469</v>
      </c>
      <c r="J1072" s="184" t="s">
        <v>448</v>
      </c>
      <c r="K1072" s="185">
        <v>200</v>
      </c>
      <c r="L1072" s="186">
        <v>1157.0705</v>
      </c>
      <c r="M1072" s="187">
        <v>1157.5</v>
      </c>
      <c r="N1072" s="188">
        <f t="shared" si="695"/>
        <v>20</v>
      </c>
      <c r="O1072" s="188">
        <f t="shared" si="696"/>
        <v>20</v>
      </c>
      <c r="P1072" s="189">
        <f t="shared" si="674"/>
        <v>462914.1</v>
      </c>
      <c r="Q1072" s="189">
        <f t="shared" si="675"/>
        <v>85.89999999999236</v>
      </c>
      <c r="R1072" s="189">
        <v>80</v>
      </c>
      <c r="S1072" s="189">
        <f t="shared" si="697"/>
        <v>17.27</v>
      </c>
      <c r="T1072" s="189">
        <f t="shared" si="730"/>
        <v>57.88</v>
      </c>
      <c r="U1072" s="189">
        <f t="shared" si="731"/>
        <v>6.94</v>
      </c>
      <c r="V1072" s="189">
        <f>ROUND(P1072*M$1809,2)</f>
        <v>15.97</v>
      </c>
      <c r="W1072" s="189">
        <f t="shared" si="758"/>
        <v>0.46</v>
      </c>
      <c r="X1072" s="189">
        <f t="shared" si="681"/>
        <v>178.52</v>
      </c>
      <c r="Y1072" s="190">
        <f t="shared" si="682"/>
        <v>-92.62</v>
      </c>
      <c r="Z1072" s="191">
        <v>-92.8</v>
      </c>
      <c r="AA1072" s="192">
        <f t="shared" si="769"/>
        <v>-0.17999999999999261</v>
      </c>
      <c r="AB1072" s="193">
        <f t="shared" si="684"/>
        <v>3.7119605071597782E-4</v>
      </c>
      <c r="AC1072" s="194">
        <f t="shared" si="685"/>
        <v>3.86E-4</v>
      </c>
      <c r="AD1072" s="189"/>
      <c r="AE1072" s="195" t="s">
        <v>403</v>
      </c>
      <c r="AF1072" s="119"/>
    </row>
    <row r="1073" spans="1:32" ht="12" hidden="1" customHeight="1">
      <c r="A1073" s="183">
        <v>44475</v>
      </c>
      <c r="B1073" s="184" t="s">
        <v>575</v>
      </c>
      <c r="C1073" s="184"/>
      <c r="D1073" s="184"/>
      <c r="E1073" s="184"/>
      <c r="F1073" s="184"/>
      <c r="G1073" s="184"/>
      <c r="H1073" s="184" t="s">
        <v>654</v>
      </c>
      <c r="I1073" s="184" t="s">
        <v>469</v>
      </c>
      <c r="J1073" s="184" t="s">
        <v>448</v>
      </c>
      <c r="K1073" s="185">
        <v>100</v>
      </c>
      <c r="L1073" s="186">
        <v>1201</v>
      </c>
      <c r="M1073" s="187">
        <v>1235</v>
      </c>
      <c r="N1073" s="188">
        <f t="shared" si="695"/>
        <v>20</v>
      </c>
      <c r="O1073" s="188">
        <f t="shared" si="696"/>
        <v>20</v>
      </c>
      <c r="P1073" s="189">
        <f t="shared" si="674"/>
        <v>243600</v>
      </c>
      <c r="Q1073" s="189">
        <f t="shared" si="675"/>
        <v>3400</v>
      </c>
      <c r="R1073" s="189">
        <f t="shared" ref="R1073:R1086" si="771">ROUND(N1073+O1073,2)</f>
        <v>40</v>
      </c>
      <c r="S1073" s="189">
        <f t="shared" si="697"/>
        <v>8.41</v>
      </c>
      <c r="T1073" s="189">
        <f t="shared" si="730"/>
        <v>30.88</v>
      </c>
      <c r="U1073" s="189">
        <f t="shared" si="731"/>
        <v>3.6</v>
      </c>
      <c r="V1073" s="189">
        <f>ROUND(P1073*L$1809,2)</f>
        <v>6.7</v>
      </c>
      <c r="W1073" s="189">
        <f t="shared" si="758"/>
        <v>0.24</v>
      </c>
      <c r="X1073" s="189">
        <f t="shared" si="681"/>
        <v>89.829999999999984</v>
      </c>
      <c r="Y1073" s="190">
        <f t="shared" si="682"/>
        <v>3310.17</v>
      </c>
      <c r="Z1073" s="191">
        <v>3310.65</v>
      </c>
      <c r="AA1073" s="192">
        <f t="shared" si="769"/>
        <v>0.48000000000001819</v>
      </c>
      <c r="AB1073" s="193">
        <f t="shared" si="684"/>
        <v>2.8309741881765195E-2</v>
      </c>
      <c r="AC1073" s="194">
        <f t="shared" si="685"/>
        <v>3.6900000000000002E-4</v>
      </c>
      <c r="AD1073" s="189"/>
      <c r="AE1073" s="195" t="s">
        <v>403</v>
      </c>
      <c r="AF1073" s="119"/>
    </row>
    <row r="1074" spans="1:32" ht="12" hidden="1" customHeight="1">
      <c r="A1074" s="183">
        <v>44477</v>
      </c>
      <c r="B1074" s="184" t="s">
        <v>484</v>
      </c>
      <c r="C1074" s="184"/>
      <c r="D1074" s="184"/>
      <c r="E1074" s="184"/>
      <c r="F1074" s="184"/>
      <c r="G1074" s="184"/>
      <c r="H1074" s="184" t="s">
        <v>654</v>
      </c>
      <c r="I1074" s="184" t="s">
        <v>469</v>
      </c>
      <c r="J1074" s="184" t="s">
        <v>471</v>
      </c>
      <c r="K1074" s="185">
        <v>2</v>
      </c>
      <c r="L1074" s="186">
        <v>7774</v>
      </c>
      <c r="M1074" s="187">
        <v>7820</v>
      </c>
      <c r="N1074" s="188">
        <f t="shared" si="695"/>
        <v>4.66</v>
      </c>
      <c r="O1074" s="188">
        <f t="shared" si="696"/>
        <v>4.6900000000000004</v>
      </c>
      <c r="P1074" s="189">
        <f t="shared" si="674"/>
        <v>31188</v>
      </c>
      <c r="Q1074" s="189">
        <f t="shared" si="675"/>
        <v>92</v>
      </c>
      <c r="R1074" s="189">
        <f t="shared" si="771"/>
        <v>9.35</v>
      </c>
      <c r="S1074" s="189">
        <f t="shared" si="697"/>
        <v>1.88</v>
      </c>
      <c r="T1074" s="189">
        <f t="shared" si="730"/>
        <v>3.91</v>
      </c>
      <c r="U1074" s="189">
        <f t="shared" si="731"/>
        <v>0.47</v>
      </c>
      <c r="V1074" s="189">
        <f t="shared" ref="V1074:V1075" si="772">ROUND(P1074*M$1809,2)</f>
        <v>1.08</v>
      </c>
      <c r="W1074" s="189">
        <f t="shared" si="758"/>
        <v>0.03</v>
      </c>
      <c r="X1074" s="189">
        <f t="shared" si="681"/>
        <v>16.720000000000002</v>
      </c>
      <c r="Y1074" s="190">
        <f t="shared" si="682"/>
        <v>75.28</v>
      </c>
      <c r="Z1074" s="191">
        <v>75.099999999999994</v>
      </c>
      <c r="AA1074" s="192">
        <f t="shared" si="769"/>
        <v>-0.18000000000000682</v>
      </c>
      <c r="AB1074" s="193">
        <f t="shared" si="684"/>
        <v>5.9171597633136093E-3</v>
      </c>
      <c r="AC1074" s="194">
        <f t="shared" si="685"/>
        <v>5.3600000000000002E-4</v>
      </c>
      <c r="AD1074" s="189"/>
      <c r="AE1074" s="195" t="s">
        <v>403</v>
      </c>
      <c r="AF1074" s="119"/>
    </row>
    <row r="1075" spans="1:32" ht="12" hidden="1" customHeight="1">
      <c r="A1075" s="183">
        <v>44480</v>
      </c>
      <c r="B1075" s="184" t="s">
        <v>575</v>
      </c>
      <c r="C1075" s="184"/>
      <c r="D1075" s="184"/>
      <c r="E1075" s="184"/>
      <c r="F1075" s="184"/>
      <c r="G1075" s="184"/>
      <c r="H1075" s="184" t="s">
        <v>654</v>
      </c>
      <c r="I1075" s="184" t="s">
        <v>469</v>
      </c>
      <c r="J1075" s="184" t="s">
        <v>448</v>
      </c>
      <c r="K1075" s="185">
        <v>100</v>
      </c>
      <c r="L1075" s="186">
        <v>1220</v>
      </c>
      <c r="M1075" s="187">
        <v>1235</v>
      </c>
      <c r="N1075" s="188">
        <f t="shared" si="695"/>
        <v>20</v>
      </c>
      <c r="O1075" s="188">
        <f t="shared" si="696"/>
        <v>20</v>
      </c>
      <c r="P1075" s="189">
        <f t="shared" si="674"/>
        <v>245500</v>
      </c>
      <c r="Q1075" s="189">
        <f t="shared" si="675"/>
        <v>1500</v>
      </c>
      <c r="R1075" s="189">
        <f t="shared" si="771"/>
        <v>40</v>
      </c>
      <c r="S1075" s="189">
        <f t="shared" si="697"/>
        <v>8.7200000000000006</v>
      </c>
      <c r="T1075" s="189">
        <f t="shared" si="730"/>
        <v>30.88</v>
      </c>
      <c r="U1075" s="189">
        <f t="shared" si="731"/>
        <v>3.66</v>
      </c>
      <c r="V1075" s="189">
        <f t="shared" si="772"/>
        <v>8.4700000000000006</v>
      </c>
      <c r="W1075" s="189">
        <f t="shared" si="758"/>
        <v>0.25</v>
      </c>
      <c r="X1075" s="189">
        <f t="shared" si="681"/>
        <v>91.97999999999999</v>
      </c>
      <c r="Y1075" s="190">
        <f t="shared" si="682"/>
        <v>1408.02</v>
      </c>
      <c r="Z1075" s="191">
        <v>1407.56</v>
      </c>
      <c r="AA1075" s="192">
        <f t="shared" si="769"/>
        <v>-0.46000000000003638</v>
      </c>
      <c r="AB1075" s="193">
        <f t="shared" si="684"/>
        <v>1.2295081967213115E-2</v>
      </c>
      <c r="AC1075" s="194">
        <f t="shared" si="685"/>
        <v>3.7500000000000001E-4</v>
      </c>
      <c r="AD1075" s="189"/>
      <c r="AE1075" s="195" t="s">
        <v>403</v>
      </c>
      <c r="AF1075" s="119"/>
    </row>
    <row r="1076" spans="1:32" ht="12" hidden="1" customHeight="1">
      <c r="A1076" s="183">
        <v>44480</v>
      </c>
      <c r="B1076" s="184" t="s">
        <v>465</v>
      </c>
      <c r="C1076" s="184"/>
      <c r="D1076" s="184"/>
      <c r="E1076" s="184"/>
      <c r="F1076" s="184"/>
      <c r="G1076" s="184"/>
      <c r="H1076" s="184" t="s">
        <v>654</v>
      </c>
      <c r="I1076" s="184" t="s">
        <v>469</v>
      </c>
      <c r="J1076" s="184" t="s">
        <v>471</v>
      </c>
      <c r="K1076" s="185">
        <v>100</v>
      </c>
      <c r="L1076" s="186">
        <v>190</v>
      </c>
      <c r="M1076" s="187">
        <v>192.05</v>
      </c>
      <c r="N1076" s="188">
        <f t="shared" si="695"/>
        <v>5.7</v>
      </c>
      <c r="O1076" s="188">
        <f t="shared" si="696"/>
        <v>5.76</v>
      </c>
      <c r="P1076" s="189">
        <f t="shared" si="674"/>
        <v>38205</v>
      </c>
      <c r="Q1076" s="189">
        <f t="shared" si="675"/>
        <v>205.00000000000114</v>
      </c>
      <c r="R1076" s="189">
        <f t="shared" si="771"/>
        <v>11.46</v>
      </c>
      <c r="S1076" s="189">
        <f t="shared" si="697"/>
        <v>2.25</v>
      </c>
      <c r="T1076" s="189">
        <f t="shared" si="730"/>
        <v>4.8</v>
      </c>
      <c r="U1076" s="189">
        <f t="shared" si="731"/>
        <v>0.56999999999999995</v>
      </c>
      <c r="V1076" s="189">
        <f t="shared" ref="V1076:V1077" si="773">ROUND(P1076*L$1809,2)</f>
        <v>1.05</v>
      </c>
      <c r="W1076" s="189">
        <f t="shared" si="758"/>
        <v>0.04</v>
      </c>
      <c r="X1076" s="189">
        <f t="shared" si="681"/>
        <v>20.170000000000002</v>
      </c>
      <c r="Y1076" s="190">
        <f t="shared" si="682"/>
        <v>184.83</v>
      </c>
      <c r="Z1076" s="191">
        <f>205.64-21</f>
        <v>184.64</v>
      </c>
      <c r="AA1076" s="192">
        <f t="shared" si="769"/>
        <v>-0.19000000000002615</v>
      </c>
      <c r="AB1076" s="193">
        <f t="shared" si="684"/>
        <v>1.0789473684210587E-2</v>
      </c>
      <c r="AC1076" s="194">
        <f t="shared" si="685"/>
        <v>5.2800000000000004E-4</v>
      </c>
      <c r="AD1076" s="189"/>
      <c r="AE1076" s="195" t="s">
        <v>403</v>
      </c>
      <c r="AF1076" s="119"/>
    </row>
    <row r="1077" spans="1:32" ht="12" hidden="1" customHeight="1">
      <c r="A1077" s="183">
        <v>44481</v>
      </c>
      <c r="B1077" s="184" t="s">
        <v>575</v>
      </c>
      <c r="C1077" s="184"/>
      <c r="D1077" s="184"/>
      <c r="E1077" s="184"/>
      <c r="F1077" s="184"/>
      <c r="G1077" s="184"/>
      <c r="H1077" s="184" t="s">
        <v>654</v>
      </c>
      <c r="I1077" s="184" t="s">
        <v>469</v>
      </c>
      <c r="J1077" s="184" t="s">
        <v>448</v>
      </c>
      <c r="K1077" s="185">
        <v>100</v>
      </c>
      <c r="L1077" s="186">
        <v>1220</v>
      </c>
      <c r="M1077" s="187">
        <v>1232</v>
      </c>
      <c r="N1077" s="188">
        <f t="shared" si="695"/>
        <v>20</v>
      </c>
      <c r="O1077" s="188">
        <f t="shared" si="696"/>
        <v>20</v>
      </c>
      <c r="P1077" s="189">
        <f t="shared" si="674"/>
        <v>245200</v>
      </c>
      <c r="Q1077" s="189">
        <f t="shared" si="675"/>
        <v>1200</v>
      </c>
      <c r="R1077" s="189">
        <f t="shared" si="771"/>
        <v>40</v>
      </c>
      <c r="S1077" s="189">
        <f t="shared" si="697"/>
        <v>8.41</v>
      </c>
      <c r="T1077" s="189">
        <f t="shared" si="730"/>
        <v>30.8</v>
      </c>
      <c r="U1077" s="189">
        <f t="shared" si="731"/>
        <v>3.66</v>
      </c>
      <c r="V1077" s="189">
        <f t="shared" si="773"/>
        <v>6.74</v>
      </c>
      <c r="W1077" s="189">
        <f t="shared" si="758"/>
        <v>0.25</v>
      </c>
      <c r="X1077" s="189">
        <f t="shared" si="681"/>
        <v>89.859999999999985</v>
      </c>
      <c r="Y1077" s="190">
        <f t="shared" si="682"/>
        <v>1110.1400000000001</v>
      </c>
      <c r="Z1077" s="191">
        <v>1109.6000000000001</v>
      </c>
      <c r="AA1077" s="192">
        <f t="shared" si="769"/>
        <v>-0.53999999999996362</v>
      </c>
      <c r="AB1077" s="193">
        <f t="shared" si="684"/>
        <v>9.8360655737704927E-3</v>
      </c>
      <c r="AC1077" s="194">
        <f t="shared" si="685"/>
        <v>3.6600000000000001E-4</v>
      </c>
      <c r="AD1077" s="189"/>
      <c r="AE1077" s="195" t="s">
        <v>403</v>
      </c>
      <c r="AF1077" s="119"/>
    </row>
    <row r="1078" spans="1:32" ht="12" hidden="1" customHeight="1">
      <c r="A1078" s="183">
        <v>44481</v>
      </c>
      <c r="B1078" s="184" t="s">
        <v>484</v>
      </c>
      <c r="C1078" s="184"/>
      <c r="D1078" s="184"/>
      <c r="E1078" s="184"/>
      <c r="F1078" s="184"/>
      <c r="G1078" s="184"/>
      <c r="H1078" s="184" t="s">
        <v>654</v>
      </c>
      <c r="I1078" s="184" t="s">
        <v>469</v>
      </c>
      <c r="J1078" s="184" t="s">
        <v>471</v>
      </c>
      <c r="K1078" s="185">
        <v>2</v>
      </c>
      <c r="L1078" s="186">
        <v>7862.5</v>
      </c>
      <c r="M1078" s="187">
        <v>7920</v>
      </c>
      <c r="N1078" s="188">
        <f t="shared" si="695"/>
        <v>4.72</v>
      </c>
      <c r="O1078" s="188">
        <f t="shared" si="696"/>
        <v>4.75</v>
      </c>
      <c r="P1078" s="189">
        <f t="shared" si="674"/>
        <v>31565</v>
      </c>
      <c r="Q1078" s="189">
        <f t="shared" si="675"/>
        <v>115</v>
      </c>
      <c r="R1078" s="189">
        <f t="shared" si="771"/>
        <v>9.4700000000000006</v>
      </c>
      <c r="S1078" s="189">
        <f t="shared" si="697"/>
        <v>1.9</v>
      </c>
      <c r="T1078" s="189">
        <f t="shared" si="730"/>
        <v>3.96</v>
      </c>
      <c r="U1078" s="189">
        <f t="shared" si="731"/>
        <v>0.47</v>
      </c>
      <c r="V1078" s="189">
        <f>ROUND(P1078*M$1809,2)</f>
        <v>1.0900000000000001</v>
      </c>
      <c r="W1078" s="189">
        <f t="shared" si="758"/>
        <v>0.03</v>
      </c>
      <c r="X1078" s="189">
        <f t="shared" si="681"/>
        <v>16.920000000000005</v>
      </c>
      <c r="Y1078" s="190">
        <f t="shared" si="682"/>
        <v>98.08</v>
      </c>
      <c r="Z1078" s="191">
        <v>225.51</v>
      </c>
      <c r="AA1078" s="192">
        <f>Z1078-Y1079-Y1078</f>
        <v>0.15999999999999659</v>
      </c>
      <c r="AB1078" s="193">
        <f t="shared" si="684"/>
        <v>7.3131955484896658E-3</v>
      </c>
      <c r="AC1078" s="194">
        <f t="shared" si="685"/>
        <v>5.3600000000000002E-4</v>
      </c>
      <c r="AD1078" s="189"/>
      <c r="AE1078" s="195" t="s">
        <v>403</v>
      </c>
      <c r="AF1078" s="119"/>
    </row>
    <row r="1079" spans="1:32" ht="12" hidden="1" customHeight="1">
      <c r="A1079" s="183">
        <v>44481</v>
      </c>
      <c r="B1079" s="184" t="s">
        <v>465</v>
      </c>
      <c r="C1079" s="184"/>
      <c r="D1079" s="184"/>
      <c r="E1079" s="184"/>
      <c r="F1079" s="184"/>
      <c r="G1079" s="184"/>
      <c r="H1079" s="184" t="s">
        <v>654</v>
      </c>
      <c r="I1079" s="184" t="s">
        <v>469</v>
      </c>
      <c r="J1079" s="184" t="s">
        <v>471</v>
      </c>
      <c r="K1079" s="185">
        <v>50</v>
      </c>
      <c r="L1079" s="186">
        <v>192.25</v>
      </c>
      <c r="M1079" s="187">
        <v>195</v>
      </c>
      <c r="N1079" s="188">
        <f t="shared" si="695"/>
        <v>2.88</v>
      </c>
      <c r="O1079" s="188">
        <f t="shared" si="696"/>
        <v>2.93</v>
      </c>
      <c r="P1079" s="189">
        <f t="shared" si="674"/>
        <v>19362.5</v>
      </c>
      <c r="Q1079" s="189">
        <f t="shared" si="675"/>
        <v>137.5</v>
      </c>
      <c r="R1079" s="189">
        <f t="shared" si="771"/>
        <v>5.81</v>
      </c>
      <c r="S1079" s="189">
        <f t="shared" si="697"/>
        <v>1.1399999999999999</v>
      </c>
      <c r="T1079" s="189">
        <f t="shared" si="730"/>
        <v>2.44</v>
      </c>
      <c r="U1079" s="189">
        <f t="shared" si="731"/>
        <v>0.28999999999999998</v>
      </c>
      <c r="V1079" s="189">
        <f t="shared" ref="V1079:V1080" si="774">ROUND(P1079*L$1809,2)</f>
        <v>0.53</v>
      </c>
      <c r="W1079" s="189">
        <f t="shared" si="758"/>
        <v>0.02</v>
      </c>
      <c r="X1079" s="189">
        <f t="shared" si="681"/>
        <v>10.229999999999997</v>
      </c>
      <c r="Y1079" s="190">
        <f t="shared" si="682"/>
        <v>127.27</v>
      </c>
      <c r="Z1079" s="191"/>
      <c r="AA1079" s="192"/>
      <c r="AB1079" s="193">
        <f t="shared" si="684"/>
        <v>1.4304291287386216E-2</v>
      </c>
      <c r="AC1079" s="194">
        <f t="shared" si="685"/>
        <v>5.2800000000000004E-4</v>
      </c>
      <c r="AD1079" s="189"/>
      <c r="AE1079" s="195" t="s">
        <v>403</v>
      </c>
      <c r="AF1079" s="119"/>
    </row>
    <row r="1080" spans="1:32" ht="12" hidden="1" customHeight="1">
      <c r="A1080" s="183">
        <v>44482</v>
      </c>
      <c r="B1080" s="184" t="s">
        <v>575</v>
      </c>
      <c r="C1080" s="184"/>
      <c r="D1080" s="184"/>
      <c r="E1080" s="184"/>
      <c r="F1080" s="184"/>
      <c r="G1080" s="184"/>
      <c r="H1080" s="184" t="s">
        <v>654</v>
      </c>
      <c r="I1080" s="184" t="s">
        <v>469</v>
      </c>
      <c r="J1080" s="184" t="s">
        <v>448</v>
      </c>
      <c r="K1080" s="185">
        <v>100</v>
      </c>
      <c r="L1080" s="186">
        <v>1220</v>
      </c>
      <c r="M1080" s="187">
        <v>1235</v>
      </c>
      <c r="N1080" s="188">
        <f t="shared" si="695"/>
        <v>20</v>
      </c>
      <c r="O1080" s="188">
        <f t="shared" si="696"/>
        <v>20</v>
      </c>
      <c r="P1080" s="189">
        <f t="shared" si="674"/>
        <v>245500</v>
      </c>
      <c r="Q1080" s="189">
        <f t="shared" si="675"/>
        <v>1500</v>
      </c>
      <c r="R1080" s="189">
        <f t="shared" si="771"/>
        <v>40</v>
      </c>
      <c r="S1080" s="189">
        <f t="shared" si="697"/>
        <v>8.42</v>
      </c>
      <c r="T1080" s="189">
        <f t="shared" si="730"/>
        <v>30.88</v>
      </c>
      <c r="U1080" s="189">
        <f t="shared" si="731"/>
        <v>3.66</v>
      </c>
      <c r="V1080" s="189">
        <f t="shared" si="774"/>
        <v>6.75</v>
      </c>
      <c r="W1080" s="189">
        <f t="shared" si="758"/>
        <v>0.25</v>
      </c>
      <c r="X1080" s="189">
        <f t="shared" si="681"/>
        <v>89.96</v>
      </c>
      <c r="Y1080" s="190">
        <f t="shared" si="682"/>
        <v>1410.04</v>
      </c>
      <c r="Z1080" s="191">
        <v>1409.58</v>
      </c>
      <c r="AA1080" s="192">
        <f t="shared" ref="AA1080:AA1081" si="775">Z1080-Y1080</f>
        <v>-0.46000000000003638</v>
      </c>
      <c r="AB1080" s="193">
        <f t="shared" si="684"/>
        <v>1.2295081967213115E-2</v>
      </c>
      <c r="AC1080" s="194">
        <f t="shared" si="685"/>
        <v>3.6600000000000001E-4</v>
      </c>
      <c r="AD1080" s="189"/>
      <c r="AE1080" s="195" t="s">
        <v>403</v>
      </c>
      <c r="AF1080" s="119"/>
    </row>
    <row r="1081" spans="1:32" ht="12" hidden="1" customHeight="1">
      <c r="A1081" s="183">
        <v>44482</v>
      </c>
      <c r="B1081" s="184" t="s">
        <v>484</v>
      </c>
      <c r="C1081" s="184"/>
      <c r="D1081" s="184"/>
      <c r="E1081" s="184"/>
      <c r="F1081" s="184"/>
      <c r="G1081" s="184"/>
      <c r="H1081" s="184" t="s">
        <v>654</v>
      </c>
      <c r="I1081" s="184" t="s">
        <v>469</v>
      </c>
      <c r="J1081" s="184" t="s">
        <v>471</v>
      </c>
      <c r="K1081" s="185">
        <v>2</v>
      </c>
      <c r="L1081" s="186">
        <v>7900</v>
      </c>
      <c r="M1081" s="187">
        <v>7945</v>
      </c>
      <c r="N1081" s="188">
        <f t="shared" si="695"/>
        <v>4.74</v>
      </c>
      <c r="O1081" s="188">
        <f t="shared" si="696"/>
        <v>4.7699999999999996</v>
      </c>
      <c r="P1081" s="189">
        <f t="shared" si="674"/>
        <v>31690</v>
      </c>
      <c r="Q1081" s="189">
        <f t="shared" si="675"/>
        <v>90</v>
      </c>
      <c r="R1081" s="189">
        <f t="shared" si="771"/>
        <v>9.51</v>
      </c>
      <c r="S1081" s="189">
        <f t="shared" si="697"/>
        <v>1.91</v>
      </c>
      <c r="T1081" s="189">
        <f t="shared" si="730"/>
        <v>3.97</v>
      </c>
      <c r="U1081" s="189">
        <f t="shared" si="731"/>
        <v>0.47</v>
      </c>
      <c r="V1081" s="189">
        <f>ROUND(P1081*M$1809,2)</f>
        <v>1.0900000000000001</v>
      </c>
      <c r="W1081" s="189">
        <f t="shared" si="758"/>
        <v>0.03</v>
      </c>
      <c r="X1081" s="189">
        <f t="shared" si="681"/>
        <v>16.980000000000004</v>
      </c>
      <c r="Y1081" s="190">
        <f t="shared" si="682"/>
        <v>73.02</v>
      </c>
      <c r="Z1081" s="191">
        <v>73.02</v>
      </c>
      <c r="AA1081" s="192">
        <f t="shared" si="775"/>
        <v>0</v>
      </c>
      <c r="AB1081" s="193">
        <f t="shared" si="684"/>
        <v>5.6962025316455696E-3</v>
      </c>
      <c r="AC1081" s="194">
        <f t="shared" si="685"/>
        <v>5.3600000000000002E-4</v>
      </c>
      <c r="AD1081" s="189"/>
      <c r="AE1081" s="195" t="s">
        <v>403</v>
      </c>
      <c r="AF1081" s="119"/>
    </row>
    <row r="1082" spans="1:32" ht="12" hidden="1" customHeight="1">
      <c r="A1082" s="183">
        <v>44482</v>
      </c>
      <c r="B1082" s="184" t="s">
        <v>562</v>
      </c>
      <c r="C1082" s="184"/>
      <c r="D1082" s="184"/>
      <c r="E1082" s="184"/>
      <c r="F1082" s="184"/>
      <c r="G1082" s="184"/>
      <c r="H1082" s="184" t="s">
        <v>654</v>
      </c>
      <c r="I1082" s="184" t="s">
        <v>469</v>
      </c>
      <c r="J1082" s="184" t="s">
        <v>471</v>
      </c>
      <c r="K1082" s="185">
        <v>5</v>
      </c>
      <c r="L1082" s="186">
        <v>1425</v>
      </c>
      <c r="M1082" s="187">
        <v>1435</v>
      </c>
      <c r="N1082" s="188">
        <f t="shared" si="695"/>
        <v>2.14</v>
      </c>
      <c r="O1082" s="188">
        <f t="shared" si="696"/>
        <v>2.15</v>
      </c>
      <c r="P1082" s="189">
        <f t="shared" si="674"/>
        <v>14300</v>
      </c>
      <c r="Q1082" s="189">
        <f t="shared" si="675"/>
        <v>50</v>
      </c>
      <c r="R1082" s="189">
        <f t="shared" si="771"/>
        <v>4.29</v>
      </c>
      <c r="S1082" s="189">
        <f t="shared" si="697"/>
        <v>0.84</v>
      </c>
      <c r="T1082" s="189">
        <f t="shared" si="730"/>
        <v>1.79</v>
      </c>
      <c r="U1082" s="189">
        <f t="shared" si="731"/>
        <v>0.21</v>
      </c>
      <c r="V1082" s="189">
        <f>ROUND(P1082*L$1809,2)</f>
        <v>0.39</v>
      </c>
      <c r="W1082" s="189">
        <f t="shared" si="758"/>
        <v>0.01</v>
      </c>
      <c r="X1082" s="189">
        <f t="shared" si="681"/>
        <v>7.5299999999999994</v>
      </c>
      <c r="Y1082" s="190">
        <f t="shared" si="682"/>
        <v>42.47</v>
      </c>
      <c r="Z1082" s="191">
        <v>35.14</v>
      </c>
      <c r="AA1082" s="192"/>
      <c r="AB1082" s="193">
        <f t="shared" si="684"/>
        <v>7.0175438596491229E-3</v>
      </c>
      <c r="AC1082" s="194">
        <f t="shared" si="685"/>
        <v>5.2700000000000002E-4</v>
      </c>
      <c r="AD1082" s="189"/>
      <c r="AE1082" s="195" t="s">
        <v>403</v>
      </c>
      <c r="AF1082" s="119"/>
    </row>
    <row r="1083" spans="1:32" ht="12" hidden="1" customHeight="1">
      <c r="A1083" s="183">
        <v>44483</v>
      </c>
      <c r="B1083" s="184" t="s">
        <v>575</v>
      </c>
      <c r="C1083" s="184"/>
      <c r="D1083" s="184"/>
      <c r="E1083" s="184"/>
      <c r="F1083" s="184"/>
      <c r="G1083" s="184"/>
      <c r="H1083" s="184" t="s">
        <v>654</v>
      </c>
      <c r="I1083" s="184" t="s">
        <v>469</v>
      </c>
      <c r="J1083" s="184" t="s">
        <v>448</v>
      </c>
      <c r="K1083" s="185">
        <v>100</v>
      </c>
      <c r="L1083" s="186">
        <v>1205</v>
      </c>
      <c r="M1083" s="187">
        <v>1224</v>
      </c>
      <c r="N1083" s="188">
        <f t="shared" si="695"/>
        <v>20</v>
      </c>
      <c r="O1083" s="188">
        <f t="shared" si="696"/>
        <v>20</v>
      </c>
      <c r="P1083" s="189">
        <f t="shared" si="674"/>
        <v>242900</v>
      </c>
      <c r="Q1083" s="189">
        <f t="shared" si="675"/>
        <v>1900</v>
      </c>
      <c r="R1083" s="189">
        <f t="shared" si="771"/>
        <v>40</v>
      </c>
      <c r="S1083" s="189">
        <f t="shared" si="697"/>
        <v>8.7100000000000009</v>
      </c>
      <c r="T1083" s="189">
        <f t="shared" si="730"/>
        <v>30.6</v>
      </c>
      <c r="U1083" s="189">
        <f t="shared" si="731"/>
        <v>3.62</v>
      </c>
      <c r="V1083" s="189">
        <f>ROUND(P1083*M$1809,2)</f>
        <v>8.3800000000000008</v>
      </c>
      <c r="W1083" s="189">
        <f t="shared" si="758"/>
        <v>0.24</v>
      </c>
      <c r="X1083" s="189">
        <f t="shared" si="681"/>
        <v>91.55</v>
      </c>
      <c r="Y1083" s="190">
        <f t="shared" si="682"/>
        <v>1808.45</v>
      </c>
      <c r="Z1083" s="191">
        <v>1797.34</v>
      </c>
      <c r="AA1083" s="192">
        <f>Z1083-Y1084-Y1083</f>
        <v>0.70999999999980901</v>
      </c>
      <c r="AB1083" s="193">
        <f t="shared" si="684"/>
        <v>1.5767634854771784E-2</v>
      </c>
      <c r="AC1083" s="194">
        <f t="shared" si="685"/>
        <v>3.77E-4</v>
      </c>
      <c r="AD1083" s="189"/>
      <c r="AE1083" s="195" t="s">
        <v>403</v>
      </c>
      <c r="AF1083" s="119"/>
    </row>
    <row r="1084" spans="1:32" ht="12" hidden="1" customHeight="1">
      <c r="A1084" s="183">
        <v>44483</v>
      </c>
      <c r="B1084" s="184" t="s">
        <v>708</v>
      </c>
      <c r="C1084" s="184"/>
      <c r="D1084" s="184"/>
      <c r="E1084" s="184"/>
      <c r="F1084" s="184"/>
      <c r="G1084" s="184"/>
      <c r="H1084" s="184" t="s">
        <v>654</v>
      </c>
      <c r="I1084" s="184" t="s">
        <v>469</v>
      </c>
      <c r="J1084" s="184" t="s">
        <v>448</v>
      </c>
      <c r="K1084" s="185">
        <v>100</v>
      </c>
      <c r="L1084" s="186">
        <v>124.7</v>
      </c>
      <c r="M1084" s="187">
        <v>125</v>
      </c>
      <c r="N1084" s="188">
        <f t="shared" si="695"/>
        <v>3.74</v>
      </c>
      <c r="O1084" s="188">
        <f t="shared" si="696"/>
        <v>3.75</v>
      </c>
      <c r="P1084" s="189">
        <f t="shared" si="674"/>
        <v>24970</v>
      </c>
      <c r="Q1084" s="189">
        <f t="shared" si="675"/>
        <v>29.999999999999716</v>
      </c>
      <c r="R1084" s="189">
        <f t="shared" si="771"/>
        <v>7.49</v>
      </c>
      <c r="S1084" s="189">
        <f t="shared" si="697"/>
        <v>5.84</v>
      </c>
      <c r="T1084" s="189">
        <f t="shared" si="730"/>
        <v>3.13</v>
      </c>
      <c r="U1084" s="189">
        <f t="shared" si="731"/>
        <v>0.37</v>
      </c>
      <c r="V1084" s="189">
        <f>ROUND(P1084*O$1810,2)</f>
        <v>24.97</v>
      </c>
      <c r="W1084" s="189">
        <f t="shared" si="758"/>
        <v>0.02</v>
      </c>
      <c r="X1084" s="189">
        <f t="shared" si="681"/>
        <v>41.82</v>
      </c>
      <c r="Y1084" s="190">
        <f t="shared" si="682"/>
        <v>-11.82</v>
      </c>
      <c r="Z1084" s="191"/>
      <c r="AA1084" s="192"/>
      <c r="AB1084" s="193">
        <f t="shared" si="684"/>
        <v>2.4057738572573948E-3</v>
      </c>
      <c r="AC1084" s="194">
        <f t="shared" si="685"/>
        <v>1.6750000000000001E-3</v>
      </c>
      <c r="AD1084" s="189"/>
      <c r="AE1084" s="195" t="s">
        <v>403</v>
      </c>
      <c r="AF1084" s="119"/>
    </row>
    <row r="1085" spans="1:32" ht="12" hidden="1" customHeight="1">
      <c r="A1085" s="183">
        <v>44483</v>
      </c>
      <c r="B1085" s="184" t="s">
        <v>479</v>
      </c>
      <c r="C1085" s="184"/>
      <c r="D1085" s="184"/>
      <c r="E1085" s="184"/>
      <c r="F1085" s="184"/>
      <c r="G1085" s="184"/>
      <c r="H1085" s="184" t="s">
        <v>654</v>
      </c>
      <c r="I1085" s="184" t="s">
        <v>469</v>
      </c>
      <c r="J1085" s="184" t="s">
        <v>471</v>
      </c>
      <c r="K1085" s="185">
        <v>15</v>
      </c>
      <c r="L1085" s="186">
        <v>488.5</v>
      </c>
      <c r="M1085" s="187">
        <v>489</v>
      </c>
      <c r="N1085" s="188">
        <f t="shared" si="695"/>
        <v>2.2000000000000002</v>
      </c>
      <c r="O1085" s="188">
        <f t="shared" si="696"/>
        <v>2.2000000000000002</v>
      </c>
      <c r="P1085" s="189">
        <f t="shared" si="674"/>
        <v>14662.5</v>
      </c>
      <c r="Q1085" s="189">
        <f t="shared" si="675"/>
        <v>7.5</v>
      </c>
      <c r="R1085" s="189">
        <f t="shared" si="771"/>
        <v>4.4000000000000004</v>
      </c>
      <c r="S1085" s="189">
        <f t="shared" si="697"/>
        <v>0.88</v>
      </c>
      <c r="T1085" s="189">
        <f t="shared" si="730"/>
        <v>1.83</v>
      </c>
      <c r="U1085" s="189">
        <f t="shared" si="731"/>
        <v>0.22</v>
      </c>
      <c r="V1085" s="189">
        <f>ROUND(P1085*M$1809,2)</f>
        <v>0.51</v>
      </c>
      <c r="W1085" s="189">
        <f t="shared" si="758"/>
        <v>0.01</v>
      </c>
      <c r="X1085" s="189">
        <f t="shared" si="681"/>
        <v>7.85</v>
      </c>
      <c r="Y1085" s="190">
        <f t="shared" si="682"/>
        <v>-0.35</v>
      </c>
      <c r="Z1085" s="191">
        <v>-0.3</v>
      </c>
      <c r="AA1085" s="192">
        <f>Z1085-Y1085</f>
        <v>4.9999999999999989E-2</v>
      </c>
      <c r="AB1085" s="193">
        <f t="shared" si="684"/>
        <v>1.0235414534288639E-3</v>
      </c>
      <c r="AC1085" s="194">
        <f t="shared" si="685"/>
        <v>5.3499999999999999E-4</v>
      </c>
      <c r="AD1085" s="189"/>
      <c r="AE1085" s="195" t="s">
        <v>403</v>
      </c>
      <c r="AF1085" s="119"/>
    </row>
    <row r="1086" spans="1:32" ht="12" hidden="1" customHeight="1">
      <c r="A1086" s="183">
        <v>44487</v>
      </c>
      <c r="B1086" s="184" t="s">
        <v>570</v>
      </c>
      <c r="C1086" s="184"/>
      <c r="D1086" s="184"/>
      <c r="E1086" s="184"/>
      <c r="F1086" s="184"/>
      <c r="G1086" s="184"/>
      <c r="H1086" s="184" t="s">
        <v>654</v>
      </c>
      <c r="I1086" s="184" t="s">
        <v>469</v>
      </c>
      <c r="J1086" s="184" t="s">
        <v>471</v>
      </c>
      <c r="K1086" s="185">
        <v>100</v>
      </c>
      <c r="L1086" s="186">
        <v>177</v>
      </c>
      <c r="M1086" s="187">
        <v>180</v>
      </c>
      <c r="N1086" s="188">
        <f t="shared" si="695"/>
        <v>5.31</v>
      </c>
      <c r="O1086" s="188">
        <f t="shared" si="696"/>
        <v>5.4</v>
      </c>
      <c r="P1086" s="189">
        <f t="shared" si="674"/>
        <v>35700</v>
      </c>
      <c r="Q1086" s="189">
        <f t="shared" si="675"/>
        <v>300</v>
      </c>
      <c r="R1086" s="189">
        <f t="shared" si="771"/>
        <v>10.71</v>
      </c>
      <c r="S1086" s="189">
        <f t="shared" si="697"/>
        <v>2.1</v>
      </c>
      <c r="T1086" s="189">
        <f t="shared" si="730"/>
        <v>4.5</v>
      </c>
      <c r="U1086" s="189">
        <f t="shared" si="731"/>
        <v>0.53</v>
      </c>
      <c r="V1086" s="189">
        <f t="shared" ref="V1086:V1088" si="776">ROUND(P1086*L$1809,2)</f>
        <v>0.98</v>
      </c>
      <c r="W1086" s="189">
        <f t="shared" si="758"/>
        <v>0.04</v>
      </c>
      <c r="X1086" s="189">
        <f t="shared" si="681"/>
        <v>18.860000000000003</v>
      </c>
      <c r="Y1086" s="190">
        <f t="shared" si="682"/>
        <v>281.14</v>
      </c>
      <c r="Z1086" s="191">
        <v>269.52</v>
      </c>
      <c r="AA1086" s="192">
        <f>Z1086-Y1087-Y1086</f>
        <v>-0.22000000000002728</v>
      </c>
      <c r="AB1086" s="193">
        <f t="shared" si="684"/>
        <v>1.6949152542372881E-2</v>
      </c>
      <c r="AC1086" s="194">
        <f t="shared" si="685"/>
        <v>5.2800000000000004E-4</v>
      </c>
      <c r="AD1086" s="189"/>
      <c r="AE1086" s="195" t="s">
        <v>403</v>
      </c>
      <c r="AF1086" s="119"/>
    </row>
    <row r="1087" spans="1:32" ht="12" hidden="1" customHeight="1">
      <c r="A1087" s="183">
        <v>44487</v>
      </c>
      <c r="B1087" s="184" t="s">
        <v>519</v>
      </c>
      <c r="C1087" s="184"/>
      <c r="D1087" s="184"/>
      <c r="E1087" s="184"/>
      <c r="F1087" s="184"/>
      <c r="G1087" s="184"/>
      <c r="H1087" s="184" t="s">
        <v>654</v>
      </c>
      <c r="I1087" s="184" t="s">
        <v>469</v>
      </c>
      <c r="J1087" s="184" t="s">
        <v>471</v>
      </c>
      <c r="K1087" s="185">
        <v>100</v>
      </c>
      <c r="L1087" s="186">
        <v>46.2</v>
      </c>
      <c r="M1087" s="187">
        <v>46.15</v>
      </c>
      <c r="N1087" s="188">
        <f t="shared" si="695"/>
        <v>1.39</v>
      </c>
      <c r="O1087" s="188">
        <f t="shared" si="696"/>
        <v>1.38</v>
      </c>
      <c r="P1087" s="189">
        <f t="shared" si="674"/>
        <v>9235</v>
      </c>
      <c r="Q1087" s="189">
        <f t="shared" si="675"/>
        <v>-5.0000000000004263</v>
      </c>
      <c r="R1087" s="189">
        <f>ROUND(N1087+O1087,2)+1.3</f>
        <v>4.07</v>
      </c>
      <c r="S1087" s="189">
        <f t="shared" si="697"/>
        <v>0.78</v>
      </c>
      <c r="T1087" s="189">
        <f t="shared" si="730"/>
        <v>1.1499999999999999</v>
      </c>
      <c r="U1087" s="189">
        <f t="shared" si="731"/>
        <v>0.14000000000000001</v>
      </c>
      <c r="V1087" s="189">
        <f t="shared" si="776"/>
        <v>0.25</v>
      </c>
      <c r="W1087" s="189">
        <f t="shared" si="758"/>
        <v>0.01</v>
      </c>
      <c r="X1087" s="189">
        <f t="shared" si="681"/>
        <v>6.3999999999999995</v>
      </c>
      <c r="Y1087" s="190">
        <f t="shared" si="682"/>
        <v>-11.4</v>
      </c>
      <c r="Z1087" s="191"/>
      <c r="AA1087" s="192"/>
      <c r="AB1087" s="193">
        <f t="shared" si="684"/>
        <v>-1.0822510822511744E-3</v>
      </c>
      <c r="AC1087" s="194">
        <f t="shared" si="685"/>
        <v>6.9300000000000004E-4</v>
      </c>
      <c r="AD1087" s="189"/>
      <c r="AE1087" s="195" t="s">
        <v>403</v>
      </c>
      <c r="AF1087" s="119"/>
    </row>
    <row r="1088" spans="1:32" ht="12" hidden="1" customHeight="1">
      <c r="A1088" s="183">
        <v>44487</v>
      </c>
      <c r="B1088" s="184" t="s">
        <v>575</v>
      </c>
      <c r="C1088" s="184"/>
      <c r="D1088" s="184"/>
      <c r="E1088" s="184"/>
      <c r="F1088" s="184"/>
      <c r="G1088" s="184"/>
      <c r="H1088" s="184" t="s">
        <v>654</v>
      </c>
      <c r="I1088" s="184" t="s">
        <v>469</v>
      </c>
      <c r="J1088" s="184" t="s">
        <v>448</v>
      </c>
      <c r="K1088" s="185">
        <v>100</v>
      </c>
      <c r="L1088" s="186">
        <v>1215</v>
      </c>
      <c r="M1088" s="187">
        <v>1220</v>
      </c>
      <c r="N1088" s="188">
        <f t="shared" si="695"/>
        <v>20</v>
      </c>
      <c r="O1088" s="188">
        <f t="shared" si="696"/>
        <v>20</v>
      </c>
      <c r="P1088" s="189">
        <f t="shared" si="674"/>
        <v>243500</v>
      </c>
      <c r="Q1088" s="189">
        <f t="shared" si="675"/>
        <v>500</v>
      </c>
      <c r="R1088" s="189">
        <f t="shared" ref="R1088:R1089" si="777">ROUND(N1088+O1088,2)</f>
        <v>40</v>
      </c>
      <c r="S1088" s="189">
        <f t="shared" si="697"/>
        <v>8.41</v>
      </c>
      <c r="T1088" s="189">
        <f t="shared" si="730"/>
        <v>30.5</v>
      </c>
      <c r="U1088" s="189">
        <f t="shared" si="731"/>
        <v>3.65</v>
      </c>
      <c r="V1088" s="189">
        <f t="shared" si="776"/>
        <v>6.7</v>
      </c>
      <c r="W1088" s="189">
        <f t="shared" si="758"/>
        <v>0.24</v>
      </c>
      <c r="X1088" s="189">
        <f t="shared" si="681"/>
        <v>89.5</v>
      </c>
      <c r="Y1088" s="190">
        <f t="shared" si="682"/>
        <v>410.5</v>
      </c>
      <c r="Z1088" s="191">
        <v>410.82</v>
      </c>
      <c r="AA1088" s="192">
        <f t="shared" ref="AA1088:AA1090" si="778">Z1088-Y1088</f>
        <v>0.31999999999999318</v>
      </c>
      <c r="AB1088" s="193">
        <f t="shared" si="684"/>
        <v>4.11522633744856E-3</v>
      </c>
      <c r="AC1088" s="194">
        <f t="shared" si="685"/>
        <v>3.68E-4</v>
      </c>
      <c r="AD1088" s="189"/>
      <c r="AE1088" s="195" t="s">
        <v>403</v>
      </c>
      <c r="AF1088" s="119"/>
    </row>
    <row r="1089" spans="1:32" ht="12" hidden="1" customHeight="1">
      <c r="A1089" s="183">
        <v>44488</v>
      </c>
      <c r="B1089" s="184" t="s">
        <v>563</v>
      </c>
      <c r="C1089" s="184"/>
      <c r="D1089" s="184"/>
      <c r="E1089" s="184"/>
      <c r="F1089" s="184"/>
      <c r="G1089" s="184"/>
      <c r="H1089" s="184" t="s">
        <v>654</v>
      </c>
      <c r="I1089" s="184" t="s">
        <v>469</v>
      </c>
      <c r="J1089" s="184" t="s">
        <v>471</v>
      </c>
      <c r="K1089" s="185">
        <v>20</v>
      </c>
      <c r="L1089" s="186">
        <v>240</v>
      </c>
      <c r="M1089" s="187">
        <v>248</v>
      </c>
      <c r="N1089" s="188">
        <f t="shared" si="695"/>
        <v>1.44</v>
      </c>
      <c r="O1089" s="188">
        <f t="shared" si="696"/>
        <v>1.49</v>
      </c>
      <c r="P1089" s="189">
        <f t="shared" si="674"/>
        <v>9760</v>
      </c>
      <c r="Q1089" s="189">
        <f t="shared" si="675"/>
        <v>160</v>
      </c>
      <c r="R1089" s="189">
        <f t="shared" si="777"/>
        <v>2.93</v>
      </c>
      <c r="S1089" s="189">
        <f t="shared" si="697"/>
        <v>0.59</v>
      </c>
      <c r="T1089" s="189">
        <f t="shared" si="730"/>
        <v>1.24</v>
      </c>
      <c r="U1089" s="189">
        <f t="shared" si="731"/>
        <v>0.14000000000000001</v>
      </c>
      <c r="V1089" s="189">
        <f>ROUND(P1089*M$1809,2)</f>
        <v>0.34</v>
      </c>
      <c r="W1089" s="189">
        <f t="shared" si="758"/>
        <v>0.01</v>
      </c>
      <c r="X1089" s="189">
        <f t="shared" si="681"/>
        <v>5.2499999999999991</v>
      </c>
      <c r="Y1089" s="190">
        <f t="shared" si="682"/>
        <v>154.75</v>
      </c>
      <c r="Z1089" s="191">
        <v>154.93</v>
      </c>
      <c r="AA1089" s="192">
        <f t="shared" si="778"/>
        <v>0.18000000000000682</v>
      </c>
      <c r="AB1089" s="193">
        <f t="shared" si="684"/>
        <v>3.3333333333333333E-2</v>
      </c>
      <c r="AC1089" s="194">
        <f t="shared" si="685"/>
        <v>5.3799999999999996E-4</v>
      </c>
      <c r="AD1089" s="189"/>
      <c r="AE1089" s="195" t="s">
        <v>403</v>
      </c>
      <c r="AF1089" s="119"/>
    </row>
    <row r="1090" spans="1:32" ht="12" hidden="1" customHeight="1">
      <c r="A1090" s="183">
        <v>44488</v>
      </c>
      <c r="B1090" s="184" t="s">
        <v>575</v>
      </c>
      <c r="C1090" s="184"/>
      <c r="D1090" s="184"/>
      <c r="E1090" s="184"/>
      <c r="F1090" s="184"/>
      <c r="G1090" s="184"/>
      <c r="H1090" s="184" t="s">
        <v>654</v>
      </c>
      <c r="I1090" s="184" t="s">
        <v>469</v>
      </c>
      <c r="J1090" s="184" t="s">
        <v>448</v>
      </c>
      <c r="K1090" s="185">
        <v>200</v>
      </c>
      <c r="L1090" s="186">
        <v>1190</v>
      </c>
      <c r="M1090" s="187">
        <v>1198.5</v>
      </c>
      <c r="N1090" s="188">
        <f t="shared" si="695"/>
        <v>20</v>
      </c>
      <c r="O1090" s="188">
        <f t="shared" si="696"/>
        <v>20</v>
      </c>
      <c r="P1090" s="189">
        <f t="shared" si="674"/>
        <v>477700</v>
      </c>
      <c r="Q1090" s="189">
        <f t="shared" si="675"/>
        <v>1700</v>
      </c>
      <c r="R1090" s="189">
        <v>80</v>
      </c>
      <c r="S1090" s="189">
        <f t="shared" si="697"/>
        <v>16.77</v>
      </c>
      <c r="T1090" s="189">
        <f t="shared" si="730"/>
        <v>59.93</v>
      </c>
      <c r="U1090" s="189">
        <f t="shared" si="731"/>
        <v>7.14</v>
      </c>
      <c r="V1090" s="189">
        <f>ROUND(P1090*L$1809,2)</f>
        <v>13.14</v>
      </c>
      <c r="W1090" s="189">
        <f t="shared" si="758"/>
        <v>0.48</v>
      </c>
      <c r="X1090" s="189">
        <f t="shared" si="681"/>
        <v>177.45999999999995</v>
      </c>
      <c r="Y1090" s="190">
        <f t="shared" si="682"/>
        <v>1522.54</v>
      </c>
      <c r="Z1090" s="191">
        <v>1522.62</v>
      </c>
      <c r="AA1090" s="192">
        <f t="shared" si="778"/>
        <v>7.999999999992724E-2</v>
      </c>
      <c r="AB1090" s="193">
        <f t="shared" si="684"/>
        <v>7.1428571428571426E-3</v>
      </c>
      <c r="AC1090" s="194">
        <f t="shared" si="685"/>
        <v>3.7100000000000002E-4</v>
      </c>
      <c r="AD1090" s="189"/>
      <c r="AE1090" s="195" t="s">
        <v>403</v>
      </c>
      <c r="AF1090" s="119"/>
    </row>
    <row r="1091" spans="1:32" ht="12" hidden="1" customHeight="1">
      <c r="A1091" s="183">
        <v>44489</v>
      </c>
      <c r="B1091" s="184" t="s">
        <v>479</v>
      </c>
      <c r="C1091" s="184"/>
      <c r="D1091" s="184"/>
      <c r="E1091" s="184"/>
      <c r="F1091" s="184"/>
      <c r="G1091" s="184"/>
      <c r="H1091" s="184" t="s">
        <v>654</v>
      </c>
      <c r="I1091" s="184" t="s">
        <v>469</v>
      </c>
      <c r="J1091" s="184" t="s">
        <v>471</v>
      </c>
      <c r="K1091" s="185">
        <v>15</v>
      </c>
      <c r="L1091" s="186">
        <v>500</v>
      </c>
      <c r="M1091" s="187">
        <v>504</v>
      </c>
      <c r="N1091" s="188">
        <f t="shared" si="695"/>
        <v>2.25</v>
      </c>
      <c r="O1091" s="188">
        <f t="shared" si="696"/>
        <v>2.27</v>
      </c>
      <c r="P1091" s="189">
        <f t="shared" si="674"/>
        <v>15060</v>
      </c>
      <c r="Q1091" s="189">
        <f t="shared" si="675"/>
        <v>60</v>
      </c>
      <c r="R1091" s="189">
        <f t="shared" ref="R1091:R1097" si="779">ROUND(N1091+O1091,2)</f>
        <v>4.5199999999999996</v>
      </c>
      <c r="S1091" s="189">
        <f t="shared" si="697"/>
        <v>0.91</v>
      </c>
      <c r="T1091" s="189">
        <f t="shared" si="730"/>
        <v>1.89</v>
      </c>
      <c r="U1091" s="189">
        <f t="shared" si="731"/>
        <v>0.23</v>
      </c>
      <c r="V1091" s="189">
        <f>ROUND(P1091*M$1809,2)</f>
        <v>0.52</v>
      </c>
      <c r="W1091" s="189">
        <f t="shared" si="758"/>
        <v>0.02</v>
      </c>
      <c r="X1091" s="189">
        <f t="shared" si="681"/>
        <v>8.09</v>
      </c>
      <c r="Y1091" s="190">
        <f t="shared" si="682"/>
        <v>51.91</v>
      </c>
      <c r="Z1091" s="191">
        <v>357.14</v>
      </c>
      <c r="AA1091" s="192">
        <f>Z1091-Y1092-Y1091</f>
        <v>9.0000000000003411E-2</v>
      </c>
      <c r="AB1091" s="193">
        <f t="shared" si="684"/>
        <v>8.0000000000000002E-3</v>
      </c>
      <c r="AC1091" s="194">
        <f t="shared" si="685"/>
        <v>5.3700000000000004E-4</v>
      </c>
      <c r="AD1091" s="189"/>
      <c r="AE1091" s="195" t="s">
        <v>403</v>
      </c>
      <c r="AF1091" s="119"/>
    </row>
    <row r="1092" spans="1:32" ht="12" hidden="1" customHeight="1">
      <c r="A1092" s="183">
        <v>44489</v>
      </c>
      <c r="B1092" s="184" t="s">
        <v>571</v>
      </c>
      <c r="C1092" s="184"/>
      <c r="D1092" s="184"/>
      <c r="E1092" s="184"/>
      <c r="F1092" s="184"/>
      <c r="G1092" s="184"/>
      <c r="H1092" s="184" t="s">
        <v>654</v>
      </c>
      <c r="I1092" s="184" t="s">
        <v>469</v>
      </c>
      <c r="J1092" s="184" t="s">
        <v>471</v>
      </c>
      <c r="K1092" s="185">
        <v>30</v>
      </c>
      <c r="L1092" s="186">
        <v>779</v>
      </c>
      <c r="M1092" s="187">
        <v>790</v>
      </c>
      <c r="N1092" s="188">
        <f t="shared" si="695"/>
        <v>7.01</v>
      </c>
      <c r="O1092" s="188">
        <f t="shared" si="696"/>
        <v>7.11</v>
      </c>
      <c r="P1092" s="189">
        <f t="shared" si="674"/>
        <v>47070</v>
      </c>
      <c r="Q1092" s="189">
        <f t="shared" si="675"/>
        <v>330</v>
      </c>
      <c r="R1092" s="189">
        <f t="shared" si="779"/>
        <v>14.12</v>
      </c>
      <c r="S1092" s="189">
        <f t="shared" si="697"/>
        <v>2.77</v>
      </c>
      <c r="T1092" s="189">
        <f t="shared" si="730"/>
        <v>5.93</v>
      </c>
      <c r="U1092" s="189">
        <f t="shared" si="731"/>
        <v>0.7</v>
      </c>
      <c r="V1092" s="189">
        <f>ROUND(P1092*L$1809,2)</f>
        <v>1.29</v>
      </c>
      <c r="W1092" s="189">
        <f t="shared" si="758"/>
        <v>0.05</v>
      </c>
      <c r="X1092" s="189">
        <f t="shared" si="681"/>
        <v>24.86</v>
      </c>
      <c r="Y1092" s="190">
        <f t="shared" si="682"/>
        <v>305.14</v>
      </c>
      <c r="Z1092" s="191"/>
      <c r="AA1092" s="192"/>
      <c r="AB1092" s="193">
        <f t="shared" si="684"/>
        <v>1.4120667522464698E-2</v>
      </c>
      <c r="AC1092" s="194">
        <f t="shared" si="685"/>
        <v>5.2800000000000004E-4</v>
      </c>
      <c r="AD1092" s="189"/>
      <c r="AE1092" s="195" t="s">
        <v>403</v>
      </c>
      <c r="AF1092" s="119"/>
    </row>
    <row r="1093" spans="1:32" ht="12" hidden="1" customHeight="1">
      <c r="A1093" s="183">
        <v>44490</v>
      </c>
      <c r="B1093" s="184" t="s">
        <v>479</v>
      </c>
      <c r="C1093" s="184"/>
      <c r="D1093" s="184"/>
      <c r="E1093" s="184"/>
      <c r="F1093" s="184"/>
      <c r="G1093" s="184"/>
      <c r="H1093" s="184" t="s">
        <v>654</v>
      </c>
      <c r="I1093" s="184" t="s">
        <v>469</v>
      </c>
      <c r="J1093" s="184" t="s">
        <v>471</v>
      </c>
      <c r="K1093" s="185">
        <v>15</v>
      </c>
      <c r="L1093" s="186">
        <v>492</v>
      </c>
      <c r="M1093" s="187">
        <v>500</v>
      </c>
      <c r="N1093" s="188">
        <f t="shared" si="695"/>
        <v>2.21</v>
      </c>
      <c r="O1093" s="188">
        <f t="shared" si="696"/>
        <v>2.25</v>
      </c>
      <c r="P1093" s="189">
        <f t="shared" si="674"/>
        <v>14880</v>
      </c>
      <c r="Q1093" s="189">
        <f t="shared" si="675"/>
        <v>120</v>
      </c>
      <c r="R1093" s="189">
        <f t="shared" si="779"/>
        <v>4.46</v>
      </c>
      <c r="S1093" s="189">
        <f t="shared" si="697"/>
        <v>0.89</v>
      </c>
      <c r="T1093" s="189">
        <f t="shared" si="730"/>
        <v>1.88</v>
      </c>
      <c r="U1093" s="189">
        <f t="shared" si="731"/>
        <v>0.22</v>
      </c>
      <c r="V1093" s="189">
        <f t="shared" ref="V1093:V1097" si="780">ROUND(P1093*M$1809,2)</f>
        <v>0.51</v>
      </c>
      <c r="W1093" s="189">
        <f t="shared" si="758"/>
        <v>0.01</v>
      </c>
      <c r="X1093" s="189">
        <f t="shared" si="681"/>
        <v>7.9699999999999989</v>
      </c>
      <c r="Y1093" s="190">
        <f t="shared" si="682"/>
        <v>112.03</v>
      </c>
      <c r="Z1093" s="191">
        <v>117.53</v>
      </c>
      <c r="AA1093" s="192">
        <f>Z1093-Y1094-Y1093</f>
        <v>0.15999999999999659</v>
      </c>
      <c r="AB1093" s="193">
        <f t="shared" si="684"/>
        <v>1.6260162601626018E-2</v>
      </c>
      <c r="AC1093" s="194">
        <f t="shared" si="685"/>
        <v>5.3600000000000002E-4</v>
      </c>
      <c r="AD1093" s="189"/>
      <c r="AE1093" s="195" t="s">
        <v>403</v>
      </c>
      <c r="AF1093" s="119"/>
    </row>
    <row r="1094" spans="1:32" ht="12" hidden="1" customHeight="1">
      <c r="A1094" s="183">
        <v>44490</v>
      </c>
      <c r="B1094" s="184" t="s">
        <v>574</v>
      </c>
      <c r="C1094" s="184"/>
      <c r="D1094" s="184"/>
      <c r="E1094" s="184"/>
      <c r="F1094" s="184"/>
      <c r="G1094" s="184"/>
      <c r="H1094" s="184" t="s">
        <v>654</v>
      </c>
      <c r="I1094" s="184" t="s">
        <v>469</v>
      </c>
      <c r="J1094" s="184" t="s">
        <v>471</v>
      </c>
      <c r="K1094" s="185">
        <v>4</v>
      </c>
      <c r="L1094" s="186">
        <v>3535</v>
      </c>
      <c r="M1094" s="187">
        <v>3540.125</v>
      </c>
      <c r="N1094" s="188">
        <f t="shared" si="695"/>
        <v>4.24</v>
      </c>
      <c r="O1094" s="188">
        <f t="shared" si="696"/>
        <v>4.25</v>
      </c>
      <c r="P1094" s="189">
        <f t="shared" si="674"/>
        <v>28300.5</v>
      </c>
      <c r="Q1094" s="189">
        <f t="shared" si="675"/>
        <v>20.5</v>
      </c>
      <c r="R1094" s="189">
        <f t="shared" si="779"/>
        <v>8.49</v>
      </c>
      <c r="S1094" s="189">
        <f t="shared" si="697"/>
        <v>1.7</v>
      </c>
      <c r="T1094" s="189">
        <f t="shared" si="730"/>
        <v>3.54</v>
      </c>
      <c r="U1094" s="189">
        <f t="shared" si="731"/>
        <v>0.42</v>
      </c>
      <c r="V1094" s="189">
        <f t="shared" si="780"/>
        <v>0.98</v>
      </c>
      <c r="W1094" s="189">
        <f t="shared" si="758"/>
        <v>0.03</v>
      </c>
      <c r="X1094" s="189">
        <f t="shared" si="681"/>
        <v>15.16</v>
      </c>
      <c r="Y1094" s="190">
        <f t="shared" si="682"/>
        <v>5.34</v>
      </c>
      <c r="Z1094" s="191"/>
      <c r="AA1094" s="192"/>
      <c r="AB1094" s="193">
        <f t="shared" si="684"/>
        <v>1.4497878359264497E-3</v>
      </c>
      <c r="AC1094" s="194">
        <f t="shared" si="685"/>
        <v>5.3600000000000002E-4</v>
      </c>
      <c r="AD1094" s="189"/>
      <c r="AE1094" s="195" t="s">
        <v>403</v>
      </c>
      <c r="AF1094" s="119"/>
    </row>
    <row r="1095" spans="1:32" ht="12" hidden="1" customHeight="1">
      <c r="A1095" s="183">
        <v>44491</v>
      </c>
      <c r="B1095" s="184" t="s">
        <v>570</v>
      </c>
      <c r="C1095" s="184"/>
      <c r="D1095" s="184"/>
      <c r="E1095" s="184"/>
      <c r="F1095" s="184"/>
      <c r="G1095" s="184"/>
      <c r="H1095" s="184" t="s">
        <v>654</v>
      </c>
      <c r="I1095" s="184" t="s">
        <v>469</v>
      </c>
      <c r="J1095" s="184" t="s">
        <v>471</v>
      </c>
      <c r="K1095" s="185">
        <v>100</v>
      </c>
      <c r="L1095" s="186">
        <v>164.5</v>
      </c>
      <c r="M1095" s="187">
        <v>166</v>
      </c>
      <c r="N1095" s="188">
        <f t="shared" si="695"/>
        <v>4.9400000000000004</v>
      </c>
      <c r="O1095" s="188">
        <f t="shared" si="696"/>
        <v>4.9800000000000004</v>
      </c>
      <c r="P1095" s="189">
        <f t="shared" si="674"/>
        <v>33050</v>
      </c>
      <c r="Q1095" s="189">
        <f t="shared" si="675"/>
        <v>150</v>
      </c>
      <c r="R1095" s="189">
        <f t="shared" si="779"/>
        <v>9.92</v>
      </c>
      <c r="S1095" s="189">
        <f t="shared" si="697"/>
        <v>1.99</v>
      </c>
      <c r="T1095" s="189">
        <f t="shared" si="730"/>
        <v>4.1500000000000004</v>
      </c>
      <c r="U1095" s="189">
        <f t="shared" si="731"/>
        <v>0.49</v>
      </c>
      <c r="V1095" s="189">
        <f t="shared" si="780"/>
        <v>1.1399999999999999</v>
      </c>
      <c r="W1095" s="189">
        <f t="shared" si="758"/>
        <v>0.03</v>
      </c>
      <c r="X1095" s="189">
        <f t="shared" si="681"/>
        <v>17.720000000000002</v>
      </c>
      <c r="Y1095" s="190">
        <f t="shared" si="682"/>
        <v>132.28</v>
      </c>
      <c r="Z1095" s="191">
        <v>248.01</v>
      </c>
      <c r="AA1095" s="192">
        <f>Z1095-Y1096-Y1095-Y1097</f>
        <v>-1.8200000000000252</v>
      </c>
      <c r="AB1095" s="193">
        <f t="shared" si="684"/>
        <v>9.11854103343465E-3</v>
      </c>
      <c r="AC1095" s="194">
        <f t="shared" si="685"/>
        <v>5.3600000000000002E-4</v>
      </c>
      <c r="AD1095" s="189"/>
      <c r="AE1095" s="195" t="s">
        <v>403</v>
      </c>
      <c r="AF1095" s="119"/>
    </row>
    <row r="1096" spans="1:32" ht="12" hidden="1" customHeight="1">
      <c r="A1096" s="183">
        <v>44491</v>
      </c>
      <c r="B1096" s="184" t="s">
        <v>484</v>
      </c>
      <c r="C1096" s="184"/>
      <c r="D1096" s="184"/>
      <c r="E1096" s="184"/>
      <c r="F1096" s="184"/>
      <c r="G1096" s="184"/>
      <c r="H1096" s="184" t="s">
        <v>654</v>
      </c>
      <c r="I1096" s="184" t="s">
        <v>469</v>
      </c>
      <c r="J1096" s="184" t="s">
        <v>471</v>
      </c>
      <c r="K1096" s="185">
        <v>2</v>
      </c>
      <c r="L1096" s="186">
        <v>7850</v>
      </c>
      <c r="M1096" s="187">
        <v>7905</v>
      </c>
      <c r="N1096" s="188">
        <f t="shared" si="695"/>
        <v>4.71</v>
      </c>
      <c r="O1096" s="188">
        <f t="shared" si="696"/>
        <v>4.74</v>
      </c>
      <c r="P1096" s="189">
        <f t="shared" si="674"/>
        <v>31510</v>
      </c>
      <c r="Q1096" s="189">
        <f t="shared" si="675"/>
        <v>110</v>
      </c>
      <c r="R1096" s="189">
        <f t="shared" si="779"/>
        <v>9.4499999999999993</v>
      </c>
      <c r="S1096" s="189">
        <f t="shared" si="697"/>
        <v>1.9</v>
      </c>
      <c r="T1096" s="189">
        <f t="shared" si="730"/>
        <v>3.95</v>
      </c>
      <c r="U1096" s="189">
        <f t="shared" si="731"/>
        <v>0.47</v>
      </c>
      <c r="V1096" s="189">
        <f t="shared" si="780"/>
        <v>1.0900000000000001</v>
      </c>
      <c r="W1096" s="189">
        <f t="shared" si="758"/>
        <v>0.03</v>
      </c>
      <c r="X1096" s="189">
        <f t="shared" si="681"/>
        <v>16.890000000000004</v>
      </c>
      <c r="Y1096" s="190">
        <f t="shared" si="682"/>
        <v>93.11</v>
      </c>
      <c r="Z1096" s="191"/>
      <c r="AA1096" s="192"/>
      <c r="AB1096" s="193">
        <f t="shared" si="684"/>
        <v>7.0063694267515925E-3</v>
      </c>
      <c r="AC1096" s="194">
        <f t="shared" si="685"/>
        <v>5.3600000000000002E-4</v>
      </c>
      <c r="AD1096" s="189"/>
      <c r="AE1096" s="195" t="s">
        <v>403</v>
      </c>
      <c r="AF1096" s="119"/>
    </row>
    <row r="1097" spans="1:32" ht="12" hidden="1" customHeight="1">
      <c r="A1097" s="183">
        <v>44491</v>
      </c>
      <c r="B1097" s="184" t="s">
        <v>479</v>
      </c>
      <c r="C1097" s="184"/>
      <c r="D1097" s="184"/>
      <c r="E1097" s="184"/>
      <c r="F1097" s="184"/>
      <c r="G1097" s="184"/>
      <c r="H1097" s="184" t="s">
        <v>654</v>
      </c>
      <c r="I1097" s="184" t="s">
        <v>469</v>
      </c>
      <c r="J1097" s="184" t="s">
        <v>471</v>
      </c>
      <c r="K1097" s="185">
        <v>15</v>
      </c>
      <c r="L1097" s="186">
        <v>202.94</v>
      </c>
      <c r="M1097" s="187">
        <v>205</v>
      </c>
      <c r="N1097" s="188">
        <f>IF(L1097*K1097*L$1803&lt;20,ROUND(L1097*K1097*L$1803,2),20)+1.35</f>
        <v>2.2600000000000002</v>
      </c>
      <c r="O1097" s="188">
        <f>IF(M1097*K1097*L$1803&lt;20,ROUND(M1097*K1097*L$1803,2),20)+1.35</f>
        <v>2.27</v>
      </c>
      <c r="P1097" s="189">
        <f t="shared" si="674"/>
        <v>6119.1</v>
      </c>
      <c r="Q1097" s="189">
        <f t="shared" si="675"/>
        <v>30.900000000000034</v>
      </c>
      <c r="R1097" s="189">
        <f t="shared" si="779"/>
        <v>4.53</v>
      </c>
      <c r="S1097" s="189">
        <f t="shared" si="697"/>
        <v>0.85</v>
      </c>
      <c r="T1097" s="189">
        <f t="shared" si="730"/>
        <v>0.77</v>
      </c>
      <c r="U1097" s="189">
        <f t="shared" si="731"/>
        <v>0.09</v>
      </c>
      <c r="V1097" s="189">
        <f t="shared" si="780"/>
        <v>0.21</v>
      </c>
      <c r="W1097" s="189">
        <f t="shared" si="758"/>
        <v>0.01</v>
      </c>
      <c r="X1097" s="189">
        <f t="shared" si="681"/>
        <v>6.46</v>
      </c>
      <c r="Y1097" s="190">
        <f t="shared" si="682"/>
        <v>24.44</v>
      </c>
      <c r="Z1097" s="191"/>
      <c r="AA1097" s="192"/>
      <c r="AB1097" s="193">
        <f t="shared" si="684"/>
        <v>1.015078348280281E-2</v>
      </c>
      <c r="AC1097" s="194">
        <f t="shared" si="685"/>
        <v>1.0560000000000001E-3</v>
      </c>
      <c r="AD1097" s="189"/>
      <c r="AE1097" s="195" t="s">
        <v>403</v>
      </c>
      <c r="AF1097" s="119"/>
    </row>
    <row r="1098" spans="1:32" ht="12" hidden="1" customHeight="1">
      <c r="A1098" s="183">
        <v>44494</v>
      </c>
      <c r="B1098" s="184" t="s">
        <v>575</v>
      </c>
      <c r="C1098" s="184"/>
      <c r="D1098" s="184"/>
      <c r="E1098" s="184"/>
      <c r="F1098" s="184"/>
      <c r="G1098" s="184"/>
      <c r="H1098" s="184" t="s">
        <v>654</v>
      </c>
      <c r="I1098" s="184" t="s">
        <v>469</v>
      </c>
      <c r="J1098" s="184" t="s">
        <v>448</v>
      </c>
      <c r="K1098" s="185">
        <v>174</v>
      </c>
      <c r="L1098" s="186">
        <v>949.85630000000003</v>
      </c>
      <c r="M1098" s="187">
        <v>953.73559999999998</v>
      </c>
      <c r="N1098" s="188">
        <f t="shared" ref="N1098:N1123" si="781">IF(L1098*K1098*L$1803&lt;20,ROUND(L1098*K1098*L$1803,2),20)</f>
        <v>20</v>
      </c>
      <c r="O1098" s="188">
        <f t="shared" ref="O1098:O1123" si="782">IF(M1098*K1098*L$1803&lt;20,ROUND(M1098*K1098*L$1803,2),20)</f>
        <v>20</v>
      </c>
      <c r="P1098" s="189">
        <f t="shared" si="674"/>
        <v>331224.99</v>
      </c>
      <c r="Q1098" s="189">
        <f t="shared" si="675"/>
        <v>674.99819999999022</v>
      </c>
      <c r="R1098" s="189">
        <v>80</v>
      </c>
      <c r="S1098" s="189">
        <f t="shared" si="697"/>
        <v>16.04</v>
      </c>
      <c r="T1098" s="189">
        <f t="shared" si="730"/>
        <v>41.49</v>
      </c>
      <c r="U1098" s="189">
        <f t="shared" si="731"/>
        <v>4.96</v>
      </c>
      <c r="V1098" s="189">
        <f>ROUND(P1098*L$1809,2)</f>
        <v>9.11</v>
      </c>
      <c r="W1098" s="189">
        <f t="shared" si="758"/>
        <v>0.33</v>
      </c>
      <c r="X1098" s="189">
        <f t="shared" si="681"/>
        <v>151.93000000000004</v>
      </c>
      <c r="Y1098" s="190">
        <f t="shared" si="682"/>
        <v>523.07000000000005</v>
      </c>
      <c r="Z1098" s="191">
        <v>523.52</v>
      </c>
      <c r="AA1098" s="192">
        <f>Z1098-Y1098</f>
        <v>0.44999999999993179</v>
      </c>
      <c r="AB1098" s="193">
        <f t="shared" si="684"/>
        <v>4.0840914567813504E-3</v>
      </c>
      <c r="AC1098" s="194">
        <f t="shared" si="685"/>
        <v>4.5899999999999999E-4</v>
      </c>
      <c r="AD1098" s="189"/>
      <c r="AE1098" s="195" t="s">
        <v>403</v>
      </c>
      <c r="AF1098" s="119"/>
    </row>
    <row r="1099" spans="1:32" ht="12" hidden="1" customHeight="1">
      <c r="A1099" s="183">
        <v>44495</v>
      </c>
      <c r="B1099" s="184" t="s">
        <v>484</v>
      </c>
      <c r="C1099" s="184"/>
      <c r="D1099" s="184"/>
      <c r="E1099" s="184"/>
      <c r="F1099" s="184"/>
      <c r="G1099" s="184"/>
      <c r="H1099" s="184" t="s">
        <v>654</v>
      </c>
      <c r="I1099" s="184" t="s">
        <v>469</v>
      </c>
      <c r="J1099" s="184" t="s">
        <v>471</v>
      </c>
      <c r="K1099" s="185">
        <v>2</v>
      </c>
      <c r="L1099" s="186">
        <v>7800</v>
      </c>
      <c r="M1099" s="187">
        <v>7864.9</v>
      </c>
      <c r="N1099" s="188">
        <f t="shared" si="781"/>
        <v>4.68</v>
      </c>
      <c r="O1099" s="188">
        <f t="shared" si="782"/>
        <v>4.72</v>
      </c>
      <c r="P1099" s="189">
        <f t="shared" si="674"/>
        <v>31329.8</v>
      </c>
      <c r="Q1099" s="189">
        <f t="shared" si="675"/>
        <v>129.79999999999927</v>
      </c>
      <c r="R1099" s="189">
        <f t="shared" ref="R1099:R1119" si="783">ROUND(N1099+O1099,2)</f>
        <v>9.4</v>
      </c>
      <c r="S1099" s="189">
        <f t="shared" si="697"/>
        <v>1.89</v>
      </c>
      <c r="T1099" s="189">
        <f t="shared" si="730"/>
        <v>3.93</v>
      </c>
      <c r="U1099" s="189">
        <f t="shared" si="731"/>
        <v>0.47</v>
      </c>
      <c r="V1099" s="189">
        <f>ROUND(P1099*M$1809,2)</f>
        <v>1.08</v>
      </c>
      <c r="W1099" s="189">
        <f t="shared" si="758"/>
        <v>0.03</v>
      </c>
      <c r="X1099" s="189">
        <f t="shared" si="681"/>
        <v>16.800000000000004</v>
      </c>
      <c r="Y1099" s="190">
        <f t="shared" si="682"/>
        <v>113</v>
      </c>
      <c r="Z1099" s="191">
        <v>516.21</v>
      </c>
      <c r="AA1099" s="192">
        <f>Z1099-Y1100-Y1099-Y1101</f>
        <v>-0.14999999999997726</v>
      </c>
      <c r="AB1099" s="193">
        <f t="shared" si="684"/>
        <v>8.3205128205127744E-3</v>
      </c>
      <c r="AC1099" s="194">
        <f t="shared" si="685"/>
        <v>5.3600000000000002E-4</v>
      </c>
      <c r="AD1099" s="189"/>
      <c r="AE1099" s="195" t="s">
        <v>403</v>
      </c>
      <c r="AF1099" s="119"/>
    </row>
    <row r="1100" spans="1:32" ht="12" hidden="1" customHeight="1">
      <c r="A1100" s="183">
        <v>44495</v>
      </c>
      <c r="B1100" s="184" t="s">
        <v>561</v>
      </c>
      <c r="C1100" s="184"/>
      <c r="D1100" s="184"/>
      <c r="E1100" s="184"/>
      <c r="F1100" s="184"/>
      <c r="G1100" s="184"/>
      <c r="H1100" s="184" t="s">
        <v>654</v>
      </c>
      <c r="I1100" s="184" t="s">
        <v>469</v>
      </c>
      <c r="J1100" s="184" t="s">
        <v>471</v>
      </c>
      <c r="K1100" s="185">
        <v>20</v>
      </c>
      <c r="L1100" s="186">
        <v>439</v>
      </c>
      <c r="M1100" s="187">
        <v>455</v>
      </c>
      <c r="N1100" s="188">
        <f t="shared" si="781"/>
        <v>2.63</v>
      </c>
      <c r="O1100" s="188">
        <f t="shared" si="782"/>
        <v>2.73</v>
      </c>
      <c r="P1100" s="189">
        <f t="shared" si="674"/>
        <v>17880</v>
      </c>
      <c r="Q1100" s="189">
        <f t="shared" si="675"/>
        <v>320</v>
      </c>
      <c r="R1100" s="189">
        <f t="shared" si="783"/>
        <v>5.36</v>
      </c>
      <c r="S1100" s="189">
        <f t="shared" si="697"/>
        <v>1.05</v>
      </c>
      <c r="T1100" s="189">
        <f t="shared" si="730"/>
        <v>2.2799999999999998</v>
      </c>
      <c r="U1100" s="189">
        <f t="shared" si="731"/>
        <v>0.26</v>
      </c>
      <c r="V1100" s="189">
        <f t="shared" ref="V1100:V1101" si="784">ROUND(P1100*L$1809,2)</f>
        <v>0.49</v>
      </c>
      <c r="W1100" s="189">
        <f t="shared" si="758"/>
        <v>0.02</v>
      </c>
      <c r="X1100" s="189">
        <f t="shared" si="681"/>
        <v>9.4599999999999991</v>
      </c>
      <c r="Y1100" s="190">
        <f t="shared" si="682"/>
        <v>310.54000000000002</v>
      </c>
      <c r="Z1100" s="191"/>
      <c r="AA1100" s="192"/>
      <c r="AB1100" s="193">
        <f t="shared" si="684"/>
        <v>3.644646924829157E-2</v>
      </c>
      <c r="AC1100" s="194">
        <f t="shared" si="685"/>
        <v>5.2899999999999996E-4</v>
      </c>
      <c r="AD1100" s="189"/>
      <c r="AE1100" s="195" t="s">
        <v>403</v>
      </c>
      <c r="AF1100" s="119"/>
    </row>
    <row r="1101" spans="1:32" ht="12" hidden="1" customHeight="1">
      <c r="A1101" s="183">
        <v>44495</v>
      </c>
      <c r="B1101" s="184" t="s">
        <v>572</v>
      </c>
      <c r="C1101" s="184"/>
      <c r="D1101" s="184"/>
      <c r="E1101" s="184"/>
      <c r="F1101" s="184"/>
      <c r="G1101" s="184"/>
      <c r="H1101" s="184" t="s">
        <v>654</v>
      </c>
      <c r="I1101" s="184" t="s">
        <v>469</v>
      </c>
      <c r="J1101" s="184" t="s">
        <v>471</v>
      </c>
      <c r="K1101" s="185">
        <v>50</v>
      </c>
      <c r="L1101" s="186">
        <v>135</v>
      </c>
      <c r="M1101" s="187">
        <v>137</v>
      </c>
      <c r="N1101" s="188">
        <f t="shared" si="781"/>
        <v>2.0299999999999998</v>
      </c>
      <c r="O1101" s="188">
        <f t="shared" si="782"/>
        <v>2.06</v>
      </c>
      <c r="P1101" s="189">
        <f t="shared" si="674"/>
        <v>13600</v>
      </c>
      <c r="Q1101" s="189">
        <f t="shared" si="675"/>
        <v>100</v>
      </c>
      <c r="R1101" s="189">
        <f t="shared" si="783"/>
        <v>4.09</v>
      </c>
      <c r="S1101" s="189">
        <f t="shared" si="697"/>
        <v>0.8</v>
      </c>
      <c r="T1101" s="189">
        <f t="shared" si="730"/>
        <v>1.71</v>
      </c>
      <c r="U1101" s="189">
        <f t="shared" si="731"/>
        <v>0.2</v>
      </c>
      <c r="V1101" s="189">
        <f t="shared" si="784"/>
        <v>0.37</v>
      </c>
      <c r="W1101" s="189">
        <f t="shared" si="758"/>
        <v>0.01</v>
      </c>
      <c r="X1101" s="189">
        <f t="shared" si="681"/>
        <v>7.18</v>
      </c>
      <c r="Y1101" s="190">
        <f t="shared" si="682"/>
        <v>92.82</v>
      </c>
      <c r="Z1101" s="191"/>
      <c r="AA1101" s="192"/>
      <c r="AB1101" s="193">
        <f t="shared" si="684"/>
        <v>1.4814814814814815E-2</v>
      </c>
      <c r="AC1101" s="194">
        <f t="shared" si="685"/>
        <v>5.2800000000000004E-4</v>
      </c>
      <c r="AD1101" s="189"/>
      <c r="AE1101" s="195" t="s">
        <v>403</v>
      </c>
      <c r="AF1101" s="119"/>
    </row>
    <row r="1102" spans="1:32" ht="12" hidden="1" customHeight="1">
      <c r="A1102" s="183">
        <v>44495</v>
      </c>
      <c r="B1102" s="184" t="s">
        <v>575</v>
      </c>
      <c r="C1102" s="184"/>
      <c r="D1102" s="184"/>
      <c r="E1102" s="184"/>
      <c r="F1102" s="184"/>
      <c r="G1102" s="184"/>
      <c r="H1102" s="184" t="s">
        <v>654</v>
      </c>
      <c r="I1102" s="184" t="s">
        <v>469</v>
      </c>
      <c r="J1102" s="184" t="s">
        <v>448</v>
      </c>
      <c r="K1102" s="185">
        <v>100</v>
      </c>
      <c r="L1102" s="186">
        <v>985</v>
      </c>
      <c r="M1102" s="187">
        <v>990</v>
      </c>
      <c r="N1102" s="188">
        <f t="shared" si="781"/>
        <v>20</v>
      </c>
      <c r="O1102" s="188">
        <f t="shared" si="782"/>
        <v>20</v>
      </c>
      <c r="P1102" s="189">
        <f t="shared" si="674"/>
        <v>197500</v>
      </c>
      <c r="Q1102" s="189">
        <f t="shared" si="675"/>
        <v>500</v>
      </c>
      <c r="R1102" s="189">
        <f t="shared" si="783"/>
        <v>40</v>
      </c>
      <c r="S1102" s="189">
        <f t="shared" si="697"/>
        <v>8.43</v>
      </c>
      <c r="T1102" s="189">
        <f t="shared" si="730"/>
        <v>24.75</v>
      </c>
      <c r="U1102" s="189">
        <f t="shared" si="731"/>
        <v>2.96</v>
      </c>
      <c r="V1102" s="189">
        <f t="shared" ref="V1102:V1104" si="785">ROUND(P1102*M$1809,2)</f>
        <v>6.81</v>
      </c>
      <c r="W1102" s="189">
        <f t="shared" si="758"/>
        <v>0.2</v>
      </c>
      <c r="X1102" s="189">
        <f t="shared" si="681"/>
        <v>83.15</v>
      </c>
      <c r="Y1102" s="190">
        <f t="shared" si="682"/>
        <v>416.85</v>
      </c>
      <c r="Z1102" s="191">
        <v>416.49</v>
      </c>
      <c r="AA1102" s="192">
        <f>Z1102-Y1102</f>
        <v>-0.36000000000001364</v>
      </c>
      <c r="AB1102" s="193">
        <f t="shared" si="684"/>
        <v>5.076142131979695E-3</v>
      </c>
      <c r="AC1102" s="194">
        <f t="shared" si="685"/>
        <v>4.2099999999999999E-4</v>
      </c>
      <c r="AD1102" s="189"/>
      <c r="AE1102" s="195" t="s">
        <v>403</v>
      </c>
      <c r="AF1102" s="119"/>
    </row>
    <row r="1103" spans="1:32" ht="12" hidden="1" customHeight="1">
      <c r="A1103" s="183">
        <v>44496</v>
      </c>
      <c r="B1103" s="184" t="s">
        <v>572</v>
      </c>
      <c r="C1103" s="184"/>
      <c r="D1103" s="184"/>
      <c r="E1103" s="184"/>
      <c r="F1103" s="184"/>
      <c r="G1103" s="184"/>
      <c r="H1103" s="184" t="s">
        <v>654</v>
      </c>
      <c r="I1103" s="184" t="s">
        <v>469</v>
      </c>
      <c r="J1103" s="184" t="s">
        <v>471</v>
      </c>
      <c r="K1103" s="185">
        <v>50</v>
      </c>
      <c r="L1103" s="186">
        <v>134</v>
      </c>
      <c r="M1103" s="187">
        <v>137.9</v>
      </c>
      <c r="N1103" s="188">
        <f t="shared" si="781"/>
        <v>2.0099999999999998</v>
      </c>
      <c r="O1103" s="188">
        <f t="shared" si="782"/>
        <v>2.0699999999999998</v>
      </c>
      <c r="P1103" s="189">
        <f t="shared" si="674"/>
        <v>13595</v>
      </c>
      <c r="Q1103" s="189">
        <f t="shared" si="675"/>
        <v>195.00000000000028</v>
      </c>
      <c r="R1103" s="189">
        <f t="shared" si="783"/>
        <v>4.08</v>
      </c>
      <c r="S1103" s="189">
        <f t="shared" si="697"/>
        <v>0.82</v>
      </c>
      <c r="T1103" s="189">
        <f t="shared" si="730"/>
        <v>1.72</v>
      </c>
      <c r="U1103" s="189">
        <f t="shared" si="731"/>
        <v>0.2</v>
      </c>
      <c r="V1103" s="189">
        <f t="shared" si="785"/>
        <v>0.47</v>
      </c>
      <c r="W1103" s="189">
        <f t="shared" si="758"/>
        <v>0.01</v>
      </c>
      <c r="X1103" s="189">
        <f t="shared" si="681"/>
        <v>7.3</v>
      </c>
      <c r="Y1103" s="190">
        <f t="shared" si="682"/>
        <v>187.7</v>
      </c>
      <c r="Z1103" s="191">
        <v>310.35000000000002</v>
      </c>
      <c r="AA1103" s="192">
        <f>Z1103-Y1104-Y1103</f>
        <v>5.000000000003979E-2</v>
      </c>
      <c r="AB1103" s="193">
        <f t="shared" si="684"/>
        <v>2.9104477611940342E-2</v>
      </c>
      <c r="AC1103" s="194">
        <f t="shared" si="685"/>
        <v>5.3700000000000004E-4</v>
      </c>
      <c r="AD1103" s="189"/>
      <c r="AE1103" s="195" t="s">
        <v>403</v>
      </c>
      <c r="AF1103" s="119"/>
    </row>
    <row r="1104" spans="1:32" ht="12" hidden="1" customHeight="1">
      <c r="A1104" s="183">
        <v>44496</v>
      </c>
      <c r="B1104" s="184" t="s">
        <v>570</v>
      </c>
      <c r="C1104" s="184"/>
      <c r="D1104" s="184"/>
      <c r="E1104" s="184"/>
      <c r="F1104" s="184"/>
      <c r="G1104" s="184"/>
      <c r="H1104" s="184" t="s">
        <v>654</v>
      </c>
      <c r="I1104" s="184" t="s">
        <v>469</v>
      </c>
      <c r="J1104" s="184" t="s">
        <v>471</v>
      </c>
      <c r="K1104" s="185">
        <v>100</v>
      </c>
      <c r="L1104" s="186">
        <v>161.6</v>
      </c>
      <c r="M1104" s="187">
        <v>163</v>
      </c>
      <c r="N1104" s="188">
        <f t="shared" si="781"/>
        <v>4.8499999999999996</v>
      </c>
      <c r="O1104" s="188">
        <f t="shared" si="782"/>
        <v>4.8899999999999997</v>
      </c>
      <c r="P1104" s="189">
        <f t="shared" si="674"/>
        <v>32460</v>
      </c>
      <c r="Q1104" s="189">
        <f t="shared" si="675"/>
        <v>140.00000000000057</v>
      </c>
      <c r="R1104" s="189">
        <f t="shared" si="783"/>
        <v>9.74</v>
      </c>
      <c r="S1104" s="189">
        <f t="shared" si="697"/>
        <v>1.95</v>
      </c>
      <c r="T1104" s="189">
        <f t="shared" si="730"/>
        <v>4.08</v>
      </c>
      <c r="U1104" s="189">
        <f t="shared" si="731"/>
        <v>0.48</v>
      </c>
      <c r="V1104" s="189">
        <f t="shared" si="785"/>
        <v>1.1200000000000001</v>
      </c>
      <c r="W1104" s="189">
        <f t="shared" si="758"/>
        <v>0.03</v>
      </c>
      <c r="X1104" s="189">
        <f t="shared" si="681"/>
        <v>17.400000000000002</v>
      </c>
      <c r="Y1104" s="190">
        <f t="shared" si="682"/>
        <v>122.6</v>
      </c>
      <c r="Z1104" s="191"/>
      <c r="AA1104" s="192"/>
      <c r="AB1104" s="193">
        <f t="shared" si="684"/>
        <v>8.6633663366336988E-3</v>
      </c>
      <c r="AC1104" s="194">
        <f t="shared" si="685"/>
        <v>5.3600000000000002E-4</v>
      </c>
      <c r="AD1104" s="189"/>
      <c r="AE1104" s="195" t="s">
        <v>403</v>
      </c>
      <c r="AF1104" s="119"/>
    </row>
    <row r="1105" spans="1:32" ht="12" hidden="1" customHeight="1">
      <c r="A1105" s="183">
        <v>44502</v>
      </c>
      <c r="B1105" s="184" t="s">
        <v>575</v>
      </c>
      <c r="C1105" s="184"/>
      <c r="D1105" s="184"/>
      <c r="E1105" s="184"/>
      <c r="F1105" s="184"/>
      <c r="G1105" s="184"/>
      <c r="H1105" s="184" t="s">
        <v>654</v>
      </c>
      <c r="I1105" s="184" t="s">
        <v>469</v>
      </c>
      <c r="J1105" s="184" t="s">
        <v>448</v>
      </c>
      <c r="K1105" s="185">
        <v>100</v>
      </c>
      <c r="L1105" s="186">
        <v>992</v>
      </c>
      <c r="M1105" s="187">
        <v>1002</v>
      </c>
      <c r="N1105" s="188">
        <f t="shared" si="781"/>
        <v>20</v>
      </c>
      <c r="O1105" s="188">
        <f t="shared" si="782"/>
        <v>20</v>
      </c>
      <c r="P1105" s="189">
        <f t="shared" si="674"/>
        <v>199400</v>
      </c>
      <c r="Q1105" s="189">
        <f t="shared" si="675"/>
        <v>1000</v>
      </c>
      <c r="R1105" s="189">
        <f t="shared" si="783"/>
        <v>40</v>
      </c>
      <c r="S1105" s="189">
        <f t="shared" si="697"/>
        <v>8.19</v>
      </c>
      <c r="T1105" s="189">
        <f t="shared" si="730"/>
        <v>25.05</v>
      </c>
      <c r="U1105" s="189">
        <f t="shared" si="731"/>
        <v>2.98</v>
      </c>
      <c r="V1105" s="189">
        <f t="shared" ref="V1105:V1106" si="786">ROUND(P1105*L$1809,2)</f>
        <v>5.48</v>
      </c>
      <c r="W1105" s="189">
        <f t="shared" si="758"/>
        <v>0.2</v>
      </c>
      <c r="X1105" s="189">
        <f t="shared" si="681"/>
        <v>81.900000000000006</v>
      </c>
      <c r="Y1105" s="190">
        <f t="shared" si="682"/>
        <v>918.1</v>
      </c>
      <c r="Z1105" s="191">
        <v>918.13</v>
      </c>
      <c r="AA1105" s="192">
        <f t="shared" ref="AA1105:AA1106" si="787">Z1105-Y1105</f>
        <v>2.9999999999972715E-2</v>
      </c>
      <c r="AB1105" s="193">
        <f t="shared" si="684"/>
        <v>1.0080645161290322E-2</v>
      </c>
      <c r="AC1105" s="194">
        <f t="shared" si="685"/>
        <v>4.1100000000000002E-4</v>
      </c>
      <c r="AD1105" s="189"/>
      <c r="AE1105" s="195" t="s">
        <v>403</v>
      </c>
      <c r="AF1105" s="119"/>
    </row>
    <row r="1106" spans="1:32" ht="12" hidden="1" customHeight="1">
      <c r="A1106" s="183">
        <v>44509</v>
      </c>
      <c r="B1106" s="184" t="s">
        <v>562</v>
      </c>
      <c r="C1106" s="184"/>
      <c r="D1106" s="184"/>
      <c r="E1106" s="184"/>
      <c r="F1106" s="184"/>
      <c r="G1106" s="184"/>
      <c r="H1106" s="184" t="s">
        <v>654</v>
      </c>
      <c r="I1106" s="184" t="s">
        <v>469</v>
      </c>
      <c r="J1106" s="184" t="s">
        <v>471</v>
      </c>
      <c r="K1106" s="185">
        <v>5</v>
      </c>
      <c r="L1106" s="186">
        <v>1451</v>
      </c>
      <c r="M1106" s="187">
        <v>1465</v>
      </c>
      <c r="N1106" s="188">
        <f t="shared" si="781"/>
        <v>2.1800000000000002</v>
      </c>
      <c r="O1106" s="188">
        <f t="shared" si="782"/>
        <v>2.2000000000000002</v>
      </c>
      <c r="P1106" s="189">
        <f t="shared" si="674"/>
        <v>14580</v>
      </c>
      <c r="Q1106" s="189">
        <f t="shared" si="675"/>
        <v>70</v>
      </c>
      <c r="R1106" s="189">
        <f t="shared" si="783"/>
        <v>4.38</v>
      </c>
      <c r="S1106" s="189">
        <f t="shared" si="697"/>
        <v>0.86</v>
      </c>
      <c r="T1106" s="189">
        <f t="shared" si="730"/>
        <v>1.83</v>
      </c>
      <c r="U1106" s="189">
        <f t="shared" si="731"/>
        <v>0.22</v>
      </c>
      <c r="V1106" s="189">
        <f t="shared" si="786"/>
        <v>0.4</v>
      </c>
      <c r="W1106" s="189">
        <f t="shared" si="758"/>
        <v>0.01</v>
      </c>
      <c r="X1106" s="189">
        <f t="shared" si="681"/>
        <v>7.7</v>
      </c>
      <c r="Y1106" s="190">
        <f t="shared" si="682"/>
        <v>62.3</v>
      </c>
      <c r="Z1106" s="191">
        <v>61.89</v>
      </c>
      <c r="AA1106" s="192">
        <f t="shared" si="787"/>
        <v>-0.40999999999999659</v>
      </c>
      <c r="AB1106" s="193">
        <f t="shared" si="684"/>
        <v>9.6485182632667123E-3</v>
      </c>
      <c r="AC1106" s="194">
        <f t="shared" si="685"/>
        <v>5.2800000000000004E-4</v>
      </c>
      <c r="AD1106" s="189"/>
      <c r="AE1106" s="195" t="s">
        <v>403</v>
      </c>
      <c r="AF1106" s="119"/>
    </row>
    <row r="1107" spans="1:32" ht="12" hidden="1" customHeight="1">
      <c r="A1107" s="183">
        <v>44510</v>
      </c>
      <c r="B1107" s="184" t="s">
        <v>484</v>
      </c>
      <c r="C1107" s="184"/>
      <c r="D1107" s="184"/>
      <c r="E1107" s="184"/>
      <c r="F1107" s="184"/>
      <c r="G1107" s="184"/>
      <c r="H1107" s="184" t="s">
        <v>654</v>
      </c>
      <c r="I1107" s="184" t="s">
        <v>469</v>
      </c>
      <c r="J1107" s="184" t="s">
        <v>471</v>
      </c>
      <c r="K1107" s="185">
        <v>2</v>
      </c>
      <c r="L1107" s="186">
        <v>7550</v>
      </c>
      <c r="M1107" s="187">
        <v>7600</v>
      </c>
      <c r="N1107" s="188">
        <f t="shared" si="781"/>
        <v>4.53</v>
      </c>
      <c r="O1107" s="188">
        <f t="shared" si="782"/>
        <v>4.5599999999999996</v>
      </c>
      <c r="P1107" s="189">
        <f t="shared" si="674"/>
        <v>30300</v>
      </c>
      <c r="Q1107" s="189">
        <f t="shared" si="675"/>
        <v>100</v>
      </c>
      <c r="R1107" s="189">
        <f t="shared" si="783"/>
        <v>9.09</v>
      </c>
      <c r="S1107" s="189">
        <f t="shared" si="697"/>
        <v>1.83</v>
      </c>
      <c r="T1107" s="189">
        <f t="shared" si="730"/>
        <v>3.8</v>
      </c>
      <c r="U1107" s="189">
        <f t="shared" si="731"/>
        <v>0.45</v>
      </c>
      <c r="V1107" s="189">
        <f>ROUND(P1107*M$1809,2)</f>
        <v>1.05</v>
      </c>
      <c r="W1107" s="189">
        <f t="shared" si="758"/>
        <v>0.03</v>
      </c>
      <c r="X1107" s="189">
        <f t="shared" si="681"/>
        <v>16.25</v>
      </c>
      <c r="Y1107" s="190">
        <f t="shared" si="682"/>
        <v>83.75</v>
      </c>
      <c r="Z1107" s="191">
        <v>148.49</v>
      </c>
      <c r="AA1107" s="192">
        <f>Z1107-Y1108-Y1107</f>
        <v>1</v>
      </c>
      <c r="AB1107" s="193">
        <f t="shared" si="684"/>
        <v>6.6225165562913907E-3</v>
      </c>
      <c r="AC1107" s="194">
        <f t="shared" si="685"/>
        <v>5.3600000000000002E-4</v>
      </c>
      <c r="AD1107" s="189"/>
      <c r="AE1107" s="195" t="s">
        <v>403</v>
      </c>
      <c r="AF1107" s="119"/>
    </row>
    <row r="1108" spans="1:32" ht="12" hidden="1" customHeight="1">
      <c r="A1108" s="183">
        <v>44510</v>
      </c>
      <c r="B1108" s="184" t="s">
        <v>577</v>
      </c>
      <c r="C1108" s="184"/>
      <c r="D1108" s="184"/>
      <c r="E1108" s="184"/>
      <c r="F1108" s="184"/>
      <c r="G1108" s="184"/>
      <c r="H1108" s="184" t="s">
        <v>654</v>
      </c>
      <c r="I1108" s="184" t="s">
        <v>469</v>
      </c>
      <c r="J1108" s="184" t="s">
        <v>471</v>
      </c>
      <c r="K1108" s="185">
        <v>90</v>
      </c>
      <c r="L1108" s="186">
        <v>276</v>
      </c>
      <c r="M1108" s="187">
        <v>277</v>
      </c>
      <c r="N1108" s="188">
        <f t="shared" si="781"/>
        <v>7.45</v>
      </c>
      <c r="O1108" s="188">
        <f t="shared" si="782"/>
        <v>7.48</v>
      </c>
      <c r="P1108" s="189">
        <f t="shared" si="674"/>
        <v>49770</v>
      </c>
      <c r="Q1108" s="189">
        <f t="shared" si="675"/>
        <v>90</v>
      </c>
      <c r="R1108" s="189">
        <f t="shared" si="783"/>
        <v>14.93</v>
      </c>
      <c r="S1108" s="189">
        <f t="shared" si="697"/>
        <v>2.93</v>
      </c>
      <c r="T1108" s="189">
        <f t="shared" si="730"/>
        <v>6.23</v>
      </c>
      <c r="U1108" s="189">
        <f t="shared" si="731"/>
        <v>0.75</v>
      </c>
      <c r="V1108" s="189">
        <f t="shared" ref="V1108:V1109" si="788">ROUND(P1108*L$1809,2)</f>
        <v>1.37</v>
      </c>
      <c r="W1108" s="189">
        <f t="shared" si="758"/>
        <v>0.05</v>
      </c>
      <c r="X1108" s="189">
        <f t="shared" si="681"/>
        <v>26.26</v>
      </c>
      <c r="Y1108" s="190">
        <f t="shared" si="682"/>
        <v>63.74</v>
      </c>
      <c r="Z1108" s="191"/>
      <c r="AA1108" s="192"/>
      <c r="AB1108" s="193">
        <f t="shared" si="684"/>
        <v>3.6231884057971015E-3</v>
      </c>
      <c r="AC1108" s="194">
        <f t="shared" si="685"/>
        <v>5.2800000000000004E-4</v>
      </c>
      <c r="AD1108" s="189"/>
      <c r="AE1108" s="195" t="s">
        <v>403</v>
      </c>
      <c r="AF1108" s="119"/>
    </row>
    <row r="1109" spans="1:32" ht="12" hidden="1" customHeight="1">
      <c r="A1109" s="183">
        <v>44511</v>
      </c>
      <c r="B1109" s="184" t="s">
        <v>562</v>
      </c>
      <c r="C1109" s="184"/>
      <c r="D1109" s="184"/>
      <c r="E1109" s="184"/>
      <c r="F1109" s="184"/>
      <c r="G1109" s="184"/>
      <c r="H1109" s="184" t="s">
        <v>654</v>
      </c>
      <c r="I1109" s="184" t="s">
        <v>469</v>
      </c>
      <c r="J1109" s="184" t="s">
        <v>471</v>
      </c>
      <c r="K1109" s="185">
        <v>20</v>
      </c>
      <c r="L1109" s="186">
        <v>1454</v>
      </c>
      <c r="M1109" s="187">
        <v>1465</v>
      </c>
      <c r="N1109" s="188">
        <f t="shared" si="781"/>
        <v>8.7200000000000006</v>
      </c>
      <c r="O1109" s="188">
        <f t="shared" si="782"/>
        <v>8.7899999999999991</v>
      </c>
      <c r="P1109" s="189">
        <f t="shared" si="674"/>
        <v>58380</v>
      </c>
      <c r="Q1109" s="189">
        <f t="shared" si="675"/>
        <v>220</v>
      </c>
      <c r="R1109" s="189">
        <f t="shared" si="783"/>
        <v>17.510000000000002</v>
      </c>
      <c r="S1109" s="189">
        <f t="shared" si="697"/>
        <v>3.44</v>
      </c>
      <c r="T1109" s="189">
        <f t="shared" si="730"/>
        <v>7.33</v>
      </c>
      <c r="U1109" s="189">
        <f t="shared" si="731"/>
        <v>0.87</v>
      </c>
      <c r="V1109" s="189">
        <f t="shared" si="788"/>
        <v>1.61</v>
      </c>
      <c r="W1109" s="189">
        <f t="shared" si="758"/>
        <v>0.06</v>
      </c>
      <c r="X1109" s="189">
        <f t="shared" si="681"/>
        <v>30.82</v>
      </c>
      <c r="Y1109" s="190">
        <f t="shared" si="682"/>
        <v>189.18</v>
      </c>
      <c r="Z1109" s="191">
        <v>188.3</v>
      </c>
      <c r="AA1109" s="192">
        <f t="shared" ref="AA1109:AA1112" si="789">Z1109-Y1109</f>
        <v>-0.87999999999999545</v>
      </c>
      <c r="AB1109" s="193">
        <f t="shared" si="684"/>
        <v>7.5653370013755161E-3</v>
      </c>
      <c r="AC1109" s="194">
        <f t="shared" si="685"/>
        <v>5.2800000000000004E-4</v>
      </c>
      <c r="AD1109" s="189"/>
      <c r="AE1109" s="195" t="s">
        <v>403</v>
      </c>
      <c r="AF1109" s="119"/>
    </row>
    <row r="1110" spans="1:32" ht="12" hidden="1" customHeight="1">
      <c r="A1110" s="183">
        <v>44512</v>
      </c>
      <c r="B1110" s="184" t="s">
        <v>575</v>
      </c>
      <c r="C1110" s="184"/>
      <c r="D1110" s="184"/>
      <c r="E1110" s="184"/>
      <c r="F1110" s="184"/>
      <c r="G1110" s="184"/>
      <c r="H1110" s="184" t="s">
        <v>654</v>
      </c>
      <c r="I1110" s="184" t="s">
        <v>469</v>
      </c>
      <c r="J1110" s="184" t="s">
        <v>448</v>
      </c>
      <c r="K1110" s="185">
        <v>12</v>
      </c>
      <c r="L1110" s="186">
        <v>1024</v>
      </c>
      <c r="M1110" s="187">
        <v>1048</v>
      </c>
      <c r="N1110" s="188">
        <f t="shared" si="781"/>
        <v>3.69</v>
      </c>
      <c r="O1110" s="188">
        <f t="shared" si="782"/>
        <v>3.77</v>
      </c>
      <c r="P1110" s="189">
        <f t="shared" si="674"/>
        <v>24864</v>
      </c>
      <c r="Q1110" s="189">
        <f t="shared" si="675"/>
        <v>288</v>
      </c>
      <c r="R1110" s="189">
        <f t="shared" si="783"/>
        <v>7.46</v>
      </c>
      <c r="S1110" s="189">
        <f t="shared" si="697"/>
        <v>1.5</v>
      </c>
      <c r="T1110" s="189">
        <f t="shared" si="730"/>
        <v>3.14</v>
      </c>
      <c r="U1110" s="189">
        <f t="shared" si="731"/>
        <v>0.37</v>
      </c>
      <c r="V1110" s="189">
        <f t="shared" ref="V1110:V1116" si="790">ROUND(P1110*M$1809,2)</f>
        <v>0.86</v>
      </c>
      <c r="W1110" s="189">
        <f t="shared" si="758"/>
        <v>0.02</v>
      </c>
      <c r="X1110" s="189">
        <f t="shared" si="681"/>
        <v>13.35</v>
      </c>
      <c r="Y1110" s="190">
        <f t="shared" si="682"/>
        <v>274.64999999999998</v>
      </c>
      <c r="Z1110" s="191">
        <v>273.36</v>
      </c>
      <c r="AA1110" s="192">
        <f t="shared" si="789"/>
        <v>-1.2899999999999636</v>
      </c>
      <c r="AB1110" s="193">
        <f t="shared" si="684"/>
        <v>2.34375E-2</v>
      </c>
      <c r="AC1110" s="194">
        <f t="shared" si="685"/>
        <v>5.3700000000000004E-4</v>
      </c>
      <c r="AD1110" s="189"/>
      <c r="AE1110" s="195" t="s">
        <v>403</v>
      </c>
      <c r="AF1110" s="119"/>
    </row>
    <row r="1111" spans="1:32" ht="12" hidden="1" customHeight="1">
      <c r="A1111" s="183">
        <v>44512</v>
      </c>
      <c r="B1111" s="184" t="s">
        <v>565</v>
      </c>
      <c r="C1111" s="184"/>
      <c r="D1111" s="184"/>
      <c r="E1111" s="184"/>
      <c r="F1111" s="184"/>
      <c r="G1111" s="184"/>
      <c r="H1111" s="184" t="s">
        <v>654</v>
      </c>
      <c r="I1111" s="184" t="s">
        <v>469</v>
      </c>
      <c r="J1111" s="184" t="s">
        <v>471</v>
      </c>
      <c r="K1111" s="185">
        <v>20</v>
      </c>
      <c r="L1111" s="186">
        <v>2295.1975000000002</v>
      </c>
      <c r="M1111" s="187">
        <v>2280.15</v>
      </c>
      <c r="N1111" s="188">
        <f t="shared" si="781"/>
        <v>13.77</v>
      </c>
      <c r="O1111" s="188">
        <f t="shared" si="782"/>
        <v>13.68</v>
      </c>
      <c r="P1111" s="189">
        <f t="shared" si="674"/>
        <v>91506.95</v>
      </c>
      <c r="Q1111" s="189">
        <f t="shared" si="675"/>
        <v>-300.95000000000255</v>
      </c>
      <c r="R1111" s="189">
        <f t="shared" si="783"/>
        <v>27.45</v>
      </c>
      <c r="S1111" s="189">
        <f t="shared" si="697"/>
        <v>5.51</v>
      </c>
      <c r="T1111" s="189">
        <f t="shared" si="730"/>
        <v>11.4</v>
      </c>
      <c r="U1111" s="189">
        <f t="shared" si="731"/>
        <v>1.38</v>
      </c>
      <c r="V1111" s="189">
        <f t="shared" si="790"/>
        <v>3.16</v>
      </c>
      <c r="W1111" s="189">
        <f t="shared" si="758"/>
        <v>0.09</v>
      </c>
      <c r="X1111" s="189">
        <f t="shared" si="681"/>
        <v>48.990000000000009</v>
      </c>
      <c r="Y1111" s="190">
        <f t="shared" si="682"/>
        <v>-349.94</v>
      </c>
      <c r="Z1111" s="191">
        <v>-349.79</v>
      </c>
      <c r="AA1111" s="192">
        <f t="shared" si="789"/>
        <v>0.14999999999997726</v>
      </c>
      <c r="AB1111" s="193">
        <f t="shared" si="684"/>
        <v>-6.5560806858669576E-3</v>
      </c>
      <c r="AC1111" s="194">
        <f t="shared" si="685"/>
        <v>5.3499999999999999E-4</v>
      </c>
      <c r="AD1111" s="189"/>
      <c r="AE1111" s="195" t="s">
        <v>403</v>
      </c>
      <c r="AF1111" s="119"/>
    </row>
    <row r="1112" spans="1:32" ht="12" hidden="1" customHeight="1">
      <c r="A1112" s="183">
        <v>44515</v>
      </c>
      <c r="B1112" s="184" t="s">
        <v>575</v>
      </c>
      <c r="C1112" s="184"/>
      <c r="D1112" s="184"/>
      <c r="E1112" s="184"/>
      <c r="F1112" s="184"/>
      <c r="G1112" s="184"/>
      <c r="H1112" s="184" t="s">
        <v>654</v>
      </c>
      <c r="I1112" s="184" t="s">
        <v>469</v>
      </c>
      <c r="J1112" s="184" t="s">
        <v>448</v>
      </c>
      <c r="K1112" s="185">
        <v>100</v>
      </c>
      <c r="L1112" s="186">
        <v>1010</v>
      </c>
      <c r="M1112" s="187">
        <v>1015.8765</v>
      </c>
      <c r="N1112" s="188">
        <f t="shared" si="781"/>
        <v>20</v>
      </c>
      <c r="O1112" s="188">
        <f t="shared" si="782"/>
        <v>20</v>
      </c>
      <c r="P1112" s="189">
        <f t="shared" si="674"/>
        <v>202587.65</v>
      </c>
      <c r="Q1112" s="189">
        <f t="shared" si="675"/>
        <v>587.64999999999645</v>
      </c>
      <c r="R1112" s="189">
        <f t="shared" si="783"/>
        <v>40</v>
      </c>
      <c r="S1112" s="189">
        <f t="shared" si="697"/>
        <v>8.4600000000000009</v>
      </c>
      <c r="T1112" s="189">
        <f t="shared" si="730"/>
        <v>25.4</v>
      </c>
      <c r="U1112" s="189">
        <f t="shared" si="731"/>
        <v>3.03</v>
      </c>
      <c r="V1112" s="189">
        <f t="shared" si="790"/>
        <v>6.99</v>
      </c>
      <c r="W1112" s="189">
        <f t="shared" si="758"/>
        <v>0.2</v>
      </c>
      <c r="X1112" s="189">
        <f t="shared" si="681"/>
        <v>84.08</v>
      </c>
      <c r="Y1112" s="190">
        <f t="shared" si="682"/>
        <v>503.57</v>
      </c>
      <c r="Z1112" s="191">
        <v>502.83</v>
      </c>
      <c r="AA1112" s="192">
        <f t="shared" si="789"/>
        <v>-0.74000000000000909</v>
      </c>
      <c r="AB1112" s="193">
        <f t="shared" si="684"/>
        <v>5.8183168316831334E-3</v>
      </c>
      <c r="AC1112" s="194">
        <f t="shared" si="685"/>
        <v>4.15E-4</v>
      </c>
      <c r="AD1112" s="189"/>
      <c r="AE1112" s="195" t="s">
        <v>403</v>
      </c>
      <c r="AF1112" s="119"/>
    </row>
    <row r="1113" spans="1:32" ht="12" hidden="1" customHeight="1">
      <c r="A1113" s="183">
        <v>44516</v>
      </c>
      <c r="B1113" s="184" t="s">
        <v>484</v>
      </c>
      <c r="C1113" s="184"/>
      <c r="D1113" s="184"/>
      <c r="E1113" s="184"/>
      <c r="F1113" s="184"/>
      <c r="G1113" s="184"/>
      <c r="H1113" s="184" t="s">
        <v>654</v>
      </c>
      <c r="I1113" s="184" t="s">
        <v>469</v>
      </c>
      <c r="J1113" s="184" t="s">
        <v>471</v>
      </c>
      <c r="K1113" s="185">
        <v>1</v>
      </c>
      <c r="L1113" s="186">
        <v>7575</v>
      </c>
      <c r="M1113" s="187">
        <v>7635</v>
      </c>
      <c r="N1113" s="188">
        <f t="shared" si="781"/>
        <v>2.27</v>
      </c>
      <c r="O1113" s="188">
        <f t="shared" si="782"/>
        <v>2.29</v>
      </c>
      <c r="P1113" s="189">
        <f t="shared" si="674"/>
        <v>15210</v>
      </c>
      <c r="Q1113" s="189">
        <f t="shared" si="675"/>
        <v>60</v>
      </c>
      <c r="R1113" s="189">
        <f t="shared" si="783"/>
        <v>4.5599999999999996</v>
      </c>
      <c r="S1113" s="189">
        <f t="shared" si="697"/>
        <v>0.91</v>
      </c>
      <c r="T1113" s="189">
        <f t="shared" si="730"/>
        <v>1.91</v>
      </c>
      <c r="U1113" s="189">
        <f t="shared" si="731"/>
        <v>0.23</v>
      </c>
      <c r="V1113" s="189">
        <f t="shared" si="790"/>
        <v>0.52</v>
      </c>
      <c r="W1113" s="189">
        <f t="shared" si="758"/>
        <v>0.02</v>
      </c>
      <c r="X1113" s="189">
        <f t="shared" si="681"/>
        <v>8.15</v>
      </c>
      <c r="Y1113" s="190">
        <f t="shared" si="682"/>
        <v>51.85</v>
      </c>
      <c r="Z1113" s="191">
        <v>150.61000000000001</v>
      </c>
      <c r="AA1113" s="192">
        <f>Z1113-Y1114-Y1113</f>
        <v>0</v>
      </c>
      <c r="AB1113" s="193">
        <f t="shared" si="684"/>
        <v>7.9207920792079209E-3</v>
      </c>
      <c r="AC1113" s="194">
        <f t="shared" si="685"/>
        <v>5.3600000000000002E-4</v>
      </c>
      <c r="AD1113" s="189"/>
      <c r="AE1113" s="195" t="s">
        <v>403</v>
      </c>
      <c r="AF1113" s="119"/>
    </row>
    <row r="1114" spans="1:32" ht="12" hidden="1" customHeight="1">
      <c r="A1114" s="183">
        <v>44516</v>
      </c>
      <c r="B1114" s="184" t="s">
        <v>576</v>
      </c>
      <c r="C1114" s="184"/>
      <c r="D1114" s="184"/>
      <c r="E1114" s="184"/>
      <c r="F1114" s="184"/>
      <c r="G1114" s="184"/>
      <c r="H1114" s="184" t="s">
        <v>654</v>
      </c>
      <c r="I1114" s="184" t="s">
        <v>469</v>
      </c>
      <c r="J1114" s="184" t="s">
        <v>471</v>
      </c>
      <c r="K1114" s="185">
        <v>60</v>
      </c>
      <c r="L1114" s="186">
        <v>236.1</v>
      </c>
      <c r="M1114" s="187">
        <v>238</v>
      </c>
      <c r="N1114" s="188">
        <f t="shared" si="781"/>
        <v>4.25</v>
      </c>
      <c r="O1114" s="188">
        <f t="shared" si="782"/>
        <v>4.28</v>
      </c>
      <c r="P1114" s="189">
        <f t="shared" si="674"/>
        <v>28446</v>
      </c>
      <c r="Q1114" s="189">
        <f t="shared" si="675"/>
        <v>114.00000000000034</v>
      </c>
      <c r="R1114" s="189">
        <f t="shared" si="783"/>
        <v>8.5299999999999994</v>
      </c>
      <c r="S1114" s="189">
        <f t="shared" si="697"/>
        <v>1.71</v>
      </c>
      <c r="T1114" s="189">
        <f t="shared" si="730"/>
        <v>3.57</v>
      </c>
      <c r="U1114" s="189">
        <f t="shared" si="731"/>
        <v>0.42</v>
      </c>
      <c r="V1114" s="189">
        <f t="shared" si="790"/>
        <v>0.98</v>
      </c>
      <c r="W1114" s="189">
        <f t="shared" si="758"/>
        <v>0.03</v>
      </c>
      <c r="X1114" s="189">
        <f t="shared" si="681"/>
        <v>15.239999999999998</v>
      </c>
      <c r="Y1114" s="190">
        <f t="shared" si="682"/>
        <v>98.76</v>
      </c>
      <c r="Z1114" s="191"/>
      <c r="AA1114" s="192"/>
      <c r="AB1114" s="193">
        <f t="shared" si="684"/>
        <v>8.0474375264718585E-3</v>
      </c>
      <c r="AC1114" s="194">
        <f t="shared" si="685"/>
        <v>5.3600000000000002E-4</v>
      </c>
      <c r="AD1114" s="189"/>
      <c r="AE1114" s="195" t="s">
        <v>403</v>
      </c>
      <c r="AF1114" s="119"/>
    </row>
    <row r="1115" spans="1:32" ht="12" hidden="1" customHeight="1">
      <c r="A1115" s="183">
        <v>44517</v>
      </c>
      <c r="B1115" s="184" t="s">
        <v>465</v>
      </c>
      <c r="C1115" s="184"/>
      <c r="D1115" s="184"/>
      <c r="E1115" s="184"/>
      <c r="F1115" s="184"/>
      <c r="G1115" s="184"/>
      <c r="H1115" s="184" t="s">
        <v>654</v>
      </c>
      <c r="I1115" s="184" t="s">
        <v>469</v>
      </c>
      <c r="J1115" s="184" t="s">
        <v>471</v>
      </c>
      <c r="K1115" s="185">
        <v>50</v>
      </c>
      <c r="L1115" s="186">
        <v>250</v>
      </c>
      <c r="M1115" s="187">
        <v>251</v>
      </c>
      <c r="N1115" s="188">
        <f t="shared" si="781"/>
        <v>3.75</v>
      </c>
      <c r="O1115" s="188">
        <f t="shared" si="782"/>
        <v>3.77</v>
      </c>
      <c r="P1115" s="189">
        <f t="shared" si="674"/>
        <v>25050</v>
      </c>
      <c r="Q1115" s="189">
        <f t="shared" si="675"/>
        <v>50</v>
      </c>
      <c r="R1115" s="189">
        <f t="shared" si="783"/>
        <v>7.52</v>
      </c>
      <c r="S1115" s="189">
        <f t="shared" si="697"/>
        <v>1.51</v>
      </c>
      <c r="T1115" s="189">
        <f t="shared" si="730"/>
        <v>3.14</v>
      </c>
      <c r="U1115" s="189">
        <f t="shared" si="731"/>
        <v>0.38</v>
      </c>
      <c r="V1115" s="189">
        <f t="shared" si="790"/>
        <v>0.86</v>
      </c>
      <c r="W1115" s="189">
        <f t="shared" si="758"/>
        <v>0.03</v>
      </c>
      <c r="X1115" s="189">
        <f t="shared" si="681"/>
        <v>13.44</v>
      </c>
      <c r="Y1115" s="190">
        <f t="shared" si="682"/>
        <v>36.56</v>
      </c>
      <c r="Z1115" s="191">
        <v>112.9</v>
      </c>
      <c r="AA1115" s="192">
        <f>Z1115-Y1115-Y1116-Y1117-Y1118</f>
        <v>0.48999999999999488</v>
      </c>
      <c r="AB1115" s="193">
        <f t="shared" si="684"/>
        <v>4.0000000000000001E-3</v>
      </c>
      <c r="AC1115" s="194">
        <f t="shared" si="685"/>
        <v>5.3700000000000004E-4</v>
      </c>
      <c r="AD1115" s="189"/>
      <c r="AE1115" s="195" t="s">
        <v>403</v>
      </c>
      <c r="AF1115" s="119"/>
    </row>
    <row r="1116" spans="1:32" ht="12" hidden="1" customHeight="1">
      <c r="A1116" s="183">
        <v>44517</v>
      </c>
      <c r="B1116" s="184" t="s">
        <v>484</v>
      </c>
      <c r="C1116" s="184"/>
      <c r="D1116" s="184"/>
      <c r="E1116" s="184"/>
      <c r="F1116" s="184"/>
      <c r="G1116" s="184"/>
      <c r="H1116" s="184" t="s">
        <v>654</v>
      </c>
      <c r="I1116" s="184" t="s">
        <v>469</v>
      </c>
      <c r="J1116" s="184" t="s">
        <v>471</v>
      </c>
      <c r="K1116" s="185">
        <v>3</v>
      </c>
      <c r="L1116" s="186">
        <v>7635</v>
      </c>
      <c r="M1116" s="187">
        <v>7670</v>
      </c>
      <c r="N1116" s="188">
        <f t="shared" si="781"/>
        <v>6.87</v>
      </c>
      <c r="O1116" s="188">
        <f t="shared" si="782"/>
        <v>6.9</v>
      </c>
      <c r="P1116" s="189">
        <f t="shared" si="674"/>
        <v>45915</v>
      </c>
      <c r="Q1116" s="189">
        <f t="shared" si="675"/>
        <v>105</v>
      </c>
      <c r="R1116" s="189">
        <f t="shared" si="783"/>
        <v>13.77</v>
      </c>
      <c r="S1116" s="189">
        <f t="shared" si="697"/>
        <v>2.76</v>
      </c>
      <c r="T1116" s="189">
        <f t="shared" si="730"/>
        <v>5.75</v>
      </c>
      <c r="U1116" s="189">
        <f t="shared" si="731"/>
        <v>0.69</v>
      </c>
      <c r="V1116" s="189">
        <f t="shared" si="790"/>
        <v>1.58</v>
      </c>
      <c r="W1116" s="189">
        <f t="shared" si="758"/>
        <v>0.05</v>
      </c>
      <c r="X1116" s="189">
        <f t="shared" si="681"/>
        <v>24.600000000000005</v>
      </c>
      <c r="Y1116" s="190">
        <f t="shared" si="682"/>
        <v>80.400000000000006</v>
      </c>
      <c r="Z1116" s="191"/>
      <c r="AA1116" s="192"/>
      <c r="AB1116" s="193">
        <f t="shared" si="684"/>
        <v>4.5841519318926003E-3</v>
      </c>
      <c r="AC1116" s="194">
        <f t="shared" si="685"/>
        <v>5.3600000000000002E-4</v>
      </c>
      <c r="AD1116" s="189"/>
      <c r="AE1116" s="195" t="s">
        <v>403</v>
      </c>
      <c r="AF1116" s="119"/>
    </row>
    <row r="1117" spans="1:32" ht="12" hidden="1" customHeight="1">
      <c r="A1117" s="183">
        <v>44517</v>
      </c>
      <c r="B1117" s="184" t="s">
        <v>470</v>
      </c>
      <c r="C1117" s="184"/>
      <c r="D1117" s="184"/>
      <c r="E1117" s="184"/>
      <c r="F1117" s="184"/>
      <c r="G1117" s="184"/>
      <c r="H1117" s="184" t="s">
        <v>654</v>
      </c>
      <c r="I1117" s="184" t="s">
        <v>469</v>
      </c>
      <c r="J1117" s="184" t="s">
        <v>471</v>
      </c>
      <c r="K1117" s="185">
        <v>4</v>
      </c>
      <c r="L1117" s="186">
        <v>3213</v>
      </c>
      <c r="M1117" s="187">
        <v>3226</v>
      </c>
      <c r="N1117" s="188">
        <f t="shared" si="781"/>
        <v>3.86</v>
      </c>
      <c r="O1117" s="188">
        <f t="shared" si="782"/>
        <v>3.87</v>
      </c>
      <c r="P1117" s="189">
        <f t="shared" si="674"/>
        <v>25756</v>
      </c>
      <c r="Q1117" s="189">
        <f t="shared" si="675"/>
        <v>52</v>
      </c>
      <c r="R1117" s="189">
        <f t="shared" si="783"/>
        <v>7.73</v>
      </c>
      <c r="S1117" s="189">
        <f t="shared" si="697"/>
        <v>1.52</v>
      </c>
      <c r="T1117" s="189">
        <f t="shared" si="730"/>
        <v>3.23</v>
      </c>
      <c r="U1117" s="189">
        <f t="shared" si="731"/>
        <v>0.39</v>
      </c>
      <c r="V1117" s="189">
        <f>ROUND(P1117*L$1809,2)</f>
        <v>0.71</v>
      </c>
      <c r="W1117" s="189">
        <f t="shared" si="758"/>
        <v>0.03</v>
      </c>
      <c r="X1117" s="189">
        <f t="shared" si="681"/>
        <v>13.610000000000001</v>
      </c>
      <c r="Y1117" s="190">
        <f t="shared" si="682"/>
        <v>38.39</v>
      </c>
      <c r="Z1117" s="191"/>
      <c r="AA1117" s="192"/>
      <c r="AB1117" s="193">
        <f t="shared" si="684"/>
        <v>4.0460628695922814E-3</v>
      </c>
      <c r="AC1117" s="194">
        <f t="shared" si="685"/>
        <v>5.2800000000000004E-4</v>
      </c>
      <c r="AD1117" s="189"/>
      <c r="AE1117" s="195" t="s">
        <v>403</v>
      </c>
      <c r="AF1117" s="119"/>
    </row>
    <row r="1118" spans="1:32" ht="12" hidden="1" customHeight="1">
      <c r="A1118" s="183">
        <v>44517</v>
      </c>
      <c r="B1118" s="184" t="s">
        <v>668</v>
      </c>
      <c r="C1118" s="184"/>
      <c r="D1118" s="184"/>
      <c r="E1118" s="184"/>
      <c r="F1118" s="184"/>
      <c r="G1118" s="184"/>
      <c r="H1118" s="184" t="s">
        <v>654</v>
      </c>
      <c r="I1118" s="184" t="s">
        <v>469</v>
      </c>
      <c r="J1118" s="184" t="s">
        <v>471</v>
      </c>
      <c r="K1118" s="185">
        <v>10</v>
      </c>
      <c r="L1118" s="186">
        <v>745</v>
      </c>
      <c r="M1118" s="187">
        <v>741.5</v>
      </c>
      <c r="N1118" s="188">
        <f t="shared" si="781"/>
        <v>2.2400000000000002</v>
      </c>
      <c r="O1118" s="188">
        <f t="shared" si="782"/>
        <v>2.2200000000000002</v>
      </c>
      <c r="P1118" s="189">
        <f t="shared" si="674"/>
        <v>14865</v>
      </c>
      <c r="Q1118" s="189">
        <f t="shared" si="675"/>
        <v>-35</v>
      </c>
      <c r="R1118" s="189">
        <f t="shared" si="783"/>
        <v>4.46</v>
      </c>
      <c r="S1118" s="189">
        <f t="shared" si="697"/>
        <v>0.89</v>
      </c>
      <c r="T1118" s="189">
        <f t="shared" si="730"/>
        <v>1.85</v>
      </c>
      <c r="U1118" s="189">
        <f t="shared" si="731"/>
        <v>0.22</v>
      </c>
      <c r="V1118" s="189">
        <f t="shared" ref="V1118:V1120" si="791">ROUND(P1118*M$1809,2)</f>
        <v>0.51</v>
      </c>
      <c r="W1118" s="189">
        <f t="shared" si="758"/>
        <v>0.01</v>
      </c>
      <c r="X1118" s="189">
        <f t="shared" si="681"/>
        <v>7.9399999999999986</v>
      </c>
      <c r="Y1118" s="190">
        <f t="shared" si="682"/>
        <v>-42.94</v>
      </c>
      <c r="Z1118" s="191"/>
      <c r="AA1118" s="192"/>
      <c r="AB1118" s="193">
        <f t="shared" si="684"/>
        <v>-4.6979865771812077E-3</v>
      </c>
      <c r="AC1118" s="194">
        <f t="shared" si="685"/>
        <v>5.3399999999999997E-4</v>
      </c>
      <c r="AD1118" s="189"/>
      <c r="AE1118" s="195" t="s">
        <v>403</v>
      </c>
      <c r="AF1118" s="119"/>
    </row>
    <row r="1119" spans="1:32" ht="12" hidden="1" customHeight="1">
      <c r="A1119" s="183">
        <v>44518</v>
      </c>
      <c r="B1119" s="184" t="s">
        <v>484</v>
      </c>
      <c r="C1119" s="184"/>
      <c r="D1119" s="184"/>
      <c r="E1119" s="184"/>
      <c r="F1119" s="184"/>
      <c r="G1119" s="184"/>
      <c r="H1119" s="184" t="s">
        <v>654</v>
      </c>
      <c r="I1119" s="184" t="s">
        <v>469</v>
      </c>
      <c r="J1119" s="184" t="s">
        <v>471</v>
      </c>
      <c r="K1119" s="185">
        <v>1</v>
      </c>
      <c r="L1119" s="186">
        <v>7600</v>
      </c>
      <c r="M1119" s="187">
        <v>7650</v>
      </c>
      <c r="N1119" s="188">
        <f t="shared" si="781"/>
        <v>2.2799999999999998</v>
      </c>
      <c r="O1119" s="188">
        <f t="shared" si="782"/>
        <v>2.2999999999999998</v>
      </c>
      <c r="P1119" s="189">
        <f t="shared" si="674"/>
        <v>15250</v>
      </c>
      <c r="Q1119" s="189">
        <f t="shared" si="675"/>
        <v>50</v>
      </c>
      <c r="R1119" s="189">
        <f t="shared" si="783"/>
        <v>4.58</v>
      </c>
      <c r="S1119" s="189">
        <f t="shared" si="697"/>
        <v>0.92</v>
      </c>
      <c r="T1119" s="189">
        <f t="shared" si="730"/>
        <v>1.91</v>
      </c>
      <c r="U1119" s="189">
        <f t="shared" si="731"/>
        <v>0.23</v>
      </c>
      <c r="V1119" s="189">
        <f t="shared" si="791"/>
        <v>0.53</v>
      </c>
      <c r="W1119" s="189">
        <f t="shared" si="758"/>
        <v>0.02</v>
      </c>
      <c r="X1119" s="189">
        <f t="shared" si="681"/>
        <v>8.19</v>
      </c>
      <c r="Y1119" s="190">
        <f t="shared" si="682"/>
        <v>41.81</v>
      </c>
      <c r="Z1119" s="191">
        <v>135.76</v>
      </c>
      <c r="AA1119" s="192">
        <f>Z1119-Y1120-Y1119</f>
        <v>-2.0000000000010232E-2</v>
      </c>
      <c r="AB1119" s="193">
        <f t="shared" si="684"/>
        <v>6.5789473684210523E-3</v>
      </c>
      <c r="AC1119" s="194">
        <f t="shared" si="685"/>
        <v>5.3700000000000004E-4</v>
      </c>
      <c r="AD1119" s="189"/>
      <c r="AE1119" s="195" t="s">
        <v>403</v>
      </c>
      <c r="AF1119" s="119"/>
    </row>
    <row r="1120" spans="1:32" ht="12" hidden="1" customHeight="1">
      <c r="A1120" s="183">
        <v>44518</v>
      </c>
      <c r="B1120" s="184" t="s">
        <v>465</v>
      </c>
      <c r="C1120" s="184"/>
      <c r="D1120" s="184"/>
      <c r="E1120" s="184"/>
      <c r="F1120" s="184"/>
      <c r="G1120" s="184"/>
      <c r="H1120" s="184" t="s">
        <v>654</v>
      </c>
      <c r="I1120" s="184" t="s">
        <v>469</v>
      </c>
      <c r="J1120" s="184" t="s">
        <v>471</v>
      </c>
      <c r="K1120" s="185">
        <v>20</v>
      </c>
      <c r="L1120" s="186">
        <v>235</v>
      </c>
      <c r="M1120" s="187">
        <v>240</v>
      </c>
      <c r="N1120" s="188">
        <f t="shared" si="781"/>
        <v>1.41</v>
      </c>
      <c r="O1120" s="188">
        <f t="shared" si="782"/>
        <v>1.44</v>
      </c>
      <c r="P1120" s="189">
        <f t="shared" si="674"/>
        <v>9500</v>
      </c>
      <c r="Q1120" s="189">
        <f t="shared" si="675"/>
        <v>100</v>
      </c>
      <c r="R1120" s="189">
        <f>ROUND(N1120+O1120,2)+0.79</f>
        <v>3.64</v>
      </c>
      <c r="S1120" s="189">
        <f t="shared" si="697"/>
        <v>0.71</v>
      </c>
      <c r="T1120" s="189">
        <f t="shared" si="730"/>
        <v>1.2</v>
      </c>
      <c r="U1120" s="189">
        <f t="shared" si="731"/>
        <v>0.14000000000000001</v>
      </c>
      <c r="V1120" s="189">
        <f t="shared" si="791"/>
        <v>0.33</v>
      </c>
      <c r="W1120" s="189">
        <f t="shared" si="758"/>
        <v>0.01</v>
      </c>
      <c r="X1120" s="189">
        <f t="shared" si="681"/>
        <v>6.0299999999999994</v>
      </c>
      <c r="Y1120" s="190">
        <f t="shared" si="682"/>
        <v>93.97</v>
      </c>
      <c r="Z1120" s="191"/>
      <c r="AA1120" s="192"/>
      <c r="AB1120" s="193">
        <f t="shared" si="684"/>
        <v>2.1276595744680851E-2</v>
      </c>
      <c r="AC1120" s="194">
        <f t="shared" si="685"/>
        <v>6.3500000000000004E-4</v>
      </c>
      <c r="AD1120" s="189"/>
      <c r="AE1120" s="195" t="s">
        <v>403</v>
      </c>
      <c r="AF1120" s="119"/>
    </row>
    <row r="1121" spans="1:32" ht="12" hidden="1" customHeight="1">
      <c r="A1121" s="183">
        <v>44524</v>
      </c>
      <c r="B1121" s="184" t="s">
        <v>465</v>
      </c>
      <c r="C1121" s="184"/>
      <c r="D1121" s="184"/>
      <c r="E1121" s="184"/>
      <c r="F1121" s="184"/>
      <c r="G1121" s="184"/>
      <c r="H1121" s="184" t="s">
        <v>654</v>
      </c>
      <c r="I1121" s="184" t="s">
        <v>469</v>
      </c>
      <c r="J1121" s="184" t="s">
        <v>471</v>
      </c>
      <c r="K1121" s="185">
        <v>50</v>
      </c>
      <c r="L1121" s="186">
        <v>240</v>
      </c>
      <c r="M1121" s="187">
        <v>245.4</v>
      </c>
      <c r="N1121" s="188">
        <f t="shared" si="781"/>
        <v>3.6</v>
      </c>
      <c r="O1121" s="188">
        <f t="shared" si="782"/>
        <v>3.68</v>
      </c>
      <c r="P1121" s="189">
        <f t="shared" si="674"/>
        <v>24270</v>
      </c>
      <c r="Q1121" s="189">
        <f t="shared" si="675"/>
        <v>270.00000000000028</v>
      </c>
      <c r="R1121" s="189">
        <f t="shared" ref="R1121:R1124" si="792">ROUND(N1121+O1121,2)</f>
        <v>7.28</v>
      </c>
      <c r="S1121" s="189">
        <f t="shared" si="697"/>
        <v>1.43</v>
      </c>
      <c r="T1121" s="189">
        <f t="shared" si="730"/>
        <v>3.07</v>
      </c>
      <c r="U1121" s="189">
        <f t="shared" si="731"/>
        <v>0.36</v>
      </c>
      <c r="V1121" s="189">
        <f t="shared" ref="V1121:V1122" si="793">ROUND(P1121*L$1809,2)</f>
        <v>0.67</v>
      </c>
      <c r="W1121" s="189">
        <f t="shared" si="758"/>
        <v>0.02</v>
      </c>
      <c r="X1121" s="189">
        <f t="shared" si="681"/>
        <v>12.83</v>
      </c>
      <c r="Y1121" s="190">
        <f t="shared" si="682"/>
        <v>257.17</v>
      </c>
      <c r="Z1121" s="191">
        <v>257.60000000000002</v>
      </c>
      <c r="AA1121" s="192">
        <f t="shared" ref="AA1121:AA1132" si="794">Z1121-Y1121</f>
        <v>0.43000000000000682</v>
      </c>
      <c r="AB1121" s="193">
        <f t="shared" si="684"/>
        <v>2.2500000000000023E-2</v>
      </c>
      <c r="AC1121" s="194">
        <f t="shared" si="685"/>
        <v>5.2899999999999996E-4</v>
      </c>
      <c r="AD1121" s="189"/>
      <c r="AE1121" s="195" t="s">
        <v>403</v>
      </c>
      <c r="AF1121" s="119"/>
    </row>
    <row r="1122" spans="1:32" ht="12" hidden="1" customHeight="1">
      <c r="A1122" s="183">
        <v>44525</v>
      </c>
      <c r="B1122" s="184" t="s">
        <v>575</v>
      </c>
      <c r="C1122" s="184"/>
      <c r="D1122" s="184"/>
      <c r="E1122" s="184"/>
      <c r="F1122" s="184"/>
      <c r="G1122" s="184"/>
      <c r="H1122" s="184" t="s">
        <v>654</v>
      </c>
      <c r="I1122" s="184" t="s">
        <v>469</v>
      </c>
      <c r="J1122" s="184" t="s">
        <v>448</v>
      </c>
      <c r="K1122" s="185">
        <v>100</v>
      </c>
      <c r="L1122" s="186">
        <v>971.5</v>
      </c>
      <c r="M1122" s="187">
        <v>980</v>
      </c>
      <c r="N1122" s="188">
        <f t="shared" si="781"/>
        <v>20</v>
      </c>
      <c r="O1122" s="188">
        <f t="shared" si="782"/>
        <v>20</v>
      </c>
      <c r="P1122" s="189">
        <f t="shared" si="674"/>
        <v>195150</v>
      </c>
      <c r="Q1122" s="189">
        <f t="shared" si="675"/>
        <v>850</v>
      </c>
      <c r="R1122" s="189">
        <f t="shared" si="792"/>
        <v>40</v>
      </c>
      <c r="S1122" s="189">
        <f t="shared" si="697"/>
        <v>8.17</v>
      </c>
      <c r="T1122" s="189">
        <f t="shared" si="730"/>
        <v>24.5</v>
      </c>
      <c r="U1122" s="189">
        <f t="shared" si="731"/>
        <v>2.91</v>
      </c>
      <c r="V1122" s="189">
        <f t="shared" si="793"/>
        <v>5.37</v>
      </c>
      <c r="W1122" s="189">
        <f t="shared" si="758"/>
        <v>0.2</v>
      </c>
      <c r="X1122" s="189">
        <f t="shared" si="681"/>
        <v>81.150000000000006</v>
      </c>
      <c r="Y1122" s="190">
        <f t="shared" si="682"/>
        <v>768.85</v>
      </c>
      <c r="Z1122" s="191">
        <v>769.26</v>
      </c>
      <c r="AA1122" s="192">
        <f t="shared" si="794"/>
        <v>0.40999999999996817</v>
      </c>
      <c r="AB1122" s="193">
        <f t="shared" si="684"/>
        <v>8.7493566649511061E-3</v>
      </c>
      <c r="AC1122" s="194">
        <f t="shared" si="685"/>
        <v>4.1599999999999997E-4</v>
      </c>
      <c r="AD1122" s="189"/>
      <c r="AE1122" s="195" t="s">
        <v>403</v>
      </c>
      <c r="AF1122" s="119"/>
    </row>
    <row r="1123" spans="1:32" ht="12" hidden="1" customHeight="1">
      <c r="A1123" s="183">
        <v>44526</v>
      </c>
      <c r="B1123" s="184" t="s">
        <v>575</v>
      </c>
      <c r="C1123" s="184"/>
      <c r="D1123" s="184"/>
      <c r="E1123" s="184"/>
      <c r="F1123" s="184"/>
      <c r="G1123" s="184"/>
      <c r="H1123" s="184" t="s">
        <v>654</v>
      </c>
      <c r="I1123" s="184" t="s">
        <v>469</v>
      </c>
      <c r="J1123" s="184" t="s">
        <v>448</v>
      </c>
      <c r="K1123" s="185">
        <v>49</v>
      </c>
      <c r="L1123" s="186">
        <v>960</v>
      </c>
      <c r="M1123" s="187">
        <v>970</v>
      </c>
      <c r="N1123" s="188">
        <f t="shared" si="781"/>
        <v>14.11</v>
      </c>
      <c r="O1123" s="188">
        <f t="shared" si="782"/>
        <v>14.26</v>
      </c>
      <c r="P1123" s="189">
        <f t="shared" si="674"/>
        <v>94570</v>
      </c>
      <c r="Q1123" s="189">
        <f t="shared" si="675"/>
        <v>490</v>
      </c>
      <c r="R1123" s="189">
        <f t="shared" si="792"/>
        <v>28.37</v>
      </c>
      <c r="S1123" s="189">
        <f t="shared" si="697"/>
        <v>5.69</v>
      </c>
      <c r="T1123" s="189">
        <f t="shared" si="730"/>
        <v>11.88</v>
      </c>
      <c r="U1123" s="189">
        <f t="shared" si="731"/>
        <v>1.41</v>
      </c>
      <c r="V1123" s="189">
        <f>ROUND(P1123*M$1809,2)</f>
        <v>3.26</v>
      </c>
      <c r="W1123" s="189">
        <f t="shared" si="758"/>
        <v>0.09</v>
      </c>
      <c r="X1123" s="189">
        <f t="shared" si="681"/>
        <v>50.7</v>
      </c>
      <c r="Y1123" s="190">
        <f t="shared" si="682"/>
        <v>439.3</v>
      </c>
      <c r="Z1123" s="191">
        <v>439.59</v>
      </c>
      <c r="AA1123" s="192">
        <f t="shared" si="794"/>
        <v>0.28999999999996362</v>
      </c>
      <c r="AB1123" s="193">
        <f t="shared" si="684"/>
        <v>1.0416666666666666E-2</v>
      </c>
      <c r="AC1123" s="194">
        <f t="shared" si="685"/>
        <v>5.3600000000000002E-4</v>
      </c>
      <c r="AD1123" s="189"/>
      <c r="AE1123" s="195" t="s">
        <v>403</v>
      </c>
      <c r="AF1123" s="119"/>
    </row>
    <row r="1124" spans="1:32" ht="12" hidden="1" customHeight="1">
      <c r="A1124" s="183">
        <v>44530</v>
      </c>
      <c r="B1124" s="184" t="s">
        <v>575</v>
      </c>
      <c r="C1124" s="184"/>
      <c r="D1124" s="184"/>
      <c r="E1124" s="184"/>
      <c r="F1124" s="184"/>
      <c r="G1124" s="184"/>
      <c r="H1124" s="184" t="s">
        <v>654</v>
      </c>
      <c r="I1124" s="184" t="s">
        <v>469</v>
      </c>
      <c r="J1124" s="184" t="s">
        <v>448</v>
      </c>
      <c r="K1124" s="185">
        <v>200</v>
      </c>
      <c r="L1124" s="186">
        <v>958</v>
      </c>
      <c r="M1124" s="187">
        <v>967</v>
      </c>
      <c r="N1124" s="188">
        <f>IF(L1124*K1124*L$1803&lt;20,ROUND(L1124*K1124*L$1803,2),20)+20</f>
        <v>40</v>
      </c>
      <c r="O1124" s="188">
        <f>IF(M1124*K1124*L$1803&lt;20,ROUND(M1124*K1124*L$1803,2),20)+20</f>
        <v>40</v>
      </c>
      <c r="P1124" s="189">
        <f t="shared" si="674"/>
        <v>385000</v>
      </c>
      <c r="Q1124" s="189">
        <f t="shared" si="675"/>
        <v>1800</v>
      </c>
      <c r="R1124" s="189">
        <f t="shared" si="792"/>
        <v>80</v>
      </c>
      <c r="S1124" s="189">
        <f t="shared" si="697"/>
        <v>16.309999999999999</v>
      </c>
      <c r="T1124" s="189">
        <f t="shared" si="730"/>
        <v>48.35</v>
      </c>
      <c r="U1124" s="189">
        <f t="shared" si="731"/>
        <v>5.75</v>
      </c>
      <c r="V1124" s="189">
        <f>ROUND(P1124*L$1809,2)</f>
        <v>10.59</v>
      </c>
      <c r="W1124" s="189">
        <f t="shared" si="758"/>
        <v>0.39</v>
      </c>
      <c r="X1124" s="189">
        <f t="shared" si="681"/>
        <v>161.38999999999999</v>
      </c>
      <c r="Y1124" s="190">
        <f t="shared" si="682"/>
        <v>1638.61</v>
      </c>
      <c r="Z1124" s="191">
        <v>1638.71</v>
      </c>
      <c r="AA1124" s="192">
        <f t="shared" si="794"/>
        <v>0.10000000000013642</v>
      </c>
      <c r="AB1124" s="193">
        <f t="shared" si="684"/>
        <v>9.3945720250521916E-3</v>
      </c>
      <c r="AC1124" s="194">
        <f t="shared" si="685"/>
        <v>4.1899999999999999E-4</v>
      </c>
      <c r="AD1124" s="189"/>
      <c r="AE1124" s="195" t="s">
        <v>403</v>
      </c>
      <c r="AF1124" s="119"/>
    </row>
    <row r="1125" spans="1:32" ht="12" hidden="1" customHeight="1">
      <c r="A1125" s="183">
        <v>44530</v>
      </c>
      <c r="B1125" s="184" t="s">
        <v>574</v>
      </c>
      <c r="C1125" s="184"/>
      <c r="D1125" s="184"/>
      <c r="E1125" s="184"/>
      <c r="F1125" s="184"/>
      <c r="G1125" s="184"/>
      <c r="H1125" s="184" t="s">
        <v>654</v>
      </c>
      <c r="I1125" s="184" t="s">
        <v>469</v>
      </c>
      <c r="J1125" s="184" t="s">
        <v>471</v>
      </c>
      <c r="K1125" s="185">
        <v>4</v>
      </c>
      <c r="L1125" s="186">
        <v>3540</v>
      </c>
      <c r="M1125" s="187">
        <v>3550</v>
      </c>
      <c r="N1125" s="188">
        <f>IF(L1125*K1125*L$1803&lt;20,ROUND(L1125*K1125*L$1803,2),20)</f>
        <v>4.25</v>
      </c>
      <c r="O1125" s="188">
        <f>IF(M1125*K1125*L$1803&lt;20,ROUND(M1125*K1125*L$1803,2),20)</f>
        <v>4.26</v>
      </c>
      <c r="P1125" s="189">
        <f t="shared" si="674"/>
        <v>28360</v>
      </c>
      <c r="Q1125" s="189">
        <f t="shared" si="675"/>
        <v>40</v>
      </c>
      <c r="R1125" s="189">
        <f>ROUND(N1125+O1125,2)+2.1</f>
        <v>10.61</v>
      </c>
      <c r="S1125" s="189">
        <f t="shared" si="697"/>
        <v>2.09</v>
      </c>
      <c r="T1125" s="189">
        <f t="shared" si="730"/>
        <v>3.55</v>
      </c>
      <c r="U1125" s="189">
        <f t="shared" si="731"/>
        <v>0.42</v>
      </c>
      <c r="V1125" s="189">
        <f>ROUND(P1125*M$1809,2)</f>
        <v>0.98</v>
      </c>
      <c r="W1125" s="189">
        <f t="shared" si="758"/>
        <v>0.03</v>
      </c>
      <c r="X1125" s="189">
        <f t="shared" si="681"/>
        <v>17.680000000000003</v>
      </c>
      <c r="Y1125" s="190">
        <f t="shared" si="682"/>
        <v>22.32</v>
      </c>
      <c r="Z1125" s="191">
        <v>21.96</v>
      </c>
      <c r="AA1125" s="192">
        <f t="shared" si="794"/>
        <v>-0.35999999999999943</v>
      </c>
      <c r="AB1125" s="193">
        <f t="shared" si="684"/>
        <v>2.8248587570621469E-3</v>
      </c>
      <c r="AC1125" s="194">
        <f t="shared" si="685"/>
        <v>6.2299999999999996E-4</v>
      </c>
      <c r="AD1125" s="189"/>
      <c r="AE1125" s="195" t="s">
        <v>403</v>
      </c>
      <c r="AF1125" s="119"/>
    </row>
    <row r="1126" spans="1:32" ht="12" hidden="1" customHeight="1">
      <c r="A1126" s="183">
        <v>44531</v>
      </c>
      <c r="B1126" s="184" t="s">
        <v>575</v>
      </c>
      <c r="C1126" s="184"/>
      <c r="D1126" s="184"/>
      <c r="E1126" s="184"/>
      <c r="F1126" s="184"/>
      <c r="G1126" s="184"/>
      <c r="H1126" s="184" t="s">
        <v>654</v>
      </c>
      <c r="I1126" s="184" t="s">
        <v>469</v>
      </c>
      <c r="J1126" s="184" t="s">
        <v>448</v>
      </c>
      <c r="K1126" s="185">
        <v>300</v>
      </c>
      <c r="L1126" s="186">
        <v>982.49329999999998</v>
      </c>
      <c r="M1126" s="187">
        <v>989.05564000000004</v>
      </c>
      <c r="N1126" s="188">
        <f>IF(L1126*K1126*L$1803&lt;20,ROUND(L1126*K1126*L$1803,2),20)+20+20</f>
        <v>60</v>
      </c>
      <c r="O1126" s="188">
        <f>IF(M1126*K1126*L$1803&lt;20,ROUND(M1126*K1126*L$1803,2),20)+20+20</f>
        <v>60</v>
      </c>
      <c r="P1126" s="189">
        <f t="shared" si="674"/>
        <v>591464.68000000005</v>
      </c>
      <c r="Q1126" s="189">
        <f t="shared" si="675"/>
        <v>1968.7020000000189</v>
      </c>
      <c r="R1126" s="189">
        <f>ROUND(N1126+O1126,2)</f>
        <v>120</v>
      </c>
      <c r="S1126" s="189">
        <f t="shared" si="697"/>
        <v>24.53</v>
      </c>
      <c r="T1126" s="189">
        <f t="shared" si="730"/>
        <v>74.180000000000007</v>
      </c>
      <c r="U1126" s="189">
        <f t="shared" si="731"/>
        <v>8.84</v>
      </c>
      <c r="V1126" s="189">
        <f t="shared" ref="V1126:V1129" si="795">ROUND(P1126*L$1809,2)</f>
        <v>16.27</v>
      </c>
      <c r="W1126" s="189">
        <f t="shared" si="758"/>
        <v>0.59</v>
      </c>
      <c r="X1126" s="189">
        <f t="shared" si="681"/>
        <v>244.41000000000003</v>
      </c>
      <c r="Y1126" s="190">
        <f t="shared" si="682"/>
        <v>1724.29</v>
      </c>
      <c r="Z1126" s="191">
        <v>1724.31</v>
      </c>
      <c r="AA1126" s="192">
        <f t="shared" si="794"/>
        <v>1.999999999998181E-2</v>
      </c>
      <c r="AB1126" s="193">
        <f t="shared" si="684"/>
        <v>6.6792720113206501E-3</v>
      </c>
      <c r="AC1126" s="194">
        <f t="shared" si="685"/>
        <v>4.1300000000000001E-4</v>
      </c>
      <c r="AD1126" s="189"/>
      <c r="AE1126" s="195" t="s">
        <v>403</v>
      </c>
      <c r="AF1126" s="119"/>
    </row>
    <row r="1127" spans="1:32" ht="12" hidden="1" customHeight="1">
      <c r="A1127" s="183">
        <v>44532</v>
      </c>
      <c r="B1127" s="184" t="s">
        <v>575</v>
      </c>
      <c r="C1127" s="184"/>
      <c r="D1127" s="184"/>
      <c r="E1127" s="184"/>
      <c r="F1127" s="184"/>
      <c r="G1127" s="184"/>
      <c r="H1127" s="184" t="s">
        <v>654</v>
      </c>
      <c r="I1127" s="184" t="s">
        <v>469</v>
      </c>
      <c r="J1127" s="184" t="s">
        <v>448</v>
      </c>
      <c r="K1127" s="185">
        <v>150</v>
      </c>
      <c r="L1127" s="186">
        <v>986.66669999999999</v>
      </c>
      <c r="M1127" s="187">
        <v>991.33339999999998</v>
      </c>
      <c r="N1127" s="188">
        <f t="shared" ref="N1127:N1409" si="796">IF(L1127*K1127*L$1803&lt;20,ROUND(L1127*K1127*L$1803,2),20)</f>
        <v>20</v>
      </c>
      <c r="O1127" s="188">
        <f t="shared" ref="O1127:O1409" si="797">IF(M1127*K1127*L$1803&lt;20,ROUND(M1127*K1127*L$1803,2),20)</f>
        <v>20</v>
      </c>
      <c r="P1127" s="189">
        <f t="shared" si="674"/>
        <v>296700.02</v>
      </c>
      <c r="Q1127" s="189">
        <f t="shared" si="675"/>
        <v>700.00499999999874</v>
      </c>
      <c r="R1127" s="189">
        <v>69.580000000000013</v>
      </c>
      <c r="S1127" s="189">
        <f t="shared" si="697"/>
        <v>13.99</v>
      </c>
      <c r="T1127" s="189">
        <f t="shared" si="730"/>
        <v>37.18</v>
      </c>
      <c r="U1127" s="189">
        <f t="shared" si="731"/>
        <v>4.4400000000000004</v>
      </c>
      <c r="V1127" s="189">
        <f t="shared" si="795"/>
        <v>8.16</v>
      </c>
      <c r="W1127" s="189">
        <f t="shared" si="758"/>
        <v>0.3</v>
      </c>
      <c r="X1127" s="189">
        <f t="shared" si="681"/>
        <v>133.65</v>
      </c>
      <c r="Y1127" s="190">
        <f t="shared" si="682"/>
        <v>566.35</v>
      </c>
      <c r="Z1127" s="191">
        <v>566.97</v>
      </c>
      <c r="AA1127" s="192">
        <f t="shared" si="794"/>
        <v>0.62000000000000455</v>
      </c>
      <c r="AB1127" s="193">
        <f t="shared" si="684"/>
        <v>4.7297633537242024E-3</v>
      </c>
      <c r="AC1127" s="194">
        <f t="shared" si="685"/>
        <v>4.4999999999999999E-4</v>
      </c>
      <c r="AD1127" s="189"/>
      <c r="AE1127" s="195" t="s">
        <v>403</v>
      </c>
      <c r="AF1127" s="119"/>
    </row>
    <row r="1128" spans="1:32" ht="12" hidden="1" customHeight="1">
      <c r="A1128" s="183">
        <v>44533</v>
      </c>
      <c r="B1128" s="184" t="s">
        <v>575</v>
      </c>
      <c r="C1128" s="184"/>
      <c r="D1128" s="184"/>
      <c r="E1128" s="184"/>
      <c r="F1128" s="184"/>
      <c r="G1128" s="184"/>
      <c r="H1128" s="184" t="s">
        <v>654</v>
      </c>
      <c r="I1128" s="184" t="s">
        <v>469</v>
      </c>
      <c r="J1128" s="184" t="s">
        <v>448</v>
      </c>
      <c r="K1128" s="185">
        <v>300</v>
      </c>
      <c r="L1128" s="186">
        <v>1018</v>
      </c>
      <c r="M1128" s="187">
        <v>1021.75416</v>
      </c>
      <c r="N1128" s="188">
        <f t="shared" si="796"/>
        <v>20</v>
      </c>
      <c r="O1128" s="188">
        <f t="shared" si="797"/>
        <v>20</v>
      </c>
      <c r="P1128" s="189">
        <f t="shared" si="674"/>
        <v>611926.25</v>
      </c>
      <c r="Q1128" s="189">
        <f t="shared" si="675"/>
        <v>1126.2479999999869</v>
      </c>
      <c r="R1128" s="189">
        <v>120</v>
      </c>
      <c r="S1128" s="189">
        <f t="shared" si="697"/>
        <v>24.63</v>
      </c>
      <c r="T1128" s="189">
        <f t="shared" si="730"/>
        <v>76.63</v>
      </c>
      <c r="U1128" s="189">
        <f t="shared" si="731"/>
        <v>9.16</v>
      </c>
      <c r="V1128" s="189">
        <f t="shared" si="795"/>
        <v>16.829999999999998</v>
      </c>
      <c r="W1128" s="189">
        <f t="shared" si="758"/>
        <v>0.61</v>
      </c>
      <c r="X1128" s="189">
        <f t="shared" si="681"/>
        <v>247.86</v>
      </c>
      <c r="Y1128" s="190">
        <f t="shared" si="682"/>
        <v>878.39</v>
      </c>
      <c r="Z1128" s="191">
        <v>879.18</v>
      </c>
      <c r="AA1128" s="192">
        <f t="shared" si="794"/>
        <v>0.78999999999996362</v>
      </c>
      <c r="AB1128" s="193">
        <f t="shared" si="684"/>
        <v>3.687779960707226E-3</v>
      </c>
      <c r="AC1128" s="194">
        <f t="shared" si="685"/>
        <v>4.0499999999999998E-4</v>
      </c>
      <c r="AD1128" s="189"/>
      <c r="AE1128" s="195" t="s">
        <v>403</v>
      </c>
      <c r="AF1128" s="119"/>
    </row>
    <row r="1129" spans="1:32" ht="12" hidden="1" customHeight="1">
      <c r="A1129" s="183">
        <v>44533</v>
      </c>
      <c r="B1129" s="184" t="s">
        <v>548</v>
      </c>
      <c r="C1129" s="184"/>
      <c r="D1129" s="184"/>
      <c r="E1129" s="184"/>
      <c r="F1129" s="184"/>
      <c r="G1129" s="184"/>
      <c r="H1129" s="184" t="s">
        <v>654</v>
      </c>
      <c r="I1129" s="184" t="s">
        <v>469</v>
      </c>
      <c r="J1129" s="184" t="s">
        <v>471</v>
      </c>
      <c r="K1129" s="185">
        <v>200</v>
      </c>
      <c r="L1129" s="186">
        <v>13.4</v>
      </c>
      <c r="M1129" s="187">
        <v>13.2</v>
      </c>
      <c r="N1129" s="188">
        <f t="shared" si="796"/>
        <v>0.8</v>
      </c>
      <c r="O1129" s="188">
        <f t="shared" si="797"/>
        <v>0.79</v>
      </c>
      <c r="P1129" s="189">
        <f t="shared" si="674"/>
        <v>5320</v>
      </c>
      <c r="Q1129" s="189">
        <f t="shared" si="675"/>
        <v>-40.000000000000213</v>
      </c>
      <c r="R1129" s="189">
        <f t="shared" ref="R1129:R1136" si="798">ROUND(N1129+O1129,2)</f>
        <v>1.59</v>
      </c>
      <c r="S1129" s="189">
        <f t="shared" si="697"/>
        <v>0.31</v>
      </c>
      <c r="T1129" s="189">
        <f t="shared" si="730"/>
        <v>0.66</v>
      </c>
      <c r="U1129" s="189">
        <f t="shared" si="731"/>
        <v>0.08</v>
      </c>
      <c r="V1129" s="189">
        <f t="shared" si="795"/>
        <v>0.15</v>
      </c>
      <c r="W1129" s="189">
        <f t="shared" si="758"/>
        <v>0.01</v>
      </c>
      <c r="X1129" s="189">
        <f t="shared" si="681"/>
        <v>2.8</v>
      </c>
      <c r="Y1129" s="190">
        <f t="shared" si="682"/>
        <v>-42.8</v>
      </c>
      <c r="Z1129" s="191">
        <v>-43.11</v>
      </c>
      <c r="AA1129" s="192">
        <f t="shared" si="794"/>
        <v>-0.31000000000000227</v>
      </c>
      <c r="AB1129" s="193">
        <f t="shared" si="684"/>
        <v>-1.4925373134328438E-2</v>
      </c>
      <c r="AC1129" s="194">
        <f t="shared" si="685"/>
        <v>5.2599999999999999E-4</v>
      </c>
      <c r="AD1129" s="189"/>
      <c r="AE1129" s="195" t="s">
        <v>403</v>
      </c>
      <c r="AF1129" s="119"/>
    </row>
    <row r="1130" spans="1:32" ht="12" hidden="1" customHeight="1">
      <c r="A1130" s="183">
        <v>44537</v>
      </c>
      <c r="B1130" s="184" t="s">
        <v>581</v>
      </c>
      <c r="C1130" s="184"/>
      <c r="D1130" s="184"/>
      <c r="E1130" s="184"/>
      <c r="F1130" s="184"/>
      <c r="G1130" s="184"/>
      <c r="H1130" s="184" t="s">
        <v>654</v>
      </c>
      <c r="I1130" s="184" t="s">
        <v>469</v>
      </c>
      <c r="J1130" s="184" t="s">
        <v>471</v>
      </c>
      <c r="K1130" s="185">
        <v>5</v>
      </c>
      <c r="L1130" s="186">
        <v>1406</v>
      </c>
      <c r="M1130" s="187">
        <v>1405.3</v>
      </c>
      <c r="N1130" s="188">
        <f t="shared" si="796"/>
        <v>2.11</v>
      </c>
      <c r="O1130" s="188">
        <f t="shared" si="797"/>
        <v>2.11</v>
      </c>
      <c r="P1130" s="189">
        <f t="shared" si="674"/>
        <v>14056.5</v>
      </c>
      <c r="Q1130" s="189">
        <f t="shared" si="675"/>
        <v>-3.5000000000002274</v>
      </c>
      <c r="R1130" s="189">
        <f t="shared" si="798"/>
        <v>4.22</v>
      </c>
      <c r="S1130" s="189">
        <f t="shared" si="697"/>
        <v>0.85</v>
      </c>
      <c r="T1130" s="189">
        <f t="shared" si="730"/>
        <v>1.76</v>
      </c>
      <c r="U1130" s="189">
        <f t="shared" si="731"/>
        <v>0.21</v>
      </c>
      <c r="V1130" s="189">
        <f>ROUND(P1130*M$1809,2)</f>
        <v>0.48</v>
      </c>
      <c r="W1130" s="189">
        <f t="shared" si="758"/>
        <v>0.01</v>
      </c>
      <c r="X1130" s="189">
        <f t="shared" si="681"/>
        <v>7.5299999999999994</v>
      </c>
      <c r="Y1130" s="190">
        <f t="shared" si="682"/>
        <v>-11.03</v>
      </c>
      <c r="Z1130" s="191">
        <v>-11.66</v>
      </c>
      <c r="AA1130" s="192">
        <f t="shared" si="794"/>
        <v>-0.63000000000000078</v>
      </c>
      <c r="AB1130" s="193">
        <f t="shared" si="684"/>
        <v>-4.9786628734000392E-4</v>
      </c>
      <c r="AC1130" s="194">
        <f t="shared" si="685"/>
        <v>5.3600000000000002E-4</v>
      </c>
      <c r="AD1130" s="189"/>
      <c r="AE1130" s="195" t="s">
        <v>403</v>
      </c>
      <c r="AF1130" s="119"/>
    </row>
    <row r="1131" spans="1:32" ht="12" hidden="1" customHeight="1">
      <c r="A1131" s="183">
        <v>44538</v>
      </c>
      <c r="B1131" s="184" t="s">
        <v>575</v>
      </c>
      <c r="C1131" s="184"/>
      <c r="D1131" s="184"/>
      <c r="E1131" s="184"/>
      <c r="F1131" s="184"/>
      <c r="G1131" s="184"/>
      <c r="H1131" s="184" t="s">
        <v>654</v>
      </c>
      <c r="I1131" s="184" t="s">
        <v>469</v>
      </c>
      <c r="J1131" s="184" t="s">
        <v>448</v>
      </c>
      <c r="K1131" s="185">
        <v>100</v>
      </c>
      <c r="L1131" s="186">
        <v>1014</v>
      </c>
      <c r="M1131" s="187">
        <v>1019</v>
      </c>
      <c r="N1131" s="188">
        <f t="shared" si="796"/>
        <v>20</v>
      </c>
      <c r="O1131" s="188">
        <f t="shared" si="797"/>
        <v>20</v>
      </c>
      <c r="P1131" s="189">
        <f t="shared" si="674"/>
        <v>203300</v>
      </c>
      <c r="Q1131" s="189">
        <f t="shared" si="675"/>
        <v>500</v>
      </c>
      <c r="R1131" s="189">
        <f t="shared" si="798"/>
        <v>40</v>
      </c>
      <c r="S1131" s="189">
        <f t="shared" si="697"/>
        <v>8.2100000000000009</v>
      </c>
      <c r="T1131" s="189">
        <f t="shared" si="730"/>
        <v>25.48</v>
      </c>
      <c r="U1131" s="189">
        <f t="shared" si="731"/>
        <v>3.04</v>
      </c>
      <c r="V1131" s="189">
        <f t="shared" ref="V1131:V1132" si="799">ROUND(P1131*L$1809,2)</f>
        <v>5.59</v>
      </c>
      <c r="W1131" s="189">
        <f t="shared" si="758"/>
        <v>0.2</v>
      </c>
      <c r="X1131" s="189">
        <f t="shared" si="681"/>
        <v>82.52000000000001</v>
      </c>
      <c r="Y1131" s="190">
        <f t="shared" si="682"/>
        <v>417.48</v>
      </c>
      <c r="Z1131" s="191">
        <v>418</v>
      </c>
      <c r="AA1131" s="192">
        <f t="shared" si="794"/>
        <v>0.51999999999998181</v>
      </c>
      <c r="AB1131" s="193">
        <f t="shared" si="684"/>
        <v>4.9309664694280079E-3</v>
      </c>
      <c r="AC1131" s="194">
        <f t="shared" si="685"/>
        <v>4.06E-4</v>
      </c>
      <c r="AD1131" s="189"/>
      <c r="AE1131" s="195" t="s">
        <v>403</v>
      </c>
      <c r="AF1131" s="119"/>
    </row>
    <row r="1132" spans="1:32" ht="12" hidden="1" customHeight="1">
      <c r="A1132" s="183">
        <v>44538</v>
      </c>
      <c r="B1132" s="184" t="s">
        <v>547</v>
      </c>
      <c r="C1132" s="184"/>
      <c r="D1132" s="184"/>
      <c r="E1132" s="184"/>
      <c r="F1132" s="184"/>
      <c r="G1132" s="184"/>
      <c r="H1132" s="184" t="s">
        <v>654</v>
      </c>
      <c r="I1132" s="184" t="s">
        <v>469</v>
      </c>
      <c r="J1132" s="184" t="s">
        <v>471</v>
      </c>
      <c r="K1132" s="185">
        <v>600</v>
      </c>
      <c r="L1132" s="186">
        <v>29</v>
      </c>
      <c r="M1132" s="187">
        <v>29.35</v>
      </c>
      <c r="N1132" s="188">
        <f t="shared" si="796"/>
        <v>5.22</v>
      </c>
      <c r="O1132" s="188">
        <f t="shared" si="797"/>
        <v>5.28</v>
      </c>
      <c r="P1132" s="189">
        <f t="shared" si="674"/>
        <v>35010</v>
      </c>
      <c r="Q1132" s="189">
        <f t="shared" si="675"/>
        <v>210.00000000000085</v>
      </c>
      <c r="R1132" s="189">
        <f t="shared" si="798"/>
        <v>10.5</v>
      </c>
      <c r="S1132" s="189">
        <f t="shared" si="697"/>
        <v>2.06</v>
      </c>
      <c r="T1132" s="189">
        <f t="shared" si="730"/>
        <v>4.4000000000000004</v>
      </c>
      <c r="U1132" s="189">
        <f t="shared" si="731"/>
        <v>0.52</v>
      </c>
      <c r="V1132" s="189">
        <f t="shared" si="799"/>
        <v>0.96</v>
      </c>
      <c r="W1132" s="189">
        <f t="shared" si="758"/>
        <v>0.04</v>
      </c>
      <c r="X1132" s="189">
        <f t="shared" si="681"/>
        <v>18.48</v>
      </c>
      <c r="Y1132" s="190">
        <f t="shared" si="682"/>
        <v>191.52</v>
      </c>
      <c r="Z1132" s="191">
        <v>191.3</v>
      </c>
      <c r="AA1132" s="192">
        <f t="shared" si="794"/>
        <v>-0.21999999999999886</v>
      </c>
      <c r="AB1132" s="193">
        <f t="shared" si="684"/>
        <v>1.2068965517241428E-2</v>
      </c>
      <c r="AC1132" s="194">
        <f t="shared" si="685"/>
        <v>5.2800000000000004E-4</v>
      </c>
      <c r="AD1132" s="189"/>
      <c r="AE1132" s="195" t="s">
        <v>403</v>
      </c>
      <c r="AF1132" s="119"/>
    </row>
    <row r="1133" spans="1:32" ht="12" hidden="1" customHeight="1">
      <c r="A1133" s="183">
        <v>44539</v>
      </c>
      <c r="B1133" s="184" t="s">
        <v>579</v>
      </c>
      <c r="C1133" s="184"/>
      <c r="D1133" s="184"/>
      <c r="E1133" s="184"/>
      <c r="F1133" s="184"/>
      <c r="G1133" s="184"/>
      <c r="H1133" s="184" t="s">
        <v>654</v>
      </c>
      <c r="I1133" s="184" t="s">
        <v>469</v>
      </c>
      <c r="J1133" s="184" t="s">
        <v>471</v>
      </c>
      <c r="K1133" s="185">
        <v>10</v>
      </c>
      <c r="L1133" s="186">
        <v>441</v>
      </c>
      <c r="M1133" s="187">
        <v>441</v>
      </c>
      <c r="N1133" s="188">
        <f t="shared" si="796"/>
        <v>1.32</v>
      </c>
      <c r="O1133" s="188">
        <f t="shared" si="797"/>
        <v>1.32</v>
      </c>
      <c r="P1133" s="189">
        <f t="shared" si="674"/>
        <v>8820</v>
      </c>
      <c r="Q1133" s="189">
        <f t="shared" si="675"/>
        <v>0</v>
      </c>
      <c r="R1133" s="189">
        <f t="shared" si="798"/>
        <v>2.64</v>
      </c>
      <c r="S1133" s="189">
        <f t="shared" si="697"/>
        <v>0.53</v>
      </c>
      <c r="T1133" s="189">
        <f t="shared" si="730"/>
        <v>1.1000000000000001</v>
      </c>
      <c r="U1133" s="189">
        <f t="shared" si="731"/>
        <v>0.13</v>
      </c>
      <c r="V1133" s="189">
        <f>ROUND(P1133*M$1809,2)</f>
        <v>0.3</v>
      </c>
      <c r="W1133" s="189">
        <f t="shared" si="758"/>
        <v>0.01</v>
      </c>
      <c r="X1133" s="189">
        <f t="shared" si="681"/>
        <v>4.7099999999999991</v>
      </c>
      <c r="Y1133" s="190">
        <f t="shared" si="682"/>
        <v>-4.71</v>
      </c>
      <c r="Z1133" s="191">
        <v>49.59</v>
      </c>
      <c r="AA1133" s="192">
        <f>Z1133-Y1134-Y1133</f>
        <v>-0.40999999999999748</v>
      </c>
      <c r="AB1133" s="193">
        <f t="shared" si="684"/>
        <v>0</v>
      </c>
      <c r="AC1133" s="194">
        <f t="shared" si="685"/>
        <v>5.3399999999999997E-4</v>
      </c>
      <c r="AD1133" s="189"/>
      <c r="AE1133" s="195" t="s">
        <v>403</v>
      </c>
      <c r="AF1133" s="119"/>
    </row>
    <row r="1134" spans="1:32" ht="12" hidden="1" customHeight="1">
      <c r="A1134" s="183">
        <v>44539</v>
      </c>
      <c r="B1134" s="184" t="s">
        <v>559</v>
      </c>
      <c r="C1134" s="184"/>
      <c r="D1134" s="184"/>
      <c r="E1134" s="184"/>
      <c r="F1134" s="184"/>
      <c r="G1134" s="184"/>
      <c r="H1134" s="184" t="s">
        <v>654</v>
      </c>
      <c r="I1134" s="184" t="s">
        <v>469</v>
      </c>
      <c r="J1134" s="184" t="s">
        <v>471</v>
      </c>
      <c r="K1134" s="185">
        <v>50</v>
      </c>
      <c r="L1134" s="186">
        <v>45.75</v>
      </c>
      <c r="M1134" s="187">
        <v>47</v>
      </c>
      <c r="N1134" s="188">
        <f t="shared" si="796"/>
        <v>0.69</v>
      </c>
      <c r="O1134" s="188">
        <f t="shared" si="797"/>
        <v>0.71</v>
      </c>
      <c r="P1134" s="189">
        <f t="shared" si="674"/>
        <v>4637.5</v>
      </c>
      <c r="Q1134" s="189">
        <f t="shared" si="675"/>
        <v>62.5</v>
      </c>
      <c r="R1134" s="189">
        <f t="shared" si="798"/>
        <v>1.4</v>
      </c>
      <c r="S1134" s="189">
        <f t="shared" si="697"/>
        <v>1.0900000000000001</v>
      </c>
      <c r="T1134" s="189">
        <f t="shared" si="730"/>
        <v>0.59</v>
      </c>
      <c r="U1134" s="189">
        <f t="shared" si="731"/>
        <v>7.0000000000000007E-2</v>
      </c>
      <c r="V1134" s="189">
        <f>ROUND(P1134*0.1%,2)</f>
        <v>4.6399999999999997</v>
      </c>
      <c r="W1134" s="189">
        <f t="shared" si="758"/>
        <v>0</v>
      </c>
      <c r="X1134" s="189">
        <f t="shared" si="681"/>
        <v>7.7899999999999991</v>
      </c>
      <c r="Y1134" s="190">
        <f t="shared" si="682"/>
        <v>54.71</v>
      </c>
      <c r="Z1134" s="191"/>
      <c r="AA1134" s="192"/>
      <c r="AB1134" s="193">
        <f t="shared" si="684"/>
        <v>2.7322404371584699E-2</v>
      </c>
      <c r="AC1134" s="194">
        <f t="shared" si="685"/>
        <v>1.6800000000000001E-3</v>
      </c>
      <c r="AD1134" s="189"/>
      <c r="AE1134" s="195" t="s">
        <v>403</v>
      </c>
      <c r="AF1134" s="119"/>
    </row>
    <row r="1135" spans="1:32" ht="12" hidden="1" customHeight="1">
      <c r="A1135" s="183">
        <v>44543</v>
      </c>
      <c r="B1135" s="184" t="s">
        <v>465</v>
      </c>
      <c r="C1135" s="184"/>
      <c r="D1135" s="184"/>
      <c r="E1135" s="184"/>
      <c r="F1135" s="184"/>
      <c r="G1135" s="184"/>
      <c r="H1135" s="184" t="s">
        <v>654</v>
      </c>
      <c r="I1135" s="184" t="s">
        <v>469</v>
      </c>
      <c r="J1135" s="184" t="s">
        <v>471</v>
      </c>
      <c r="K1135" s="185">
        <v>70</v>
      </c>
      <c r="L1135" s="186">
        <v>233</v>
      </c>
      <c r="M1135" s="187">
        <v>235.75</v>
      </c>
      <c r="N1135" s="188">
        <f t="shared" si="796"/>
        <v>4.8899999999999997</v>
      </c>
      <c r="O1135" s="188">
        <f t="shared" si="797"/>
        <v>4.95</v>
      </c>
      <c r="P1135" s="189">
        <f t="shared" si="674"/>
        <v>32812.5</v>
      </c>
      <c r="Q1135" s="189">
        <f t="shared" si="675"/>
        <v>192.5</v>
      </c>
      <c r="R1135" s="189">
        <f t="shared" si="798"/>
        <v>9.84</v>
      </c>
      <c r="S1135" s="189">
        <f t="shared" si="697"/>
        <v>1.93</v>
      </c>
      <c r="T1135" s="189">
        <f t="shared" si="730"/>
        <v>4.13</v>
      </c>
      <c r="U1135" s="189">
        <f t="shared" si="731"/>
        <v>0.49</v>
      </c>
      <c r="V1135" s="189">
        <f>ROUND(P1135*L$1809,2)</f>
        <v>0.9</v>
      </c>
      <c r="W1135" s="189">
        <f t="shared" si="758"/>
        <v>0.03</v>
      </c>
      <c r="X1135" s="189">
        <f t="shared" si="681"/>
        <v>17.319999999999997</v>
      </c>
      <c r="Y1135" s="190">
        <f t="shared" si="682"/>
        <v>175.18</v>
      </c>
      <c r="Z1135" s="191">
        <v>244.8</v>
      </c>
      <c r="AA1135" s="192">
        <f>Z1135-Y1136-Y1135</f>
        <v>3.0000000000001137E-2</v>
      </c>
      <c r="AB1135" s="193">
        <f t="shared" si="684"/>
        <v>1.1802575107296138E-2</v>
      </c>
      <c r="AC1135" s="194">
        <f t="shared" si="685"/>
        <v>5.2800000000000004E-4</v>
      </c>
      <c r="AD1135" s="189"/>
      <c r="AE1135" s="195" t="s">
        <v>403</v>
      </c>
      <c r="AF1135" s="119"/>
    </row>
    <row r="1136" spans="1:32" ht="12" hidden="1" customHeight="1">
      <c r="A1136" s="183">
        <v>44543</v>
      </c>
      <c r="B1136" s="184" t="s">
        <v>482</v>
      </c>
      <c r="C1136" s="184"/>
      <c r="D1136" s="184"/>
      <c r="E1136" s="184"/>
      <c r="F1136" s="184"/>
      <c r="G1136" s="184"/>
      <c r="H1136" s="184" t="s">
        <v>654</v>
      </c>
      <c r="I1136" s="184" t="s">
        <v>469</v>
      </c>
      <c r="J1136" s="184" t="s">
        <v>471</v>
      </c>
      <c r="K1136" s="185">
        <v>50</v>
      </c>
      <c r="L1136" s="186">
        <v>100</v>
      </c>
      <c r="M1136" s="187">
        <v>101.5</v>
      </c>
      <c r="N1136" s="188">
        <f t="shared" si="796"/>
        <v>1.5</v>
      </c>
      <c r="O1136" s="188">
        <f t="shared" si="797"/>
        <v>1.52</v>
      </c>
      <c r="P1136" s="189">
        <f t="shared" si="674"/>
        <v>10075</v>
      </c>
      <c r="Q1136" s="189">
        <f t="shared" si="675"/>
        <v>75</v>
      </c>
      <c r="R1136" s="189">
        <f t="shared" si="798"/>
        <v>3.02</v>
      </c>
      <c r="S1136" s="189">
        <f t="shared" si="697"/>
        <v>0.61</v>
      </c>
      <c r="T1136" s="189">
        <f t="shared" si="730"/>
        <v>1.27</v>
      </c>
      <c r="U1136" s="189">
        <f t="shared" si="731"/>
        <v>0.15</v>
      </c>
      <c r="V1136" s="189">
        <f>ROUND(P1136*M$1809,2)</f>
        <v>0.35</v>
      </c>
      <c r="W1136" s="189">
        <f t="shared" si="758"/>
        <v>0.01</v>
      </c>
      <c r="X1136" s="189">
        <f t="shared" si="681"/>
        <v>5.41</v>
      </c>
      <c r="Y1136" s="190">
        <f t="shared" si="682"/>
        <v>69.59</v>
      </c>
      <c r="Z1136" s="191"/>
      <c r="AA1136" s="192"/>
      <c r="AB1136" s="193">
        <f t="shared" si="684"/>
        <v>1.4999999999999999E-2</v>
      </c>
      <c r="AC1136" s="194">
        <f t="shared" si="685"/>
        <v>5.3700000000000004E-4</v>
      </c>
      <c r="AD1136" s="189"/>
      <c r="AE1136" s="195" t="s">
        <v>403</v>
      </c>
      <c r="AF1136" s="119"/>
    </row>
    <row r="1137" spans="1:32" ht="12" hidden="1" customHeight="1">
      <c r="A1137" s="183">
        <v>44544</v>
      </c>
      <c r="B1137" s="184" t="s">
        <v>575</v>
      </c>
      <c r="C1137" s="184"/>
      <c r="D1137" s="184"/>
      <c r="E1137" s="184"/>
      <c r="F1137" s="184"/>
      <c r="G1137" s="184"/>
      <c r="H1137" s="184" t="s">
        <v>654</v>
      </c>
      <c r="I1137" s="184" t="s">
        <v>469</v>
      </c>
      <c r="J1137" s="184" t="s">
        <v>448</v>
      </c>
      <c r="K1137" s="185">
        <v>317</v>
      </c>
      <c r="L1137" s="186">
        <v>982.78549999999996</v>
      </c>
      <c r="M1137" s="187">
        <v>988.62463000000002</v>
      </c>
      <c r="N1137" s="188">
        <f t="shared" si="796"/>
        <v>20</v>
      </c>
      <c r="O1137" s="188">
        <f t="shared" si="797"/>
        <v>20</v>
      </c>
      <c r="P1137" s="189">
        <f t="shared" si="674"/>
        <v>624937.01</v>
      </c>
      <c r="Q1137" s="189">
        <f t="shared" si="675"/>
        <v>1851.0042100000217</v>
      </c>
      <c r="R1137" s="189">
        <v>144.99</v>
      </c>
      <c r="S1137" s="189">
        <f t="shared" si="697"/>
        <v>29.19</v>
      </c>
      <c r="T1137" s="189">
        <f t="shared" si="730"/>
        <v>78.349999999999994</v>
      </c>
      <c r="U1137" s="189">
        <f t="shared" si="731"/>
        <v>9.35</v>
      </c>
      <c r="V1137" s="189">
        <f>ROUND(P1137*L$1809,2)</f>
        <v>17.190000000000001</v>
      </c>
      <c r="W1137" s="189">
        <f t="shared" si="758"/>
        <v>0.62</v>
      </c>
      <c r="X1137" s="189">
        <f t="shared" si="681"/>
        <v>279.69</v>
      </c>
      <c r="Y1137" s="190">
        <f t="shared" si="682"/>
        <v>1571.31</v>
      </c>
      <c r="Z1137" s="191">
        <v>1571.02</v>
      </c>
      <c r="AA1137" s="192">
        <f t="shared" ref="AA1137:AA1143" si="800">Z1137-Y1137</f>
        <v>-0.28999999999996362</v>
      </c>
      <c r="AB1137" s="193">
        <f t="shared" si="684"/>
        <v>5.941408374462249E-3</v>
      </c>
      <c r="AC1137" s="194">
        <f t="shared" si="685"/>
        <v>4.4799999999999999E-4</v>
      </c>
      <c r="AD1137" s="189"/>
      <c r="AE1137" s="195" t="s">
        <v>403</v>
      </c>
      <c r="AF1137" s="119"/>
    </row>
    <row r="1138" spans="1:32" ht="12" hidden="1" customHeight="1">
      <c r="A1138" s="183">
        <v>44546</v>
      </c>
      <c r="B1138" s="184" t="s">
        <v>575</v>
      </c>
      <c r="C1138" s="184"/>
      <c r="D1138" s="184"/>
      <c r="E1138" s="184"/>
      <c r="F1138" s="184"/>
      <c r="G1138" s="184"/>
      <c r="H1138" s="184" t="s">
        <v>654</v>
      </c>
      <c r="I1138" s="184" t="s">
        <v>469</v>
      </c>
      <c r="J1138" s="184" t="s">
        <v>448</v>
      </c>
      <c r="K1138" s="185">
        <v>100</v>
      </c>
      <c r="L1138" s="186">
        <v>997</v>
      </c>
      <c r="M1138" s="187">
        <v>1002</v>
      </c>
      <c r="N1138" s="188">
        <f t="shared" si="796"/>
        <v>20</v>
      </c>
      <c r="O1138" s="188">
        <f t="shared" si="797"/>
        <v>20</v>
      </c>
      <c r="P1138" s="189">
        <f t="shared" si="674"/>
        <v>199900</v>
      </c>
      <c r="Q1138" s="189">
        <f t="shared" si="675"/>
        <v>500</v>
      </c>
      <c r="R1138" s="189">
        <v>40</v>
      </c>
      <c r="S1138" s="189">
        <f t="shared" si="697"/>
        <v>8.44</v>
      </c>
      <c r="T1138" s="189">
        <f t="shared" si="730"/>
        <v>25.05</v>
      </c>
      <c r="U1138" s="189">
        <f t="shared" si="731"/>
        <v>2.99</v>
      </c>
      <c r="V1138" s="189">
        <f>ROUND(P1138*M$1809,2)</f>
        <v>6.9</v>
      </c>
      <c r="W1138" s="189">
        <f t="shared" si="758"/>
        <v>0.2</v>
      </c>
      <c r="X1138" s="189">
        <f t="shared" si="681"/>
        <v>83.58</v>
      </c>
      <c r="Y1138" s="190">
        <f t="shared" si="682"/>
        <v>416.42</v>
      </c>
      <c r="Z1138" s="191">
        <v>416.33</v>
      </c>
      <c r="AA1138" s="192">
        <f t="shared" si="800"/>
        <v>-9.0000000000031832E-2</v>
      </c>
      <c r="AB1138" s="193">
        <f t="shared" si="684"/>
        <v>5.0150451354062184E-3</v>
      </c>
      <c r="AC1138" s="194">
        <f t="shared" si="685"/>
        <v>4.1800000000000002E-4</v>
      </c>
      <c r="AD1138" s="189"/>
      <c r="AE1138" s="195" t="s">
        <v>403</v>
      </c>
      <c r="AF1138" s="119"/>
    </row>
    <row r="1139" spans="1:32" ht="12" hidden="1" customHeight="1">
      <c r="A1139" s="183">
        <v>44547</v>
      </c>
      <c r="B1139" s="184" t="s">
        <v>575</v>
      </c>
      <c r="C1139" s="184"/>
      <c r="D1139" s="184"/>
      <c r="E1139" s="184"/>
      <c r="F1139" s="184"/>
      <c r="G1139" s="184"/>
      <c r="H1139" s="184" t="s">
        <v>654</v>
      </c>
      <c r="I1139" s="184" t="s">
        <v>469</v>
      </c>
      <c r="J1139" s="184" t="s">
        <v>448</v>
      </c>
      <c r="K1139" s="185">
        <v>100</v>
      </c>
      <c r="L1139" s="186">
        <v>996.88</v>
      </c>
      <c r="M1139" s="187">
        <v>1005</v>
      </c>
      <c r="N1139" s="188">
        <f t="shared" si="796"/>
        <v>20</v>
      </c>
      <c r="O1139" s="188">
        <f t="shared" si="797"/>
        <v>20</v>
      </c>
      <c r="P1139" s="189">
        <f t="shared" si="674"/>
        <v>200188</v>
      </c>
      <c r="Q1139" s="189">
        <f t="shared" si="675"/>
        <v>812.00000000000045</v>
      </c>
      <c r="R1139" s="189">
        <v>40</v>
      </c>
      <c r="S1139" s="189">
        <f t="shared" si="697"/>
        <v>8.19</v>
      </c>
      <c r="T1139" s="189">
        <f t="shared" si="730"/>
        <v>25.13</v>
      </c>
      <c r="U1139" s="189">
        <f t="shared" si="731"/>
        <v>2.99</v>
      </c>
      <c r="V1139" s="189">
        <f>ROUND(P1139*L$1809,2)</f>
        <v>5.51</v>
      </c>
      <c r="W1139" s="189">
        <f t="shared" si="758"/>
        <v>0.2</v>
      </c>
      <c r="X1139" s="189">
        <f t="shared" si="681"/>
        <v>82.02</v>
      </c>
      <c r="Y1139" s="190">
        <f t="shared" si="682"/>
        <v>729.98</v>
      </c>
      <c r="Z1139" s="191">
        <v>730.1</v>
      </c>
      <c r="AA1139" s="192">
        <f t="shared" si="800"/>
        <v>0.12000000000000455</v>
      </c>
      <c r="AB1139" s="193">
        <f t="shared" si="684"/>
        <v>8.1454136907150362E-3</v>
      </c>
      <c r="AC1139" s="194">
        <f t="shared" si="685"/>
        <v>4.0999999999999999E-4</v>
      </c>
      <c r="AD1139" s="189"/>
      <c r="AE1139" s="195" t="s">
        <v>403</v>
      </c>
      <c r="AF1139" s="119"/>
    </row>
    <row r="1140" spans="1:32" ht="12" hidden="1" customHeight="1">
      <c r="A1140" s="183">
        <v>44550</v>
      </c>
      <c r="B1140" s="184" t="s">
        <v>575</v>
      </c>
      <c r="C1140" s="184"/>
      <c r="D1140" s="184"/>
      <c r="E1140" s="184"/>
      <c r="F1140" s="184"/>
      <c r="G1140" s="184"/>
      <c r="H1140" s="184" t="s">
        <v>654</v>
      </c>
      <c r="I1140" s="184" t="s">
        <v>469</v>
      </c>
      <c r="J1140" s="184" t="s">
        <v>448</v>
      </c>
      <c r="K1140" s="185">
        <v>440</v>
      </c>
      <c r="L1140" s="186">
        <v>967.35230000000001</v>
      </c>
      <c r="M1140" s="187">
        <v>976.76139999999998</v>
      </c>
      <c r="N1140" s="188">
        <f t="shared" si="796"/>
        <v>20</v>
      </c>
      <c r="O1140" s="188">
        <f t="shared" si="797"/>
        <v>20</v>
      </c>
      <c r="P1140" s="189">
        <f t="shared" si="674"/>
        <v>855410.03</v>
      </c>
      <c r="Q1140" s="189">
        <f t="shared" si="675"/>
        <v>4140.0039999999854</v>
      </c>
      <c r="R1140" s="189">
        <v>183.10000000000002</v>
      </c>
      <c r="S1140" s="189">
        <f t="shared" si="697"/>
        <v>37.659999999999997</v>
      </c>
      <c r="T1140" s="189">
        <f t="shared" si="730"/>
        <v>107.44</v>
      </c>
      <c r="U1140" s="189">
        <f t="shared" si="731"/>
        <v>12.77</v>
      </c>
      <c r="V1140" s="189">
        <f>ROUND(P1140*L$1809,2)+2.6</f>
        <v>26.12</v>
      </c>
      <c r="W1140" s="189">
        <f t="shared" si="758"/>
        <v>0.86</v>
      </c>
      <c r="X1140" s="189">
        <f t="shared" si="681"/>
        <v>367.95000000000005</v>
      </c>
      <c r="Y1140" s="190">
        <f t="shared" si="682"/>
        <v>3772.05</v>
      </c>
      <c r="Z1140" s="191">
        <v>3773.22</v>
      </c>
      <c r="AA1140" s="192">
        <f t="shared" si="800"/>
        <v>1.169999999999618</v>
      </c>
      <c r="AB1140" s="193">
        <f t="shared" si="684"/>
        <v>9.7266528440568822E-3</v>
      </c>
      <c r="AC1140" s="194">
        <f t="shared" si="685"/>
        <v>4.2999999999999999E-4</v>
      </c>
      <c r="AD1140" s="189"/>
      <c r="AE1140" s="195" t="s">
        <v>403</v>
      </c>
      <c r="AF1140" s="119"/>
    </row>
    <row r="1141" spans="1:32" ht="12" hidden="1" customHeight="1">
      <c r="A1141" s="183">
        <v>44551</v>
      </c>
      <c r="B1141" s="184" t="s">
        <v>575</v>
      </c>
      <c r="C1141" s="184"/>
      <c r="D1141" s="184"/>
      <c r="E1141" s="184"/>
      <c r="F1141" s="184"/>
      <c r="G1141" s="184"/>
      <c r="H1141" s="184" t="s">
        <v>654</v>
      </c>
      <c r="I1141" s="184" t="s">
        <v>469</v>
      </c>
      <c r="J1141" s="184" t="s">
        <v>448</v>
      </c>
      <c r="K1141" s="185">
        <v>300</v>
      </c>
      <c r="L1141" s="186">
        <v>987.41250000000002</v>
      </c>
      <c r="M1141" s="187">
        <v>993.5</v>
      </c>
      <c r="N1141" s="188">
        <f t="shared" si="796"/>
        <v>20</v>
      </c>
      <c r="O1141" s="188">
        <f t="shared" si="797"/>
        <v>20</v>
      </c>
      <c r="P1141" s="189">
        <f t="shared" si="674"/>
        <v>594273.75</v>
      </c>
      <c r="Q1141" s="189">
        <f t="shared" si="675"/>
        <v>1826.2499999999932</v>
      </c>
      <c r="R1141" s="189">
        <v>129.91</v>
      </c>
      <c r="S1141" s="189">
        <f t="shared" si="697"/>
        <v>26.33</v>
      </c>
      <c r="T1141" s="189">
        <f t="shared" si="730"/>
        <v>74.510000000000005</v>
      </c>
      <c r="U1141" s="189">
        <f t="shared" si="731"/>
        <v>8.89</v>
      </c>
      <c r="V1141" s="189">
        <f t="shared" ref="V1141:V1145" si="801">ROUND(P1141*L$1809,2)</f>
        <v>16.34</v>
      </c>
      <c r="W1141" s="189">
        <f t="shared" si="758"/>
        <v>0.59</v>
      </c>
      <c r="X1141" s="189">
        <f t="shared" si="681"/>
        <v>256.57</v>
      </c>
      <c r="Y1141" s="190">
        <f t="shared" si="682"/>
        <v>1569.68</v>
      </c>
      <c r="Z1141" s="191">
        <v>1570.47</v>
      </c>
      <c r="AA1141" s="192">
        <f t="shared" si="800"/>
        <v>0.78999999999996362</v>
      </c>
      <c r="AB1141" s="193">
        <f t="shared" si="684"/>
        <v>6.16510323699566E-3</v>
      </c>
      <c r="AC1141" s="194">
        <f t="shared" si="685"/>
        <v>4.3199999999999998E-4</v>
      </c>
      <c r="AD1141" s="189"/>
      <c r="AE1141" s="195" t="s">
        <v>403</v>
      </c>
      <c r="AF1141" s="119"/>
    </row>
    <row r="1142" spans="1:32" ht="12" hidden="1" customHeight="1">
      <c r="A1142" s="183">
        <v>44552</v>
      </c>
      <c r="B1142" s="184" t="s">
        <v>575</v>
      </c>
      <c r="C1142" s="184"/>
      <c r="D1142" s="184"/>
      <c r="E1142" s="184"/>
      <c r="F1142" s="184"/>
      <c r="G1142" s="184"/>
      <c r="H1142" s="184" t="s">
        <v>654</v>
      </c>
      <c r="I1142" s="184" t="s">
        <v>469</v>
      </c>
      <c r="J1142" s="184" t="s">
        <v>448</v>
      </c>
      <c r="K1142" s="185">
        <v>50</v>
      </c>
      <c r="L1142" s="186">
        <v>996</v>
      </c>
      <c r="M1142" s="187">
        <v>1004.56</v>
      </c>
      <c r="N1142" s="188">
        <f t="shared" si="796"/>
        <v>14.94</v>
      </c>
      <c r="O1142" s="188">
        <f t="shared" si="797"/>
        <v>15.07</v>
      </c>
      <c r="P1142" s="189">
        <f t="shared" si="674"/>
        <v>100028</v>
      </c>
      <c r="Q1142" s="189">
        <f t="shared" si="675"/>
        <v>427.99999999999727</v>
      </c>
      <c r="R1142" s="189">
        <v>30.009999999999998</v>
      </c>
      <c r="S1142" s="189">
        <f t="shared" si="697"/>
        <v>5.9</v>
      </c>
      <c r="T1142" s="189">
        <f>ROUND((M1142*K1142)*K$1807,2)+1</f>
        <v>13.56</v>
      </c>
      <c r="U1142" s="189">
        <f t="shared" si="731"/>
        <v>1.49</v>
      </c>
      <c r="V1142" s="189">
        <f t="shared" si="801"/>
        <v>2.75</v>
      </c>
      <c r="W1142" s="189">
        <f t="shared" si="758"/>
        <v>0.1</v>
      </c>
      <c r="X1142" s="189">
        <f t="shared" si="681"/>
        <v>53.81</v>
      </c>
      <c r="Y1142" s="190">
        <f t="shared" si="682"/>
        <v>374.19</v>
      </c>
      <c r="Z1142" s="191">
        <v>374.82</v>
      </c>
      <c r="AA1142" s="192">
        <f t="shared" si="800"/>
        <v>0.62999999999999545</v>
      </c>
      <c r="AB1142" s="193">
        <f t="shared" si="684"/>
        <v>8.5943775100401059E-3</v>
      </c>
      <c r="AC1142" s="194">
        <f t="shared" si="685"/>
        <v>5.3799999999999996E-4</v>
      </c>
      <c r="AD1142" s="189"/>
      <c r="AE1142" s="195" t="s">
        <v>403</v>
      </c>
      <c r="AF1142" s="119"/>
    </row>
    <row r="1143" spans="1:32" ht="12" hidden="1" customHeight="1">
      <c r="A1143" s="183">
        <v>44552</v>
      </c>
      <c r="B1143" s="184" t="s">
        <v>512</v>
      </c>
      <c r="C1143" s="184"/>
      <c r="D1143" s="184"/>
      <c r="E1143" s="184"/>
      <c r="F1143" s="184"/>
      <c r="G1143" s="184"/>
      <c r="H1143" s="184" t="s">
        <v>654</v>
      </c>
      <c r="I1143" s="184" t="s">
        <v>469</v>
      </c>
      <c r="J1143" s="184" t="s">
        <v>471</v>
      </c>
      <c r="K1143" s="185">
        <v>50</v>
      </c>
      <c r="L1143" s="186">
        <v>109</v>
      </c>
      <c r="M1143" s="187">
        <v>111</v>
      </c>
      <c r="N1143" s="188">
        <f t="shared" si="796"/>
        <v>1.64</v>
      </c>
      <c r="O1143" s="188">
        <f t="shared" si="797"/>
        <v>1.67</v>
      </c>
      <c r="P1143" s="189">
        <f t="shared" si="674"/>
        <v>11000</v>
      </c>
      <c r="Q1143" s="189">
        <f t="shared" si="675"/>
        <v>100</v>
      </c>
      <c r="R1143" s="189">
        <f t="shared" ref="R1143:R1146" si="802">ROUND(N1143+O1143,2)</f>
        <v>3.31</v>
      </c>
      <c r="S1143" s="189">
        <f t="shared" si="697"/>
        <v>0.65</v>
      </c>
      <c r="T1143" s="189">
        <f t="shared" ref="T1143:T1146" si="803">ROUND((M1143*K1143)*K$1807,2)</f>
        <v>1.39</v>
      </c>
      <c r="U1143" s="189">
        <f t="shared" si="731"/>
        <v>0.16</v>
      </c>
      <c r="V1143" s="189">
        <f t="shared" si="801"/>
        <v>0.3</v>
      </c>
      <c r="W1143" s="189">
        <f t="shared" si="758"/>
        <v>0.01</v>
      </c>
      <c r="X1143" s="189">
        <f t="shared" si="681"/>
        <v>5.8199999999999994</v>
      </c>
      <c r="Y1143" s="190">
        <f t="shared" si="682"/>
        <v>94.18</v>
      </c>
      <c r="Z1143" s="191">
        <v>94.74</v>
      </c>
      <c r="AA1143" s="192">
        <f t="shared" si="800"/>
        <v>0.55999999999998806</v>
      </c>
      <c r="AB1143" s="193">
        <f t="shared" si="684"/>
        <v>1.834862385321101E-2</v>
      </c>
      <c r="AC1143" s="194">
        <f t="shared" si="685"/>
        <v>5.2899999999999996E-4</v>
      </c>
      <c r="AD1143" s="189"/>
      <c r="AE1143" s="195" t="s">
        <v>403</v>
      </c>
      <c r="AF1143" s="119"/>
    </row>
    <row r="1144" spans="1:32" ht="12" hidden="1" customHeight="1">
      <c r="A1144" s="183">
        <v>44553</v>
      </c>
      <c r="B1144" s="184" t="s">
        <v>482</v>
      </c>
      <c r="C1144" s="184"/>
      <c r="D1144" s="184"/>
      <c r="E1144" s="184"/>
      <c r="F1144" s="184"/>
      <c r="G1144" s="184"/>
      <c r="H1144" s="184" t="s">
        <v>654</v>
      </c>
      <c r="I1144" s="184" t="s">
        <v>469</v>
      </c>
      <c r="J1144" s="184" t="s">
        <v>471</v>
      </c>
      <c r="K1144" s="185">
        <v>200</v>
      </c>
      <c r="L1144" s="186">
        <v>104.1</v>
      </c>
      <c r="M1144" s="187">
        <v>105.25</v>
      </c>
      <c r="N1144" s="188">
        <f t="shared" si="796"/>
        <v>6.25</v>
      </c>
      <c r="O1144" s="188">
        <f t="shared" si="797"/>
        <v>6.32</v>
      </c>
      <c r="P1144" s="189">
        <f t="shared" si="674"/>
        <v>41870</v>
      </c>
      <c r="Q1144" s="189">
        <f t="shared" si="675"/>
        <v>230.00000000000114</v>
      </c>
      <c r="R1144" s="189">
        <f t="shared" si="802"/>
        <v>12.57</v>
      </c>
      <c r="S1144" s="189">
        <f t="shared" si="697"/>
        <v>2.4700000000000002</v>
      </c>
      <c r="T1144" s="189">
        <f t="shared" si="803"/>
        <v>5.26</v>
      </c>
      <c r="U1144" s="189">
        <f t="shared" si="731"/>
        <v>0.62</v>
      </c>
      <c r="V1144" s="189">
        <f t="shared" si="801"/>
        <v>1.1499999999999999</v>
      </c>
      <c r="W1144" s="189">
        <f t="shared" si="758"/>
        <v>0.04</v>
      </c>
      <c r="X1144" s="189">
        <f t="shared" si="681"/>
        <v>22.11</v>
      </c>
      <c r="Y1144" s="190">
        <f t="shared" si="682"/>
        <v>207.89</v>
      </c>
      <c r="Z1144" s="191">
        <v>209.96</v>
      </c>
      <c r="AA1144" s="192">
        <f>Z1144-Y1145-Y1144</f>
        <v>-0.62999999999996703</v>
      </c>
      <c r="AB1144" s="193">
        <f t="shared" si="684"/>
        <v>1.1047070124879979E-2</v>
      </c>
      <c r="AC1144" s="194">
        <f t="shared" si="685"/>
        <v>5.2800000000000004E-4</v>
      </c>
      <c r="AD1144" s="189"/>
      <c r="AE1144" s="195" t="s">
        <v>403</v>
      </c>
      <c r="AF1144" s="119"/>
    </row>
    <row r="1145" spans="1:32" ht="12" hidden="1" customHeight="1">
      <c r="A1145" s="183">
        <v>44553</v>
      </c>
      <c r="B1145" s="184" t="s">
        <v>484</v>
      </c>
      <c r="C1145" s="184"/>
      <c r="D1145" s="184"/>
      <c r="E1145" s="184"/>
      <c r="F1145" s="184"/>
      <c r="G1145" s="184"/>
      <c r="H1145" s="184" t="s">
        <v>654</v>
      </c>
      <c r="I1145" s="184" t="s">
        <v>469</v>
      </c>
      <c r="J1145" s="184" t="s">
        <v>471</v>
      </c>
      <c r="K1145" s="185">
        <v>1</v>
      </c>
      <c r="L1145" s="186">
        <v>6915</v>
      </c>
      <c r="M1145" s="187">
        <v>6925</v>
      </c>
      <c r="N1145" s="188">
        <f t="shared" si="796"/>
        <v>2.0699999999999998</v>
      </c>
      <c r="O1145" s="188">
        <f t="shared" si="797"/>
        <v>2.08</v>
      </c>
      <c r="P1145" s="189">
        <f t="shared" si="674"/>
        <v>13840</v>
      </c>
      <c r="Q1145" s="189">
        <f t="shared" si="675"/>
        <v>10</v>
      </c>
      <c r="R1145" s="189">
        <f t="shared" si="802"/>
        <v>4.1500000000000004</v>
      </c>
      <c r="S1145" s="189">
        <f t="shared" si="697"/>
        <v>0.82</v>
      </c>
      <c r="T1145" s="189">
        <f t="shared" si="803"/>
        <v>1.73</v>
      </c>
      <c r="U1145" s="189">
        <f t="shared" si="731"/>
        <v>0.21</v>
      </c>
      <c r="V1145" s="189">
        <f t="shared" si="801"/>
        <v>0.38</v>
      </c>
      <c r="W1145" s="189">
        <f t="shared" si="758"/>
        <v>0.01</v>
      </c>
      <c r="X1145" s="189">
        <f t="shared" si="681"/>
        <v>7.3000000000000007</v>
      </c>
      <c r="Y1145" s="190">
        <f t="shared" si="682"/>
        <v>2.7</v>
      </c>
      <c r="Z1145" s="191"/>
      <c r="AA1145" s="192"/>
      <c r="AB1145" s="193">
        <f t="shared" si="684"/>
        <v>1.4461315979754157E-3</v>
      </c>
      <c r="AC1145" s="194">
        <f t="shared" si="685"/>
        <v>5.2700000000000002E-4</v>
      </c>
      <c r="AD1145" s="189"/>
      <c r="AE1145" s="195" t="s">
        <v>403</v>
      </c>
      <c r="AF1145" s="119"/>
    </row>
    <row r="1146" spans="1:32" ht="12" hidden="1" customHeight="1">
      <c r="A1146" s="183">
        <v>44558</v>
      </c>
      <c r="B1146" s="184" t="s">
        <v>547</v>
      </c>
      <c r="C1146" s="184"/>
      <c r="D1146" s="184"/>
      <c r="E1146" s="184"/>
      <c r="F1146" s="184"/>
      <c r="G1146" s="184"/>
      <c r="H1146" s="184" t="s">
        <v>654</v>
      </c>
      <c r="I1146" s="184" t="s">
        <v>469</v>
      </c>
      <c r="J1146" s="184" t="s">
        <v>471</v>
      </c>
      <c r="K1146" s="185">
        <v>100</v>
      </c>
      <c r="L1146" s="186">
        <v>29.5</v>
      </c>
      <c r="M1146" s="187">
        <v>30.3</v>
      </c>
      <c r="N1146" s="188">
        <f t="shared" si="796"/>
        <v>0.89</v>
      </c>
      <c r="O1146" s="188">
        <f t="shared" si="797"/>
        <v>0.91</v>
      </c>
      <c r="P1146" s="189">
        <f t="shared" si="674"/>
        <v>5980</v>
      </c>
      <c r="Q1146" s="189">
        <f t="shared" si="675"/>
        <v>80.000000000000071</v>
      </c>
      <c r="R1146" s="189">
        <f t="shared" si="802"/>
        <v>1.8</v>
      </c>
      <c r="S1146" s="189">
        <f t="shared" si="697"/>
        <v>0.36</v>
      </c>
      <c r="T1146" s="189">
        <f t="shared" si="803"/>
        <v>0.76</v>
      </c>
      <c r="U1146" s="189">
        <f t="shared" si="731"/>
        <v>0.09</v>
      </c>
      <c r="V1146" s="189">
        <f>ROUND(P1146*M$1809,2)</f>
        <v>0.21</v>
      </c>
      <c r="W1146" s="189">
        <f t="shared" si="758"/>
        <v>0.01</v>
      </c>
      <c r="X1146" s="189">
        <f t="shared" si="681"/>
        <v>3.2299999999999995</v>
      </c>
      <c r="Y1146" s="190">
        <f t="shared" si="682"/>
        <v>76.77</v>
      </c>
      <c r="Z1146" s="191">
        <v>76.63</v>
      </c>
      <c r="AA1146" s="192">
        <f t="shared" ref="AA1146:AA1149" si="804">Z1146-Y1146</f>
        <v>-0.14000000000000057</v>
      </c>
      <c r="AB1146" s="193">
        <f t="shared" si="684"/>
        <v>2.7118644067796634E-2</v>
      </c>
      <c r="AC1146" s="194">
        <f t="shared" si="685"/>
        <v>5.4000000000000001E-4</v>
      </c>
      <c r="AD1146" s="189"/>
      <c r="AE1146" s="195" t="s">
        <v>403</v>
      </c>
      <c r="AF1146" s="119"/>
    </row>
    <row r="1147" spans="1:32" ht="12" hidden="1" customHeight="1">
      <c r="A1147" s="183">
        <v>44559</v>
      </c>
      <c r="B1147" s="184" t="s">
        <v>575</v>
      </c>
      <c r="C1147" s="184"/>
      <c r="D1147" s="184"/>
      <c r="E1147" s="184"/>
      <c r="F1147" s="184"/>
      <c r="G1147" s="184"/>
      <c r="H1147" s="184" t="s">
        <v>654</v>
      </c>
      <c r="I1147" s="184" t="s">
        <v>469</v>
      </c>
      <c r="J1147" s="184" t="s">
        <v>448</v>
      </c>
      <c r="K1147" s="185">
        <v>53</v>
      </c>
      <c r="L1147" s="186">
        <v>961</v>
      </c>
      <c r="M1147" s="187">
        <v>973.39620000000002</v>
      </c>
      <c r="N1147" s="188">
        <f t="shared" si="796"/>
        <v>15.28</v>
      </c>
      <c r="O1147" s="188">
        <f t="shared" si="797"/>
        <v>15.48</v>
      </c>
      <c r="P1147" s="189">
        <f t="shared" si="674"/>
        <v>102523</v>
      </c>
      <c r="Q1147" s="189">
        <f t="shared" si="675"/>
        <v>656.99860000000115</v>
      </c>
      <c r="R1147" s="189">
        <v>30.75</v>
      </c>
      <c r="S1147" s="189">
        <f t="shared" si="697"/>
        <v>6.04</v>
      </c>
      <c r="T1147" s="189">
        <f>ROUND((M1147*K1147)*K$1807,2)+1</f>
        <v>13.9</v>
      </c>
      <c r="U1147" s="189">
        <f t="shared" si="731"/>
        <v>1.53</v>
      </c>
      <c r="V1147" s="189">
        <f>ROUND(P1147*L$1809,2)</f>
        <v>2.82</v>
      </c>
      <c r="W1147" s="189">
        <f t="shared" si="758"/>
        <v>0.1</v>
      </c>
      <c r="X1147" s="189">
        <f t="shared" si="681"/>
        <v>55.14</v>
      </c>
      <c r="Y1147" s="190">
        <f t="shared" si="682"/>
        <v>601.86</v>
      </c>
      <c r="Z1147" s="191">
        <v>601.42999999999995</v>
      </c>
      <c r="AA1147" s="192">
        <f t="shared" si="804"/>
        <v>-0.43000000000006366</v>
      </c>
      <c r="AB1147" s="193">
        <f t="shared" si="684"/>
        <v>1.2899271592091593E-2</v>
      </c>
      <c r="AC1147" s="194">
        <f t="shared" si="685"/>
        <v>5.3799999999999996E-4</v>
      </c>
      <c r="AD1147" s="189"/>
      <c r="AE1147" s="195" t="s">
        <v>403</v>
      </c>
      <c r="AF1147" s="119"/>
    </row>
    <row r="1148" spans="1:32" ht="12" hidden="1" customHeight="1">
      <c r="A1148" s="183">
        <v>44559</v>
      </c>
      <c r="B1148" s="184" t="s">
        <v>559</v>
      </c>
      <c r="C1148" s="184"/>
      <c r="D1148" s="184"/>
      <c r="E1148" s="184"/>
      <c r="F1148" s="184"/>
      <c r="G1148" s="184"/>
      <c r="H1148" s="184" t="s">
        <v>654</v>
      </c>
      <c r="I1148" s="184" t="s">
        <v>469</v>
      </c>
      <c r="J1148" s="184" t="s">
        <v>471</v>
      </c>
      <c r="K1148" s="185">
        <v>50</v>
      </c>
      <c r="L1148" s="186">
        <v>48</v>
      </c>
      <c r="M1148" s="187">
        <v>49.4</v>
      </c>
      <c r="N1148" s="188">
        <f t="shared" si="796"/>
        <v>0.72</v>
      </c>
      <c r="O1148" s="188">
        <f t="shared" si="797"/>
        <v>0.74</v>
      </c>
      <c r="P1148" s="189">
        <f t="shared" si="674"/>
        <v>4870</v>
      </c>
      <c r="Q1148" s="189">
        <f t="shared" si="675"/>
        <v>69.999999999999929</v>
      </c>
      <c r="R1148" s="189">
        <f>ROUND(N1148+O1148,2)</f>
        <v>1.46</v>
      </c>
      <c r="S1148" s="189">
        <f t="shared" si="697"/>
        <v>1.1299999999999999</v>
      </c>
      <c r="T1148" s="189">
        <f t="shared" ref="T1148:T1155" si="805">ROUND((M1148*K1148)*K$1807,2)</f>
        <v>0.62</v>
      </c>
      <c r="U1148" s="189">
        <f t="shared" si="731"/>
        <v>7.0000000000000007E-2</v>
      </c>
      <c r="V1148" s="189">
        <f>ROUND(P1148*0.1%,2)-0.08</f>
        <v>4.79</v>
      </c>
      <c r="W1148" s="189">
        <f t="shared" si="758"/>
        <v>0</v>
      </c>
      <c r="X1148" s="189">
        <f t="shared" si="681"/>
        <v>8.07</v>
      </c>
      <c r="Y1148" s="190">
        <f t="shared" si="682"/>
        <v>61.93</v>
      </c>
      <c r="Z1148" s="191">
        <v>62.13</v>
      </c>
      <c r="AA1148" s="192">
        <f t="shared" si="804"/>
        <v>0.20000000000000284</v>
      </c>
      <c r="AB1148" s="193">
        <f t="shared" si="684"/>
        <v>2.9166666666666636E-2</v>
      </c>
      <c r="AC1148" s="194">
        <f t="shared" si="685"/>
        <v>1.6570000000000001E-3</v>
      </c>
      <c r="AD1148" s="189"/>
      <c r="AE1148" s="195" t="s">
        <v>403</v>
      </c>
      <c r="AF1148" s="119"/>
    </row>
    <row r="1149" spans="1:32" ht="12" hidden="1" customHeight="1">
      <c r="A1149" s="183">
        <v>44561</v>
      </c>
      <c r="B1149" s="184" t="s">
        <v>575</v>
      </c>
      <c r="C1149" s="184"/>
      <c r="D1149" s="184"/>
      <c r="E1149" s="184"/>
      <c r="F1149" s="184"/>
      <c r="G1149" s="184"/>
      <c r="H1149" s="184" t="s">
        <v>654</v>
      </c>
      <c r="I1149" s="184" t="s">
        <v>469</v>
      </c>
      <c r="J1149" s="184" t="s">
        <v>448</v>
      </c>
      <c r="K1149" s="185">
        <v>50</v>
      </c>
      <c r="L1149" s="186">
        <v>959.46</v>
      </c>
      <c r="M1149" s="187">
        <v>961</v>
      </c>
      <c r="N1149" s="188">
        <f t="shared" si="796"/>
        <v>14.39</v>
      </c>
      <c r="O1149" s="188">
        <f t="shared" si="797"/>
        <v>14.42</v>
      </c>
      <c r="P1149" s="189">
        <f t="shared" si="674"/>
        <v>96023</v>
      </c>
      <c r="Q1149" s="189">
        <f t="shared" si="675"/>
        <v>76.999999999998181</v>
      </c>
      <c r="R1149" s="189">
        <v>28.82</v>
      </c>
      <c r="S1149" s="189">
        <f t="shared" si="697"/>
        <v>5.66</v>
      </c>
      <c r="T1149" s="189">
        <f t="shared" si="805"/>
        <v>12.01</v>
      </c>
      <c r="U1149" s="189">
        <f t="shared" si="731"/>
        <v>1.44</v>
      </c>
      <c r="V1149" s="189">
        <f t="shared" ref="V1149:V1150" si="806">ROUND(P1149*L$1809,2)</f>
        <v>2.64</v>
      </c>
      <c r="W1149" s="189">
        <f t="shared" si="758"/>
        <v>0.1</v>
      </c>
      <c r="X1149" s="189">
        <f t="shared" si="681"/>
        <v>50.67</v>
      </c>
      <c r="Y1149" s="190">
        <f t="shared" si="682"/>
        <v>26.33</v>
      </c>
      <c r="Z1149" s="191">
        <v>26.79</v>
      </c>
      <c r="AA1149" s="192">
        <f t="shared" si="804"/>
        <v>0.46000000000000085</v>
      </c>
      <c r="AB1149" s="193">
        <f t="shared" si="684"/>
        <v>1.605069518270656E-3</v>
      </c>
      <c r="AC1149" s="194">
        <f t="shared" si="685"/>
        <v>5.2800000000000004E-4</v>
      </c>
      <c r="AD1149" s="189"/>
      <c r="AE1149" s="195" t="s">
        <v>403</v>
      </c>
      <c r="AF1149" s="119"/>
    </row>
    <row r="1150" spans="1:32" ht="12" hidden="1" customHeight="1">
      <c r="A1150" s="183">
        <v>44561</v>
      </c>
      <c r="B1150" s="184" t="s">
        <v>512</v>
      </c>
      <c r="C1150" s="184"/>
      <c r="D1150" s="184"/>
      <c r="E1150" s="184"/>
      <c r="F1150" s="184"/>
      <c r="G1150" s="184"/>
      <c r="H1150" s="184" t="s">
        <v>654</v>
      </c>
      <c r="I1150" s="184" t="s">
        <v>469</v>
      </c>
      <c r="J1150" s="184" t="s">
        <v>471</v>
      </c>
      <c r="K1150" s="185">
        <v>200</v>
      </c>
      <c r="L1150" s="186">
        <v>112.95</v>
      </c>
      <c r="M1150" s="187">
        <v>113.94825</v>
      </c>
      <c r="N1150" s="188">
        <f t="shared" si="796"/>
        <v>6.78</v>
      </c>
      <c r="O1150" s="188">
        <f t="shared" si="797"/>
        <v>6.84</v>
      </c>
      <c r="P1150" s="189">
        <f t="shared" si="674"/>
        <v>45379.65</v>
      </c>
      <c r="Q1150" s="189">
        <f t="shared" si="675"/>
        <v>199.64999999999975</v>
      </c>
      <c r="R1150" s="189">
        <f>ROUND(N1150+O1150,2)-0.06</f>
        <v>13.559999999999999</v>
      </c>
      <c r="S1150" s="189">
        <f t="shared" si="697"/>
        <v>2.67</v>
      </c>
      <c r="T1150" s="189">
        <f t="shared" si="805"/>
        <v>5.7</v>
      </c>
      <c r="U1150" s="189">
        <f t="shared" si="731"/>
        <v>0.68</v>
      </c>
      <c r="V1150" s="189">
        <f t="shared" si="806"/>
        <v>1.25</v>
      </c>
      <c r="W1150" s="189">
        <f t="shared" si="758"/>
        <v>0.05</v>
      </c>
      <c r="X1150" s="189">
        <f t="shared" si="681"/>
        <v>23.909999999999997</v>
      </c>
      <c r="Y1150" s="190">
        <f t="shared" si="682"/>
        <v>175.74</v>
      </c>
      <c r="Z1150" s="191">
        <v>177.19</v>
      </c>
      <c r="AA1150" s="192">
        <f>Z1150-Y1151-Y1150</f>
        <v>0.66999999999998749</v>
      </c>
      <c r="AB1150" s="193">
        <f t="shared" si="684"/>
        <v>8.8379814077025123E-3</v>
      </c>
      <c r="AC1150" s="194">
        <f t="shared" si="685"/>
        <v>5.2700000000000002E-4</v>
      </c>
      <c r="AD1150" s="189"/>
      <c r="AE1150" s="195" t="s">
        <v>403</v>
      </c>
      <c r="AF1150" s="119"/>
    </row>
    <row r="1151" spans="1:32" ht="12" hidden="1" customHeight="1">
      <c r="A1151" s="183">
        <v>44561</v>
      </c>
      <c r="B1151" s="184" t="s">
        <v>548</v>
      </c>
      <c r="C1151" s="184"/>
      <c r="D1151" s="184"/>
      <c r="E1151" s="184"/>
      <c r="F1151" s="184"/>
      <c r="G1151" s="184"/>
      <c r="H1151" s="184" t="s">
        <v>654</v>
      </c>
      <c r="I1151" s="184" t="s">
        <v>469</v>
      </c>
      <c r="J1151" s="184" t="s">
        <v>471</v>
      </c>
      <c r="K1151" s="185">
        <v>200</v>
      </c>
      <c r="L1151" s="186">
        <v>15.05</v>
      </c>
      <c r="M1151" s="187">
        <v>15.07</v>
      </c>
      <c r="N1151" s="188">
        <f t="shared" si="796"/>
        <v>0.9</v>
      </c>
      <c r="O1151" s="188">
        <f t="shared" si="797"/>
        <v>0.9</v>
      </c>
      <c r="P1151" s="189">
        <f t="shared" si="674"/>
        <v>6024</v>
      </c>
      <c r="Q1151" s="189">
        <f t="shared" si="675"/>
        <v>3.9999999999999147</v>
      </c>
      <c r="R1151" s="189">
        <f t="shared" ref="R1151:R1155" si="807">ROUND(N1151+O1151,2)</f>
        <v>1.8</v>
      </c>
      <c r="S1151" s="189">
        <f t="shared" si="697"/>
        <v>0.36</v>
      </c>
      <c r="T1151" s="189">
        <f t="shared" si="805"/>
        <v>0.75</v>
      </c>
      <c r="U1151" s="189">
        <f t="shared" si="731"/>
        <v>0.09</v>
      </c>
      <c r="V1151" s="189">
        <f>ROUND(P1151*M$1809,2)</f>
        <v>0.21</v>
      </c>
      <c r="W1151" s="189">
        <f t="shared" si="758"/>
        <v>0.01</v>
      </c>
      <c r="X1151" s="189">
        <f t="shared" si="681"/>
        <v>3.2199999999999998</v>
      </c>
      <c r="Y1151" s="190">
        <f t="shared" si="682"/>
        <v>0.78</v>
      </c>
      <c r="Z1151" s="191"/>
      <c r="AA1151" s="192"/>
      <c r="AB1151" s="193">
        <f t="shared" si="684"/>
        <v>1.3289036544850215E-3</v>
      </c>
      <c r="AC1151" s="194">
        <f t="shared" si="685"/>
        <v>5.3499999999999999E-4</v>
      </c>
      <c r="AD1151" s="189"/>
      <c r="AE1151" s="195" t="s">
        <v>403</v>
      </c>
      <c r="AF1151" s="119"/>
    </row>
    <row r="1152" spans="1:32" ht="12" hidden="1" customHeight="1">
      <c r="A1152" s="183">
        <v>44564</v>
      </c>
      <c r="B1152" s="184" t="s">
        <v>577</v>
      </c>
      <c r="C1152" s="184"/>
      <c r="D1152" s="184"/>
      <c r="E1152" s="184"/>
      <c r="F1152" s="184"/>
      <c r="G1152" s="184"/>
      <c r="H1152" s="184" t="s">
        <v>654</v>
      </c>
      <c r="I1152" s="184" t="s">
        <v>469</v>
      </c>
      <c r="J1152" s="184" t="s">
        <v>471</v>
      </c>
      <c r="K1152" s="185">
        <v>50</v>
      </c>
      <c r="L1152" s="186">
        <v>260</v>
      </c>
      <c r="M1152" s="187">
        <v>261</v>
      </c>
      <c r="N1152" s="188">
        <f t="shared" si="796"/>
        <v>3.9</v>
      </c>
      <c r="O1152" s="188">
        <f t="shared" si="797"/>
        <v>3.92</v>
      </c>
      <c r="P1152" s="189">
        <f t="shared" si="674"/>
        <v>26050</v>
      </c>
      <c r="Q1152" s="189">
        <f t="shared" si="675"/>
        <v>50</v>
      </c>
      <c r="R1152" s="189">
        <f t="shared" si="807"/>
        <v>7.82</v>
      </c>
      <c r="S1152" s="189">
        <f t="shared" si="697"/>
        <v>1.54</v>
      </c>
      <c r="T1152" s="189">
        <f t="shared" si="805"/>
        <v>3.26</v>
      </c>
      <c r="U1152" s="189">
        <f t="shared" si="731"/>
        <v>0.39</v>
      </c>
      <c r="V1152" s="189">
        <f>ROUND(P1152*L$1809,2)</f>
        <v>0.72</v>
      </c>
      <c r="W1152" s="189">
        <f t="shared" si="758"/>
        <v>0.03</v>
      </c>
      <c r="X1152" s="189">
        <f t="shared" si="681"/>
        <v>13.76</v>
      </c>
      <c r="Y1152" s="190">
        <f t="shared" si="682"/>
        <v>36.24</v>
      </c>
      <c r="Z1152" s="191">
        <v>36.03</v>
      </c>
      <c r="AA1152" s="192">
        <f>Z1152-Y1152</f>
        <v>-0.21000000000000085</v>
      </c>
      <c r="AB1152" s="193">
        <f t="shared" si="684"/>
        <v>3.8461538461538464E-3</v>
      </c>
      <c r="AC1152" s="194">
        <f t="shared" si="685"/>
        <v>5.2800000000000004E-4</v>
      </c>
      <c r="AD1152" s="189"/>
      <c r="AE1152" s="195" t="s">
        <v>403</v>
      </c>
      <c r="AF1152" s="119"/>
    </row>
    <row r="1153" spans="1:32" ht="12" hidden="1" customHeight="1">
      <c r="A1153" s="183">
        <v>44565</v>
      </c>
      <c r="B1153" s="184" t="s">
        <v>577</v>
      </c>
      <c r="C1153" s="184"/>
      <c r="D1153" s="184"/>
      <c r="E1153" s="184"/>
      <c r="F1153" s="184"/>
      <c r="G1153" s="184"/>
      <c r="H1153" s="184" t="s">
        <v>654</v>
      </c>
      <c r="I1153" s="184" t="s">
        <v>469</v>
      </c>
      <c r="J1153" s="184" t="s">
        <v>471</v>
      </c>
      <c r="K1153" s="185">
        <v>50</v>
      </c>
      <c r="L1153" s="186">
        <v>260</v>
      </c>
      <c r="M1153" s="187">
        <v>262</v>
      </c>
      <c r="N1153" s="188">
        <f t="shared" si="796"/>
        <v>3.9</v>
      </c>
      <c r="O1153" s="188">
        <f t="shared" si="797"/>
        <v>3.93</v>
      </c>
      <c r="P1153" s="189">
        <f t="shared" si="674"/>
        <v>26100</v>
      </c>
      <c r="Q1153" s="189">
        <f t="shared" si="675"/>
        <v>100</v>
      </c>
      <c r="R1153" s="189">
        <f t="shared" si="807"/>
        <v>7.83</v>
      </c>
      <c r="S1153" s="189">
        <f t="shared" si="697"/>
        <v>1.84</v>
      </c>
      <c r="T1153" s="189">
        <f t="shared" si="805"/>
        <v>3.28</v>
      </c>
      <c r="U1153" s="189">
        <f t="shared" si="731"/>
        <v>0.39</v>
      </c>
      <c r="V1153" s="189">
        <f>ROUND(P1153*M$1809,2)+1.5</f>
        <v>2.4</v>
      </c>
      <c r="W1153" s="189">
        <f t="shared" si="758"/>
        <v>0.03</v>
      </c>
      <c r="X1153" s="189">
        <f t="shared" si="681"/>
        <v>15.77</v>
      </c>
      <c r="Y1153" s="190">
        <f t="shared" si="682"/>
        <v>84.23</v>
      </c>
      <c r="Z1153" s="191">
        <v>41.74</v>
      </c>
      <c r="AA1153" s="192">
        <f>Z1153-Y1154-Y1153-Y1155</f>
        <v>0.14999999999999858</v>
      </c>
      <c r="AB1153" s="193">
        <f t="shared" si="684"/>
        <v>7.6923076923076927E-3</v>
      </c>
      <c r="AC1153" s="194">
        <f t="shared" si="685"/>
        <v>6.0400000000000004E-4</v>
      </c>
      <c r="AD1153" s="189"/>
      <c r="AE1153" s="195" t="s">
        <v>403</v>
      </c>
      <c r="AF1153" s="119"/>
    </row>
    <row r="1154" spans="1:32" ht="12" hidden="1" customHeight="1">
      <c r="A1154" s="183">
        <v>44565</v>
      </c>
      <c r="B1154" s="184" t="s">
        <v>552</v>
      </c>
      <c r="C1154" s="184"/>
      <c r="D1154" s="184"/>
      <c r="E1154" s="184"/>
      <c r="F1154" s="184"/>
      <c r="G1154" s="184"/>
      <c r="H1154" s="184" t="s">
        <v>654</v>
      </c>
      <c r="I1154" s="184" t="s">
        <v>469</v>
      </c>
      <c r="J1154" s="184" t="s">
        <v>471</v>
      </c>
      <c r="K1154" s="185">
        <v>100</v>
      </c>
      <c r="L1154" s="186">
        <v>245</v>
      </c>
      <c r="M1154" s="187">
        <v>245.375</v>
      </c>
      <c r="N1154" s="188">
        <f t="shared" si="796"/>
        <v>7.35</v>
      </c>
      <c r="O1154" s="188">
        <f t="shared" si="797"/>
        <v>7.36</v>
      </c>
      <c r="P1154" s="189">
        <f t="shared" si="674"/>
        <v>49037.5</v>
      </c>
      <c r="Q1154" s="189">
        <f t="shared" si="675"/>
        <v>37.5</v>
      </c>
      <c r="R1154" s="189">
        <f t="shared" si="807"/>
        <v>14.71</v>
      </c>
      <c r="S1154" s="189">
        <f t="shared" si="697"/>
        <v>2.95</v>
      </c>
      <c r="T1154" s="189">
        <f t="shared" si="805"/>
        <v>6.13</v>
      </c>
      <c r="U1154" s="189">
        <f t="shared" si="731"/>
        <v>0.74</v>
      </c>
      <c r="V1154" s="189">
        <f t="shared" ref="V1154:V1155" si="808">ROUND(P1154*M$1809,2)</f>
        <v>1.69</v>
      </c>
      <c r="W1154" s="189">
        <f t="shared" si="758"/>
        <v>0.05</v>
      </c>
      <c r="X1154" s="189">
        <f t="shared" si="681"/>
        <v>26.27</v>
      </c>
      <c r="Y1154" s="190">
        <f t="shared" si="682"/>
        <v>11.23</v>
      </c>
      <c r="Z1154" s="191"/>
      <c r="AA1154" s="192"/>
      <c r="AB1154" s="193">
        <f t="shared" si="684"/>
        <v>1.5306122448979591E-3</v>
      </c>
      <c r="AC1154" s="194">
        <f t="shared" si="685"/>
        <v>5.3600000000000002E-4</v>
      </c>
      <c r="AD1154" s="189"/>
      <c r="AE1154" s="195" t="s">
        <v>403</v>
      </c>
      <c r="AF1154" s="119"/>
    </row>
    <row r="1155" spans="1:32" ht="12" hidden="1" customHeight="1">
      <c r="A1155" s="183">
        <v>44565</v>
      </c>
      <c r="B1155" s="184" t="s">
        <v>527</v>
      </c>
      <c r="C1155" s="184"/>
      <c r="D1155" s="184"/>
      <c r="E1155" s="184"/>
      <c r="F1155" s="184"/>
      <c r="G1155" s="184"/>
      <c r="H1155" s="184" t="s">
        <v>654</v>
      </c>
      <c r="I1155" s="184" t="s">
        <v>469</v>
      </c>
      <c r="J1155" s="184" t="s">
        <v>471</v>
      </c>
      <c r="K1155" s="185">
        <v>100</v>
      </c>
      <c r="L1155" s="186">
        <v>153</v>
      </c>
      <c r="M1155" s="187">
        <v>152.625</v>
      </c>
      <c r="N1155" s="188">
        <f t="shared" si="796"/>
        <v>4.59</v>
      </c>
      <c r="O1155" s="188">
        <f t="shared" si="797"/>
        <v>4.58</v>
      </c>
      <c r="P1155" s="189">
        <f t="shared" si="674"/>
        <v>30562.5</v>
      </c>
      <c r="Q1155" s="189">
        <f t="shared" si="675"/>
        <v>-37.5</v>
      </c>
      <c r="R1155" s="189">
        <f t="shared" si="807"/>
        <v>9.17</v>
      </c>
      <c r="S1155" s="189">
        <f t="shared" si="697"/>
        <v>1.84</v>
      </c>
      <c r="T1155" s="189">
        <f t="shared" si="805"/>
        <v>3.82</v>
      </c>
      <c r="U1155" s="189">
        <f t="shared" si="731"/>
        <v>0.46</v>
      </c>
      <c r="V1155" s="189">
        <f t="shared" si="808"/>
        <v>1.05</v>
      </c>
      <c r="W1155" s="189">
        <f t="shared" si="758"/>
        <v>0.03</v>
      </c>
      <c r="X1155" s="189">
        <f t="shared" si="681"/>
        <v>16.37</v>
      </c>
      <c r="Y1155" s="190">
        <f t="shared" si="682"/>
        <v>-53.87</v>
      </c>
      <c r="Z1155" s="191"/>
      <c r="AA1155" s="192"/>
      <c r="AB1155" s="193">
        <f t="shared" si="684"/>
        <v>-2.4509803921568627E-3</v>
      </c>
      <c r="AC1155" s="194">
        <f t="shared" si="685"/>
        <v>5.3600000000000002E-4</v>
      </c>
      <c r="AD1155" s="189"/>
      <c r="AE1155" s="195" t="s">
        <v>403</v>
      </c>
      <c r="AF1155" s="119"/>
    </row>
    <row r="1156" spans="1:32" ht="12" hidden="1" customHeight="1">
      <c r="A1156" s="183">
        <v>44565</v>
      </c>
      <c r="B1156" s="184" t="s">
        <v>575</v>
      </c>
      <c r="C1156" s="184"/>
      <c r="D1156" s="184"/>
      <c r="E1156" s="184"/>
      <c r="F1156" s="184"/>
      <c r="G1156" s="184"/>
      <c r="H1156" s="184" t="s">
        <v>654</v>
      </c>
      <c r="I1156" s="184" t="s">
        <v>469</v>
      </c>
      <c r="J1156" s="184" t="s">
        <v>448</v>
      </c>
      <c r="K1156" s="185">
        <v>190</v>
      </c>
      <c r="L1156" s="186">
        <v>997.10109999999997</v>
      </c>
      <c r="M1156" s="187">
        <v>1005.9852</v>
      </c>
      <c r="N1156" s="188">
        <f t="shared" si="796"/>
        <v>20</v>
      </c>
      <c r="O1156" s="188">
        <f t="shared" si="797"/>
        <v>20</v>
      </c>
      <c r="P1156" s="189">
        <f t="shared" si="674"/>
        <v>380586.4</v>
      </c>
      <c r="Q1156" s="189">
        <f t="shared" si="675"/>
        <v>1687.978999999998</v>
      </c>
      <c r="R1156" s="189">
        <v>87.64</v>
      </c>
      <c r="S1156" s="189">
        <f t="shared" si="697"/>
        <v>17.66</v>
      </c>
      <c r="T1156" s="189">
        <f>ROUND((M1156*K1156)*K$1807,2)-2</f>
        <v>45.78</v>
      </c>
      <c r="U1156" s="189">
        <f t="shared" si="731"/>
        <v>5.68</v>
      </c>
      <c r="V1156" s="189">
        <f>ROUND(P1156*L$1809,2)</f>
        <v>10.47</v>
      </c>
      <c r="W1156" s="189">
        <f t="shared" si="758"/>
        <v>0.38</v>
      </c>
      <c r="X1156" s="189">
        <f t="shared" si="681"/>
        <v>167.60999999999999</v>
      </c>
      <c r="Y1156" s="190">
        <f t="shared" si="682"/>
        <v>1520.37</v>
      </c>
      <c r="Z1156" s="191">
        <f>1498.3+21.41</f>
        <v>1519.71</v>
      </c>
      <c r="AA1156" s="192">
        <f t="shared" ref="AA1156:AA1160" si="809">Z1156-Y1156</f>
        <v>-0.65999999999985448</v>
      </c>
      <c r="AB1156" s="193">
        <f t="shared" si="684"/>
        <v>8.9099289931582563E-3</v>
      </c>
      <c r="AC1156" s="194">
        <f t="shared" si="685"/>
        <v>4.4000000000000002E-4</v>
      </c>
      <c r="AD1156" s="189"/>
      <c r="AE1156" s="195" t="s">
        <v>403</v>
      </c>
      <c r="AF1156" s="119"/>
    </row>
    <row r="1157" spans="1:32" ht="12" hidden="1" customHeight="1">
      <c r="A1157" s="183">
        <v>44566</v>
      </c>
      <c r="B1157" s="184" t="s">
        <v>484</v>
      </c>
      <c r="C1157" s="184"/>
      <c r="D1157" s="184"/>
      <c r="E1157" s="184"/>
      <c r="F1157" s="184"/>
      <c r="G1157" s="184"/>
      <c r="H1157" s="184" t="s">
        <v>654</v>
      </c>
      <c r="I1157" s="184" t="s">
        <v>469</v>
      </c>
      <c r="J1157" s="184" t="s">
        <v>471</v>
      </c>
      <c r="K1157" s="185">
        <v>2</v>
      </c>
      <c r="L1157" s="186">
        <v>7670.2</v>
      </c>
      <c r="M1157" s="187">
        <v>7650</v>
      </c>
      <c r="N1157" s="188">
        <f t="shared" si="796"/>
        <v>4.5999999999999996</v>
      </c>
      <c r="O1157" s="188">
        <f t="shared" si="797"/>
        <v>4.59</v>
      </c>
      <c r="P1157" s="189">
        <f t="shared" si="674"/>
        <v>30640.400000000001</v>
      </c>
      <c r="Q1157" s="189">
        <f t="shared" si="675"/>
        <v>-40.399999999999636</v>
      </c>
      <c r="R1157" s="189">
        <f>ROUND(N1157+O1157,2)</f>
        <v>9.19</v>
      </c>
      <c r="S1157" s="189">
        <f t="shared" si="697"/>
        <v>1.85</v>
      </c>
      <c r="T1157" s="189">
        <f>ROUND((M1157*K1157)*K$1807,2)</f>
        <v>3.83</v>
      </c>
      <c r="U1157" s="189">
        <f t="shared" si="731"/>
        <v>0.46</v>
      </c>
      <c r="V1157" s="189">
        <f>ROUND(P1157*M$1809,2)</f>
        <v>1.06</v>
      </c>
      <c r="W1157" s="189">
        <f t="shared" si="758"/>
        <v>0.03</v>
      </c>
      <c r="X1157" s="189">
        <f t="shared" si="681"/>
        <v>16.420000000000002</v>
      </c>
      <c r="Y1157" s="190">
        <f t="shared" si="682"/>
        <v>-56.82</v>
      </c>
      <c r="Z1157" s="191">
        <v>-55.95</v>
      </c>
      <c r="AA1157" s="192">
        <f t="shared" si="809"/>
        <v>0.86999999999999744</v>
      </c>
      <c r="AB1157" s="193">
        <f t="shared" si="684"/>
        <v>-2.6335688769523373E-3</v>
      </c>
      <c r="AC1157" s="194">
        <f t="shared" si="685"/>
        <v>5.3600000000000002E-4</v>
      </c>
      <c r="AD1157" s="189"/>
      <c r="AE1157" s="195" t="s">
        <v>403</v>
      </c>
      <c r="AF1157" s="119"/>
    </row>
    <row r="1158" spans="1:32" ht="12" hidden="1" customHeight="1">
      <c r="A1158" s="183">
        <v>44567</v>
      </c>
      <c r="B1158" s="184" t="s">
        <v>575</v>
      </c>
      <c r="C1158" s="184"/>
      <c r="D1158" s="184"/>
      <c r="E1158" s="184"/>
      <c r="F1158" s="184"/>
      <c r="G1158" s="184"/>
      <c r="H1158" s="184" t="s">
        <v>654</v>
      </c>
      <c r="I1158" s="184" t="s">
        <v>469</v>
      </c>
      <c r="J1158" s="184" t="s">
        <v>448</v>
      </c>
      <c r="K1158" s="185">
        <v>500</v>
      </c>
      <c r="L1158" s="186">
        <v>1025.2</v>
      </c>
      <c r="M1158" s="187">
        <v>1032.3009999999999</v>
      </c>
      <c r="N1158" s="188">
        <f t="shared" si="796"/>
        <v>20</v>
      </c>
      <c r="O1158" s="188">
        <f t="shared" si="797"/>
        <v>20</v>
      </c>
      <c r="P1158" s="189">
        <f t="shared" si="674"/>
        <v>1028750.5</v>
      </c>
      <c r="Q1158" s="189">
        <f t="shared" si="675"/>
        <v>3550.4999999999427</v>
      </c>
      <c r="R1158" s="189">
        <v>297.67</v>
      </c>
      <c r="S1158" s="189">
        <f t="shared" si="697"/>
        <v>58.67</v>
      </c>
      <c r="T1158" s="189">
        <f>ROUND((M1158*K1158)*K$1807,2)+3</f>
        <v>132.04</v>
      </c>
      <c r="U1158" s="189">
        <f t="shared" si="731"/>
        <v>15.38</v>
      </c>
      <c r="V1158" s="189">
        <f t="shared" ref="V1158:V1162" si="810">ROUND(P1158*L$1809,2)</f>
        <v>28.29</v>
      </c>
      <c r="W1158" s="189">
        <f t="shared" si="758"/>
        <v>1.03</v>
      </c>
      <c r="X1158" s="189">
        <f t="shared" si="681"/>
        <v>533.07999999999993</v>
      </c>
      <c r="Y1158" s="190">
        <f t="shared" si="682"/>
        <v>3017.42</v>
      </c>
      <c r="Z1158" s="191">
        <v>3017.38</v>
      </c>
      <c r="AA1158" s="192">
        <f t="shared" si="809"/>
        <v>-3.999999999996362E-2</v>
      </c>
      <c r="AB1158" s="193">
        <f t="shared" si="684"/>
        <v>6.926453374951117E-3</v>
      </c>
      <c r="AC1158" s="194">
        <f t="shared" si="685"/>
        <v>5.1800000000000001E-4</v>
      </c>
      <c r="AD1158" s="189"/>
      <c r="AE1158" s="195" t="s">
        <v>403</v>
      </c>
      <c r="AF1158" s="119"/>
    </row>
    <row r="1159" spans="1:32" ht="12" hidden="1" customHeight="1">
      <c r="A1159" s="183">
        <v>44567</v>
      </c>
      <c r="B1159" s="184" t="s">
        <v>482</v>
      </c>
      <c r="C1159" s="184"/>
      <c r="D1159" s="184"/>
      <c r="E1159" s="184"/>
      <c r="F1159" s="184"/>
      <c r="G1159" s="184"/>
      <c r="H1159" s="184" t="s">
        <v>654</v>
      </c>
      <c r="I1159" s="184" t="s">
        <v>469</v>
      </c>
      <c r="J1159" s="184" t="s">
        <v>471</v>
      </c>
      <c r="K1159" s="185">
        <v>50</v>
      </c>
      <c r="L1159" s="186">
        <v>105</v>
      </c>
      <c r="M1159" s="187">
        <v>106</v>
      </c>
      <c r="N1159" s="188">
        <f t="shared" si="796"/>
        <v>1.58</v>
      </c>
      <c r="O1159" s="188">
        <f t="shared" si="797"/>
        <v>1.59</v>
      </c>
      <c r="P1159" s="189">
        <f t="shared" si="674"/>
        <v>10550</v>
      </c>
      <c r="Q1159" s="189">
        <f t="shared" si="675"/>
        <v>50</v>
      </c>
      <c r="R1159" s="189">
        <f>ROUND(N1159+O1159,2)</f>
        <v>3.17</v>
      </c>
      <c r="S1159" s="189">
        <f t="shared" si="697"/>
        <v>0.62</v>
      </c>
      <c r="T1159" s="189">
        <f t="shared" ref="T1159:T1167" si="811">ROUND((M1159*K1159)*K$1807,2)</f>
        <v>1.33</v>
      </c>
      <c r="U1159" s="189">
        <f t="shared" si="731"/>
        <v>0.16</v>
      </c>
      <c r="V1159" s="189">
        <f t="shared" si="810"/>
        <v>0.28999999999999998</v>
      </c>
      <c r="W1159" s="189">
        <f t="shared" si="758"/>
        <v>0.01</v>
      </c>
      <c r="X1159" s="189">
        <f t="shared" si="681"/>
        <v>5.58</v>
      </c>
      <c r="Y1159" s="190">
        <f t="shared" si="682"/>
        <v>44.42</v>
      </c>
      <c r="Z1159" s="191">
        <v>44.83</v>
      </c>
      <c r="AA1159" s="192">
        <f t="shared" si="809"/>
        <v>0.40999999999999659</v>
      </c>
      <c r="AB1159" s="193">
        <f t="shared" si="684"/>
        <v>9.5238095238095247E-3</v>
      </c>
      <c r="AC1159" s="194">
        <f t="shared" si="685"/>
        <v>5.2899999999999996E-4</v>
      </c>
      <c r="AD1159" s="189"/>
      <c r="AE1159" s="195" t="s">
        <v>403</v>
      </c>
      <c r="AF1159" s="119"/>
    </row>
    <row r="1160" spans="1:32" ht="12" hidden="1" customHeight="1">
      <c r="A1160" s="183">
        <v>44568</v>
      </c>
      <c r="B1160" s="184" t="s">
        <v>575</v>
      </c>
      <c r="C1160" s="184"/>
      <c r="D1160" s="184"/>
      <c r="E1160" s="184"/>
      <c r="F1160" s="184"/>
      <c r="G1160" s="184"/>
      <c r="H1160" s="184" t="s">
        <v>654</v>
      </c>
      <c r="I1160" s="184" t="s">
        <v>469</v>
      </c>
      <c r="J1160" s="184" t="s">
        <v>448</v>
      </c>
      <c r="K1160" s="185">
        <v>175</v>
      </c>
      <c r="L1160" s="186">
        <v>994.42859999999996</v>
      </c>
      <c r="M1160" s="187">
        <v>998.71429999999998</v>
      </c>
      <c r="N1160" s="188">
        <f t="shared" si="796"/>
        <v>20</v>
      </c>
      <c r="O1160" s="188">
        <f t="shared" si="797"/>
        <v>20</v>
      </c>
      <c r="P1160" s="189">
        <f t="shared" si="674"/>
        <v>348800.01</v>
      </c>
      <c r="Q1160" s="189">
        <f t="shared" si="675"/>
        <v>749.99750000000347</v>
      </c>
      <c r="R1160" s="189">
        <v>104.65</v>
      </c>
      <c r="S1160" s="189">
        <f t="shared" si="697"/>
        <v>20.56</v>
      </c>
      <c r="T1160" s="189">
        <f t="shared" si="811"/>
        <v>43.69</v>
      </c>
      <c r="U1160" s="189">
        <f t="shared" si="731"/>
        <v>5.22</v>
      </c>
      <c r="V1160" s="189">
        <f t="shared" si="810"/>
        <v>9.59</v>
      </c>
      <c r="W1160" s="189">
        <f t="shared" si="758"/>
        <v>0.35</v>
      </c>
      <c r="X1160" s="189">
        <f t="shared" si="681"/>
        <v>184.06</v>
      </c>
      <c r="Y1160" s="190">
        <f t="shared" si="682"/>
        <v>565.94000000000005</v>
      </c>
      <c r="Z1160" s="191">
        <v>566.16999999999996</v>
      </c>
      <c r="AA1160" s="192">
        <f t="shared" si="809"/>
        <v>0.2299999999999045</v>
      </c>
      <c r="AB1160" s="193">
        <f t="shared" si="684"/>
        <v>4.3097111245593905E-3</v>
      </c>
      <c r="AC1160" s="194">
        <f t="shared" si="685"/>
        <v>5.2800000000000004E-4</v>
      </c>
      <c r="AD1160" s="189"/>
      <c r="AE1160" s="195" t="s">
        <v>403</v>
      </c>
      <c r="AF1160" s="119"/>
    </row>
    <row r="1161" spans="1:32" ht="12" hidden="1" customHeight="1">
      <c r="A1161" s="183">
        <v>44568</v>
      </c>
      <c r="B1161" s="184" t="s">
        <v>482</v>
      </c>
      <c r="C1161" s="184"/>
      <c r="D1161" s="184"/>
      <c r="E1161" s="184"/>
      <c r="F1161" s="184"/>
      <c r="G1161" s="184"/>
      <c r="H1161" s="184" t="s">
        <v>654</v>
      </c>
      <c r="I1161" s="184" t="s">
        <v>469</v>
      </c>
      <c r="J1161" s="184" t="s">
        <v>471</v>
      </c>
      <c r="K1161" s="185">
        <v>100</v>
      </c>
      <c r="L1161" s="186">
        <v>111.2</v>
      </c>
      <c r="M1161" s="187">
        <v>107.35</v>
      </c>
      <c r="N1161" s="188">
        <f t="shared" si="796"/>
        <v>3.34</v>
      </c>
      <c r="O1161" s="188">
        <f t="shared" si="797"/>
        <v>3.22</v>
      </c>
      <c r="P1161" s="189">
        <f t="shared" si="674"/>
        <v>21855</v>
      </c>
      <c r="Q1161" s="189">
        <f t="shared" si="675"/>
        <v>-385.00000000000085</v>
      </c>
      <c r="R1161" s="189">
        <f t="shared" ref="R1161:R1163" si="812">ROUND(N1161+O1161,2)</f>
        <v>6.56</v>
      </c>
      <c r="S1161" s="189">
        <f t="shared" si="697"/>
        <v>1.29</v>
      </c>
      <c r="T1161" s="189">
        <f t="shared" si="811"/>
        <v>2.68</v>
      </c>
      <c r="U1161" s="189">
        <f t="shared" si="731"/>
        <v>0.33</v>
      </c>
      <c r="V1161" s="189">
        <f t="shared" si="810"/>
        <v>0.6</v>
      </c>
      <c r="W1161" s="189">
        <f t="shared" si="758"/>
        <v>0.02</v>
      </c>
      <c r="X1161" s="189">
        <f t="shared" si="681"/>
        <v>11.479999999999999</v>
      </c>
      <c r="Y1161" s="190">
        <f t="shared" si="682"/>
        <v>-396.48</v>
      </c>
      <c r="Z1161" s="191">
        <v>-251.83</v>
      </c>
      <c r="AA1161" s="192">
        <f>Z1161-Y1162-Y1161-Y1163</f>
        <v>5.9999999999988063E-2</v>
      </c>
      <c r="AB1161" s="193">
        <f t="shared" si="684"/>
        <v>-3.4622302158273457E-2</v>
      </c>
      <c r="AC1161" s="194">
        <f t="shared" si="685"/>
        <v>5.2499999999999997E-4</v>
      </c>
      <c r="AD1161" s="189"/>
      <c r="AE1161" s="195" t="s">
        <v>403</v>
      </c>
      <c r="AF1161" s="119"/>
    </row>
    <row r="1162" spans="1:32" ht="12" hidden="1" customHeight="1">
      <c r="A1162" s="183">
        <v>44568</v>
      </c>
      <c r="B1162" s="184" t="s">
        <v>573</v>
      </c>
      <c r="C1162" s="184"/>
      <c r="D1162" s="184"/>
      <c r="E1162" s="184"/>
      <c r="F1162" s="184"/>
      <c r="G1162" s="184"/>
      <c r="H1162" s="184" t="s">
        <v>654</v>
      </c>
      <c r="I1162" s="184" t="s">
        <v>469</v>
      </c>
      <c r="J1162" s="184" t="s">
        <v>471</v>
      </c>
      <c r="K1162" s="185">
        <v>20</v>
      </c>
      <c r="L1162" s="186">
        <v>1025</v>
      </c>
      <c r="M1162" s="187">
        <v>1029</v>
      </c>
      <c r="N1162" s="188">
        <f t="shared" si="796"/>
        <v>6.15</v>
      </c>
      <c r="O1162" s="188">
        <f t="shared" si="797"/>
        <v>6.17</v>
      </c>
      <c r="P1162" s="189">
        <f t="shared" si="674"/>
        <v>41080</v>
      </c>
      <c r="Q1162" s="189">
        <f t="shared" si="675"/>
        <v>80</v>
      </c>
      <c r="R1162" s="189">
        <f t="shared" si="812"/>
        <v>12.32</v>
      </c>
      <c r="S1162" s="189">
        <f t="shared" si="697"/>
        <v>2.42</v>
      </c>
      <c r="T1162" s="189">
        <f t="shared" si="811"/>
        <v>5.15</v>
      </c>
      <c r="U1162" s="189">
        <f t="shared" si="731"/>
        <v>0.62</v>
      </c>
      <c r="V1162" s="189">
        <f t="shared" si="810"/>
        <v>1.1299999999999999</v>
      </c>
      <c r="W1162" s="189">
        <f t="shared" si="758"/>
        <v>0.04</v>
      </c>
      <c r="X1162" s="189">
        <f t="shared" si="681"/>
        <v>21.68</v>
      </c>
      <c r="Y1162" s="190">
        <f t="shared" si="682"/>
        <v>58.32</v>
      </c>
      <c r="Z1162" s="191"/>
      <c r="AA1162" s="192"/>
      <c r="AB1162" s="193">
        <f t="shared" si="684"/>
        <v>3.9024390243902439E-3</v>
      </c>
      <c r="AC1162" s="194">
        <f t="shared" si="685"/>
        <v>5.2800000000000004E-4</v>
      </c>
      <c r="AD1162" s="189"/>
      <c r="AE1162" s="195" t="s">
        <v>403</v>
      </c>
      <c r="AF1162" s="119"/>
    </row>
    <row r="1163" spans="1:32" ht="12" hidden="1" customHeight="1">
      <c r="A1163" s="183">
        <v>44568</v>
      </c>
      <c r="B1163" s="184" t="s">
        <v>552</v>
      </c>
      <c r="C1163" s="184"/>
      <c r="D1163" s="184"/>
      <c r="E1163" s="184"/>
      <c r="F1163" s="184"/>
      <c r="G1163" s="184"/>
      <c r="H1163" s="184" t="s">
        <v>654</v>
      </c>
      <c r="I1163" s="184" t="s">
        <v>469</v>
      </c>
      <c r="J1163" s="184" t="s">
        <v>471</v>
      </c>
      <c r="K1163" s="185">
        <v>50</v>
      </c>
      <c r="L1163" s="186">
        <v>255</v>
      </c>
      <c r="M1163" s="187">
        <v>257</v>
      </c>
      <c r="N1163" s="188">
        <f t="shared" si="796"/>
        <v>3.83</v>
      </c>
      <c r="O1163" s="188">
        <f t="shared" si="797"/>
        <v>3.86</v>
      </c>
      <c r="P1163" s="189">
        <f t="shared" si="674"/>
        <v>25600</v>
      </c>
      <c r="Q1163" s="189">
        <f t="shared" si="675"/>
        <v>100</v>
      </c>
      <c r="R1163" s="189">
        <f t="shared" si="812"/>
        <v>7.69</v>
      </c>
      <c r="S1163" s="189">
        <f t="shared" si="697"/>
        <v>1.54</v>
      </c>
      <c r="T1163" s="189">
        <f t="shared" si="811"/>
        <v>3.21</v>
      </c>
      <c r="U1163" s="189">
        <f t="shared" si="731"/>
        <v>0.38</v>
      </c>
      <c r="V1163" s="189">
        <f>ROUND(P1163*M$1809,2)</f>
        <v>0.88</v>
      </c>
      <c r="W1163" s="189">
        <f t="shared" si="758"/>
        <v>0.03</v>
      </c>
      <c r="X1163" s="189">
        <f t="shared" si="681"/>
        <v>13.730000000000002</v>
      </c>
      <c r="Y1163" s="190">
        <f t="shared" si="682"/>
        <v>86.27</v>
      </c>
      <c r="Z1163" s="191"/>
      <c r="AA1163" s="192"/>
      <c r="AB1163" s="193">
        <f t="shared" si="684"/>
        <v>7.8431372549019607E-3</v>
      </c>
      <c r="AC1163" s="194">
        <f t="shared" si="685"/>
        <v>5.3600000000000002E-4</v>
      </c>
      <c r="AD1163" s="189"/>
      <c r="AE1163" s="195" t="s">
        <v>403</v>
      </c>
      <c r="AF1163" s="119"/>
    </row>
    <row r="1164" spans="1:32" ht="12" hidden="1" customHeight="1">
      <c r="A1164" s="183">
        <v>44571</v>
      </c>
      <c r="B1164" s="184" t="s">
        <v>575</v>
      </c>
      <c r="C1164" s="184"/>
      <c r="D1164" s="184"/>
      <c r="E1164" s="184"/>
      <c r="F1164" s="184"/>
      <c r="G1164" s="184"/>
      <c r="H1164" s="184" t="s">
        <v>654</v>
      </c>
      <c r="I1164" s="184" t="s">
        <v>469</v>
      </c>
      <c r="J1164" s="184" t="s">
        <v>448</v>
      </c>
      <c r="K1164" s="185">
        <v>78</v>
      </c>
      <c r="L1164" s="186">
        <v>1001.6744</v>
      </c>
      <c r="M1164" s="187">
        <v>1006.2885</v>
      </c>
      <c r="N1164" s="188">
        <f t="shared" si="796"/>
        <v>20</v>
      </c>
      <c r="O1164" s="188">
        <f t="shared" si="797"/>
        <v>20</v>
      </c>
      <c r="P1164" s="189">
        <f t="shared" si="674"/>
        <v>156621.10999999999</v>
      </c>
      <c r="Q1164" s="189">
        <f t="shared" si="675"/>
        <v>359.8998000000006</v>
      </c>
      <c r="R1164" s="189">
        <v>61.14</v>
      </c>
      <c r="S1164" s="189">
        <f t="shared" si="697"/>
        <v>11.78</v>
      </c>
      <c r="T1164" s="189">
        <f t="shared" si="811"/>
        <v>19.62</v>
      </c>
      <c r="U1164" s="189">
        <f t="shared" si="731"/>
        <v>2.34</v>
      </c>
      <c r="V1164" s="189">
        <f t="shared" ref="V1164:V1167" si="813">ROUND(P1164*L$1809,2)</f>
        <v>4.3099999999999996</v>
      </c>
      <c r="W1164" s="189">
        <f t="shared" si="758"/>
        <v>0.16</v>
      </c>
      <c r="X1164" s="189">
        <f t="shared" si="681"/>
        <v>99.350000000000009</v>
      </c>
      <c r="Y1164" s="190">
        <f t="shared" si="682"/>
        <v>260.55</v>
      </c>
      <c r="Z1164" s="191">
        <v>259.83</v>
      </c>
      <c r="AA1164" s="192">
        <f>Z1164-Y1164</f>
        <v>-0.72000000000002728</v>
      </c>
      <c r="AB1164" s="193">
        <f t="shared" si="684"/>
        <v>4.6063870654975388E-3</v>
      </c>
      <c r="AC1164" s="194">
        <f t="shared" si="685"/>
        <v>6.3400000000000001E-4</v>
      </c>
      <c r="AD1164" s="189"/>
      <c r="AE1164" s="195" t="s">
        <v>403</v>
      </c>
      <c r="AF1164" s="119"/>
    </row>
    <row r="1165" spans="1:32" ht="12" hidden="1" customHeight="1">
      <c r="A1165" s="183">
        <v>44571</v>
      </c>
      <c r="B1165" s="184" t="s">
        <v>570</v>
      </c>
      <c r="C1165" s="184"/>
      <c r="D1165" s="184"/>
      <c r="E1165" s="184"/>
      <c r="F1165" s="184"/>
      <c r="G1165" s="184"/>
      <c r="H1165" s="184" t="s">
        <v>654</v>
      </c>
      <c r="I1165" s="184" t="s">
        <v>469</v>
      </c>
      <c r="J1165" s="184" t="s">
        <v>471</v>
      </c>
      <c r="K1165" s="185">
        <v>100</v>
      </c>
      <c r="L1165" s="186">
        <v>168</v>
      </c>
      <c r="M1165" s="187">
        <v>168.3</v>
      </c>
      <c r="N1165" s="188">
        <f t="shared" si="796"/>
        <v>5.04</v>
      </c>
      <c r="O1165" s="188">
        <f t="shared" si="797"/>
        <v>5.05</v>
      </c>
      <c r="P1165" s="189">
        <f t="shared" si="674"/>
        <v>33630</v>
      </c>
      <c r="Q1165" s="189">
        <f t="shared" si="675"/>
        <v>30.000000000001137</v>
      </c>
      <c r="R1165" s="189">
        <f t="shared" ref="R1165:R1167" si="814">ROUND(N1165+O1165,2)</f>
        <v>10.09</v>
      </c>
      <c r="S1165" s="189">
        <f t="shared" si="697"/>
        <v>1.98</v>
      </c>
      <c r="T1165" s="189">
        <f t="shared" si="811"/>
        <v>4.21</v>
      </c>
      <c r="U1165" s="189">
        <f t="shared" si="731"/>
        <v>0.5</v>
      </c>
      <c r="V1165" s="189">
        <f t="shared" si="813"/>
        <v>0.92</v>
      </c>
      <c r="W1165" s="189">
        <f t="shared" si="758"/>
        <v>0.03</v>
      </c>
      <c r="X1165" s="189">
        <f t="shared" si="681"/>
        <v>17.730000000000004</v>
      </c>
      <c r="Y1165" s="190">
        <f t="shared" si="682"/>
        <v>12.27</v>
      </c>
      <c r="Z1165" s="191">
        <v>170.63</v>
      </c>
      <c r="AA1165" s="192">
        <f>Z1165-Y1166-Y1165</f>
        <v>-0.30999999999999162</v>
      </c>
      <c r="AB1165" s="193">
        <f t="shared" si="684"/>
        <v>1.7857142857143533E-3</v>
      </c>
      <c r="AC1165" s="194">
        <f t="shared" si="685"/>
        <v>5.2700000000000002E-4</v>
      </c>
      <c r="AD1165" s="189"/>
      <c r="AE1165" s="195" t="s">
        <v>403</v>
      </c>
      <c r="AF1165" s="119"/>
    </row>
    <row r="1166" spans="1:32" ht="12" hidden="1" customHeight="1">
      <c r="A1166" s="183">
        <v>44571</v>
      </c>
      <c r="B1166" s="184" t="s">
        <v>709</v>
      </c>
      <c r="C1166" s="184"/>
      <c r="D1166" s="184"/>
      <c r="E1166" s="184"/>
      <c r="F1166" s="184"/>
      <c r="G1166" s="184"/>
      <c r="H1166" s="184" t="s">
        <v>654</v>
      </c>
      <c r="I1166" s="184" t="s">
        <v>469</v>
      </c>
      <c r="J1166" s="184" t="s">
        <v>471</v>
      </c>
      <c r="K1166" s="185">
        <v>50</v>
      </c>
      <c r="L1166" s="186">
        <v>781</v>
      </c>
      <c r="M1166" s="187">
        <v>785</v>
      </c>
      <c r="N1166" s="188">
        <f t="shared" si="796"/>
        <v>11.72</v>
      </c>
      <c r="O1166" s="188">
        <f t="shared" si="797"/>
        <v>11.78</v>
      </c>
      <c r="P1166" s="189">
        <f t="shared" si="674"/>
        <v>78300</v>
      </c>
      <c r="Q1166" s="189">
        <f t="shared" si="675"/>
        <v>200</v>
      </c>
      <c r="R1166" s="189">
        <f t="shared" si="814"/>
        <v>23.5</v>
      </c>
      <c r="S1166" s="189">
        <f t="shared" si="697"/>
        <v>4.62</v>
      </c>
      <c r="T1166" s="189">
        <f t="shared" si="811"/>
        <v>9.81</v>
      </c>
      <c r="U1166" s="189">
        <f t="shared" si="731"/>
        <v>1.17</v>
      </c>
      <c r="V1166" s="189">
        <f t="shared" si="813"/>
        <v>2.15</v>
      </c>
      <c r="W1166" s="189">
        <f t="shared" si="758"/>
        <v>0.08</v>
      </c>
      <c r="X1166" s="189">
        <f t="shared" si="681"/>
        <v>41.33</v>
      </c>
      <c r="Y1166" s="190">
        <f t="shared" si="682"/>
        <v>158.66999999999999</v>
      </c>
      <c r="Z1166" s="191"/>
      <c r="AA1166" s="192"/>
      <c r="AB1166" s="193">
        <f t="shared" si="684"/>
        <v>5.1216389244558257E-3</v>
      </c>
      <c r="AC1166" s="194">
        <f t="shared" si="685"/>
        <v>5.2800000000000004E-4</v>
      </c>
      <c r="AD1166" s="189"/>
      <c r="AE1166" s="195" t="s">
        <v>403</v>
      </c>
      <c r="AF1166" s="119"/>
    </row>
    <row r="1167" spans="1:32" ht="12" hidden="1" customHeight="1">
      <c r="A1167" s="183">
        <v>44572</v>
      </c>
      <c r="B1167" s="184" t="s">
        <v>575</v>
      </c>
      <c r="C1167" s="184"/>
      <c r="D1167" s="184"/>
      <c r="E1167" s="184"/>
      <c r="F1167" s="184"/>
      <c r="G1167" s="184"/>
      <c r="H1167" s="184" t="s">
        <v>654</v>
      </c>
      <c r="I1167" s="184" t="s">
        <v>469</v>
      </c>
      <c r="J1167" s="184" t="s">
        <v>448</v>
      </c>
      <c r="K1167" s="185">
        <v>25</v>
      </c>
      <c r="L1167" s="186">
        <v>998</v>
      </c>
      <c r="M1167" s="187">
        <v>1002.5</v>
      </c>
      <c r="N1167" s="188">
        <f t="shared" si="796"/>
        <v>7.49</v>
      </c>
      <c r="O1167" s="188">
        <f t="shared" si="797"/>
        <v>7.52</v>
      </c>
      <c r="P1167" s="189">
        <f t="shared" si="674"/>
        <v>50012.5</v>
      </c>
      <c r="Q1167" s="189">
        <f t="shared" si="675"/>
        <v>112.5</v>
      </c>
      <c r="R1167" s="189">
        <f t="shared" si="814"/>
        <v>15.01</v>
      </c>
      <c r="S1167" s="189">
        <f t="shared" si="697"/>
        <v>2.95</v>
      </c>
      <c r="T1167" s="189">
        <f t="shared" si="811"/>
        <v>6.27</v>
      </c>
      <c r="U1167" s="189">
        <f t="shared" si="731"/>
        <v>0.75</v>
      </c>
      <c r="V1167" s="189">
        <f t="shared" si="813"/>
        <v>1.38</v>
      </c>
      <c r="W1167" s="189">
        <f t="shared" si="758"/>
        <v>0.05</v>
      </c>
      <c r="X1167" s="189">
        <f t="shared" si="681"/>
        <v>26.41</v>
      </c>
      <c r="Y1167" s="190">
        <f t="shared" si="682"/>
        <v>86.09</v>
      </c>
      <c r="Z1167" s="191">
        <v>86.12</v>
      </c>
      <c r="AA1167" s="192">
        <f>Z1167-Y1167</f>
        <v>3.0000000000001137E-2</v>
      </c>
      <c r="AB1167" s="193">
        <f t="shared" si="684"/>
        <v>4.5090180360721445E-3</v>
      </c>
      <c r="AC1167" s="194">
        <f t="shared" si="685"/>
        <v>5.2800000000000004E-4</v>
      </c>
      <c r="AD1167" s="189"/>
      <c r="AE1167" s="195" t="s">
        <v>403</v>
      </c>
      <c r="AF1167" s="119"/>
    </row>
    <row r="1168" spans="1:32" ht="12" hidden="1" customHeight="1">
      <c r="A1168" s="183">
        <v>44572</v>
      </c>
      <c r="B1168" s="184" t="s">
        <v>507</v>
      </c>
      <c r="C1168" s="184"/>
      <c r="D1168" s="184"/>
      <c r="E1168" s="184"/>
      <c r="F1168" s="184"/>
      <c r="G1168" s="184"/>
      <c r="H1168" s="184" t="s">
        <v>654</v>
      </c>
      <c r="I1168" s="184" t="s">
        <v>469</v>
      </c>
      <c r="J1168" s="184" t="s">
        <v>471</v>
      </c>
      <c r="K1168" s="185">
        <v>5000</v>
      </c>
      <c r="L1168" s="186">
        <v>12.18</v>
      </c>
      <c r="M1168" s="187">
        <v>12.31</v>
      </c>
      <c r="N1168" s="188">
        <f t="shared" si="796"/>
        <v>18.27</v>
      </c>
      <c r="O1168" s="188">
        <f t="shared" si="797"/>
        <v>18.47</v>
      </c>
      <c r="P1168" s="189">
        <f t="shared" si="674"/>
        <v>122450</v>
      </c>
      <c r="Q1168" s="189">
        <f t="shared" si="675"/>
        <v>650.00000000000387</v>
      </c>
      <c r="R1168" s="189">
        <v>37.78</v>
      </c>
      <c r="S1168" s="189">
        <f t="shared" si="697"/>
        <v>7.56</v>
      </c>
      <c r="T1168" s="189">
        <f>ROUND((M1168*K1168)*K$1807,2)-1.6</f>
        <v>13.790000000000001</v>
      </c>
      <c r="U1168" s="189">
        <f t="shared" si="731"/>
        <v>1.83</v>
      </c>
      <c r="V1168" s="189">
        <f t="shared" ref="V1168:V1169" si="815">ROUND(P1168*M$1809,2)</f>
        <v>4.22</v>
      </c>
      <c r="W1168" s="189">
        <f t="shared" si="758"/>
        <v>0.12</v>
      </c>
      <c r="X1168" s="189">
        <f t="shared" si="681"/>
        <v>65.300000000000011</v>
      </c>
      <c r="Y1168" s="190">
        <f t="shared" si="682"/>
        <v>584.70000000000005</v>
      </c>
      <c r="Z1168" s="191">
        <v>883.83</v>
      </c>
      <c r="AA1168" s="192">
        <f>Z1168-Y1169-Y1168-Y1170</f>
        <v>0.35000000000002274</v>
      </c>
      <c r="AB1168" s="193">
        <f t="shared" si="684"/>
        <v>1.0673234811165911E-2</v>
      </c>
      <c r="AC1168" s="194">
        <f t="shared" si="685"/>
        <v>5.3300000000000005E-4</v>
      </c>
      <c r="AD1168" s="189"/>
      <c r="AE1168" s="195" t="s">
        <v>403</v>
      </c>
      <c r="AF1168" s="119"/>
    </row>
    <row r="1169" spans="1:32" ht="12" hidden="1" customHeight="1">
      <c r="A1169" s="183">
        <v>44572</v>
      </c>
      <c r="B1169" s="184" t="s">
        <v>577</v>
      </c>
      <c r="C1169" s="184"/>
      <c r="D1169" s="184"/>
      <c r="E1169" s="184"/>
      <c r="F1169" s="184"/>
      <c r="G1169" s="184"/>
      <c r="H1169" s="184" t="s">
        <v>654</v>
      </c>
      <c r="I1169" s="184" t="s">
        <v>469</v>
      </c>
      <c r="J1169" s="184" t="s">
        <v>471</v>
      </c>
      <c r="K1169" s="185">
        <v>50</v>
      </c>
      <c r="L1169" s="186">
        <v>262.75</v>
      </c>
      <c r="M1169" s="187">
        <v>263.5</v>
      </c>
      <c r="N1169" s="188">
        <f t="shared" si="796"/>
        <v>3.94</v>
      </c>
      <c r="O1169" s="188">
        <f t="shared" si="797"/>
        <v>3.95</v>
      </c>
      <c r="P1169" s="189">
        <f t="shared" si="674"/>
        <v>26312.5</v>
      </c>
      <c r="Q1169" s="189">
        <f t="shared" si="675"/>
        <v>37.5</v>
      </c>
      <c r="R1169" s="189">
        <f t="shared" ref="R1169:R1171" si="816">ROUND(N1169+O1169,2)</f>
        <v>7.89</v>
      </c>
      <c r="S1169" s="189">
        <f t="shared" si="697"/>
        <v>1.58</v>
      </c>
      <c r="T1169" s="189">
        <f t="shared" ref="T1169:T1189" si="817">ROUND((M1169*K1169)*K$1807,2)</f>
        <v>3.29</v>
      </c>
      <c r="U1169" s="189">
        <f t="shared" si="731"/>
        <v>0.39</v>
      </c>
      <c r="V1169" s="189">
        <f t="shared" si="815"/>
        <v>0.91</v>
      </c>
      <c r="W1169" s="189">
        <f t="shared" si="758"/>
        <v>0.03</v>
      </c>
      <c r="X1169" s="189">
        <f t="shared" si="681"/>
        <v>14.089999999999998</v>
      </c>
      <c r="Y1169" s="190">
        <f t="shared" si="682"/>
        <v>23.41</v>
      </c>
      <c r="Z1169" s="191"/>
      <c r="AA1169" s="192"/>
      <c r="AB1169" s="193">
        <f t="shared" si="684"/>
        <v>2.8544243577545195E-3</v>
      </c>
      <c r="AC1169" s="194">
        <f t="shared" si="685"/>
        <v>5.3499999999999999E-4</v>
      </c>
      <c r="AD1169" s="189"/>
      <c r="AE1169" s="195" t="s">
        <v>403</v>
      </c>
      <c r="AF1169" s="119"/>
    </row>
    <row r="1170" spans="1:32" ht="12" hidden="1" customHeight="1">
      <c r="A1170" s="183">
        <v>44572</v>
      </c>
      <c r="B1170" s="184" t="s">
        <v>710</v>
      </c>
      <c r="C1170" s="184"/>
      <c r="D1170" s="184"/>
      <c r="E1170" s="184"/>
      <c r="F1170" s="184"/>
      <c r="G1170" s="184"/>
      <c r="H1170" s="184" t="s">
        <v>654</v>
      </c>
      <c r="I1170" s="184" t="s">
        <v>469</v>
      </c>
      <c r="J1170" s="184" t="s">
        <v>471</v>
      </c>
      <c r="K1170" s="185">
        <v>100</v>
      </c>
      <c r="L1170" s="186">
        <v>136</v>
      </c>
      <c r="M1170" s="187">
        <v>139</v>
      </c>
      <c r="N1170" s="188">
        <f t="shared" si="796"/>
        <v>4.08</v>
      </c>
      <c r="O1170" s="188">
        <f t="shared" si="797"/>
        <v>4.17</v>
      </c>
      <c r="P1170" s="189">
        <f t="shared" si="674"/>
        <v>27500</v>
      </c>
      <c r="Q1170" s="189">
        <f t="shared" si="675"/>
        <v>300</v>
      </c>
      <c r="R1170" s="189">
        <f t="shared" si="816"/>
        <v>8.25</v>
      </c>
      <c r="S1170" s="189">
        <f t="shared" si="697"/>
        <v>3.16</v>
      </c>
      <c r="T1170" s="189">
        <f t="shared" si="817"/>
        <v>3.48</v>
      </c>
      <c r="U1170" s="189">
        <f t="shared" si="731"/>
        <v>0.41</v>
      </c>
      <c r="V1170" s="189">
        <f>ROUND(P1170*0.0338%,2)</f>
        <v>9.3000000000000007</v>
      </c>
      <c r="W1170" s="189">
        <f t="shared" si="758"/>
        <v>0.03</v>
      </c>
      <c r="X1170" s="189">
        <f t="shared" si="681"/>
        <v>24.630000000000003</v>
      </c>
      <c r="Y1170" s="190">
        <f t="shared" si="682"/>
        <v>275.37</v>
      </c>
      <c r="Z1170" s="191"/>
      <c r="AA1170" s="192"/>
      <c r="AB1170" s="193">
        <f t="shared" si="684"/>
        <v>2.2058823529411766E-2</v>
      </c>
      <c r="AC1170" s="194">
        <f t="shared" si="685"/>
        <v>8.9599999999999999E-4</v>
      </c>
      <c r="AD1170" s="189"/>
      <c r="AE1170" s="195" t="s">
        <v>403</v>
      </c>
      <c r="AF1170" s="119"/>
    </row>
    <row r="1171" spans="1:32" ht="12" hidden="1" customHeight="1">
      <c r="A1171" s="183">
        <v>44573</v>
      </c>
      <c r="B1171" s="184" t="s">
        <v>575</v>
      </c>
      <c r="C1171" s="184"/>
      <c r="D1171" s="184"/>
      <c r="E1171" s="184"/>
      <c r="F1171" s="184"/>
      <c r="G1171" s="184"/>
      <c r="H1171" s="184" t="s">
        <v>654</v>
      </c>
      <c r="I1171" s="184" t="s">
        <v>469</v>
      </c>
      <c r="J1171" s="184" t="s">
        <v>448</v>
      </c>
      <c r="K1171" s="185">
        <v>10</v>
      </c>
      <c r="L1171" s="186">
        <v>1001</v>
      </c>
      <c r="M1171" s="187">
        <v>1006</v>
      </c>
      <c r="N1171" s="188">
        <f t="shared" si="796"/>
        <v>3</v>
      </c>
      <c r="O1171" s="188">
        <f t="shared" si="797"/>
        <v>3.02</v>
      </c>
      <c r="P1171" s="189">
        <f t="shared" si="674"/>
        <v>20070</v>
      </c>
      <c r="Q1171" s="189">
        <f t="shared" si="675"/>
        <v>50</v>
      </c>
      <c r="R1171" s="189">
        <f t="shared" si="816"/>
        <v>6.02</v>
      </c>
      <c r="S1171" s="189">
        <f t="shared" si="697"/>
        <v>1.18</v>
      </c>
      <c r="T1171" s="189">
        <f t="shared" si="817"/>
        <v>2.52</v>
      </c>
      <c r="U1171" s="189">
        <f t="shared" si="731"/>
        <v>0.3</v>
      </c>
      <c r="V1171" s="189">
        <f>ROUND(P1171*L$1809,2)</f>
        <v>0.55000000000000004</v>
      </c>
      <c r="W1171" s="189">
        <f t="shared" si="758"/>
        <v>0.02</v>
      </c>
      <c r="X1171" s="189">
        <f t="shared" si="681"/>
        <v>10.59</v>
      </c>
      <c r="Y1171" s="190">
        <f t="shared" si="682"/>
        <v>39.409999999999997</v>
      </c>
      <c r="Z1171" s="191">
        <v>39.229999999999997</v>
      </c>
      <c r="AA1171" s="192">
        <f>Z1171-Y1171</f>
        <v>-0.17999999999999972</v>
      </c>
      <c r="AB1171" s="193">
        <f t="shared" si="684"/>
        <v>4.995004995004995E-3</v>
      </c>
      <c r="AC1171" s="194">
        <f t="shared" si="685"/>
        <v>5.2800000000000004E-4</v>
      </c>
      <c r="AD1171" s="189"/>
      <c r="AE1171" s="195" t="s">
        <v>403</v>
      </c>
      <c r="AF1171" s="119"/>
    </row>
    <row r="1172" spans="1:32" ht="12" hidden="1" customHeight="1">
      <c r="A1172" s="183">
        <v>44573</v>
      </c>
      <c r="B1172" s="184" t="s">
        <v>507</v>
      </c>
      <c r="C1172" s="184"/>
      <c r="D1172" s="184"/>
      <c r="E1172" s="184"/>
      <c r="F1172" s="184"/>
      <c r="G1172" s="184"/>
      <c r="H1172" s="184" t="s">
        <v>654</v>
      </c>
      <c r="I1172" s="184" t="s">
        <v>469</v>
      </c>
      <c r="J1172" s="184" t="s">
        <v>471</v>
      </c>
      <c r="K1172" s="185">
        <v>11500</v>
      </c>
      <c r="L1172" s="186">
        <v>12.9543</v>
      </c>
      <c r="M1172" s="187">
        <v>12.995604</v>
      </c>
      <c r="N1172" s="188">
        <f t="shared" si="796"/>
        <v>20</v>
      </c>
      <c r="O1172" s="188">
        <f t="shared" si="797"/>
        <v>20</v>
      </c>
      <c r="P1172" s="189">
        <f t="shared" si="674"/>
        <v>298423.90000000002</v>
      </c>
      <c r="Q1172" s="189">
        <f t="shared" si="675"/>
        <v>474.99600000000265</v>
      </c>
      <c r="R1172" s="189">
        <v>89.03</v>
      </c>
      <c r="S1172" s="189">
        <f t="shared" si="697"/>
        <v>17.88</v>
      </c>
      <c r="T1172" s="189">
        <f t="shared" si="817"/>
        <v>37.36</v>
      </c>
      <c r="U1172" s="189">
        <f t="shared" si="731"/>
        <v>4.47</v>
      </c>
      <c r="V1172" s="189">
        <f t="shared" ref="V1172:V1175" si="818">ROUND(P1172*M$1809,2)</f>
        <v>10.3</v>
      </c>
      <c r="W1172" s="189">
        <f t="shared" si="758"/>
        <v>0.3</v>
      </c>
      <c r="X1172" s="189">
        <f t="shared" si="681"/>
        <v>159.34</v>
      </c>
      <c r="Y1172" s="190">
        <f t="shared" si="682"/>
        <v>315.66000000000003</v>
      </c>
      <c r="Z1172" s="191">
        <v>616.29</v>
      </c>
      <c r="AA1172" s="192">
        <f>Z1172-Y1173-Y1172-Y1174-Y1175</f>
        <v>-0.43000000000005656</v>
      </c>
      <c r="AB1172" s="193">
        <f t="shared" si="684"/>
        <v>3.1884393599036789E-3</v>
      </c>
      <c r="AC1172" s="194">
        <f t="shared" si="685"/>
        <v>5.3399999999999997E-4</v>
      </c>
      <c r="AD1172" s="189"/>
      <c r="AE1172" s="195" t="s">
        <v>403</v>
      </c>
      <c r="AF1172" s="119"/>
    </row>
    <row r="1173" spans="1:32" ht="12" hidden="1" customHeight="1">
      <c r="A1173" s="183">
        <v>44573</v>
      </c>
      <c r="B1173" s="184" t="s">
        <v>541</v>
      </c>
      <c r="C1173" s="184"/>
      <c r="D1173" s="184"/>
      <c r="E1173" s="184"/>
      <c r="F1173" s="184"/>
      <c r="G1173" s="184"/>
      <c r="H1173" s="184" t="s">
        <v>654</v>
      </c>
      <c r="I1173" s="184" t="s">
        <v>469</v>
      </c>
      <c r="J1173" s="184" t="s">
        <v>471</v>
      </c>
      <c r="K1173" s="185">
        <v>400</v>
      </c>
      <c r="L1173" s="186">
        <v>73.787499999999994</v>
      </c>
      <c r="M1173" s="187">
        <v>74.487499999999997</v>
      </c>
      <c r="N1173" s="188">
        <f t="shared" si="796"/>
        <v>8.85</v>
      </c>
      <c r="O1173" s="188">
        <f t="shared" si="797"/>
        <v>8.94</v>
      </c>
      <c r="P1173" s="189">
        <f t="shared" si="674"/>
        <v>59310</v>
      </c>
      <c r="Q1173" s="189">
        <f t="shared" si="675"/>
        <v>280.00000000000114</v>
      </c>
      <c r="R1173" s="189">
        <f t="shared" ref="R1173:R1175" si="819">ROUND(N1173+O1173,2)</f>
        <v>17.79</v>
      </c>
      <c r="S1173" s="189">
        <f t="shared" si="697"/>
        <v>3.57</v>
      </c>
      <c r="T1173" s="189">
        <f t="shared" si="817"/>
        <v>7.45</v>
      </c>
      <c r="U1173" s="189">
        <f t="shared" si="731"/>
        <v>0.89</v>
      </c>
      <c r="V1173" s="189">
        <f t="shared" si="818"/>
        <v>2.0499999999999998</v>
      </c>
      <c r="W1173" s="189">
        <f t="shared" si="758"/>
        <v>0.06</v>
      </c>
      <c r="X1173" s="189">
        <f t="shared" si="681"/>
        <v>31.81</v>
      </c>
      <c r="Y1173" s="190">
        <f t="shared" si="682"/>
        <v>248.19</v>
      </c>
      <c r="Z1173" s="191"/>
      <c r="AA1173" s="192"/>
      <c r="AB1173" s="193">
        <f t="shared" si="684"/>
        <v>9.4867016771133707E-3</v>
      </c>
      <c r="AC1173" s="194">
        <f t="shared" si="685"/>
        <v>5.3600000000000002E-4</v>
      </c>
      <c r="AD1173" s="189"/>
      <c r="AE1173" s="195" t="s">
        <v>403</v>
      </c>
      <c r="AF1173" s="119"/>
    </row>
    <row r="1174" spans="1:32" ht="12" hidden="1" customHeight="1">
      <c r="A1174" s="183">
        <v>44573</v>
      </c>
      <c r="B1174" s="184" t="s">
        <v>547</v>
      </c>
      <c r="C1174" s="184"/>
      <c r="D1174" s="184"/>
      <c r="E1174" s="184"/>
      <c r="F1174" s="184"/>
      <c r="G1174" s="184"/>
      <c r="H1174" s="184" t="s">
        <v>654</v>
      </c>
      <c r="I1174" s="184" t="s">
        <v>469</v>
      </c>
      <c r="J1174" s="184" t="s">
        <v>471</v>
      </c>
      <c r="K1174" s="185">
        <v>100</v>
      </c>
      <c r="L1174" s="186">
        <v>32</v>
      </c>
      <c r="M1174" s="187">
        <v>32.25</v>
      </c>
      <c r="N1174" s="188">
        <f t="shared" si="796"/>
        <v>0.96</v>
      </c>
      <c r="O1174" s="188">
        <f t="shared" si="797"/>
        <v>0.97</v>
      </c>
      <c r="P1174" s="189">
        <f t="shared" si="674"/>
        <v>6425</v>
      </c>
      <c r="Q1174" s="189">
        <f t="shared" si="675"/>
        <v>25</v>
      </c>
      <c r="R1174" s="189">
        <f t="shared" si="819"/>
        <v>1.93</v>
      </c>
      <c r="S1174" s="189">
        <f t="shared" si="697"/>
        <v>0.39</v>
      </c>
      <c r="T1174" s="189">
        <f t="shared" si="817"/>
        <v>0.81</v>
      </c>
      <c r="U1174" s="189">
        <f t="shared" si="731"/>
        <v>0.1</v>
      </c>
      <c r="V1174" s="189">
        <f t="shared" si="818"/>
        <v>0.22</v>
      </c>
      <c r="W1174" s="189">
        <f t="shared" si="758"/>
        <v>0.01</v>
      </c>
      <c r="X1174" s="189">
        <f t="shared" si="681"/>
        <v>3.46</v>
      </c>
      <c r="Y1174" s="190">
        <f t="shared" si="682"/>
        <v>21.54</v>
      </c>
      <c r="Z1174" s="191"/>
      <c r="AA1174" s="192"/>
      <c r="AB1174" s="193">
        <f t="shared" si="684"/>
        <v>7.8125E-3</v>
      </c>
      <c r="AC1174" s="194">
        <f t="shared" si="685"/>
        <v>5.3899999999999998E-4</v>
      </c>
      <c r="AD1174" s="189"/>
      <c r="AE1174" s="195" t="s">
        <v>403</v>
      </c>
      <c r="AF1174" s="119"/>
    </row>
    <row r="1175" spans="1:32" ht="12" hidden="1" customHeight="1">
      <c r="A1175" s="183">
        <v>44573</v>
      </c>
      <c r="B1175" s="184" t="s">
        <v>570</v>
      </c>
      <c r="C1175" s="184"/>
      <c r="D1175" s="184"/>
      <c r="E1175" s="184"/>
      <c r="F1175" s="184"/>
      <c r="G1175" s="184"/>
      <c r="H1175" s="184" t="s">
        <v>654</v>
      </c>
      <c r="I1175" s="184" t="s">
        <v>469</v>
      </c>
      <c r="J1175" s="184" t="s">
        <v>471</v>
      </c>
      <c r="K1175" s="185">
        <v>100</v>
      </c>
      <c r="L1175" s="186">
        <v>174</v>
      </c>
      <c r="M1175" s="187">
        <v>174.5</v>
      </c>
      <c r="N1175" s="188">
        <f t="shared" si="796"/>
        <v>5.22</v>
      </c>
      <c r="O1175" s="188">
        <f t="shared" si="797"/>
        <v>5.24</v>
      </c>
      <c r="P1175" s="189">
        <f t="shared" si="674"/>
        <v>34850</v>
      </c>
      <c r="Q1175" s="189">
        <f t="shared" si="675"/>
        <v>50</v>
      </c>
      <c r="R1175" s="189">
        <f t="shared" si="819"/>
        <v>10.46</v>
      </c>
      <c r="S1175" s="189">
        <f t="shared" si="697"/>
        <v>2.1</v>
      </c>
      <c r="T1175" s="189">
        <f t="shared" si="817"/>
        <v>4.3600000000000003</v>
      </c>
      <c r="U1175" s="189">
        <f t="shared" si="731"/>
        <v>0.52</v>
      </c>
      <c r="V1175" s="189">
        <f t="shared" si="818"/>
        <v>1.2</v>
      </c>
      <c r="W1175" s="189">
        <f t="shared" si="758"/>
        <v>0.03</v>
      </c>
      <c r="X1175" s="189">
        <f t="shared" si="681"/>
        <v>18.670000000000002</v>
      </c>
      <c r="Y1175" s="190">
        <f t="shared" si="682"/>
        <v>31.33</v>
      </c>
      <c r="Z1175" s="191"/>
      <c r="AA1175" s="192"/>
      <c r="AB1175" s="193">
        <f t="shared" si="684"/>
        <v>2.8735632183908046E-3</v>
      </c>
      <c r="AC1175" s="194">
        <f t="shared" si="685"/>
        <v>5.3600000000000002E-4</v>
      </c>
      <c r="AD1175" s="189"/>
      <c r="AE1175" s="195" t="s">
        <v>403</v>
      </c>
      <c r="AF1175" s="119"/>
    </row>
    <row r="1176" spans="1:32" ht="12" hidden="1" customHeight="1">
      <c r="A1176" s="183">
        <v>44574</v>
      </c>
      <c r="B1176" s="184" t="s">
        <v>575</v>
      </c>
      <c r="C1176" s="184"/>
      <c r="D1176" s="184"/>
      <c r="E1176" s="184"/>
      <c r="F1176" s="184"/>
      <c r="G1176" s="184"/>
      <c r="H1176" s="184" t="s">
        <v>654</v>
      </c>
      <c r="I1176" s="184" t="s">
        <v>469</v>
      </c>
      <c r="J1176" s="184" t="s">
        <v>448</v>
      </c>
      <c r="K1176" s="185">
        <v>25</v>
      </c>
      <c r="L1176" s="186">
        <v>1005</v>
      </c>
      <c r="M1176" s="187">
        <v>1010</v>
      </c>
      <c r="N1176" s="188">
        <f t="shared" si="796"/>
        <v>7.54</v>
      </c>
      <c r="O1176" s="188">
        <f t="shared" si="797"/>
        <v>7.58</v>
      </c>
      <c r="P1176" s="189">
        <f t="shared" si="674"/>
        <v>50375</v>
      </c>
      <c r="Q1176" s="189">
        <f t="shared" si="675"/>
        <v>125</v>
      </c>
      <c r="R1176" s="189">
        <f>ROUND(N1176+O1176,2)+12.42</f>
        <v>27.54</v>
      </c>
      <c r="S1176" s="189">
        <f t="shared" si="697"/>
        <v>5.21</v>
      </c>
      <c r="T1176" s="189">
        <f t="shared" si="817"/>
        <v>6.31</v>
      </c>
      <c r="U1176" s="189">
        <f t="shared" si="731"/>
        <v>0.75</v>
      </c>
      <c r="V1176" s="189">
        <f>ROUND(P1176*L$1809,2)</f>
        <v>1.39</v>
      </c>
      <c r="W1176" s="189">
        <f t="shared" si="758"/>
        <v>0.05</v>
      </c>
      <c r="X1176" s="189">
        <f t="shared" si="681"/>
        <v>41.25</v>
      </c>
      <c r="Y1176" s="190">
        <f t="shared" si="682"/>
        <v>83.75</v>
      </c>
      <c r="Z1176" s="191">
        <v>82.92</v>
      </c>
      <c r="AA1176" s="192">
        <f>Z1176-Y1176</f>
        <v>-0.82999999999999829</v>
      </c>
      <c r="AB1176" s="193">
        <f t="shared" si="684"/>
        <v>4.9751243781094526E-3</v>
      </c>
      <c r="AC1176" s="194">
        <f t="shared" si="685"/>
        <v>8.1899999999999996E-4</v>
      </c>
      <c r="AD1176" s="189"/>
      <c r="AE1176" s="195" t="s">
        <v>403</v>
      </c>
      <c r="AF1176" s="119"/>
    </row>
    <row r="1177" spans="1:32" ht="12" hidden="1" customHeight="1">
      <c r="A1177" s="183">
        <v>44574</v>
      </c>
      <c r="B1177" s="184" t="s">
        <v>459</v>
      </c>
      <c r="C1177" s="184"/>
      <c r="D1177" s="184"/>
      <c r="E1177" s="184"/>
      <c r="F1177" s="184"/>
      <c r="G1177" s="184"/>
      <c r="H1177" s="184" t="s">
        <v>654</v>
      </c>
      <c r="I1177" s="184" t="s">
        <v>469</v>
      </c>
      <c r="J1177" s="184" t="s">
        <v>471</v>
      </c>
      <c r="K1177" s="185">
        <v>60</v>
      </c>
      <c r="L1177" s="186">
        <v>923.16669999999999</v>
      </c>
      <c r="M1177" s="187">
        <v>924.33330000000001</v>
      </c>
      <c r="N1177" s="188">
        <f t="shared" si="796"/>
        <v>16.62</v>
      </c>
      <c r="O1177" s="188">
        <f t="shared" si="797"/>
        <v>16.64</v>
      </c>
      <c r="P1177" s="189">
        <f t="shared" si="674"/>
        <v>110850</v>
      </c>
      <c r="Q1177" s="189">
        <f t="shared" si="675"/>
        <v>69.996000000001004</v>
      </c>
      <c r="R1177" s="189">
        <f>ROUND(N1177+O1177,2)+2.86</f>
        <v>36.119999999999997</v>
      </c>
      <c r="S1177" s="189">
        <f t="shared" si="697"/>
        <v>7.19</v>
      </c>
      <c r="T1177" s="189">
        <f t="shared" si="817"/>
        <v>13.86</v>
      </c>
      <c r="U1177" s="189">
        <f t="shared" si="731"/>
        <v>1.66</v>
      </c>
      <c r="V1177" s="189">
        <f t="shared" ref="V1177:V1180" si="820">ROUND(P1177*M$1809,2)</f>
        <v>3.82</v>
      </c>
      <c r="W1177" s="189">
        <f t="shared" si="758"/>
        <v>0.11</v>
      </c>
      <c r="X1177" s="189">
        <f t="shared" si="681"/>
        <v>62.759999999999991</v>
      </c>
      <c r="Y1177" s="190">
        <f t="shared" si="682"/>
        <v>7.24</v>
      </c>
      <c r="Z1177" s="191">
        <v>797.22</v>
      </c>
      <c r="AA1177" s="192">
        <f>Z1177-Y1178-Y1177-Y1179-Y1180</f>
        <v>0.16999999999998749</v>
      </c>
      <c r="AB1177" s="193">
        <f t="shared" si="684"/>
        <v>1.263693761917557E-3</v>
      </c>
      <c r="AC1177" s="194">
        <f t="shared" si="685"/>
        <v>5.6599999999999999E-4</v>
      </c>
      <c r="AD1177" s="189"/>
      <c r="AE1177" s="195" t="s">
        <v>403</v>
      </c>
      <c r="AF1177" s="119"/>
    </row>
    <row r="1178" spans="1:32" ht="12" hidden="1" customHeight="1">
      <c r="A1178" s="183">
        <v>44574</v>
      </c>
      <c r="B1178" s="184" t="s">
        <v>711</v>
      </c>
      <c r="C1178" s="184"/>
      <c r="D1178" s="184"/>
      <c r="E1178" s="184"/>
      <c r="F1178" s="184"/>
      <c r="G1178" s="184"/>
      <c r="H1178" s="184" t="s">
        <v>654</v>
      </c>
      <c r="I1178" s="184" t="s">
        <v>469</v>
      </c>
      <c r="J1178" s="184" t="s">
        <v>471</v>
      </c>
      <c r="K1178" s="185">
        <v>25</v>
      </c>
      <c r="L1178" s="186">
        <v>925.99599999999998</v>
      </c>
      <c r="M1178" s="187">
        <v>946</v>
      </c>
      <c r="N1178" s="188">
        <f t="shared" si="796"/>
        <v>6.94</v>
      </c>
      <c r="O1178" s="188">
        <f t="shared" si="797"/>
        <v>7.1</v>
      </c>
      <c r="P1178" s="189">
        <f t="shared" si="674"/>
        <v>46799.9</v>
      </c>
      <c r="Q1178" s="189">
        <f t="shared" si="675"/>
        <v>500.10000000000048</v>
      </c>
      <c r="R1178" s="189">
        <f t="shared" ref="R1178:R1180" si="821">ROUND(N1178+O1178,2)</f>
        <v>14.04</v>
      </c>
      <c r="S1178" s="189">
        <f t="shared" si="697"/>
        <v>2.82</v>
      </c>
      <c r="T1178" s="189">
        <f t="shared" si="817"/>
        <v>5.91</v>
      </c>
      <c r="U1178" s="189">
        <f t="shared" si="731"/>
        <v>0.69</v>
      </c>
      <c r="V1178" s="189">
        <f t="shared" si="820"/>
        <v>1.61</v>
      </c>
      <c r="W1178" s="189">
        <f t="shared" si="758"/>
        <v>0.05</v>
      </c>
      <c r="X1178" s="189">
        <f t="shared" si="681"/>
        <v>25.12</v>
      </c>
      <c r="Y1178" s="190">
        <f t="shared" si="682"/>
        <v>474.98</v>
      </c>
      <c r="Z1178" s="191"/>
      <c r="AA1178" s="192"/>
      <c r="AB1178" s="193">
        <f t="shared" si="684"/>
        <v>2.1602685108790987E-2</v>
      </c>
      <c r="AC1178" s="194">
        <f t="shared" si="685"/>
        <v>5.3700000000000004E-4</v>
      </c>
      <c r="AD1178" s="189"/>
      <c r="AE1178" s="195" t="s">
        <v>403</v>
      </c>
      <c r="AF1178" s="119"/>
    </row>
    <row r="1179" spans="1:32" ht="12" hidden="1" customHeight="1">
      <c r="A1179" s="183">
        <v>44574</v>
      </c>
      <c r="B1179" s="184" t="s">
        <v>712</v>
      </c>
      <c r="C1179" s="184"/>
      <c r="D1179" s="184"/>
      <c r="E1179" s="184"/>
      <c r="F1179" s="184"/>
      <c r="G1179" s="184"/>
      <c r="H1179" s="184" t="s">
        <v>654</v>
      </c>
      <c r="I1179" s="184" t="s">
        <v>469</v>
      </c>
      <c r="J1179" s="184" t="s">
        <v>471</v>
      </c>
      <c r="K1179" s="185">
        <v>100</v>
      </c>
      <c r="L1179" s="186">
        <v>189</v>
      </c>
      <c r="M1179" s="187">
        <v>191</v>
      </c>
      <c r="N1179" s="188">
        <f t="shared" si="796"/>
        <v>5.67</v>
      </c>
      <c r="O1179" s="188">
        <f t="shared" si="797"/>
        <v>5.73</v>
      </c>
      <c r="P1179" s="189">
        <f t="shared" si="674"/>
        <v>38000</v>
      </c>
      <c r="Q1179" s="189">
        <f t="shared" si="675"/>
        <v>200</v>
      </c>
      <c r="R1179" s="189">
        <f t="shared" si="821"/>
        <v>11.4</v>
      </c>
      <c r="S1179" s="189">
        <f t="shared" si="697"/>
        <v>2.29</v>
      </c>
      <c r="T1179" s="189">
        <f t="shared" si="817"/>
        <v>4.78</v>
      </c>
      <c r="U1179" s="189">
        <f t="shared" si="731"/>
        <v>0.56999999999999995</v>
      </c>
      <c r="V1179" s="189">
        <f t="shared" si="820"/>
        <v>1.31</v>
      </c>
      <c r="W1179" s="189">
        <f t="shared" si="758"/>
        <v>0.04</v>
      </c>
      <c r="X1179" s="189">
        <f t="shared" si="681"/>
        <v>20.39</v>
      </c>
      <c r="Y1179" s="190">
        <f t="shared" si="682"/>
        <v>179.61</v>
      </c>
      <c r="Z1179" s="191"/>
      <c r="AA1179" s="192"/>
      <c r="AB1179" s="193">
        <f t="shared" si="684"/>
        <v>1.0582010582010581E-2</v>
      </c>
      <c r="AC1179" s="194">
        <f t="shared" si="685"/>
        <v>5.3700000000000004E-4</v>
      </c>
      <c r="AD1179" s="189"/>
      <c r="AE1179" s="195" t="s">
        <v>403</v>
      </c>
      <c r="AF1179" s="119"/>
    </row>
    <row r="1180" spans="1:32" ht="12" hidden="1" customHeight="1">
      <c r="A1180" s="183">
        <v>44574</v>
      </c>
      <c r="B1180" s="184" t="s">
        <v>553</v>
      </c>
      <c r="C1180" s="184"/>
      <c r="D1180" s="184"/>
      <c r="E1180" s="184"/>
      <c r="F1180" s="184"/>
      <c r="G1180" s="184"/>
      <c r="H1180" s="184" t="s">
        <v>654</v>
      </c>
      <c r="I1180" s="184" t="s">
        <v>469</v>
      </c>
      <c r="J1180" s="184" t="s">
        <v>471</v>
      </c>
      <c r="K1180" s="185">
        <v>1000</v>
      </c>
      <c r="L1180" s="186">
        <v>13.7</v>
      </c>
      <c r="M1180" s="187">
        <v>13.85</v>
      </c>
      <c r="N1180" s="188">
        <f t="shared" si="796"/>
        <v>4.1100000000000003</v>
      </c>
      <c r="O1180" s="188">
        <f t="shared" si="797"/>
        <v>4.16</v>
      </c>
      <c r="P1180" s="189">
        <f t="shared" si="674"/>
        <v>27550</v>
      </c>
      <c r="Q1180" s="189">
        <f t="shared" si="675"/>
        <v>150.00000000000034</v>
      </c>
      <c r="R1180" s="189">
        <f t="shared" si="821"/>
        <v>8.27</v>
      </c>
      <c r="S1180" s="189">
        <f t="shared" si="697"/>
        <v>1.66</v>
      </c>
      <c r="T1180" s="189">
        <f t="shared" si="817"/>
        <v>3.46</v>
      </c>
      <c r="U1180" s="189">
        <f t="shared" si="731"/>
        <v>0.41</v>
      </c>
      <c r="V1180" s="189">
        <f t="shared" si="820"/>
        <v>0.95</v>
      </c>
      <c r="W1180" s="189">
        <f t="shared" si="758"/>
        <v>0.03</v>
      </c>
      <c r="X1180" s="189">
        <f t="shared" si="681"/>
        <v>14.78</v>
      </c>
      <c r="Y1180" s="190">
        <f t="shared" si="682"/>
        <v>135.22</v>
      </c>
      <c r="Z1180" s="191"/>
      <c r="AA1180" s="192"/>
      <c r="AB1180" s="193">
        <f t="shared" si="684"/>
        <v>1.0948905109489078E-2</v>
      </c>
      <c r="AC1180" s="194">
        <f t="shared" si="685"/>
        <v>5.3600000000000002E-4</v>
      </c>
      <c r="AD1180" s="189"/>
      <c r="AE1180" s="195" t="s">
        <v>403</v>
      </c>
      <c r="AF1180" s="119"/>
    </row>
    <row r="1181" spans="1:32" ht="12" hidden="1" customHeight="1">
      <c r="A1181" s="183">
        <v>44575</v>
      </c>
      <c r="B1181" s="184" t="s">
        <v>575</v>
      </c>
      <c r="C1181" s="184"/>
      <c r="D1181" s="184"/>
      <c r="E1181" s="184"/>
      <c r="F1181" s="184"/>
      <c r="G1181" s="184"/>
      <c r="H1181" s="184" t="s">
        <v>654</v>
      </c>
      <c r="I1181" s="184" t="s">
        <v>469</v>
      </c>
      <c r="J1181" s="184" t="s">
        <v>448</v>
      </c>
      <c r="K1181" s="185">
        <v>158</v>
      </c>
      <c r="L1181" s="186">
        <v>1011.965</v>
      </c>
      <c r="M1181" s="187">
        <v>1015.9226</v>
      </c>
      <c r="N1181" s="188">
        <f t="shared" si="796"/>
        <v>20</v>
      </c>
      <c r="O1181" s="188">
        <f t="shared" si="797"/>
        <v>20</v>
      </c>
      <c r="P1181" s="189">
        <f t="shared" si="674"/>
        <v>320406.24</v>
      </c>
      <c r="Q1181" s="189">
        <f t="shared" si="675"/>
        <v>625.30079999999316</v>
      </c>
      <c r="R1181" s="189">
        <v>120.87</v>
      </c>
      <c r="S1181" s="189">
        <f t="shared" si="697"/>
        <v>23.34</v>
      </c>
      <c r="T1181" s="189">
        <f t="shared" si="817"/>
        <v>40.130000000000003</v>
      </c>
      <c r="U1181" s="189">
        <f t="shared" si="731"/>
        <v>4.8</v>
      </c>
      <c r="V1181" s="189">
        <f>ROUND(P1181*L$1809,2)</f>
        <v>8.81</v>
      </c>
      <c r="W1181" s="189">
        <f t="shared" si="758"/>
        <v>0.32</v>
      </c>
      <c r="X1181" s="189">
        <f t="shared" si="681"/>
        <v>198.27</v>
      </c>
      <c r="Y1181" s="190">
        <f t="shared" si="682"/>
        <v>427.03</v>
      </c>
      <c r="Z1181" s="191">
        <v>427.71</v>
      </c>
      <c r="AA1181" s="192">
        <f>Z1181-Y1181</f>
        <v>0.68000000000000682</v>
      </c>
      <c r="AB1181" s="193">
        <f t="shared" si="684"/>
        <v>3.9108071919482955E-3</v>
      </c>
      <c r="AC1181" s="194">
        <f t="shared" si="685"/>
        <v>6.1899999999999998E-4</v>
      </c>
      <c r="AD1181" s="189"/>
      <c r="AE1181" s="195" t="s">
        <v>403</v>
      </c>
      <c r="AF1181" s="119"/>
    </row>
    <row r="1182" spans="1:32" ht="12" hidden="1" customHeight="1">
      <c r="A1182" s="183">
        <v>44575</v>
      </c>
      <c r="B1182" s="184" t="s">
        <v>577</v>
      </c>
      <c r="C1182" s="184"/>
      <c r="D1182" s="184"/>
      <c r="E1182" s="184"/>
      <c r="F1182" s="184"/>
      <c r="G1182" s="184"/>
      <c r="H1182" s="184" t="s">
        <v>654</v>
      </c>
      <c r="I1182" s="184" t="s">
        <v>469</v>
      </c>
      <c r="J1182" s="184" t="s">
        <v>471</v>
      </c>
      <c r="K1182" s="185">
        <v>50</v>
      </c>
      <c r="L1182" s="186">
        <v>270</v>
      </c>
      <c r="M1182" s="187">
        <v>271.06299999999999</v>
      </c>
      <c r="N1182" s="188">
        <f t="shared" si="796"/>
        <v>4.05</v>
      </c>
      <c r="O1182" s="188">
        <f t="shared" si="797"/>
        <v>4.07</v>
      </c>
      <c r="P1182" s="189">
        <f t="shared" si="674"/>
        <v>27053.15</v>
      </c>
      <c r="Q1182" s="189">
        <f t="shared" si="675"/>
        <v>53.149999999999409</v>
      </c>
      <c r="R1182" s="189">
        <f t="shared" ref="R1182:R1186" si="822">ROUND(N1182+O1182,2)</f>
        <v>8.1199999999999992</v>
      </c>
      <c r="S1182" s="189">
        <f t="shared" si="697"/>
        <v>1.63</v>
      </c>
      <c r="T1182" s="189">
        <f t="shared" si="817"/>
        <v>3.39</v>
      </c>
      <c r="U1182" s="189">
        <f t="shared" si="731"/>
        <v>0.41</v>
      </c>
      <c r="V1182" s="189">
        <f>ROUND(P1182*M$1809,2)</f>
        <v>0.93</v>
      </c>
      <c r="W1182" s="189">
        <f t="shared" si="758"/>
        <v>0.03</v>
      </c>
      <c r="X1182" s="189">
        <f t="shared" si="681"/>
        <v>14.51</v>
      </c>
      <c r="Y1182" s="190">
        <f t="shared" si="682"/>
        <v>38.64</v>
      </c>
      <c r="Z1182" s="191">
        <v>296.7</v>
      </c>
      <c r="AA1182" s="192">
        <f>Z1182-Y1183-Y1182-Y1184-Y1185-Y1186</f>
        <v>-0.5700000000000216</v>
      </c>
      <c r="AB1182" s="193">
        <f t="shared" si="684"/>
        <v>3.9370370370369933E-3</v>
      </c>
      <c r="AC1182" s="194">
        <f t="shared" si="685"/>
        <v>5.3600000000000002E-4</v>
      </c>
      <c r="AD1182" s="189"/>
      <c r="AE1182" s="195" t="s">
        <v>403</v>
      </c>
      <c r="AF1182" s="119"/>
    </row>
    <row r="1183" spans="1:32" ht="12" hidden="1" customHeight="1">
      <c r="A1183" s="183">
        <v>44575</v>
      </c>
      <c r="B1183" s="184" t="s">
        <v>573</v>
      </c>
      <c r="C1183" s="184"/>
      <c r="D1183" s="184"/>
      <c r="E1183" s="184"/>
      <c r="F1183" s="184"/>
      <c r="G1183" s="184"/>
      <c r="H1183" s="184" t="s">
        <v>654</v>
      </c>
      <c r="I1183" s="184" t="s">
        <v>469</v>
      </c>
      <c r="J1183" s="184" t="s">
        <v>471</v>
      </c>
      <c r="K1183" s="185">
        <v>10</v>
      </c>
      <c r="L1183" s="186">
        <v>1105</v>
      </c>
      <c r="M1183" s="187">
        <v>1114.4000000000001</v>
      </c>
      <c r="N1183" s="188">
        <f t="shared" si="796"/>
        <v>3.32</v>
      </c>
      <c r="O1183" s="188">
        <f t="shared" si="797"/>
        <v>3.34</v>
      </c>
      <c r="P1183" s="189">
        <f t="shared" si="674"/>
        <v>22194</v>
      </c>
      <c r="Q1183" s="189">
        <f t="shared" si="675"/>
        <v>94.000000000000909</v>
      </c>
      <c r="R1183" s="189">
        <f t="shared" si="822"/>
        <v>6.66</v>
      </c>
      <c r="S1183" s="189">
        <f t="shared" si="697"/>
        <v>1.31</v>
      </c>
      <c r="T1183" s="189">
        <f t="shared" si="817"/>
        <v>2.79</v>
      </c>
      <c r="U1183" s="189">
        <f t="shared" si="731"/>
        <v>0.33</v>
      </c>
      <c r="V1183" s="189">
        <f>ROUND(P1183*L$1809,2)</f>
        <v>0.61</v>
      </c>
      <c r="W1183" s="189">
        <f t="shared" si="758"/>
        <v>0.02</v>
      </c>
      <c r="X1183" s="189">
        <f t="shared" si="681"/>
        <v>11.72</v>
      </c>
      <c r="Y1183" s="190">
        <f t="shared" si="682"/>
        <v>82.28</v>
      </c>
      <c r="Z1183" s="191"/>
      <c r="AA1183" s="192"/>
      <c r="AB1183" s="193">
        <f t="shared" si="684"/>
        <v>8.5067873303168243E-3</v>
      </c>
      <c r="AC1183" s="194">
        <f t="shared" si="685"/>
        <v>5.2800000000000004E-4</v>
      </c>
      <c r="AD1183" s="189"/>
      <c r="AE1183" s="195" t="s">
        <v>403</v>
      </c>
      <c r="AF1183" s="119"/>
    </row>
    <row r="1184" spans="1:32" ht="12" hidden="1" customHeight="1">
      <c r="A1184" s="183">
        <v>44575</v>
      </c>
      <c r="B1184" s="184" t="s">
        <v>623</v>
      </c>
      <c r="C1184" s="184"/>
      <c r="D1184" s="184"/>
      <c r="E1184" s="184"/>
      <c r="F1184" s="184"/>
      <c r="G1184" s="184"/>
      <c r="H1184" s="184" t="s">
        <v>654</v>
      </c>
      <c r="I1184" s="184" t="s">
        <v>469</v>
      </c>
      <c r="J1184" s="184" t="s">
        <v>471</v>
      </c>
      <c r="K1184" s="185">
        <v>100</v>
      </c>
      <c r="L1184" s="186">
        <v>93.9</v>
      </c>
      <c r="M1184" s="187">
        <v>93.65</v>
      </c>
      <c r="N1184" s="188">
        <f t="shared" si="796"/>
        <v>2.82</v>
      </c>
      <c r="O1184" s="188">
        <f t="shared" si="797"/>
        <v>2.81</v>
      </c>
      <c r="P1184" s="189">
        <f t="shared" si="674"/>
        <v>18755</v>
      </c>
      <c r="Q1184" s="189">
        <f t="shared" si="675"/>
        <v>-25</v>
      </c>
      <c r="R1184" s="189">
        <f t="shared" si="822"/>
        <v>5.63</v>
      </c>
      <c r="S1184" s="189">
        <f t="shared" si="697"/>
        <v>1.1299999999999999</v>
      </c>
      <c r="T1184" s="189">
        <f t="shared" si="817"/>
        <v>2.34</v>
      </c>
      <c r="U1184" s="189">
        <f t="shared" si="731"/>
        <v>0.28000000000000003</v>
      </c>
      <c r="V1184" s="189">
        <f>ROUND(P1184*M$1809,2)</f>
        <v>0.65</v>
      </c>
      <c r="W1184" s="189">
        <f t="shared" si="758"/>
        <v>0.02</v>
      </c>
      <c r="X1184" s="189">
        <f t="shared" si="681"/>
        <v>10.049999999999999</v>
      </c>
      <c r="Y1184" s="190">
        <f t="shared" si="682"/>
        <v>-35.049999999999997</v>
      </c>
      <c r="Z1184" s="191"/>
      <c r="AA1184" s="192"/>
      <c r="AB1184" s="193">
        <f t="shared" si="684"/>
        <v>-2.6624068157614484E-3</v>
      </c>
      <c r="AC1184" s="194">
        <f t="shared" si="685"/>
        <v>5.3600000000000002E-4</v>
      </c>
      <c r="AD1184" s="189"/>
      <c r="AE1184" s="195" t="s">
        <v>403</v>
      </c>
      <c r="AF1184" s="119"/>
    </row>
    <row r="1185" spans="1:32" ht="12" hidden="1" customHeight="1">
      <c r="A1185" s="183">
        <v>44575</v>
      </c>
      <c r="B1185" s="184" t="s">
        <v>465</v>
      </c>
      <c r="C1185" s="184"/>
      <c r="D1185" s="184"/>
      <c r="E1185" s="184"/>
      <c r="F1185" s="184"/>
      <c r="G1185" s="184"/>
      <c r="H1185" s="184" t="s">
        <v>654</v>
      </c>
      <c r="I1185" s="184" t="s">
        <v>469</v>
      </c>
      <c r="J1185" s="184" t="s">
        <v>471</v>
      </c>
      <c r="K1185" s="185">
        <v>70</v>
      </c>
      <c r="L1185" s="186">
        <v>245.25</v>
      </c>
      <c r="M1185" s="187">
        <v>247.02500000000001</v>
      </c>
      <c r="N1185" s="188">
        <f t="shared" si="796"/>
        <v>5.15</v>
      </c>
      <c r="O1185" s="188">
        <f t="shared" si="797"/>
        <v>5.19</v>
      </c>
      <c r="P1185" s="189">
        <f t="shared" si="674"/>
        <v>34459.25</v>
      </c>
      <c r="Q1185" s="189">
        <f t="shared" si="675"/>
        <v>124.2500000000004</v>
      </c>
      <c r="R1185" s="189">
        <f t="shared" si="822"/>
        <v>10.34</v>
      </c>
      <c r="S1185" s="189">
        <f t="shared" si="697"/>
        <v>2.0299999999999998</v>
      </c>
      <c r="T1185" s="189">
        <f t="shared" si="817"/>
        <v>4.32</v>
      </c>
      <c r="U1185" s="189">
        <f t="shared" si="731"/>
        <v>0.52</v>
      </c>
      <c r="V1185" s="189">
        <f t="shared" ref="V1185:V1186" si="823">ROUND(P1185*L$1809,2)</f>
        <v>0.95</v>
      </c>
      <c r="W1185" s="189">
        <f t="shared" si="758"/>
        <v>0.03</v>
      </c>
      <c r="X1185" s="189">
        <f t="shared" si="681"/>
        <v>18.189999999999998</v>
      </c>
      <c r="Y1185" s="190">
        <f t="shared" si="682"/>
        <v>106.06</v>
      </c>
      <c r="Z1185" s="191"/>
      <c r="AA1185" s="192"/>
      <c r="AB1185" s="193">
        <f t="shared" si="684"/>
        <v>7.2375127420999212E-3</v>
      </c>
      <c r="AC1185" s="194">
        <f t="shared" si="685"/>
        <v>5.2800000000000004E-4</v>
      </c>
      <c r="AD1185" s="189"/>
      <c r="AE1185" s="195" t="s">
        <v>403</v>
      </c>
      <c r="AF1185" s="119"/>
    </row>
    <row r="1186" spans="1:32" ht="12" hidden="1" customHeight="1">
      <c r="A1186" s="183">
        <v>44575</v>
      </c>
      <c r="B1186" s="184" t="s">
        <v>589</v>
      </c>
      <c r="C1186" s="184"/>
      <c r="D1186" s="184"/>
      <c r="E1186" s="184"/>
      <c r="F1186" s="184"/>
      <c r="G1186" s="184"/>
      <c r="H1186" s="184" t="s">
        <v>654</v>
      </c>
      <c r="I1186" s="184" t="s">
        <v>469</v>
      </c>
      <c r="J1186" s="184" t="s">
        <v>471</v>
      </c>
      <c r="K1186" s="185">
        <v>20</v>
      </c>
      <c r="L1186" s="186">
        <v>1638</v>
      </c>
      <c r="M1186" s="187">
        <v>1645</v>
      </c>
      <c r="N1186" s="188">
        <f t="shared" si="796"/>
        <v>9.83</v>
      </c>
      <c r="O1186" s="188">
        <f t="shared" si="797"/>
        <v>9.8699999999999992</v>
      </c>
      <c r="P1186" s="189">
        <f t="shared" si="674"/>
        <v>65660</v>
      </c>
      <c r="Q1186" s="189">
        <f t="shared" si="675"/>
        <v>140</v>
      </c>
      <c r="R1186" s="189">
        <f t="shared" si="822"/>
        <v>19.7</v>
      </c>
      <c r="S1186" s="189">
        <f t="shared" si="697"/>
        <v>3.87</v>
      </c>
      <c r="T1186" s="189">
        <f t="shared" si="817"/>
        <v>8.23</v>
      </c>
      <c r="U1186" s="189">
        <f t="shared" si="731"/>
        <v>0.98</v>
      </c>
      <c r="V1186" s="189">
        <f t="shared" si="823"/>
        <v>1.81</v>
      </c>
      <c r="W1186" s="189">
        <f t="shared" si="758"/>
        <v>7.0000000000000007E-2</v>
      </c>
      <c r="X1186" s="189">
        <f t="shared" si="681"/>
        <v>34.660000000000004</v>
      </c>
      <c r="Y1186" s="190">
        <f t="shared" si="682"/>
        <v>105.34</v>
      </c>
      <c r="Z1186" s="191"/>
      <c r="AA1186" s="192"/>
      <c r="AB1186" s="193">
        <f t="shared" si="684"/>
        <v>4.2735042735042739E-3</v>
      </c>
      <c r="AC1186" s="194">
        <f t="shared" si="685"/>
        <v>5.2800000000000004E-4</v>
      </c>
      <c r="AD1186" s="189"/>
      <c r="AE1186" s="195" t="s">
        <v>403</v>
      </c>
      <c r="AF1186" s="119"/>
    </row>
    <row r="1187" spans="1:32" ht="12" hidden="1" customHeight="1">
      <c r="A1187" s="183">
        <v>44578</v>
      </c>
      <c r="B1187" s="184" t="s">
        <v>575</v>
      </c>
      <c r="C1187" s="184"/>
      <c r="D1187" s="184"/>
      <c r="E1187" s="184"/>
      <c r="F1187" s="184"/>
      <c r="G1187" s="184"/>
      <c r="H1187" s="184" t="s">
        <v>654</v>
      </c>
      <c r="I1187" s="184" t="s">
        <v>469</v>
      </c>
      <c r="J1187" s="184" t="s">
        <v>448</v>
      </c>
      <c r="K1187" s="185">
        <v>250</v>
      </c>
      <c r="L1187" s="186">
        <v>1050.2</v>
      </c>
      <c r="M1187" s="187">
        <v>1055.124</v>
      </c>
      <c r="N1187" s="188">
        <f t="shared" si="796"/>
        <v>20</v>
      </c>
      <c r="O1187" s="188">
        <f t="shared" si="797"/>
        <v>20</v>
      </c>
      <c r="P1187" s="189">
        <f t="shared" si="674"/>
        <v>526331</v>
      </c>
      <c r="Q1187" s="189">
        <f t="shared" si="675"/>
        <v>1230.9999999999945</v>
      </c>
      <c r="R1187" s="189">
        <v>145.69999999999999</v>
      </c>
      <c r="S1187" s="189">
        <f t="shared" si="697"/>
        <v>29.49</v>
      </c>
      <c r="T1187" s="189">
        <f t="shared" si="817"/>
        <v>65.95</v>
      </c>
      <c r="U1187" s="189">
        <f t="shared" si="731"/>
        <v>7.88</v>
      </c>
      <c r="V1187" s="189">
        <f t="shared" ref="V1187:V1189" si="824">ROUND(P1187*M$1809,2)</f>
        <v>18.16</v>
      </c>
      <c r="W1187" s="189">
        <f t="shared" si="758"/>
        <v>0.53</v>
      </c>
      <c r="X1187" s="189">
        <f t="shared" si="681"/>
        <v>267.70999999999998</v>
      </c>
      <c r="Y1187" s="190">
        <f t="shared" si="682"/>
        <v>963.29</v>
      </c>
      <c r="Z1187" s="191">
        <v>962.64</v>
      </c>
      <c r="AA1187" s="192">
        <f>Z1187-Y1187</f>
        <v>-0.64999999999997726</v>
      </c>
      <c r="AB1187" s="193">
        <f t="shared" si="684"/>
        <v>4.6886307370024548E-3</v>
      </c>
      <c r="AC1187" s="194">
        <f t="shared" si="685"/>
        <v>5.0900000000000001E-4</v>
      </c>
      <c r="AD1187" s="189"/>
      <c r="AE1187" s="195" t="s">
        <v>403</v>
      </c>
      <c r="AF1187" s="119"/>
    </row>
    <row r="1188" spans="1:32" ht="12" hidden="1" customHeight="1">
      <c r="A1188" s="183">
        <v>44578</v>
      </c>
      <c r="B1188" s="184" t="s">
        <v>573</v>
      </c>
      <c r="C1188" s="184"/>
      <c r="D1188" s="184"/>
      <c r="E1188" s="184"/>
      <c r="F1188" s="184"/>
      <c r="G1188" s="184"/>
      <c r="H1188" s="184" t="s">
        <v>654</v>
      </c>
      <c r="I1188" s="184" t="s">
        <v>469</v>
      </c>
      <c r="J1188" s="184" t="s">
        <v>471</v>
      </c>
      <c r="K1188" s="185">
        <v>30</v>
      </c>
      <c r="L1188" s="186">
        <v>1106.6632999999999</v>
      </c>
      <c r="M1188" s="187">
        <v>1109</v>
      </c>
      <c r="N1188" s="188">
        <f t="shared" si="796"/>
        <v>9.9600000000000009</v>
      </c>
      <c r="O1188" s="188">
        <f t="shared" si="797"/>
        <v>9.98</v>
      </c>
      <c r="P1188" s="189">
        <f t="shared" si="674"/>
        <v>66469.899999999994</v>
      </c>
      <c r="Q1188" s="189">
        <f t="shared" si="675"/>
        <v>70.101000000001932</v>
      </c>
      <c r="R1188" s="189">
        <f t="shared" ref="R1188:R1189" si="825">ROUND(N1188+O1188,2)</f>
        <v>19.940000000000001</v>
      </c>
      <c r="S1188" s="189">
        <f t="shared" si="697"/>
        <v>4</v>
      </c>
      <c r="T1188" s="189">
        <f t="shared" si="817"/>
        <v>8.32</v>
      </c>
      <c r="U1188" s="189">
        <f t="shared" si="731"/>
        <v>1</v>
      </c>
      <c r="V1188" s="189">
        <f t="shared" si="824"/>
        <v>2.29</v>
      </c>
      <c r="W1188" s="189">
        <f t="shared" si="758"/>
        <v>7.0000000000000007E-2</v>
      </c>
      <c r="X1188" s="189">
        <f t="shared" si="681"/>
        <v>35.620000000000005</v>
      </c>
      <c r="Y1188" s="190">
        <f t="shared" si="682"/>
        <v>34.479999999999997</v>
      </c>
      <c r="Z1188" s="191">
        <v>73.849999999999994</v>
      </c>
      <c r="AA1188" s="192">
        <f>Z1188-Y1189-Y1188</f>
        <v>0.55999999999999517</v>
      </c>
      <c r="AB1188" s="193">
        <f t="shared" si="684"/>
        <v>2.1114823270999088E-3</v>
      </c>
      <c r="AC1188" s="194">
        <f t="shared" si="685"/>
        <v>5.3600000000000002E-4</v>
      </c>
      <c r="AD1188" s="189"/>
      <c r="AE1188" s="195" t="s">
        <v>403</v>
      </c>
      <c r="AF1188" s="119"/>
    </row>
    <row r="1189" spans="1:32" ht="12" hidden="1" customHeight="1">
      <c r="A1189" s="183">
        <v>44578</v>
      </c>
      <c r="B1189" s="184" t="s">
        <v>577</v>
      </c>
      <c r="C1189" s="184"/>
      <c r="D1189" s="184"/>
      <c r="E1189" s="184"/>
      <c r="F1189" s="184"/>
      <c r="G1189" s="184"/>
      <c r="H1189" s="184" t="s">
        <v>654</v>
      </c>
      <c r="I1189" s="184" t="s">
        <v>469</v>
      </c>
      <c r="J1189" s="184" t="s">
        <v>471</v>
      </c>
      <c r="K1189" s="185">
        <v>50</v>
      </c>
      <c r="L1189" s="186">
        <v>271.5</v>
      </c>
      <c r="M1189" s="187">
        <v>272.56799999999998</v>
      </c>
      <c r="N1189" s="188">
        <f t="shared" si="796"/>
        <v>4.07</v>
      </c>
      <c r="O1189" s="188">
        <f t="shared" si="797"/>
        <v>4.09</v>
      </c>
      <c r="P1189" s="189">
        <f t="shared" si="674"/>
        <v>27203.4</v>
      </c>
      <c r="Q1189" s="189">
        <f t="shared" si="675"/>
        <v>53.399999999999181</v>
      </c>
      <c r="R1189" s="189">
        <f t="shared" si="825"/>
        <v>8.16</v>
      </c>
      <c r="S1189" s="189">
        <f t="shared" si="697"/>
        <v>1.64</v>
      </c>
      <c r="T1189" s="189">
        <f t="shared" si="817"/>
        <v>3.41</v>
      </c>
      <c r="U1189" s="189">
        <f t="shared" si="731"/>
        <v>0.41</v>
      </c>
      <c r="V1189" s="189">
        <f t="shared" si="824"/>
        <v>0.94</v>
      </c>
      <c r="W1189" s="189">
        <f t="shared" si="758"/>
        <v>0.03</v>
      </c>
      <c r="X1189" s="189">
        <f t="shared" si="681"/>
        <v>14.59</v>
      </c>
      <c r="Y1189" s="190">
        <f t="shared" si="682"/>
        <v>38.81</v>
      </c>
      <c r="Z1189" s="191"/>
      <c r="AA1189" s="192"/>
      <c r="AB1189" s="193">
        <f t="shared" si="684"/>
        <v>3.933701657458503E-3</v>
      </c>
      <c r="AC1189" s="194">
        <f t="shared" si="685"/>
        <v>5.3600000000000002E-4</v>
      </c>
      <c r="AD1189" s="189"/>
      <c r="AE1189" s="195" t="s">
        <v>403</v>
      </c>
      <c r="AF1189" s="119"/>
    </row>
    <row r="1190" spans="1:32" ht="12" hidden="1" customHeight="1">
      <c r="A1190" s="183">
        <v>44579</v>
      </c>
      <c r="B1190" s="184" t="s">
        <v>575</v>
      </c>
      <c r="C1190" s="184"/>
      <c r="D1190" s="184"/>
      <c r="E1190" s="184"/>
      <c r="F1190" s="184"/>
      <c r="G1190" s="184"/>
      <c r="H1190" s="184" t="s">
        <v>654</v>
      </c>
      <c r="I1190" s="184" t="s">
        <v>469</v>
      </c>
      <c r="J1190" s="184" t="s">
        <v>448</v>
      </c>
      <c r="K1190" s="185">
        <v>113</v>
      </c>
      <c r="L1190" s="186">
        <v>1013.6283</v>
      </c>
      <c r="M1190" s="187">
        <v>1015.8053</v>
      </c>
      <c r="N1190" s="188">
        <f t="shared" si="796"/>
        <v>20</v>
      </c>
      <c r="O1190" s="188">
        <f t="shared" si="797"/>
        <v>20</v>
      </c>
      <c r="P1190" s="189">
        <f t="shared" si="674"/>
        <v>229326</v>
      </c>
      <c r="Q1190" s="189">
        <f t="shared" si="675"/>
        <v>246.00100000000236</v>
      </c>
      <c r="R1190" s="189">
        <v>57.6</v>
      </c>
      <c r="S1190" s="189">
        <f t="shared" si="697"/>
        <v>11.5</v>
      </c>
      <c r="T1190" s="189">
        <f>ROUND((M1190*K1190)*K$1807,2)-1</f>
        <v>27.7</v>
      </c>
      <c r="U1190" s="189">
        <f t="shared" si="731"/>
        <v>3.44</v>
      </c>
      <c r="V1190" s="189">
        <f>ROUND(P1190*L$1809,2)</f>
        <v>6.31</v>
      </c>
      <c r="W1190" s="189">
        <f t="shared" si="758"/>
        <v>0.23</v>
      </c>
      <c r="X1190" s="189">
        <f t="shared" si="681"/>
        <v>106.78</v>
      </c>
      <c r="Y1190" s="190">
        <f t="shared" si="682"/>
        <v>139.22</v>
      </c>
      <c r="Z1190" s="191">
        <v>139.18</v>
      </c>
      <c r="AA1190" s="192">
        <f>Z1190-Y1190</f>
        <v>-3.9999999999992042E-2</v>
      </c>
      <c r="AB1190" s="193">
        <f t="shared" si="684"/>
        <v>2.1477300900142795E-3</v>
      </c>
      <c r="AC1190" s="194">
        <f t="shared" si="685"/>
        <v>4.66E-4</v>
      </c>
      <c r="AD1190" s="189"/>
      <c r="AE1190" s="195" t="s">
        <v>403</v>
      </c>
      <c r="AF1190" s="119"/>
    </row>
    <row r="1191" spans="1:32" ht="12" hidden="1" customHeight="1">
      <c r="A1191" s="183">
        <v>44579</v>
      </c>
      <c r="B1191" s="184" t="s">
        <v>584</v>
      </c>
      <c r="C1191" s="184"/>
      <c r="D1191" s="184"/>
      <c r="E1191" s="184"/>
      <c r="F1191" s="184"/>
      <c r="G1191" s="184"/>
      <c r="H1191" s="184" t="s">
        <v>654</v>
      </c>
      <c r="I1191" s="184" t="s">
        <v>469</v>
      </c>
      <c r="J1191" s="184" t="s">
        <v>471</v>
      </c>
      <c r="K1191" s="185">
        <v>1000</v>
      </c>
      <c r="L1191" s="186">
        <v>12.25</v>
      </c>
      <c r="M1191" s="187">
        <v>12.45</v>
      </c>
      <c r="N1191" s="188">
        <f t="shared" si="796"/>
        <v>3.68</v>
      </c>
      <c r="O1191" s="188">
        <f t="shared" si="797"/>
        <v>3.74</v>
      </c>
      <c r="P1191" s="189">
        <f t="shared" si="674"/>
        <v>24700</v>
      </c>
      <c r="Q1191" s="189">
        <f t="shared" si="675"/>
        <v>199.99999999999929</v>
      </c>
      <c r="R1191" s="189">
        <f t="shared" ref="R1191:R1193" si="826">ROUND(N1191+O1191,2)</f>
        <v>7.42</v>
      </c>
      <c r="S1191" s="189">
        <f t="shared" si="697"/>
        <v>1.49</v>
      </c>
      <c r="T1191" s="189">
        <f t="shared" ref="T1191:T1225" si="827">ROUND((M1191*K1191)*K$1807,2)</f>
        <v>3.11</v>
      </c>
      <c r="U1191" s="189">
        <f t="shared" si="731"/>
        <v>0.37</v>
      </c>
      <c r="V1191" s="189">
        <f>ROUND(P1191*M$1809,2)</f>
        <v>0.85</v>
      </c>
      <c r="W1191" s="189">
        <f t="shared" si="758"/>
        <v>0.02</v>
      </c>
      <c r="X1191" s="189">
        <f t="shared" si="681"/>
        <v>13.259999999999998</v>
      </c>
      <c r="Y1191" s="190">
        <f t="shared" si="682"/>
        <v>186.74</v>
      </c>
      <c r="Z1191" s="191">
        <v>224.13</v>
      </c>
      <c r="AA1191" s="192">
        <f>Z1191-Y1192-Y1191</f>
        <v>0.44999999999998863</v>
      </c>
      <c r="AB1191" s="193">
        <f t="shared" si="684"/>
        <v>1.632653061224484E-2</v>
      </c>
      <c r="AC1191" s="194">
        <f t="shared" si="685"/>
        <v>5.3700000000000004E-4</v>
      </c>
      <c r="AD1191" s="189"/>
      <c r="AE1191" s="195" t="s">
        <v>403</v>
      </c>
      <c r="AF1191" s="119"/>
    </row>
    <row r="1192" spans="1:32" ht="12" hidden="1" customHeight="1">
      <c r="A1192" s="183">
        <v>44579</v>
      </c>
      <c r="B1192" s="184" t="s">
        <v>465</v>
      </c>
      <c r="C1192" s="184"/>
      <c r="D1192" s="184"/>
      <c r="E1192" s="184"/>
      <c r="F1192" s="184"/>
      <c r="G1192" s="184"/>
      <c r="H1192" s="184" t="s">
        <v>654</v>
      </c>
      <c r="I1192" s="184" t="s">
        <v>469</v>
      </c>
      <c r="J1192" s="184" t="s">
        <v>471</v>
      </c>
      <c r="K1192" s="185">
        <v>50</v>
      </c>
      <c r="L1192" s="186">
        <v>247</v>
      </c>
      <c r="M1192" s="187">
        <v>248</v>
      </c>
      <c r="N1192" s="188">
        <f t="shared" si="796"/>
        <v>3.71</v>
      </c>
      <c r="O1192" s="188">
        <f t="shared" si="797"/>
        <v>3.72</v>
      </c>
      <c r="P1192" s="189">
        <f t="shared" si="674"/>
        <v>24750</v>
      </c>
      <c r="Q1192" s="189">
        <f t="shared" si="675"/>
        <v>50</v>
      </c>
      <c r="R1192" s="189">
        <f t="shared" si="826"/>
        <v>7.43</v>
      </c>
      <c r="S1192" s="189">
        <f t="shared" si="697"/>
        <v>1.46</v>
      </c>
      <c r="T1192" s="189">
        <f t="shared" si="827"/>
        <v>3.1</v>
      </c>
      <c r="U1192" s="189">
        <f t="shared" si="731"/>
        <v>0.37</v>
      </c>
      <c r="V1192" s="189">
        <f t="shared" ref="V1192:V1193" si="828">ROUND(P1192*L$1809,2)</f>
        <v>0.68</v>
      </c>
      <c r="W1192" s="189">
        <f t="shared" si="758"/>
        <v>0.02</v>
      </c>
      <c r="X1192" s="189">
        <f t="shared" si="681"/>
        <v>13.059999999999999</v>
      </c>
      <c r="Y1192" s="190">
        <f t="shared" si="682"/>
        <v>36.94</v>
      </c>
      <c r="Z1192" s="191"/>
      <c r="AA1192" s="192"/>
      <c r="AB1192" s="193">
        <f t="shared" si="684"/>
        <v>4.048582995951417E-3</v>
      </c>
      <c r="AC1192" s="194">
        <f t="shared" si="685"/>
        <v>5.2800000000000004E-4</v>
      </c>
      <c r="AD1192" s="189"/>
      <c r="AE1192" s="195" t="s">
        <v>403</v>
      </c>
      <c r="AF1192" s="119"/>
    </row>
    <row r="1193" spans="1:32" ht="12" hidden="1" customHeight="1">
      <c r="A1193" s="183">
        <v>44580</v>
      </c>
      <c r="B1193" s="184" t="s">
        <v>465</v>
      </c>
      <c r="C1193" s="184"/>
      <c r="D1193" s="184"/>
      <c r="E1193" s="184"/>
      <c r="F1193" s="184"/>
      <c r="G1193" s="184"/>
      <c r="H1193" s="184" t="s">
        <v>654</v>
      </c>
      <c r="I1193" s="184" t="s">
        <v>469</v>
      </c>
      <c r="J1193" s="184" t="s">
        <v>471</v>
      </c>
      <c r="K1193" s="185">
        <v>35</v>
      </c>
      <c r="L1193" s="186">
        <v>249.2</v>
      </c>
      <c r="M1193" s="187">
        <v>249.5</v>
      </c>
      <c r="N1193" s="188">
        <f t="shared" si="796"/>
        <v>2.62</v>
      </c>
      <c r="O1193" s="188">
        <f t="shared" si="797"/>
        <v>2.62</v>
      </c>
      <c r="P1193" s="189">
        <f t="shared" si="674"/>
        <v>17454.5</v>
      </c>
      <c r="Q1193" s="189">
        <f t="shared" si="675"/>
        <v>10.500000000000398</v>
      </c>
      <c r="R1193" s="189">
        <f t="shared" si="826"/>
        <v>5.24</v>
      </c>
      <c r="S1193" s="189">
        <f t="shared" si="697"/>
        <v>1.03</v>
      </c>
      <c r="T1193" s="189">
        <f t="shared" si="827"/>
        <v>2.1800000000000002</v>
      </c>
      <c r="U1193" s="189">
        <f t="shared" si="731"/>
        <v>0.26</v>
      </c>
      <c r="V1193" s="189">
        <f t="shared" si="828"/>
        <v>0.48</v>
      </c>
      <c r="W1193" s="189">
        <f t="shared" si="758"/>
        <v>0.02</v>
      </c>
      <c r="X1193" s="189">
        <f t="shared" si="681"/>
        <v>9.2100000000000009</v>
      </c>
      <c r="Y1193" s="190">
        <f t="shared" si="682"/>
        <v>1.29</v>
      </c>
      <c r="Z1193" s="191">
        <v>1.76</v>
      </c>
      <c r="AA1193" s="192">
        <f t="shared" ref="AA1193:AA1195" si="829">Z1193-Y1193</f>
        <v>0.47</v>
      </c>
      <c r="AB1193" s="193">
        <f t="shared" si="684"/>
        <v>1.2038523274478788E-3</v>
      </c>
      <c r="AC1193" s="194">
        <f t="shared" si="685"/>
        <v>5.2800000000000004E-4</v>
      </c>
      <c r="AD1193" s="189"/>
      <c r="AE1193" s="195" t="s">
        <v>403</v>
      </c>
      <c r="AF1193" s="119"/>
    </row>
    <row r="1194" spans="1:32" ht="12" hidden="1" customHeight="1">
      <c r="A1194" s="183">
        <v>44580</v>
      </c>
      <c r="B1194" s="184" t="s">
        <v>575</v>
      </c>
      <c r="C1194" s="184"/>
      <c r="D1194" s="184"/>
      <c r="E1194" s="184"/>
      <c r="F1194" s="184"/>
      <c r="G1194" s="184"/>
      <c r="H1194" s="184" t="s">
        <v>654</v>
      </c>
      <c r="I1194" s="184" t="s">
        <v>469</v>
      </c>
      <c r="J1194" s="184" t="s">
        <v>448</v>
      </c>
      <c r="K1194" s="185">
        <v>397</v>
      </c>
      <c r="L1194" s="186">
        <v>1097.0027</v>
      </c>
      <c r="M1194" s="187">
        <v>1107.5222100000001</v>
      </c>
      <c r="N1194" s="188">
        <f t="shared" si="796"/>
        <v>20</v>
      </c>
      <c r="O1194" s="188">
        <f t="shared" si="797"/>
        <v>20</v>
      </c>
      <c r="P1194" s="189">
        <f t="shared" si="674"/>
        <v>875196.39</v>
      </c>
      <c r="Q1194" s="189">
        <f t="shared" si="675"/>
        <v>4176.2454700000326</v>
      </c>
      <c r="R1194" s="189">
        <v>269.79000000000002</v>
      </c>
      <c r="S1194" s="189">
        <f t="shared" si="697"/>
        <v>54</v>
      </c>
      <c r="T1194" s="189">
        <f t="shared" si="827"/>
        <v>109.92</v>
      </c>
      <c r="U1194" s="189">
        <f t="shared" si="731"/>
        <v>13.07</v>
      </c>
      <c r="V1194" s="189">
        <f>ROUND(P1194*M$1809,2)</f>
        <v>30.19</v>
      </c>
      <c r="W1194" s="189">
        <f t="shared" si="758"/>
        <v>0.88</v>
      </c>
      <c r="X1194" s="189">
        <f t="shared" si="681"/>
        <v>477.85</v>
      </c>
      <c r="Y1194" s="190">
        <f t="shared" si="682"/>
        <v>3698.4</v>
      </c>
      <c r="Z1194" s="191">
        <v>3699.2299999999996</v>
      </c>
      <c r="AA1194" s="192">
        <f t="shared" si="829"/>
        <v>0.82999999999947249</v>
      </c>
      <c r="AB1194" s="193">
        <f t="shared" si="684"/>
        <v>9.5893200627492365E-3</v>
      </c>
      <c r="AC1194" s="194">
        <f t="shared" si="685"/>
        <v>5.4600000000000004E-4</v>
      </c>
      <c r="AD1194" s="189"/>
      <c r="AE1194" s="195" t="s">
        <v>403</v>
      </c>
      <c r="AF1194" s="119"/>
    </row>
    <row r="1195" spans="1:32" ht="12" hidden="1" customHeight="1">
      <c r="A1195" s="183">
        <v>44581</v>
      </c>
      <c r="B1195" s="184" t="s">
        <v>575</v>
      </c>
      <c r="C1195" s="184"/>
      <c r="D1195" s="184"/>
      <c r="E1195" s="184"/>
      <c r="F1195" s="184"/>
      <c r="G1195" s="184"/>
      <c r="H1195" s="184" t="s">
        <v>654</v>
      </c>
      <c r="I1195" s="184" t="s">
        <v>469</v>
      </c>
      <c r="J1195" s="184" t="s">
        <v>448</v>
      </c>
      <c r="K1195" s="185">
        <v>610</v>
      </c>
      <c r="L1195" s="186">
        <v>1096.9246000000001</v>
      </c>
      <c r="M1195" s="187">
        <v>1101.9459999999999</v>
      </c>
      <c r="N1195" s="188">
        <f t="shared" si="796"/>
        <v>20</v>
      </c>
      <c r="O1195" s="188">
        <f t="shared" si="797"/>
        <v>20</v>
      </c>
      <c r="P1195" s="189">
        <f t="shared" si="674"/>
        <v>1341311.07</v>
      </c>
      <c r="Q1195" s="189">
        <f t="shared" si="675"/>
        <v>3063.0539999999132</v>
      </c>
      <c r="R1195" s="189">
        <v>272.32</v>
      </c>
      <c r="S1195" s="189">
        <f t="shared" si="697"/>
        <v>55.66</v>
      </c>
      <c r="T1195" s="189">
        <f t="shared" si="827"/>
        <v>168.05</v>
      </c>
      <c r="U1195" s="189">
        <f t="shared" si="731"/>
        <v>20.07</v>
      </c>
      <c r="V1195" s="189">
        <f>ROUND(P1195*L$1809,2)</f>
        <v>36.89</v>
      </c>
      <c r="W1195" s="189">
        <f t="shared" si="758"/>
        <v>1.34</v>
      </c>
      <c r="X1195" s="189">
        <f t="shared" si="681"/>
        <v>554.33000000000004</v>
      </c>
      <c r="Y1195" s="190">
        <f t="shared" si="682"/>
        <v>2508.7199999999998</v>
      </c>
      <c r="Z1195" s="191">
        <v>2508.85</v>
      </c>
      <c r="AA1195" s="192">
        <f t="shared" si="829"/>
        <v>0.13000000000010914</v>
      </c>
      <c r="AB1195" s="193">
        <f t="shared" si="684"/>
        <v>4.5777075288491635E-3</v>
      </c>
      <c r="AC1195" s="194">
        <f t="shared" si="685"/>
        <v>4.1300000000000001E-4</v>
      </c>
      <c r="AD1195" s="189"/>
      <c r="AE1195" s="195" t="s">
        <v>403</v>
      </c>
      <c r="AF1195" s="119"/>
    </row>
    <row r="1196" spans="1:32" ht="12" hidden="1" customHeight="1">
      <c r="A1196" s="183">
        <v>44581</v>
      </c>
      <c r="B1196" s="184" t="s">
        <v>541</v>
      </c>
      <c r="C1196" s="184"/>
      <c r="D1196" s="184"/>
      <c r="E1196" s="184"/>
      <c r="F1196" s="184"/>
      <c r="G1196" s="184"/>
      <c r="H1196" s="184" t="s">
        <v>654</v>
      </c>
      <c r="I1196" s="184" t="s">
        <v>469</v>
      </c>
      <c r="J1196" s="184" t="s">
        <v>471</v>
      </c>
      <c r="K1196" s="185">
        <v>200</v>
      </c>
      <c r="L1196" s="186">
        <v>74.849999999999994</v>
      </c>
      <c r="M1196" s="187">
        <v>75.174999999999997</v>
      </c>
      <c r="N1196" s="188">
        <f t="shared" si="796"/>
        <v>4.49</v>
      </c>
      <c r="O1196" s="188">
        <f t="shared" si="797"/>
        <v>4.51</v>
      </c>
      <c r="P1196" s="189">
        <f t="shared" si="674"/>
        <v>30005</v>
      </c>
      <c r="Q1196" s="189">
        <f t="shared" si="675"/>
        <v>65.000000000000568</v>
      </c>
      <c r="R1196" s="189">
        <f t="shared" ref="R1196:R1199" si="830">ROUND(N1196+O1196,2)</f>
        <v>9</v>
      </c>
      <c r="S1196" s="189">
        <f t="shared" si="697"/>
        <v>1.81</v>
      </c>
      <c r="T1196" s="189">
        <f t="shared" si="827"/>
        <v>3.76</v>
      </c>
      <c r="U1196" s="189">
        <f t="shared" si="731"/>
        <v>0.45</v>
      </c>
      <c r="V1196" s="189">
        <f t="shared" ref="V1196:V1197" si="831">ROUND(P1196*M$1809,2)</f>
        <v>1.04</v>
      </c>
      <c r="W1196" s="189">
        <f t="shared" si="758"/>
        <v>0.03</v>
      </c>
      <c r="X1196" s="189">
        <f t="shared" si="681"/>
        <v>16.09</v>
      </c>
      <c r="Y1196" s="190">
        <f t="shared" si="682"/>
        <v>48.91</v>
      </c>
      <c r="Z1196" s="191">
        <v>290.94</v>
      </c>
      <c r="AA1196" s="192">
        <f>Z1196-Y1197-Y1196-Y1198-Y1199</f>
        <v>0.75000000000000711</v>
      </c>
      <c r="AB1196" s="193">
        <f t="shared" si="684"/>
        <v>4.3420173680695107E-3</v>
      </c>
      <c r="AC1196" s="194">
        <f t="shared" si="685"/>
        <v>5.3600000000000002E-4</v>
      </c>
      <c r="AD1196" s="189"/>
      <c r="AE1196" s="195" t="s">
        <v>403</v>
      </c>
      <c r="AF1196" s="119"/>
    </row>
    <row r="1197" spans="1:32" ht="12" hidden="1" customHeight="1">
      <c r="A1197" s="183">
        <v>44581</v>
      </c>
      <c r="B1197" s="184" t="s">
        <v>484</v>
      </c>
      <c r="C1197" s="184"/>
      <c r="D1197" s="184"/>
      <c r="E1197" s="184"/>
      <c r="F1197" s="184"/>
      <c r="G1197" s="184"/>
      <c r="H1197" s="184" t="s">
        <v>654</v>
      </c>
      <c r="I1197" s="184" t="s">
        <v>469</v>
      </c>
      <c r="J1197" s="184" t="s">
        <v>471</v>
      </c>
      <c r="K1197" s="185">
        <v>4</v>
      </c>
      <c r="L1197" s="186">
        <v>7424.75</v>
      </c>
      <c r="M1197" s="187">
        <v>7458.75</v>
      </c>
      <c r="N1197" s="188">
        <f t="shared" si="796"/>
        <v>8.91</v>
      </c>
      <c r="O1197" s="188">
        <f t="shared" si="797"/>
        <v>8.9499999999999993</v>
      </c>
      <c r="P1197" s="189">
        <f t="shared" si="674"/>
        <v>59534</v>
      </c>
      <c r="Q1197" s="189">
        <f t="shared" si="675"/>
        <v>136</v>
      </c>
      <c r="R1197" s="189">
        <f t="shared" si="830"/>
        <v>17.86</v>
      </c>
      <c r="S1197" s="189">
        <f t="shared" si="697"/>
        <v>3.58</v>
      </c>
      <c r="T1197" s="189">
        <f t="shared" si="827"/>
        <v>7.46</v>
      </c>
      <c r="U1197" s="189">
        <f t="shared" si="731"/>
        <v>0.89</v>
      </c>
      <c r="V1197" s="189">
        <f t="shared" si="831"/>
        <v>2.0499999999999998</v>
      </c>
      <c r="W1197" s="189">
        <f t="shared" si="758"/>
        <v>0.06</v>
      </c>
      <c r="X1197" s="189">
        <f t="shared" si="681"/>
        <v>31.9</v>
      </c>
      <c r="Y1197" s="190">
        <f t="shared" si="682"/>
        <v>104.1</v>
      </c>
      <c r="Z1197" s="191"/>
      <c r="AA1197" s="192"/>
      <c r="AB1197" s="193">
        <f t="shared" si="684"/>
        <v>4.5792787635947334E-3</v>
      </c>
      <c r="AC1197" s="194">
        <f t="shared" si="685"/>
        <v>5.3600000000000002E-4</v>
      </c>
      <c r="AD1197" s="189"/>
      <c r="AE1197" s="195" t="s">
        <v>403</v>
      </c>
      <c r="AF1197" s="119"/>
    </row>
    <row r="1198" spans="1:32" ht="12" hidden="1" customHeight="1">
      <c r="A1198" s="183">
        <v>44581</v>
      </c>
      <c r="B1198" s="184" t="s">
        <v>592</v>
      </c>
      <c r="C1198" s="184"/>
      <c r="D1198" s="184"/>
      <c r="E1198" s="184"/>
      <c r="F1198" s="184"/>
      <c r="G1198" s="184"/>
      <c r="H1198" s="184" t="s">
        <v>654</v>
      </c>
      <c r="I1198" s="184" t="s">
        <v>469</v>
      </c>
      <c r="J1198" s="184" t="s">
        <v>471</v>
      </c>
      <c r="K1198" s="185">
        <v>900</v>
      </c>
      <c r="L1198" s="186">
        <v>32.944400000000002</v>
      </c>
      <c r="M1198" s="187">
        <v>33.0944</v>
      </c>
      <c r="N1198" s="188">
        <f t="shared" si="796"/>
        <v>8.89</v>
      </c>
      <c r="O1198" s="188">
        <f t="shared" si="797"/>
        <v>8.94</v>
      </c>
      <c r="P1198" s="189">
        <f t="shared" si="674"/>
        <v>59434.92</v>
      </c>
      <c r="Q1198" s="189">
        <f t="shared" si="675"/>
        <v>134.99999999999872</v>
      </c>
      <c r="R1198" s="189">
        <f t="shared" si="830"/>
        <v>17.829999999999998</v>
      </c>
      <c r="S1198" s="189">
        <f t="shared" si="697"/>
        <v>3.5</v>
      </c>
      <c r="T1198" s="189">
        <f t="shared" si="827"/>
        <v>7.45</v>
      </c>
      <c r="U1198" s="189">
        <f t="shared" si="731"/>
        <v>0.89</v>
      </c>
      <c r="V1198" s="189">
        <f t="shared" ref="V1198:V1200" si="832">ROUND(P1198*L$1809,2)</f>
        <v>1.63</v>
      </c>
      <c r="W1198" s="189">
        <f t="shared" si="758"/>
        <v>0.06</v>
      </c>
      <c r="X1198" s="189">
        <f t="shared" si="681"/>
        <v>31.359999999999996</v>
      </c>
      <c r="Y1198" s="190">
        <f t="shared" si="682"/>
        <v>103.64</v>
      </c>
      <c r="Z1198" s="191"/>
      <c r="AA1198" s="192"/>
      <c r="AB1198" s="193">
        <f t="shared" si="684"/>
        <v>4.5531258726824158E-3</v>
      </c>
      <c r="AC1198" s="194">
        <f t="shared" si="685"/>
        <v>5.2800000000000004E-4</v>
      </c>
      <c r="AD1198" s="189"/>
      <c r="AE1198" s="195" t="s">
        <v>403</v>
      </c>
      <c r="AF1198" s="119"/>
    </row>
    <row r="1199" spans="1:32" ht="12" hidden="1" customHeight="1">
      <c r="A1199" s="183">
        <v>44581</v>
      </c>
      <c r="B1199" s="184" t="s">
        <v>465</v>
      </c>
      <c r="C1199" s="184"/>
      <c r="D1199" s="184"/>
      <c r="E1199" s="184"/>
      <c r="F1199" s="184"/>
      <c r="G1199" s="184"/>
      <c r="H1199" s="184" t="s">
        <v>654</v>
      </c>
      <c r="I1199" s="184" t="s">
        <v>469</v>
      </c>
      <c r="J1199" s="184" t="s">
        <v>471</v>
      </c>
      <c r="K1199" s="185">
        <v>15</v>
      </c>
      <c r="L1199" s="186">
        <v>248.5</v>
      </c>
      <c r="M1199" s="187">
        <v>251</v>
      </c>
      <c r="N1199" s="188">
        <f t="shared" si="796"/>
        <v>1.1200000000000001</v>
      </c>
      <c r="O1199" s="188">
        <f t="shared" si="797"/>
        <v>1.1299999999999999</v>
      </c>
      <c r="P1199" s="189">
        <f t="shared" si="674"/>
        <v>7492.5</v>
      </c>
      <c r="Q1199" s="189">
        <f t="shared" si="675"/>
        <v>37.5</v>
      </c>
      <c r="R1199" s="189">
        <f t="shared" si="830"/>
        <v>2.25</v>
      </c>
      <c r="S1199" s="189">
        <f t="shared" si="697"/>
        <v>0.44</v>
      </c>
      <c r="T1199" s="189">
        <f t="shared" si="827"/>
        <v>0.94</v>
      </c>
      <c r="U1199" s="189">
        <f t="shared" si="731"/>
        <v>0.11</v>
      </c>
      <c r="V1199" s="189">
        <f t="shared" si="832"/>
        <v>0.21</v>
      </c>
      <c r="W1199" s="189">
        <f t="shared" si="758"/>
        <v>0.01</v>
      </c>
      <c r="X1199" s="189">
        <f t="shared" si="681"/>
        <v>3.9599999999999995</v>
      </c>
      <c r="Y1199" s="190">
        <f t="shared" si="682"/>
        <v>33.54</v>
      </c>
      <c r="Z1199" s="191"/>
      <c r="AA1199" s="192"/>
      <c r="AB1199" s="193">
        <f t="shared" si="684"/>
        <v>1.0060362173038229E-2</v>
      </c>
      <c r="AC1199" s="194">
        <f t="shared" si="685"/>
        <v>5.2899999999999996E-4</v>
      </c>
      <c r="AD1199" s="189"/>
      <c r="AE1199" s="195" t="s">
        <v>403</v>
      </c>
      <c r="AF1199" s="119"/>
    </row>
    <row r="1200" spans="1:32" ht="12" hidden="1" customHeight="1">
      <c r="A1200" s="183">
        <v>44582</v>
      </c>
      <c r="B1200" s="184" t="s">
        <v>575</v>
      </c>
      <c r="C1200" s="184"/>
      <c r="D1200" s="184"/>
      <c r="E1200" s="184"/>
      <c r="F1200" s="184"/>
      <c r="G1200" s="184"/>
      <c r="H1200" s="184" t="s">
        <v>654</v>
      </c>
      <c r="I1200" s="184" t="s">
        <v>469</v>
      </c>
      <c r="J1200" s="184" t="s">
        <v>448</v>
      </c>
      <c r="K1200" s="185">
        <v>102</v>
      </c>
      <c r="L1200" s="186">
        <v>1072.7646999999999</v>
      </c>
      <c r="M1200" s="187">
        <v>1076.8235</v>
      </c>
      <c r="N1200" s="188">
        <f t="shared" si="796"/>
        <v>20</v>
      </c>
      <c r="O1200" s="188">
        <f t="shared" si="797"/>
        <v>20</v>
      </c>
      <c r="P1200" s="189">
        <f t="shared" si="674"/>
        <v>219258</v>
      </c>
      <c r="Q1200" s="189">
        <f t="shared" si="675"/>
        <v>413.99760000000197</v>
      </c>
      <c r="R1200" s="189">
        <v>65.8</v>
      </c>
      <c r="S1200" s="189">
        <f t="shared" si="697"/>
        <v>12.93</v>
      </c>
      <c r="T1200" s="189">
        <f t="shared" si="827"/>
        <v>27.46</v>
      </c>
      <c r="U1200" s="189">
        <f t="shared" si="731"/>
        <v>3.28</v>
      </c>
      <c r="V1200" s="189">
        <f t="shared" si="832"/>
        <v>6.03</v>
      </c>
      <c r="W1200" s="189">
        <f t="shared" si="758"/>
        <v>0.22</v>
      </c>
      <c r="X1200" s="189">
        <f t="shared" si="681"/>
        <v>115.72</v>
      </c>
      <c r="Y1200" s="190">
        <f t="shared" si="682"/>
        <v>298.27999999999997</v>
      </c>
      <c r="Z1200" s="191">
        <v>299.04000000000002</v>
      </c>
      <c r="AA1200" s="192">
        <f>Z1200-Y1200</f>
        <v>0.76000000000004775</v>
      </c>
      <c r="AB1200" s="193">
        <f t="shared" si="684"/>
        <v>3.7834951131408587E-3</v>
      </c>
      <c r="AC1200" s="194">
        <f t="shared" si="685"/>
        <v>5.2800000000000004E-4</v>
      </c>
      <c r="AD1200" s="189"/>
      <c r="AE1200" s="195" t="s">
        <v>403</v>
      </c>
      <c r="AF1200" s="119"/>
    </row>
    <row r="1201" spans="1:32" ht="12" hidden="1" customHeight="1">
      <c r="A1201" s="183">
        <v>44582</v>
      </c>
      <c r="B1201" s="184" t="s">
        <v>592</v>
      </c>
      <c r="C1201" s="184"/>
      <c r="D1201" s="184"/>
      <c r="E1201" s="184"/>
      <c r="F1201" s="184"/>
      <c r="G1201" s="184"/>
      <c r="H1201" s="184" t="s">
        <v>654</v>
      </c>
      <c r="I1201" s="184" t="s">
        <v>469</v>
      </c>
      <c r="J1201" s="184" t="s">
        <v>471</v>
      </c>
      <c r="K1201" s="185">
        <v>300</v>
      </c>
      <c r="L1201" s="186">
        <v>32.6</v>
      </c>
      <c r="M1201" s="187">
        <v>33.133319999999998</v>
      </c>
      <c r="N1201" s="188">
        <f t="shared" si="796"/>
        <v>2.93</v>
      </c>
      <c r="O1201" s="188">
        <f t="shared" si="797"/>
        <v>2.98</v>
      </c>
      <c r="P1201" s="189">
        <f t="shared" si="674"/>
        <v>19720</v>
      </c>
      <c r="Q1201" s="189">
        <f t="shared" si="675"/>
        <v>159.99599999999887</v>
      </c>
      <c r="R1201" s="189">
        <f t="shared" ref="R1201:R1204" si="833">ROUND(N1201+O1201,2)</f>
        <v>5.91</v>
      </c>
      <c r="S1201" s="189">
        <f t="shared" si="697"/>
        <v>1.19</v>
      </c>
      <c r="T1201" s="189">
        <f t="shared" si="827"/>
        <v>2.48</v>
      </c>
      <c r="U1201" s="189">
        <f t="shared" si="731"/>
        <v>0.28999999999999998</v>
      </c>
      <c r="V1201" s="189">
        <f t="shared" ref="V1201:V1202" si="834">ROUND(P1201*M$1809,2)</f>
        <v>0.68</v>
      </c>
      <c r="W1201" s="189">
        <f t="shared" si="758"/>
        <v>0.02</v>
      </c>
      <c r="X1201" s="189">
        <f t="shared" si="681"/>
        <v>10.569999999999999</v>
      </c>
      <c r="Y1201" s="190">
        <f t="shared" si="682"/>
        <v>149.43</v>
      </c>
      <c r="Z1201" s="191">
        <v>211.12</v>
      </c>
      <c r="AA1201" s="192">
        <f>Z1201-Y1202-Y1201-Y1203-Y1204</f>
        <v>0.43999999999999062</v>
      </c>
      <c r="AB1201" s="193">
        <f t="shared" si="684"/>
        <v>1.6359509202453871E-2</v>
      </c>
      <c r="AC1201" s="194">
        <f t="shared" si="685"/>
        <v>5.3600000000000002E-4</v>
      </c>
      <c r="AD1201" s="189"/>
      <c r="AE1201" s="195" t="s">
        <v>403</v>
      </c>
      <c r="AF1201" s="119"/>
    </row>
    <row r="1202" spans="1:32" ht="12" hidden="1" customHeight="1">
      <c r="A1202" s="183">
        <v>44582</v>
      </c>
      <c r="B1202" s="184" t="s">
        <v>591</v>
      </c>
      <c r="C1202" s="184"/>
      <c r="D1202" s="184"/>
      <c r="E1202" s="184"/>
      <c r="F1202" s="184"/>
      <c r="G1202" s="184"/>
      <c r="H1202" s="184" t="s">
        <v>654</v>
      </c>
      <c r="I1202" s="184" t="s">
        <v>469</v>
      </c>
      <c r="J1202" s="184" t="s">
        <v>471</v>
      </c>
      <c r="K1202" s="185">
        <v>50</v>
      </c>
      <c r="L1202" s="186">
        <v>359.91</v>
      </c>
      <c r="M1202" s="187">
        <v>360.22</v>
      </c>
      <c r="N1202" s="188">
        <f t="shared" si="796"/>
        <v>5.4</v>
      </c>
      <c r="O1202" s="188">
        <f t="shared" si="797"/>
        <v>5.4</v>
      </c>
      <c r="P1202" s="189">
        <f t="shared" si="674"/>
        <v>36006.5</v>
      </c>
      <c r="Q1202" s="189">
        <f t="shared" si="675"/>
        <v>15.500000000000114</v>
      </c>
      <c r="R1202" s="189">
        <f t="shared" si="833"/>
        <v>10.8</v>
      </c>
      <c r="S1202" s="189">
        <f t="shared" si="697"/>
        <v>2.17</v>
      </c>
      <c r="T1202" s="189">
        <f t="shared" si="827"/>
        <v>4.5</v>
      </c>
      <c r="U1202" s="189">
        <f t="shared" si="731"/>
        <v>0.54</v>
      </c>
      <c r="V1202" s="189">
        <f t="shared" si="834"/>
        <v>1.24</v>
      </c>
      <c r="W1202" s="189">
        <f t="shared" si="758"/>
        <v>0.04</v>
      </c>
      <c r="X1202" s="189">
        <f t="shared" si="681"/>
        <v>19.289999999999996</v>
      </c>
      <c r="Y1202" s="190">
        <f t="shared" si="682"/>
        <v>-3.79</v>
      </c>
      <c r="Z1202" s="191"/>
      <c r="AA1202" s="192"/>
      <c r="AB1202" s="193">
        <f t="shared" si="684"/>
        <v>8.6132644272179785E-4</v>
      </c>
      <c r="AC1202" s="194">
        <f t="shared" si="685"/>
        <v>5.3600000000000002E-4</v>
      </c>
      <c r="AD1202" s="189"/>
      <c r="AE1202" s="195" t="s">
        <v>403</v>
      </c>
      <c r="AF1202" s="119"/>
    </row>
    <row r="1203" spans="1:32" ht="12" hidden="1" customHeight="1">
      <c r="A1203" s="183">
        <v>44582</v>
      </c>
      <c r="B1203" s="184" t="s">
        <v>465</v>
      </c>
      <c r="C1203" s="184"/>
      <c r="D1203" s="184"/>
      <c r="E1203" s="184"/>
      <c r="F1203" s="184"/>
      <c r="G1203" s="184"/>
      <c r="H1203" s="184" t="s">
        <v>654</v>
      </c>
      <c r="I1203" s="184" t="s">
        <v>469</v>
      </c>
      <c r="J1203" s="184" t="s">
        <v>471</v>
      </c>
      <c r="K1203" s="185">
        <v>20</v>
      </c>
      <c r="L1203" s="186">
        <v>245.3125</v>
      </c>
      <c r="M1203" s="187">
        <v>248.3125</v>
      </c>
      <c r="N1203" s="188">
        <f t="shared" si="796"/>
        <v>1.47</v>
      </c>
      <c r="O1203" s="188">
        <f t="shared" si="797"/>
        <v>1.49</v>
      </c>
      <c r="P1203" s="189">
        <f t="shared" si="674"/>
        <v>9872.5</v>
      </c>
      <c r="Q1203" s="189">
        <f t="shared" si="675"/>
        <v>60</v>
      </c>
      <c r="R1203" s="189">
        <f t="shared" si="833"/>
        <v>2.96</v>
      </c>
      <c r="S1203" s="189">
        <f t="shared" si="697"/>
        <v>0.57999999999999996</v>
      </c>
      <c r="T1203" s="189">
        <f t="shared" si="827"/>
        <v>1.24</v>
      </c>
      <c r="U1203" s="189">
        <f t="shared" si="731"/>
        <v>0.15</v>
      </c>
      <c r="V1203" s="189">
        <f>ROUND(P1203*L$1809,2)</f>
        <v>0.27</v>
      </c>
      <c r="W1203" s="189">
        <f t="shared" si="758"/>
        <v>0.01</v>
      </c>
      <c r="X1203" s="189">
        <f t="shared" si="681"/>
        <v>5.2100000000000009</v>
      </c>
      <c r="Y1203" s="190">
        <f t="shared" si="682"/>
        <v>54.79</v>
      </c>
      <c r="Z1203" s="191"/>
      <c r="AA1203" s="192"/>
      <c r="AB1203" s="193">
        <f t="shared" si="684"/>
        <v>1.2229299363057325E-2</v>
      </c>
      <c r="AC1203" s="194">
        <f t="shared" si="685"/>
        <v>5.2800000000000004E-4</v>
      </c>
      <c r="AD1203" s="189"/>
      <c r="AE1203" s="195" t="s">
        <v>403</v>
      </c>
      <c r="AF1203" s="119"/>
    </row>
    <row r="1204" spans="1:32" ht="12" hidden="1" customHeight="1">
      <c r="A1204" s="183">
        <v>44582</v>
      </c>
      <c r="B1204" s="184" t="s">
        <v>562</v>
      </c>
      <c r="C1204" s="184"/>
      <c r="D1204" s="184"/>
      <c r="E1204" s="184"/>
      <c r="F1204" s="184"/>
      <c r="G1204" s="184"/>
      <c r="H1204" s="184" t="s">
        <v>654</v>
      </c>
      <c r="I1204" s="184" t="s">
        <v>469</v>
      </c>
      <c r="J1204" s="184" t="s">
        <v>471</v>
      </c>
      <c r="K1204" s="185">
        <v>1</v>
      </c>
      <c r="L1204" s="186">
        <v>1618</v>
      </c>
      <c r="M1204" s="187">
        <v>1630</v>
      </c>
      <c r="N1204" s="188">
        <f t="shared" si="796"/>
        <v>0.49</v>
      </c>
      <c r="O1204" s="188">
        <f t="shared" si="797"/>
        <v>0.49</v>
      </c>
      <c r="P1204" s="189">
        <f t="shared" si="674"/>
        <v>3248</v>
      </c>
      <c r="Q1204" s="189">
        <f t="shared" si="675"/>
        <v>12</v>
      </c>
      <c r="R1204" s="189">
        <f t="shared" si="833"/>
        <v>0.98</v>
      </c>
      <c r="S1204" s="189">
        <f t="shared" si="697"/>
        <v>0.2</v>
      </c>
      <c r="T1204" s="189">
        <f t="shared" si="827"/>
        <v>0.41</v>
      </c>
      <c r="U1204" s="189">
        <f t="shared" si="731"/>
        <v>0.05</v>
      </c>
      <c r="V1204" s="189">
        <f>ROUND(P1204*M$1809,2)</f>
        <v>0.11</v>
      </c>
      <c r="W1204" s="189">
        <f t="shared" si="758"/>
        <v>0</v>
      </c>
      <c r="X1204" s="189">
        <f t="shared" si="681"/>
        <v>1.75</v>
      </c>
      <c r="Y1204" s="190">
        <f t="shared" si="682"/>
        <v>10.25</v>
      </c>
      <c r="Z1204" s="191"/>
      <c r="AA1204" s="192"/>
      <c r="AB1204" s="193">
        <f t="shared" si="684"/>
        <v>7.4165636588380719E-3</v>
      </c>
      <c r="AC1204" s="194">
        <f t="shared" si="685"/>
        <v>5.3899999999999998E-4</v>
      </c>
      <c r="AD1204" s="189"/>
      <c r="AE1204" s="195" t="s">
        <v>403</v>
      </c>
      <c r="AF1204" s="119"/>
    </row>
    <row r="1205" spans="1:32" ht="12" hidden="1" customHeight="1">
      <c r="A1205" s="183">
        <v>44585</v>
      </c>
      <c r="B1205" s="184" t="s">
        <v>575</v>
      </c>
      <c r="C1205" s="184"/>
      <c r="D1205" s="184"/>
      <c r="E1205" s="184"/>
      <c r="F1205" s="184"/>
      <c r="G1205" s="184"/>
      <c r="H1205" s="184" t="s">
        <v>654</v>
      </c>
      <c r="I1205" s="184" t="s">
        <v>469</v>
      </c>
      <c r="J1205" s="184" t="s">
        <v>448</v>
      </c>
      <c r="K1205" s="185">
        <v>234</v>
      </c>
      <c r="L1205" s="186">
        <v>1025.4573</v>
      </c>
      <c r="M1205" s="187">
        <v>1033.4284500000001</v>
      </c>
      <c r="N1205" s="188">
        <f t="shared" si="796"/>
        <v>20</v>
      </c>
      <c r="O1205" s="188">
        <f t="shared" si="797"/>
        <v>20</v>
      </c>
      <c r="P1205" s="189">
        <f t="shared" si="674"/>
        <v>481779.27</v>
      </c>
      <c r="Q1205" s="189">
        <f t="shared" si="675"/>
        <v>1865.2491000000186</v>
      </c>
      <c r="R1205" s="189">
        <v>144.55000000000001</v>
      </c>
      <c r="S1205" s="189">
        <f t="shared" si="697"/>
        <v>28.4</v>
      </c>
      <c r="T1205" s="189">
        <f t="shared" si="827"/>
        <v>60.46</v>
      </c>
      <c r="U1205" s="189">
        <f t="shared" si="731"/>
        <v>7.2</v>
      </c>
      <c r="V1205" s="189">
        <f t="shared" ref="V1205:V1207" si="835">ROUND(P1205*L$1809,2)</f>
        <v>13.25</v>
      </c>
      <c r="W1205" s="189">
        <f t="shared" si="758"/>
        <v>0.48</v>
      </c>
      <c r="X1205" s="189">
        <f t="shared" si="681"/>
        <v>254.34</v>
      </c>
      <c r="Y1205" s="190">
        <f t="shared" si="682"/>
        <v>1610.91</v>
      </c>
      <c r="Z1205" s="191">
        <v>1611.12</v>
      </c>
      <c r="AA1205" s="192">
        <f>Z1205-Y1205</f>
        <v>0.20999999999980901</v>
      </c>
      <c r="AB1205" s="193">
        <f t="shared" si="684"/>
        <v>7.7732636941587711E-3</v>
      </c>
      <c r="AC1205" s="194">
        <f t="shared" si="685"/>
        <v>5.2800000000000004E-4</v>
      </c>
      <c r="AD1205" s="189"/>
      <c r="AE1205" s="195" t="s">
        <v>403</v>
      </c>
      <c r="AF1205" s="119"/>
    </row>
    <row r="1206" spans="1:32" ht="12" hidden="1" customHeight="1">
      <c r="A1206" s="183">
        <v>44586</v>
      </c>
      <c r="B1206" s="184" t="s">
        <v>484</v>
      </c>
      <c r="C1206" s="184"/>
      <c r="D1206" s="184"/>
      <c r="E1206" s="184"/>
      <c r="F1206" s="184"/>
      <c r="G1206" s="184"/>
      <c r="H1206" s="184" t="s">
        <v>654</v>
      </c>
      <c r="I1206" s="184" t="s">
        <v>469</v>
      </c>
      <c r="J1206" s="184" t="s">
        <v>448</v>
      </c>
      <c r="K1206" s="185">
        <v>1</v>
      </c>
      <c r="L1206" s="186">
        <v>6789</v>
      </c>
      <c r="M1206" s="187">
        <v>6900</v>
      </c>
      <c r="N1206" s="188">
        <f t="shared" si="796"/>
        <v>2.04</v>
      </c>
      <c r="O1206" s="188">
        <f t="shared" si="797"/>
        <v>2.0699999999999998</v>
      </c>
      <c r="P1206" s="189">
        <f t="shared" si="674"/>
        <v>13689</v>
      </c>
      <c r="Q1206" s="189">
        <f t="shared" si="675"/>
        <v>111</v>
      </c>
      <c r="R1206" s="189">
        <f>ROUND(N1206+O1206,2)</f>
        <v>4.1100000000000003</v>
      </c>
      <c r="S1206" s="189">
        <f t="shared" si="697"/>
        <v>0.81</v>
      </c>
      <c r="T1206" s="189">
        <f t="shared" si="827"/>
        <v>1.73</v>
      </c>
      <c r="U1206" s="189">
        <f t="shared" si="731"/>
        <v>0.2</v>
      </c>
      <c r="V1206" s="189">
        <f t="shared" si="835"/>
        <v>0.38</v>
      </c>
      <c r="W1206" s="189">
        <f t="shared" si="758"/>
        <v>0.01</v>
      </c>
      <c r="X1206" s="189">
        <f t="shared" si="681"/>
        <v>7.24</v>
      </c>
      <c r="Y1206" s="190">
        <f t="shared" si="682"/>
        <v>103.76</v>
      </c>
      <c r="Z1206" s="191">
        <v>488.96</v>
      </c>
      <c r="AA1206" s="192">
        <f>Z1206-Y1207-Y1206</f>
        <v>-0.70000000000000284</v>
      </c>
      <c r="AB1206" s="193">
        <f t="shared" si="684"/>
        <v>1.6349977905435263E-2</v>
      </c>
      <c r="AC1206" s="194">
        <f t="shared" si="685"/>
        <v>5.2899999999999996E-4</v>
      </c>
      <c r="AD1206" s="189"/>
      <c r="AE1206" s="195" t="s">
        <v>403</v>
      </c>
      <c r="AF1206" s="119"/>
    </row>
    <row r="1207" spans="1:32" ht="12" hidden="1" customHeight="1">
      <c r="A1207" s="183">
        <v>44586</v>
      </c>
      <c r="B1207" s="184" t="s">
        <v>575</v>
      </c>
      <c r="C1207" s="184"/>
      <c r="D1207" s="184"/>
      <c r="E1207" s="184"/>
      <c r="F1207" s="184"/>
      <c r="G1207" s="184"/>
      <c r="H1207" s="184" t="s">
        <v>654</v>
      </c>
      <c r="I1207" s="184" t="s">
        <v>469</v>
      </c>
      <c r="J1207" s="184" t="s">
        <v>448</v>
      </c>
      <c r="K1207" s="185">
        <v>50</v>
      </c>
      <c r="L1207" s="186">
        <v>1022.8</v>
      </c>
      <c r="M1207" s="187">
        <v>1031.5999999999999</v>
      </c>
      <c r="N1207" s="188">
        <f t="shared" si="796"/>
        <v>15.34</v>
      </c>
      <c r="O1207" s="188">
        <f t="shared" si="797"/>
        <v>15.47</v>
      </c>
      <c r="P1207" s="189">
        <f t="shared" si="674"/>
        <v>102720</v>
      </c>
      <c r="Q1207" s="189">
        <f t="shared" si="675"/>
        <v>439.99999999999773</v>
      </c>
      <c r="R1207" s="189">
        <f>ROUND(N1207+O1207,2)-0.1</f>
        <v>30.709999999999997</v>
      </c>
      <c r="S1207" s="189">
        <f t="shared" si="697"/>
        <v>6.04</v>
      </c>
      <c r="T1207" s="189">
        <f t="shared" si="827"/>
        <v>12.9</v>
      </c>
      <c r="U1207" s="189">
        <f t="shared" si="731"/>
        <v>1.53</v>
      </c>
      <c r="V1207" s="189">
        <f t="shared" si="835"/>
        <v>2.82</v>
      </c>
      <c r="W1207" s="189">
        <f t="shared" si="758"/>
        <v>0.1</v>
      </c>
      <c r="X1207" s="189">
        <f t="shared" si="681"/>
        <v>54.1</v>
      </c>
      <c r="Y1207" s="190">
        <f t="shared" si="682"/>
        <v>385.9</v>
      </c>
      <c r="Z1207" s="191"/>
      <c r="AA1207" s="192"/>
      <c r="AB1207" s="193">
        <f t="shared" si="684"/>
        <v>8.6038326163472376E-3</v>
      </c>
      <c r="AC1207" s="194">
        <f t="shared" si="685"/>
        <v>5.2700000000000002E-4</v>
      </c>
      <c r="AD1207" s="189"/>
      <c r="AE1207" s="195" t="s">
        <v>403</v>
      </c>
      <c r="AF1207" s="119"/>
    </row>
    <row r="1208" spans="1:32" ht="12" hidden="1" customHeight="1">
      <c r="A1208" s="183">
        <v>44588</v>
      </c>
      <c r="B1208" s="184" t="s">
        <v>484</v>
      </c>
      <c r="C1208" s="184"/>
      <c r="D1208" s="184"/>
      <c r="E1208" s="184"/>
      <c r="F1208" s="184"/>
      <c r="G1208" s="184"/>
      <c r="H1208" s="184" t="s">
        <v>654</v>
      </c>
      <c r="I1208" s="184" t="s">
        <v>469</v>
      </c>
      <c r="J1208" s="184" t="s">
        <v>448</v>
      </c>
      <c r="K1208" s="185">
        <v>2</v>
      </c>
      <c r="L1208" s="186">
        <v>6800</v>
      </c>
      <c r="M1208" s="187">
        <v>6850</v>
      </c>
      <c r="N1208" s="188">
        <f t="shared" si="796"/>
        <v>4.08</v>
      </c>
      <c r="O1208" s="188">
        <f t="shared" si="797"/>
        <v>4.1100000000000003</v>
      </c>
      <c r="P1208" s="189">
        <f t="shared" si="674"/>
        <v>27300</v>
      </c>
      <c r="Q1208" s="189">
        <f t="shared" si="675"/>
        <v>100</v>
      </c>
      <c r="R1208" s="189">
        <f>ROUND(N1208+O1208,2)</f>
        <v>8.19</v>
      </c>
      <c r="S1208" s="189">
        <f t="shared" si="697"/>
        <v>1.64</v>
      </c>
      <c r="T1208" s="189">
        <f t="shared" si="827"/>
        <v>3.43</v>
      </c>
      <c r="U1208" s="189">
        <f t="shared" si="731"/>
        <v>0.41</v>
      </c>
      <c r="V1208" s="189">
        <f>ROUND(P1208*M$1809,2)</f>
        <v>0.94</v>
      </c>
      <c r="W1208" s="189">
        <f t="shared" si="758"/>
        <v>0.03</v>
      </c>
      <c r="X1208" s="189">
        <f t="shared" si="681"/>
        <v>14.639999999999999</v>
      </c>
      <c r="Y1208" s="190">
        <f t="shared" si="682"/>
        <v>85.36</v>
      </c>
      <c r="Z1208" s="191">
        <v>1207.6199999999999</v>
      </c>
      <c r="AA1208" s="192">
        <f>Z1208-Y1209-Y1208</f>
        <v>-0.40000000000019043</v>
      </c>
      <c r="AB1208" s="193">
        <f t="shared" si="684"/>
        <v>7.3529411764705881E-3</v>
      </c>
      <c r="AC1208" s="194">
        <f t="shared" si="685"/>
        <v>5.3600000000000002E-4</v>
      </c>
      <c r="AD1208" s="189"/>
      <c r="AE1208" s="195" t="s">
        <v>403</v>
      </c>
      <c r="AF1208" s="119"/>
    </row>
    <row r="1209" spans="1:32" ht="12" hidden="1" customHeight="1">
      <c r="A1209" s="183">
        <v>44588</v>
      </c>
      <c r="B1209" s="184" t="s">
        <v>575</v>
      </c>
      <c r="C1209" s="184"/>
      <c r="D1209" s="184"/>
      <c r="E1209" s="184"/>
      <c r="F1209" s="184"/>
      <c r="G1209" s="184"/>
      <c r="H1209" s="184" t="s">
        <v>654</v>
      </c>
      <c r="I1209" s="184" t="s">
        <v>469</v>
      </c>
      <c r="J1209" s="184" t="s">
        <v>448</v>
      </c>
      <c r="K1209" s="185">
        <v>295</v>
      </c>
      <c r="L1209" s="186">
        <v>1096.8475000000001</v>
      </c>
      <c r="M1209" s="187">
        <v>1101.675</v>
      </c>
      <c r="N1209" s="188">
        <f t="shared" si="796"/>
        <v>20</v>
      </c>
      <c r="O1209" s="188">
        <f t="shared" si="797"/>
        <v>20</v>
      </c>
      <c r="P1209" s="189">
        <f t="shared" si="674"/>
        <v>648564.14</v>
      </c>
      <c r="Q1209" s="189">
        <f t="shared" si="675"/>
        <v>1424.1124999999624</v>
      </c>
      <c r="R1209" s="189">
        <v>159.99</v>
      </c>
      <c r="S1209" s="189">
        <f t="shared" si="697"/>
        <v>32.01</v>
      </c>
      <c r="T1209" s="189">
        <f t="shared" si="827"/>
        <v>81.25</v>
      </c>
      <c r="U1209" s="189">
        <f t="shared" si="731"/>
        <v>9.7100000000000009</v>
      </c>
      <c r="V1209" s="189">
        <f t="shared" ref="V1209:V1214" si="836">ROUND(P1209*L$1809,2)</f>
        <v>17.84</v>
      </c>
      <c r="W1209" s="189">
        <f t="shared" si="758"/>
        <v>0.65</v>
      </c>
      <c r="X1209" s="189">
        <f t="shared" si="681"/>
        <v>301.44999999999993</v>
      </c>
      <c r="Y1209" s="190">
        <f t="shared" si="682"/>
        <v>1122.6600000000001</v>
      </c>
      <c r="Z1209" s="191"/>
      <c r="AA1209" s="192"/>
      <c r="AB1209" s="193">
        <f t="shared" si="684"/>
        <v>4.4012499458674723E-3</v>
      </c>
      <c r="AC1209" s="194">
        <f t="shared" si="685"/>
        <v>4.6500000000000003E-4</v>
      </c>
      <c r="AD1209" s="189"/>
      <c r="AE1209" s="195" t="s">
        <v>403</v>
      </c>
      <c r="AF1209" s="119"/>
    </row>
    <row r="1210" spans="1:32" ht="12" hidden="1" customHeight="1">
      <c r="A1210" s="183">
        <v>44588</v>
      </c>
      <c r="B1210" s="184" t="s">
        <v>482</v>
      </c>
      <c r="C1210" s="184"/>
      <c r="D1210" s="184"/>
      <c r="E1210" s="184"/>
      <c r="F1210" s="184"/>
      <c r="G1210" s="184"/>
      <c r="H1210" s="184" t="s">
        <v>654</v>
      </c>
      <c r="I1210" s="184" t="s">
        <v>469</v>
      </c>
      <c r="J1210" s="184" t="s">
        <v>471</v>
      </c>
      <c r="K1210" s="185">
        <v>100</v>
      </c>
      <c r="L1210" s="186">
        <v>104</v>
      </c>
      <c r="M1210" s="187">
        <v>105.9</v>
      </c>
      <c r="N1210" s="188">
        <f t="shared" si="796"/>
        <v>3.12</v>
      </c>
      <c r="O1210" s="188">
        <f t="shared" si="797"/>
        <v>3.18</v>
      </c>
      <c r="P1210" s="189">
        <f t="shared" si="674"/>
        <v>20990</v>
      </c>
      <c r="Q1210" s="189">
        <f t="shared" si="675"/>
        <v>190.00000000000057</v>
      </c>
      <c r="R1210" s="189">
        <f>ROUND(N1210+O1210,2)</f>
        <v>6.3</v>
      </c>
      <c r="S1210" s="189">
        <f t="shared" si="697"/>
        <v>1.24</v>
      </c>
      <c r="T1210" s="189">
        <f t="shared" si="827"/>
        <v>2.65</v>
      </c>
      <c r="U1210" s="189">
        <f t="shared" si="731"/>
        <v>0.31</v>
      </c>
      <c r="V1210" s="189">
        <f t="shared" si="836"/>
        <v>0.57999999999999996</v>
      </c>
      <c r="W1210" s="189">
        <f t="shared" si="758"/>
        <v>0.02</v>
      </c>
      <c r="X1210" s="189">
        <f t="shared" si="681"/>
        <v>11.1</v>
      </c>
      <c r="Y1210" s="190">
        <f t="shared" si="682"/>
        <v>178.9</v>
      </c>
      <c r="Z1210" s="191">
        <v>178.82</v>
      </c>
      <c r="AA1210" s="192">
        <f t="shared" ref="AA1210:AA1409" si="837">Z1210-Y1210</f>
        <v>-8.0000000000012506E-2</v>
      </c>
      <c r="AB1210" s="193">
        <f t="shared" si="684"/>
        <v>1.8269230769230822E-2</v>
      </c>
      <c r="AC1210" s="194">
        <f t="shared" si="685"/>
        <v>5.2899999999999996E-4</v>
      </c>
      <c r="AD1210" s="189"/>
      <c r="AE1210" s="195" t="s">
        <v>403</v>
      </c>
      <c r="AF1210" s="119"/>
    </row>
    <row r="1211" spans="1:32" ht="12" hidden="1" customHeight="1">
      <c r="A1211" s="183">
        <v>44589</v>
      </c>
      <c r="B1211" s="184" t="s">
        <v>575</v>
      </c>
      <c r="C1211" s="184"/>
      <c r="D1211" s="184"/>
      <c r="E1211" s="184"/>
      <c r="F1211" s="184"/>
      <c r="G1211" s="184"/>
      <c r="H1211" s="184" t="s">
        <v>654</v>
      </c>
      <c r="I1211" s="184" t="s">
        <v>469</v>
      </c>
      <c r="J1211" s="184" t="s">
        <v>448</v>
      </c>
      <c r="K1211" s="185">
        <v>265</v>
      </c>
      <c r="L1211" s="186">
        <v>1129.4150999999999</v>
      </c>
      <c r="M1211" s="187">
        <v>1135.8007500000001</v>
      </c>
      <c r="N1211" s="188">
        <f t="shared" si="796"/>
        <v>20</v>
      </c>
      <c r="O1211" s="188">
        <f t="shared" si="797"/>
        <v>20</v>
      </c>
      <c r="P1211" s="189">
        <f t="shared" si="674"/>
        <v>600282.19999999995</v>
      </c>
      <c r="Q1211" s="189">
        <f t="shared" si="675"/>
        <v>1692.1972500000447</v>
      </c>
      <c r="R1211" s="189">
        <v>180.08</v>
      </c>
      <c r="S1211" s="189">
        <f t="shared" si="697"/>
        <v>35.39</v>
      </c>
      <c r="T1211" s="189">
        <f t="shared" si="827"/>
        <v>75.25</v>
      </c>
      <c r="U1211" s="189">
        <f t="shared" si="731"/>
        <v>8.98</v>
      </c>
      <c r="V1211" s="189">
        <f t="shared" si="836"/>
        <v>16.510000000000002</v>
      </c>
      <c r="W1211" s="189">
        <f t="shared" si="758"/>
        <v>0.6</v>
      </c>
      <c r="X1211" s="189">
        <f t="shared" si="681"/>
        <v>316.81000000000006</v>
      </c>
      <c r="Y1211" s="190">
        <f t="shared" si="682"/>
        <v>1375.39</v>
      </c>
      <c r="Z1211" s="191">
        <v>1375.62</v>
      </c>
      <c r="AA1211" s="192">
        <f t="shared" si="837"/>
        <v>0.22999999999979082</v>
      </c>
      <c r="AB1211" s="193">
        <f t="shared" si="684"/>
        <v>5.6539442406960639E-3</v>
      </c>
      <c r="AC1211" s="194">
        <f t="shared" si="685"/>
        <v>5.2800000000000004E-4</v>
      </c>
      <c r="AD1211" s="189"/>
      <c r="AE1211" s="195" t="s">
        <v>403</v>
      </c>
      <c r="AF1211" s="119"/>
    </row>
    <row r="1212" spans="1:32" ht="12" hidden="1" customHeight="1">
      <c r="A1212" s="183">
        <v>44589</v>
      </c>
      <c r="B1212" s="184" t="s">
        <v>591</v>
      </c>
      <c r="C1212" s="184"/>
      <c r="D1212" s="184"/>
      <c r="E1212" s="184"/>
      <c r="F1212" s="184"/>
      <c r="G1212" s="184"/>
      <c r="H1212" s="184" t="s">
        <v>654</v>
      </c>
      <c r="I1212" s="184" t="s">
        <v>469</v>
      </c>
      <c r="J1212" s="184" t="s">
        <v>471</v>
      </c>
      <c r="K1212" s="185">
        <v>50</v>
      </c>
      <c r="L1212" s="186">
        <v>387.5</v>
      </c>
      <c r="M1212" s="187">
        <v>391</v>
      </c>
      <c r="N1212" s="188">
        <f t="shared" si="796"/>
        <v>5.81</v>
      </c>
      <c r="O1212" s="188">
        <f t="shared" si="797"/>
        <v>5.87</v>
      </c>
      <c r="P1212" s="189">
        <f t="shared" si="674"/>
        <v>38925</v>
      </c>
      <c r="Q1212" s="189">
        <f t="shared" si="675"/>
        <v>175</v>
      </c>
      <c r="R1212" s="189">
        <f>ROUND(N1212+O1212,2)</f>
        <v>11.68</v>
      </c>
      <c r="S1212" s="189">
        <f t="shared" si="697"/>
        <v>2.2999999999999998</v>
      </c>
      <c r="T1212" s="189">
        <f t="shared" si="827"/>
        <v>4.8899999999999997</v>
      </c>
      <c r="U1212" s="189">
        <f t="shared" si="731"/>
        <v>0.57999999999999996</v>
      </c>
      <c r="V1212" s="189">
        <f t="shared" si="836"/>
        <v>1.07</v>
      </c>
      <c r="W1212" s="189">
        <f t="shared" si="758"/>
        <v>0.04</v>
      </c>
      <c r="X1212" s="189">
        <f t="shared" si="681"/>
        <v>20.56</v>
      </c>
      <c r="Y1212" s="190">
        <f t="shared" si="682"/>
        <v>154.44</v>
      </c>
      <c r="Z1212" s="191">
        <v>154.09</v>
      </c>
      <c r="AA1212" s="192">
        <f t="shared" si="837"/>
        <v>-0.34999999999999432</v>
      </c>
      <c r="AB1212" s="193">
        <f t="shared" si="684"/>
        <v>9.0322580645161299E-3</v>
      </c>
      <c r="AC1212" s="194">
        <f t="shared" si="685"/>
        <v>5.2800000000000004E-4</v>
      </c>
      <c r="AD1212" s="189"/>
      <c r="AE1212" s="195" t="s">
        <v>403</v>
      </c>
      <c r="AF1212" s="119"/>
    </row>
    <row r="1213" spans="1:32" ht="12" hidden="1" customHeight="1">
      <c r="A1213" s="183">
        <v>44592</v>
      </c>
      <c r="B1213" s="184" t="s">
        <v>575</v>
      </c>
      <c r="C1213" s="184"/>
      <c r="D1213" s="184"/>
      <c r="E1213" s="184"/>
      <c r="F1213" s="184"/>
      <c r="G1213" s="184"/>
      <c r="H1213" s="184" t="s">
        <v>654</v>
      </c>
      <c r="I1213" s="184" t="s">
        <v>469</v>
      </c>
      <c r="J1213" s="184" t="s">
        <v>448</v>
      </c>
      <c r="K1213" s="185">
        <v>75</v>
      </c>
      <c r="L1213" s="186">
        <v>1132.2333000000001</v>
      </c>
      <c r="M1213" s="187">
        <v>1136.3333</v>
      </c>
      <c r="N1213" s="188">
        <f t="shared" si="796"/>
        <v>20</v>
      </c>
      <c r="O1213" s="188">
        <f t="shared" si="797"/>
        <v>20</v>
      </c>
      <c r="P1213" s="189">
        <f t="shared" si="674"/>
        <v>170142.5</v>
      </c>
      <c r="Q1213" s="189">
        <f t="shared" si="675"/>
        <v>307.49999999999318</v>
      </c>
      <c r="R1213" s="189">
        <v>51.04</v>
      </c>
      <c r="S1213" s="189">
        <f t="shared" si="697"/>
        <v>10.029999999999999</v>
      </c>
      <c r="T1213" s="189">
        <f t="shared" si="827"/>
        <v>21.31</v>
      </c>
      <c r="U1213" s="189">
        <f t="shared" si="731"/>
        <v>2.5499999999999998</v>
      </c>
      <c r="V1213" s="189">
        <f t="shared" si="836"/>
        <v>4.68</v>
      </c>
      <c r="W1213" s="189">
        <f t="shared" si="758"/>
        <v>0.17</v>
      </c>
      <c r="X1213" s="189">
        <f t="shared" si="681"/>
        <v>89.779999999999987</v>
      </c>
      <c r="Y1213" s="190">
        <f t="shared" si="682"/>
        <v>217.72</v>
      </c>
      <c r="Z1213" s="191">
        <v>217.58</v>
      </c>
      <c r="AA1213" s="192">
        <f t="shared" si="837"/>
        <v>-0.13999999999998636</v>
      </c>
      <c r="AB1213" s="193">
        <f t="shared" si="684"/>
        <v>3.6211618223911174E-3</v>
      </c>
      <c r="AC1213" s="194">
        <f t="shared" si="685"/>
        <v>5.2800000000000004E-4</v>
      </c>
      <c r="AD1213" s="189"/>
      <c r="AE1213" s="195" t="s">
        <v>403</v>
      </c>
      <c r="AF1213" s="119"/>
    </row>
    <row r="1214" spans="1:32" ht="12" hidden="1" customHeight="1">
      <c r="A1214" s="183">
        <v>44592</v>
      </c>
      <c r="B1214" s="184" t="s">
        <v>584</v>
      </c>
      <c r="C1214" s="184"/>
      <c r="D1214" s="184"/>
      <c r="E1214" s="184"/>
      <c r="F1214" s="184"/>
      <c r="G1214" s="184"/>
      <c r="H1214" s="184" t="s">
        <v>654</v>
      </c>
      <c r="I1214" s="184" t="s">
        <v>469</v>
      </c>
      <c r="J1214" s="184" t="s">
        <v>471</v>
      </c>
      <c r="K1214" s="185">
        <v>2000</v>
      </c>
      <c r="L1214" s="186">
        <v>12.612500000000001</v>
      </c>
      <c r="M1214" s="187">
        <v>12.7125</v>
      </c>
      <c r="N1214" s="188">
        <f t="shared" si="796"/>
        <v>7.57</v>
      </c>
      <c r="O1214" s="188">
        <f t="shared" si="797"/>
        <v>7.63</v>
      </c>
      <c r="P1214" s="189">
        <f t="shared" si="674"/>
        <v>50650</v>
      </c>
      <c r="Q1214" s="189">
        <f t="shared" si="675"/>
        <v>199.99999999999929</v>
      </c>
      <c r="R1214" s="189">
        <f>ROUND(N1214+O1214,2)+0.06</f>
        <v>15.26</v>
      </c>
      <c r="S1214" s="189">
        <f t="shared" si="697"/>
        <v>3</v>
      </c>
      <c r="T1214" s="189">
        <f t="shared" si="827"/>
        <v>6.36</v>
      </c>
      <c r="U1214" s="189">
        <f t="shared" si="731"/>
        <v>0.76</v>
      </c>
      <c r="V1214" s="189">
        <f t="shared" si="836"/>
        <v>1.39</v>
      </c>
      <c r="W1214" s="189">
        <f t="shared" si="758"/>
        <v>0.05</v>
      </c>
      <c r="X1214" s="189">
        <f t="shared" si="681"/>
        <v>26.82</v>
      </c>
      <c r="Y1214" s="190">
        <f t="shared" si="682"/>
        <v>173.18</v>
      </c>
      <c r="Z1214" s="191">
        <v>173.46</v>
      </c>
      <c r="AA1214" s="192">
        <f t="shared" si="837"/>
        <v>0.28000000000000114</v>
      </c>
      <c r="AB1214" s="193">
        <f t="shared" si="684"/>
        <v>7.9286422200197937E-3</v>
      </c>
      <c r="AC1214" s="194">
        <f t="shared" si="685"/>
        <v>5.2999999999999998E-4</v>
      </c>
      <c r="AD1214" s="189"/>
      <c r="AE1214" s="195" t="s">
        <v>403</v>
      </c>
      <c r="AF1214" s="119"/>
    </row>
    <row r="1215" spans="1:32" ht="12" hidden="1" customHeight="1">
      <c r="A1215" s="183">
        <v>44593</v>
      </c>
      <c r="B1215" s="184" t="s">
        <v>575</v>
      </c>
      <c r="C1215" s="184"/>
      <c r="D1215" s="184"/>
      <c r="E1215" s="184"/>
      <c r="F1215" s="184"/>
      <c r="G1215" s="184"/>
      <c r="H1215" s="184" t="s">
        <v>654</v>
      </c>
      <c r="I1215" s="184" t="s">
        <v>469</v>
      </c>
      <c r="J1215" s="184" t="s">
        <v>448</v>
      </c>
      <c r="K1215" s="185">
        <v>120</v>
      </c>
      <c r="L1215" s="186">
        <v>1111.6146000000001</v>
      </c>
      <c r="M1215" s="187">
        <v>1115.95831</v>
      </c>
      <c r="N1215" s="188">
        <f t="shared" si="796"/>
        <v>20</v>
      </c>
      <c r="O1215" s="188">
        <f t="shared" si="797"/>
        <v>20</v>
      </c>
      <c r="P1215" s="189">
        <f t="shared" si="674"/>
        <v>267308.75</v>
      </c>
      <c r="Q1215" s="189">
        <f t="shared" si="675"/>
        <v>521.24519999998483</v>
      </c>
      <c r="R1215" s="189">
        <v>80.2</v>
      </c>
      <c r="S1215" s="189">
        <f t="shared" si="697"/>
        <v>16.100000000000001</v>
      </c>
      <c r="T1215" s="189">
        <f t="shared" si="827"/>
        <v>33.479999999999997</v>
      </c>
      <c r="U1215" s="189">
        <f t="shared" si="731"/>
        <v>4</v>
      </c>
      <c r="V1215" s="189">
        <f>ROUND(P1215*M$1809,2)</f>
        <v>9.2200000000000006</v>
      </c>
      <c r="W1215" s="189">
        <f t="shared" si="758"/>
        <v>0.27</v>
      </c>
      <c r="X1215" s="189">
        <f t="shared" si="681"/>
        <v>143.27000000000001</v>
      </c>
      <c r="Y1215" s="190">
        <f t="shared" si="682"/>
        <v>377.98</v>
      </c>
      <c r="Z1215" s="191">
        <v>378.48</v>
      </c>
      <c r="AA1215" s="192">
        <f t="shared" si="837"/>
        <v>0.5</v>
      </c>
      <c r="AB1215" s="193">
        <f t="shared" si="684"/>
        <v>3.9075683244893271E-3</v>
      </c>
      <c r="AC1215" s="194">
        <f t="shared" si="685"/>
        <v>5.3600000000000002E-4</v>
      </c>
      <c r="AD1215" s="189"/>
      <c r="AE1215" s="195" t="s">
        <v>403</v>
      </c>
      <c r="AF1215" s="119"/>
    </row>
    <row r="1216" spans="1:32" ht="12" hidden="1" customHeight="1">
      <c r="A1216" s="183">
        <v>44594</v>
      </c>
      <c r="B1216" s="184" t="s">
        <v>575</v>
      </c>
      <c r="C1216" s="184"/>
      <c r="D1216" s="184"/>
      <c r="E1216" s="184"/>
      <c r="F1216" s="184"/>
      <c r="G1216" s="184"/>
      <c r="H1216" s="184" t="s">
        <v>654</v>
      </c>
      <c r="I1216" s="184" t="s">
        <v>469</v>
      </c>
      <c r="J1216" s="184" t="s">
        <v>448</v>
      </c>
      <c r="K1216" s="185">
        <v>220</v>
      </c>
      <c r="L1216" s="186">
        <v>1103.6818499999999</v>
      </c>
      <c r="M1216" s="187">
        <v>1109.6704999999999</v>
      </c>
      <c r="N1216" s="188">
        <f t="shared" si="796"/>
        <v>20</v>
      </c>
      <c r="O1216" s="188">
        <f t="shared" si="797"/>
        <v>20</v>
      </c>
      <c r="P1216" s="189">
        <f t="shared" si="674"/>
        <v>486937.52</v>
      </c>
      <c r="Q1216" s="189">
        <f t="shared" si="675"/>
        <v>1317.5030000000015</v>
      </c>
      <c r="R1216" s="189">
        <v>146.09</v>
      </c>
      <c r="S1216" s="189">
        <f t="shared" si="697"/>
        <v>28.71</v>
      </c>
      <c r="T1216" s="189">
        <f t="shared" si="827"/>
        <v>61.03</v>
      </c>
      <c r="U1216" s="189">
        <f t="shared" si="731"/>
        <v>7.28</v>
      </c>
      <c r="V1216" s="189">
        <f t="shared" ref="V1216:V1225" si="838">ROUND(P1216*L$1809,2)</f>
        <v>13.39</v>
      </c>
      <c r="W1216" s="189">
        <f t="shared" si="758"/>
        <v>0.49</v>
      </c>
      <c r="X1216" s="189">
        <f t="shared" si="681"/>
        <v>256.99</v>
      </c>
      <c r="Y1216" s="190">
        <f t="shared" si="682"/>
        <v>1060.51</v>
      </c>
      <c r="Z1216" s="191">
        <v>1060.8399999999999</v>
      </c>
      <c r="AA1216" s="192">
        <f t="shared" si="837"/>
        <v>0.32999999999992724</v>
      </c>
      <c r="AB1216" s="193">
        <f t="shared" si="684"/>
        <v>5.4260654916088429E-3</v>
      </c>
      <c r="AC1216" s="194">
        <f t="shared" si="685"/>
        <v>5.2800000000000004E-4</v>
      </c>
      <c r="AD1216" s="189"/>
      <c r="AE1216" s="195" t="s">
        <v>403</v>
      </c>
      <c r="AF1216" s="119"/>
    </row>
    <row r="1217" spans="1:32" ht="12" hidden="1" customHeight="1">
      <c r="A1217" s="183">
        <v>44595</v>
      </c>
      <c r="B1217" s="184" t="s">
        <v>575</v>
      </c>
      <c r="C1217" s="184"/>
      <c r="D1217" s="184"/>
      <c r="E1217" s="184"/>
      <c r="F1217" s="184"/>
      <c r="G1217" s="184"/>
      <c r="H1217" s="184" t="s">
        <v>654</v>
      </c>
      <c r="I1217" s="184" t="s">
        <v>469</v>
      </c>
      <c r="J1217" s="184" t="s">
        <v>448</v>
      </c>
      <c r="K1217" s="185">
        <v>260</v>
      </c>
      <c r="L1217" s="186">
        <v>1103.2308</v>
      </c>
      <c r="M1217" s="187">
        <v>1108.1423</v>
      </c>
      <c r="N1217" s="188">
        <f t="shared" si="796"/>
        <v>20</v>
      </c>
      <c r="O1217" s="188">
        <f t="shared" si="797"/>
        <v>20</v>
      </c>
      <c r="P1217" s="189">
        <f t="shared" si="674"/>
        <v>574957.01</v>
      </c>
      <c r="Q1217" s="189">
        <f t="shared" si="675"/>
        <v>1276.9899999999825</v>
      </c>
      <c r="R1217" s="189">
        <v>146.38999999999999</v>
      </c>
      <c r="S1217" s="189">
        <f t="shared" si="697"/>
        <v>29.2</v>
      </c>
      <c r="T1217" s="189">
        <f t="shared" si="827"/>
        <v>72.03</v>
      </c>
      <c r="U1217" s="189">
        <f t="shared" si="731"/>
        <v>8.61</v>
      </c>
      <c r="V1217" s="189">
        <f t="shared" si="838"/>
        <v>15.81</v>
      </c>
      <c r="W1217" s="189">
        <f t="shared" si="758"/>
        <v>0.56999999999999995</v>
      </c>
      <c r="X1217" s="189">
        <f t="shared" si="681"/>
        <v>272.60999999999996</v>
      </c>
      <c r="Y1217" s="190">
        <f t="shared" si="682"/>
        <v>1004.38</v>
      </c>
      <c r="Z1217" s="191">
        <v>1004.06</v>
      </c>
      <c r="AA1217" s="192">
        <f t="shared" si="837"/>
        <v>-0.32000000000005002</v>
      </c>
      <c r="AB1217" s="193">
        <f t="shared" si="684"/>
        <v>4.4519242936291595E-3</v>
      </c>
      <c r="AC1217" s="194">
        <f t="shared" si="685"/>
        <v>4.7399999999999997E-4</v>
      </c>
      <c r="AD1217" s="189"/>
      <c r="AE1217" s="195" t="s">
        <v>403</v>
      </c>
      <c r="AF1217" s="119"/>
    </row>
    <row r="1218" spans="1:32" ht="12" hidden="1" customHeight="1">
      <c r="A1218" s="183">
        <v>44596</v>
      </c>
      <c r="B1218" s="184" t="s">
        <v>575</v>
      </c>
      <c r="C1218" s="184"/>
      <c r="D1218" s="184"/>
      <c r="E1218" s="184"/>
      <c r="F1218" s="184"/>
      <c r="G1218" s="184"/>
      <c r="H1218" s="184" t="s">
        <v>654</v>
      </c>
      <c r="I1218" s="184" t="s">
        <v>469</v>
      </c>
      <c r="J1218" s="184" t="s">
        <v>448</v>
      </c>
      <c r="K1218" s="185">
        <v>120</v>
      </c>
      <c r="L1218" s="186">
        <v>1178.375</v>
      </c>
      <c r="M1218" s="187">
        <v>1183.9417000000001</v>
      </c>
      <c r="N1218" s="188">
        <f t="shared" si="796"/>
        <v>20</v>
      </c>
      <c r="O1218" s="188">
        <f t="shared" si="797"/>
        <v>20</v>
      </c>
      <c r="P1218" s="189">
        <f t="shared" si="674"/>
        <v>283478</v>
      </c>
      <c r="Q1218" s="189">
        <f t="shared" si="675"/>
        <v>668.00400000000991</v>
      </c>
      <c r="R1218" s="189">
        <v>87.35</v>
      </c>
      <c r="S1218" s="189">
        <f t="shared" si="697"/>
        <v>17.13</v>
      </c>
      <c r="T1218" s="189">
        <f t="shared" si="827"/>
        <v>35.520000000000003</v>
      </c>
      <c r="U1218" s="189">
        <f t="shared" si="731"/>
        <v>4.24</v>
      </c>
      <c r="V1218" s="189">
        <f t="shared" si="838"/>
        <v>7.8</v>
      </c>
      <c r="W1218" s="189">
        <f t="shared" si="758"/>
        <v>0.28000000000000003</v>
      </c>
      <c r="X1218" s="189">
        <f t="shared" si="681"/>
        <v>152.32000000000002</v>
      </c>
      <c r="Y1218" s="190">
        <f t="shared" si="682"/>
        <v>515.67999999999995</v>
      </c>
      <c r="Z1218" s="191">
        <v>516.05999999999995</v>
      </c>
      <c r="AA1218" s="192">
        <f t="shared" si="837"/>
        <v>0.37999999999999545</v>
      </c>
      <c r="AB1218" s="193">
        <f t="shared" si="684"/>
        <v>4.72404794738524E-3</v>
      </c>
      <c r="AC1218" s="194">
        <f t="shared" si="685"/>
        <v>5.3700000000000004E-4</v>
      </c>
      <c r="AD1218" s="189"/>
      <c r="AE1218" s="195" t="s">
        <v>403</v>
      </c>
      <c r="AF1218" s="119"/>
    </row>
    <row r="1219" spans="1:32" ht="12" hidden="1" customHeight="1">
      <c r="A1219" s="183">
        <v>44600</v>
      </c>
      <c r="B1219" s="184" t="s">
        <v>575</v>
      </c>
      <c r="C1219" s="184"/>
      <c r="D1219" s="184"/>
      <c r="E1219" s="184"/>
      <c r="F1219" s="184"/>
      <c r="G1219" s="184"/>
      <c r="H1219" s="184" t="s">
        <v>654</v>
      </c>
      <c r="I1219" s="184" t="s">
        <v>469</v>
      </c>
      <c r="J1219" s="184" t="s">
        <v>448</v>
      </c>
      <c r="K1219" s="185">
        <v>160</v>
      </c>
      <c r="L1219" s="186">
        <v>1149.6875</v>
      </c>
      <c r="M1219" s="187">
        <v>1154.9375</v>
      </c>
      <c r="N1219" s="188">
        <f t="shared" si="796"/>
        <v>20</v>
      </c>
      <c r="O1219" s="188">
        <f t="shared" si="797"/>
        <v>20</v>
      </c>
      <c r="P1219" s="189">
        <f t="shared" si="674"/>
        <v>368740</v>
      </c>
      <c r="Q1219" s="189">
        <f t="shared" si="675"/>
        <v>840</v>
      </c>
      <c r="R1219" s="189">
        <v>84.05</v>
      </c>
      <c r="S1219" s="189">
        <f t="shared" si="697"/>
        <v>16.95</v>
      </c>
      <c r="T1219" s="189">
        <f t="shared" si="827"/>
        <v>46.2</v>
      </c>
      <c r="U1219" s="189">
        <f t="shared" si="731"/>
        <v>5.52</v>
      </c>
      <c r="V1219" s="189">
        <f t="shared" si="838"/>
        <v>10.14</v>
      </c>
      <c r="W1219" s="189">
        <f t="shared" si="758"/>
        <v>0.37</v>
      </c>
      <c r="X1219" s="189">
        <f t="shared" si="681"/>
        <v>163.23000000000002</v>
      </c>
      <c r="Y1219" s="190">
        <f t="shared" si="682"/>
        <v>676.77</v>
      </c>
      <c r="Z1219" s="191">
        <v>677.81</v>
      </c>
      <c r="AA1219" s="192">
        <f t="shared" si="837"/>
        <v>1.0399999999999636</v>
      </c>
      <c r="AB1219" s="193">
        <f t="shared" si="684"/>
        <v>4.5664582767056261E-3</v>
      </c>
      <c r="AC1219" s="194">
        <f t="shared" si="685"/>
        <v>4.4299999999999998E-4</v>
      </c>
      <c r="AD1219" s="189"/>
      <c r="AE1219" s="195" t="s">
        <v>403</v>
      </c>
      <c r="AF1219" s="119"/>
    </row>
    <row r="1220" spans="1:32" ht="12" hidden="1" customHeight="1">
      <c r="A1220" s="183">
        <v>44601</v>
      </c>
      <c r="B1220" s="184" t="s">
        <v>575</v>
      </c>
      <c r="C1220" s="184"/>
      <c r="D1220" s="184"/>
      <c r="E1220" s="184"/>
      <c r="F1220" s="184"/>
      <c r="G1220" s="184"/>
      <c r="H1220" s="184" t="s">
        <v>654</v>
      </c>
      <c r="I1220" s="184" t="s">
        <v>469</v>
      </c>
      <c r="J1220" s="184" t="s">
        <v>448</v>
      </c>
      <c r="K1220" s="185">
        <v>100</v>
      </c>
      <c r="L1220" s="186">
        <v>1126</v>
      </c>
      <c r="M1220" s="187">
        <v>1130</v>
      </c>
      <c r="N1220" s="188">
        <f t="shared" si="796"/>
        <v>20</v>
      </c>
      <c r="O1220" s="188">
        <f t="shared" si="797"/>
        <v>20</v>
      </c>
      <c r="P1220" s="189">
        <f t="shared" si="674"/>
        <v>225600</v>
      </c>
      <c r="Q1220" s="189">
        <f t="shared" si="675"/>
        <v>400</v>
      </c>
      <c r="R1220" s="189">
        <v>56.97</v>
      </c>
      <c r="S1220" s="189">
        <f t="shared" si="697"/>
        <v>11.37</v>
      </c>
      <c r="T1220" s="189">
        <f t="shared" si="827"/>
        <v>28.25</v>
      </c>
      <c r="U1220" s="189">
        <f t="shared" si="731"/>
        <v>3.38</v>
      </c>
      <c r="V1220" s="189">
        <f t="shared" si="838"/>
        <v>6.2</v>
      </c>
      <c r="W1220" s="189">
        <f t="shared" si="758"/>
        <v>0.23</v>
      </c>
      <c r="X1220" s="189">
        <f t="shared" si="681"/>
        <v>106.4</v>
      </c>
      <c r="Y1220" s="190">
        <f t="shared" si="682"/>
        <v>293.60000000000002</v>
      </c>
      <c r="Z1220" s="191">
        <v>293.95</v>
      </c>
      <c r="AA1220" s="192">
        <f t="shared" si="837"/>
        <v>0.34999999999996589</v>
      </c>
      <c r="AB1220" s="193">
        <f t="shared" si="684"/>
        <v>3.552397868561279E-3</v>
      </c>
      <c r="AC1220" s="194">
        <f t="shared" si="685"/>
        <v>4.7199999999999998E-4</v>
      </c>
      <c r="AD1220" s="189"/>
      <c r="AE1220" s="195" t="s">
        <v>403</v>
      </c>
      <c r="AF1220" s="119"/>
    </row>
    <row r="1221" spans="1:32" ht="12" hidden="1" customHeight="1">
      <c r="A1221" s="183">
        <v>44602</v>
      </c>
      <c r="B1221" s="184" t="s">
        <v>481</v>
      </c>
      <c r="C1221" s="184"/>
      <c r="D1221" s="184"/>
      <c r="E1221" s="184"/>
      <c r="F1221" s="184"/>
      <c r="G1221" s="184"/>
      <c r="H1221" s="184" t="s">
        <v>654</v>
      </c>
      <c r="I1221" s="184" t="s">
        <v>469</v>
      </c>
      <c r="J1221" s="184" t="s">
        <v>471</v>
      </c>
      <c r="K1221" s="185">
        <v>1000</v>
      </c>
      <c r="L1221" s="186">
        <v>105.875</v>
      </c>
      <c r="M1221" s="187">
        <v>106.5</v>
      </c>
      <c r="N1221" s="188">
        <f t="shared" si="796"/>
        <v>20</v>
      </c>
      <c r="O1221" s="188">
        <f t="shared" si="797"/>
        <v>20</v>
      </c>
      <c r="P1221" s="189">
        <f t="shared" si="674"/>
        <v>212375</v>
      </c>
      <c r="Q1221" s="189">
        <f t="shared" si="675"/>
        <v>625</v>
      </c>
      <c r="R1221" s="189">
        <v>51.76</v>
      </c>
      <c r="S1221" s="189">
        <f t="shared" si="697"/>
        <v>10.37</v>
      </c>
      <c r="T1221" s="189">
        <f t="shared" si="827"/>
        <v>26.63</v>
      </c>
      <c r="U1221" s="189">
        <f t="shared" si="731"/>
        <v>3.18</v>
      </c>
      <c r="V1221" s="189">
        <f t="shared" si="838"/>
        <v>5.84</v>
      </c>
      <c r="W1221" s="189">
        <f t="shared" si="758"/>
        <v>0.21</v>
      </c>
      <c r="X1221" s="189">
        <f t="shared" si="681"/>
        <v>97.99</v>
      </c>
      <c r="Y1221" s="190">
        <f t="shared" si="682"/>
        <v>527.01</v>
      </c>
      <c r="Z1221" s="191">
        <v>526.82000000000005</v>
      </c>
      <c r="AA1221" s="192">
        <f t="shared" si="837"/>
        <v>-0.18999999999994088</v>
      </c>
      <c r="AB1221" s="193">
        <f t="shared" si="684"/>
        <v>5.9031877213695395E-3</v>
      </c>
      <c r="AC1221" s="194">
        <f t="shared" si="685"/>
        <v>4.6099999999999998E-4</v>
      </c>
      <c r="AD1221" s="189"/>
      <c r="AE1221" s="195" t="s">
        <v>403</v>
      </c>
      <c r="AF1221" s="119"/>
    </row>
    <row r="1222" spans="1:32" ht="12" hidden="1" customHeight="1">
      <c r="A1222" s="183">
        <v>44603</v>
      </c>
      <c r="B1222" s="184" t="s">
        <v>575</v>
      </c>
      <c r="C1222" s="184"/>
      <c r="D1222" s="184"/>
      <c r="E1222" s="184"/>
      <c r="F1222" s="184"/>
      <c r="G1222" s="184"/>
      <c r="H1222" s="184" t="s">
        <v>654</v>
      </c>
      <c r="I1222" s="184" t="s">
        <v>469</v>
      </c>
      <c r="J1222" s="184" t="s">
        <v>448</v>
      </c>
      <c r="K1222" s="185">
        <v>56</v>
      </c>
      <c r="L1222" s="186">
        <v>1114.1007</v>
      </c>
      <c r="M1222" s="187">
        <v>1116.4106999999999</v>
      </c>
      <c r="N1222" s="188">
        <f t="shared" si="796"/>
        <v>18.72</v>
      </c>
      <c r="O1222" s="188">
        <f t="shared" si="797"/>
        <v>18.760000000000002</v>
      </c>
      <c r="P1222" s="189">
        <f t="shared" si="674"/>
        <v>124908.64</v>
      </c>
      <c r="Q1222" s="189">
        <f t="shared" si="675"/>
        <v>129.35999999999694</v>
      </c>
      <c r="R1222" s="189">
        <v>42.46</v>
      </c>
      <c r="S1222" s="189">
        <f t="shared" si="697"/>
        <v>8.26</v>
      </c>
      <c r="T1222" s="189">
        <f t="shared" si="827"/>
        <v>15.63</v>
      </c>
      <c r="U1222" s="189">
        <f t="shared" si="731"/>
        <v>1.87</v>
      </c>
      <c r="V1222" s="189">
        <f t="shared" si="838"/>
        <v>3.43</v>
      </c>
      <c r="W1222" s="189">
        <f t="shared" si="758"/>
        <v>0.12</v>
      </c>
      <c r="X1222" s="189">
        <f t="shared" si="681"/>
        <v>71.77000000000001</v>
      </c>
      <c r="Y1222" s="190">
        <f t="shared" si="682"/>
        <v>57.59</v>
      </c>
      <c r="Z1222" s="191">
        <v>58.27</v>
      </c>
      <c r="AA1222" s="192">
        <f t="shared" si="837"/>
        <v>0.67999999999999972</v>
      </c>
      <c r="AB1222" s="193">
        <f t="shared" si="684"/>
        <v>2.0734211907415061E-3</v>
      </c>
      <c r="AC1222" s="194">
        <f t="shared" si="685"/>
        <v>5.7499999999999999E-4</v>
      </c>
      <c r="AD1222" s="189"/>
      <c r="AE1222" s="195" t="s">
        <v>403</v>
      </c>
      <c r="AF1222" s="119"/>
    </row>
    <row r="1223" spans="1:32" ht="12" hidden="1" customHeight="1">
      <c r="A1223" s="183">
        <v>44606</v>
      </c>
      <c r="B1223" s="184" t="s">
        <v>575</v>
      </c>
      <c r="C1223" s="184"/>
      <c r="D1223" s="184"/>
      <c r="E1223" s="184"/>
      <c r="F1223" s="184"/>
      <c r="G1223" s="184"/>
      <c r="H1223" s="184" t="s">
        <v>654</v>
      </c>
      <c r="I1223" s="184" t="s">
        <v>469</v>
      </c>
      <c r="J1223" s="184" t="s">
        <v>448</v>
      </c>
      <c r="K1223" s="185">
        <v>105</v>
      </c>
      <c r="L1223" s="186">
        <v>1045.8095000000001</v>
      </c>
      <c r="M1223" s="187">
        <v>1048.8285000000001</v>
      </c>
      <c r="N1223" s="188">
        <f t="shared" si="796"/>
        <v>20</v>
      </c>
      <c r="O1223" s="188">
        <f t="shared" si="797"/>
        <v>20</v>
      </c>
      <c r="P1223" s="189">
        <f t="shared" si="674"/>
        <v>219936.99</v>
      </c>
      <c r="Q1223" s="189">
        <f t="shared" si="675"/>
        <v>316.99500000000057</v>
      </c>
      <c r="R1223" s="189">
        <v>65.98</v>
      </c>
      <c r="S1223" s="189">
        <f t="shared" si="697"/>
        <v>12.97</v>
      </c>
      <c r="T1223" s="189">
        <f t="shared" si="827"/>
        <v>27.53</v>
      </c>
      <c r="U1223" s="189">
        <f t="shared" si="731"/>
        <v>3.29</v>
      </c>
      <c r="V1223" s="189">
        <f t="shared" si="838"/>
        <v>6.05</v>
      </c>
      <c r="W1223" s="189">
        <f t="shared" si="758"/>
        <v>0.22</v>
      </c>
      <c r="X1223" s="189">
        <f t="shared" si="681"/>
        <v>116.04</v>
      </c>
      <c r="Y1223" s="190">
        <f t="shared" si="682"/>
        <v>200.96</v>
      </c>
      <c r="Z1223" s="191">
        <v>201.78</v>
      </c>
      <c r="AA1223" s="192">
        <f t="shared" si="837"/>
        <v>0.81999999999999318</v>
      </c>
      <c r="AB1223" s="193">
        <f t="shared" si="684"/>
        <v>2.8867590129942455E-3</v>
      </c>
      <c r="AC1223" s="194">
        <f t="shared" si="685"/>
        <v>5.2800000000000004E-4</v>
      </c>
      <c r="AD1223" s="189"/>
      <c r="AE1223" s="195" t="s">
        <v>403</v>
      </c>
      <c r="AF1223" s="119"/>
    </row>
    <row r="1224" spans="1:32" ht="12" hidden="1" customHeight="1">
      <c r="A1224" s="183">
        <v>44606</v>
      </c>
      <c r="B1224" s="184" t="s">
        <v>588</v>
      </c>
      <c r="C1224" s="184"/>
      <c r="D1224" s="184"/>
      <c r="E1224" s="184"/>
      <c r="F1224" s="184"/>
      <c r="G1224" s="184"/>
      <c r="H1224" s="184" t="s">
        <v>654</v>
      </c>
      <c r="I1224" s="184" t="s">
        <v>469</v>
      </c>
      <c r="J1224" s="184" t="s">
        <v>471</v>
      </c>
      <c r="K1224" s="185">
        <v>1000</v>
      </c>
      <c r="L1224" s="186">
        <v>8.8000000000000007</v>
      </c>
      <c r="M1224" s="187">
        <v>9</v>
      </c>
      <c r="N1224" s="188">
        <f t="shared" si="796"/>
        <v>2.64</v>
      </c>
      <c r="O1224" s="188">
        <f t="shared" si="797"/>
        <v>2.7</v>
      </c>
      <c r="P1224" s="189">
        <f t="shared" si="674"/>
        <v>17800</v>
      </c>
      <c r="Q1224" s="189">
        <f t="shared" si="675"/>
        <v>199.99999999999929</v>
      </c>
      <c r="R1224" s="189">
        <f>ROUND(N1224+O1224,2)</f>
        <v>5.34</v>
      </c>
      <c r="S1224" s="189">
        <f t="shared" si="697"/>
        <v>1.05</v>
      </c>
      <c r="T1224" s="189">
        <f t="shared" si="827"/>
        <v>2.25</v>
      </c>
      <c r="U1224" s="189">
        <f t="shared" si="731"/>
        <v>0.26</v>
      </c>
      <c r="V1224" s="189">
        <f t="shared" si="838"/>
        <v>0.49</v>
      </c>
      <c r="W1224" s="189">
        <f t="shared" si="758"/>
        <v>0.02</v>
      </c>
      <c r="X1224" s="189">
        <f t="shared" si="681"/>
        <v>9.41</v>
      </c>
      <c r="Y1224" s="190">
        <f t="shared" si="682"/>
        <v>190.59</v>
      </c>
      <c r="Z1224" s="191">
        <v>190.3</v>
      </c>
      <c r="AA1224" s="192">
        <f t="shared" si="837"/>
        <v>-0.28999999999999204</v>
      </c>
      <c r="AB1224" s="193">
        <f t="shared" si="684"/>
        <v>2.2727272727272645E-2</v>
      </c>
      <c r="AC1224" s="194">
        <f t="shared" si="685"/>
        <v>5.2899999999999996E-4</v>
      </c>
      <c r="AD1224" s="189"/>
      <c r="AE1224" s="195" t="s">
        <v>403</v>
      </c>
      <c r="AF1224" s="119"/>
    </row>
    <row r="1225" spans="1:32" ht="12" hidden="1" customHeight="1">
      <c r="A1225" s="183">
        <v>44607</v>
      </c>
      <c r="B1225" s="184" t="s">
        <v>575</v>
      </c>
      <c r="C1225" s="184"/>
      <c r="D1225" s="184"/>
      <c r="E1225" s="184"/>
      <c r="F1225" s="184"/>
      <c r="G1225" s="184"/>
      <c r="H1225" s="184" t="s">
        <v>654</v>
      </c>
      <c r="I1225" s="184" t="s">
        <v>469</v>
      </c>
      <c r="J1225" s="184" t="s">
        <v>448</v>
      </c>
      <c r="K1225" s="185">
        <v>120</v>
      </c>
      <c r="L1225" s="186">
        <v>1041.9949999999999</v>
      </c>
      <c r="M1225" s="187">
        <v>1047</v>
      </c>
      <c r="N1225" s="188">
        <f t="shared" si="796"/>
        <v>20</v>
      </c>
      <c r="O1225" s="188">
        <f t="shared" si="797"/>
        <v>20</v>
      </c>
      <c r="P1225" s="189">
        <f t="shared" si="674"/>
        <v>250679.4</v>
      </c>
      <c r="Q1225" s="189">
        <f t="shared" si="675"/>
        <v>600.6000000000131</v>
      </c>
      <c r="R1225" s="189">
        <v>75.22</v>
      </c>
      <c r="S1225" s="189">
        <f t="shared" si="697"/>
        <v>14.78</v>
      </c>
      <c r="T1225" s="189">
        <f t="shared" si="827"/>
        <v>31.41</v>
      </c>
      <c r="U1225" s="189">
        <f t="shared" si="731"/>
        <v>3.75</v>
      </c>
      <c r="V1225" s="189">
        <f t="shared" si="838"/>
        <v>6.89</v>
      </c>
      <c r="W1225" s="189">
        <f t="shared" si="758"/>
        <v>0.25</v>
      </c>
      <c r="X1225" s="189">
        <f t="shared" si="681"/>
        <v>132.29999999999998</v>
      </c>
      <c r="Y1225" s="190">
        <f t="shared" si="682"/>
        <v>468.3</v>
      </c>
      <c r="Z1225" s="191">
        <v>468.79</v>
      </c>
      <c r="AA1225" s="192">
        <f t="shared" si="837"/>
        <v>0.49000000000000909</v>
      </c>
      <c r="AB1225" s="193">
        <f t="shared" si="684"/>
        <v>4.8032860042515656E-3</v>
      </c>
      <c r="AC1225" s="194">
        <f t="shared" si="685"/>
        <v>5.2800000000000004E-4</v>
      </c>
      <c r="AD1225" s="189"/>
      <c r="AE1225" s="195" t="s">
        <v>403</v>
      </c>
      <c r="AF1225" s="119"/>
    </row>
    <row r="1226" spans="1:32" ht="12" hidden="1" customHeight="1">
      <c r="A1226" s="183">
        <v>44610</v>
      </c>
      <c r="B1226" s="184" t="s">
        <v>575</v>
      </c>
      <c r="C1226" s="184"/>
      <c r="D1226" s="184"/>
      <c r="E1226" s="184"/>
      <c r="F1226" s="184"/>
      <c r="G1226" s="184"/>
      <c r="H1226" s="184" t="s">
        <v>654</v>
      </c>
      <c r="I1226" s="184" t="s">
        <v>469</v>
      </c>
      <c r="J1226" s="184" t="s">
        <v>448</v>
      </c>
      <c r="K1226" s="185">
        <v>20</v>
      </c>
      <c r="L1226" s="186">
        <v>1081</v>
      </c>
      <c r="M1226" s="187">
        <v>1085</v>
      </c>
      <c r="N1226" s="188">
        <f t="shared" si="796"/>
        <v>6.49</v>
      </c>
      <c r="O1226" s="188">
        <f t="shared" si="797"/>
        <v>6.51</v>
      </c>
      <c r="P1226" s="189">
        <f t="shared" si="674"/>
        <v>43320</v>
      </c>
      <c r="Q1226" s="189">
        <f t="shared" si="675"/>
        <v>80</v>
      </c>
      <c r="R1226" s="189">
        <f>ROUND(N1226+O1226,2)</f>
        <v>13</v>
      </c>
      <c r="S1226" s="189">
        <f t="shared" si="697"/>
        <v>2.61</v>
      </c>
      <c r="T1226" s="189">
        <f>ROUND((M1226*K1226)*K$1807,2)+1</f>
        <v>6.43</v>
      </c>
      <c r="U1226" s="189">
        <f t="shared" si="731"/>
        <v>0.65</v>
      </c>
      <c r="V1226" s="189">
        <f>ROUND(P1226*M$1809,2)</f>
        <v>1.49</v>
      </c>
      <c r="W1226" s="189">
        <f t="shared" si="758"/>
        <v>0.04</v>
      </c>
      <c r="X1226" s="189">
        <f t="shared" si="681"/>
        <v>24.219999999999995</v>
      </c>
      <c r="Y1226" s="190">
        <f t="shared" si="682"/>
        <v>55.78</v>
      </c>
      <c r="Z1226" s="191">
        <v>55.71</v>
      </c>
      <c r="AA1226" s="192">
        <f t="shared" si="837"/>
        <v>-7.0000000000000284E-2</v>
      </c>
      <c r="AB1226" s="193">
        <f t="shared" si="684"/>
        <v>3.7002775208140612E-3</v>
      </c>
      <c r="AC1226" s="194">
        <f t="shared" si="685"/>
        <v>5.5900000000000004E-4</v>
      </c>
      <c r="AD1226" s="189"/>
      <c r="AE1226" s="195" t="s">
        <v>403</v>
      </c>
      <c r="AF1226" s="119"/>
    </row>
    <row r="1227" spans="1:32" ht="12" hidden="1" customHeight="1">
      <c r="A1227" s="183">
        <v>44613</v>
      </c>
      <c r="B1227" s="184" t="s">
        <v>575</v>
      </c>
      <c r="C1227" s="184"/>
      <c r="D1227" s="184"/>
      <c r="E1227" s="184"/>
      <c r="F1227" s="184"/>
      <c r="G1227" s="184"/>
      <c r="H1227" s="184" t="s">
        <v>654</v>
      </c>
      <c r="I1227" s="184" t="s">
        <v>469</v>
      </c>
      <c r="J1227" s="184" t="s">
        <v>448</v>
      </c>
      <c r="K1227" s="185">
        <v>10</v>
      </c>
      <c r="L1227" s="186">
        <v>1026</v>
      </c>
      <c r="M1227" s="187">
        <v>1032</v>
      </c>
      <c r="N1227" s="188">
        <f t="shared" si="796"/>
        <v>3.08</v>
      </c>
      <c r="O1227" s="188">
        <f t="shared" si="797"/>
        <v>3.1</v>
      </c>
      <c r="P1227" s="189">
        <f t="shared" si="674"/>
        <v>20580</v>
      </c>
      <c r="Q1227" s="189">
        <f t="shared" si="675"/>
        <v>60</v>
      </c>
      <c r="R1227" s="189">
        <v>12.47</v>
      </c>
      <c r="S1227" s="189">
        <f t="shared" si="697"/>
        <v>2.35</v>
      </c>
      <c r="T1227" s="189">
        <f t="shared" ref="T1227:T1230" si="839">ROUND((M1227*K1227)*K$1807,2)</f>
        <v>2.58</v>
      </c>
      <c r="U1227" s="189">
        <f t="shared" si="731"/>
        <v>0.31</v>
      </c>
      <c r="V1227" s="189">
        <f t="shared" ref="V1227:V1235" si="840">ROUND(P1227*L$1809,2)</f>
        <v>0.56999999999999995</v>
      </c>
      <c r="W1227" s="189">
        <f t="shared" si="758"/>
        <v>0.02</v>
      </c>
      <c r="X1227" s="189">
        <f t="shared" si="681"/>
        <v>18.299999999999997</v>
      </c>
      <c r="Y1227" s="190">
        <f t="shared" si="682"/>
        <v>41.7</v>
      </c>
      <c r="Z1227" s="191">
        <v>41.03</v>
      </c>
      <c r="AA1227" s="192">
        <f t="shared" si="837"/>
        <v>-0.67000000000000171</v>
      </c>
      <c r="AB1227" s="193">
        <f t="shared" si="684"/>
        <v>5.8479532163742687E-3</v>
      </c>
      <c r="AC1227" s="194">
        <f t="shared" si="685"/>
        <v>8.8900000000000003E-4</v>
      </c>
      <c r="AD1227" s="189"/>
      <c r="AE1227" s="195" t="s">
        <v>403</v>
      </c>
      <c r="AF1227" s="119"/>
    </row>
    <row r="1228" spans="1:32" ht="12" hidden="1" customHeight="1">
      <c r="A1228" s="183">
        <v>44614</v>
      </c>
      <c r="B1228" s="184" t="s">
        <v>575</v>
      </c>
      <c r="C1228" s="184"/>
      <c r="D1228" s="184"/>
      <c r="E1228" s="184"/>
      <c r="F1228" s="184"/>
      <c r="G1228" s="184"/>
      <c r="H1228" s="184" t="s">
        <v>654</v>
      </c>
      <c r="I1228" s="184" t="s">
        <v>469</v>
      </c>
      <c r="J1228" s="184" t="s">
        <v>448</v>
      </c>
      <c r="K1228" s="185">
        <v>10</v>
      </c>
      <c r="L1228" s="186">
        <v>950.2</v>
      </c>
      <c r="M1228" s="187">
        <v>962</v>
      </c>
      <c r="N1228" s="188">
        <f t="shared" si="796"/>
        <v>2.85</v>
      </c>
      <c r="O1228" s="188">
        <f t="shared" si="797"/>
        <v>2.89</v>
      </c>
      <c r="P1228" s="189">
        <f t="shared" si="674"/>
        <v>19122</v>
      </c>
      <c r="Q1228" s="189">
        <f t="shared" si="675"/>
        <v>117.99999999999955</v>
      </c>
      <c r="R1228" s="189">
        <v>21.45</v>
      </c>
      <c r="S1228" s="189">
        <f t="shared" si="697"/>
        <v>3.96</v>
      </c>
      <c r="T1228" s="189">
        <f t="shared" si="839"/>
        <v>2.41</v>
      </c>
      <c r="U1228" s="189">
        <f t="shared" si="731"/>
        <v>0.28999999999999998</v>
      </c>
      <c r="V1228" s="189">
        <f t="shared" si="840"/>
        <v>0.53</v>
      </c>
      <c r="W1228" s="189">
        <f t="shared" si="758"/>
        <v>0.02</v>
      </c>
      <c r="X1228" s="189">
        <f t="shared" si="681"/>
        <v>28.66</v>
      </c>
      <c r="Y1228" s="190">
        <f t="shared" si="682"/>
        <v>89.34</v>
      </c>
      <c r="Z1228" s="191">
        <v>88.28</v>
      </c>
      <c r="AA1228" s="192">
        <f t="shared" si="837"/>
        <v>-1.0600000000000023</v>
      </c>
      <c r="AB1228" s="193">
        <f t="shared" si="684"/>
        <v>1.2418438223531839E-2</v>
      </c>
      <c r="AC1228" s="194">
        <f t="shared" si="685"/>
        <v>1.4989999999999999E-3</v>
      </c>
      <c r="AD1228" s="189"/>
      <c r="AE1228" s="195" t="s">
        <v>403</v>
      </c>
      <c r="AF1228" s="119"/>
    </row>
    <row r="1229" spans="1:32" ht="12" hidden="1" customHeight="1">
      <c r="A1229" s="183">
        <v>44615</v>
      </c>
      <c r="B1229" s="184" t="s">
        <v>575</v>
      </c>
      <c r="C1229" s="184"/>
      <c r="D1229" s="184"/>
      <c r="E1229" s="184"/>
      <c r="F1229" s="184"/>
      <c r="G1229" s="184"/>
      <c r="H1229" s="184" t="s">
        <v>654</v>
      </c>
      <c r="I1229" s="184" t="s">
        <v>469</v>
      </c>
      <c r="J1229" s="184" t="s">
        <v>448</v>
      </c>
      <c r="K1229" s="185">
        <v>20</v>
      </c>
      <c r="L1229" s="186">
        <v>975.5</v>
      </c>
      <c r="M1229" s="187">
        <v>979.5</v>
      </c>
      <c r="N1229" s="188">
        <f t="shared" si="796"/>
        <v>5.85</v>
      </c>
      <c r="O1229" s="188">
        <f t="shared" si="797"/>
        <v>5.88</v>
      </c>
      <c r="P1229" s="189">
        <f t="shared" si="674"/>
        <v>39100</v>
      </c>
      <c r="Q1229" s="189">
        <f t="shared" si="675"/>
        <v>80</v>
      </c>
      <c r="R1229" s="189">
        <f>ROUND(N1229+O1229,2)</f>
        <v>11.73</v>
      </c>
      <c r="S1229" s="189">
        <f t="shared" si="697"/>
        <v>2.31</v>
      </c>
      <c r="T1229" s="189">
        <f t="shared" si="839"/>
        <v>4.9000000000000004</v>
      </c>
      <c r="U1229" s="189">
        <f t="shared" si="731"/>
        <v>0.59</v>
      </c>
      <c r="V1229" s="189">
        <f t="shared" si="840"/>
        <v>1.08</v>
      </c>
      <c r="W1229" s="189">
        <f t="shared" si="758"/>
        <v>0.04</v>
      </c>
      <c r="X1229" s="189">
        <f t="shared" si="681"/>
        <v>20.65</v>
      </c>
      <c r="Y1229" s="190">
        <f t="shared" si="682"/>
        <v>59.35</v>
      </c>
      <c r="Z1229" s="191">
        <v>58.2</v>
      </c>
      <c r="AA1229" s="192">
        <f t="shared" si="837"/>
        <v>-1.1499999999999986</v>
      </c>
      <c r="AB1229" s="193">
        <f t="shared" si="684"/>
        <v>4.1004613018964632E-3</v>
      </c>
      <c r="AC1229" s="194">
        <f t="shared" si="685"/>
        <v>5.2800000000000004E-4</v>
      </c>
      <c r="AD1229" s="189"/>
      <c r="AE1229" s="195" t="s">
        <v>403</v>
      </c>
      <c r="AF1229" s="119"/>
    </row>
    <row r="1230" spans="1:32" ht="12" hidden="1" customHeight="1">
      <c r="A1230" s="183">
        <v>44616</v>
      </c>
      <c r="B1230" s="184" t="s">
        <v>575</v>
      </c>
      <c r="C1230" s="184"/>
      <c r="D1230" s="184"/>
      <c r="E1230" s="184"/>
      <c r="F1230" s="184"/>
      <c r="G1230" s="184"/>
      <c r="H1230" s="184" t="s">
        <v>654</v>
      </c>
      <c r="I1230" s="184" t="s">
        <v>469</v>
      </c>
      <c r="J1230" s="184" t="s">
        <v>448</v>
      </c>
      <c r="K1230" s="185">
        <v>30</v>
      </c>
      <c r="L1230" s="186">
        <v>948.21669999999995</v>
      </c>
      <c r="M1230" s="187">
        <v>952.21669999999995</v>
      </c>
      <c r="N1230" s="188">
        <f t="shared" si="796"/>
        <v>8.5299999999999994</v>
      </c>
      <c r="O1230" s="188">
        <f t="shared" si="797"/>
        <v>8.57</v>
      </c>
      <c r="P1230" s="189">
        <f t="shared" si="674"/>
        <v>57013</v>
      </c>
      <c r="Q1230" s="189">
        <f t="shared" si="675"/>
        <v>120</v>
      </c>
      <c r="R1230" s="189">
        <v>17.11</v>
      </c>
      <c r="S1230" s="189">
        <f t="shared" si="697"/>
        <v>3.36</v>
      </c>
      <c r="T1230" s="189">
        <f t="shared" si="839"/>
        <v>7.14</v>
      </c>
      <c r="U1230" s="189">
        <f t="shared" si="731"/>
        <v>0.85</v>
      </c>
      <c r="V1230" s="189">
        <f t="shared" si="840"/>
        <v>1.57</v>
      </c>
      <c r="W1230" s="189">
        <f t="shared" si="758"/>
        <v>0.06</v>
      </c>
      <c r="X1230" s="189">
        <f t="shared" si="681"/>
        <v>30.09</v>
      </c>
      <c r="Y1230" s="190">
        <f t="shared" si="682"/>
        <v>89.91</v>
      </c>
      <c r="Z1230" s="191">
        <v>89.91</v>
      </c>
      <c r="AA1230" s="192">
        <f t="shared" si="837"/>
        <v>0</v>
      </c>
      <c r="AB1230" s="193">
        <f t="shared" si="684"/>
        <v>4.2184450031306133E-3</v>
      </c>
      <c r="AC1230" s="194">
        <f t="shared" si="685"/>
        <v>5.2800000000000004E-4</v>
      </c>
      <c r="AD1230" s="189"/>
      <c r="AE1230" s="195" t="s">
        <v>403</v>
      </c>
      <c r="AF1230" s="119"/>
    </row>
    <row r="1231" spans="1:32" ht="12" hidden="1" customHeight="1">
      <c r="A1231" s="183">
        <v>44616</v>
      </c>
      <c r="B1231" s="184" t="s">
        <v>595</v>
      </c>
      <c r="C1231" s="184"/>
      <c r="D1231" s="184"/>
      <c r="E1231" s="184"/>
      <c r="F1231" s="184"/>
      <c r="G1231" s="184"/>
      <c r="H1231" s="184" t="s">
        <v>654</v>
      </c>
      <c r="I1231" s="184" t="s">
        <v>469</v>
      </c>
      <c r="J1231" s="184" t="s">
        <v>448</v>
      </c>
      <c r="K1231" s="185">
        <v>900</v>
      </c>
      <c r="L1231" s="186">
        <v>45.4</v>
      </c>
      <c r="M1231" s="187">
        <v>45.6</v>
      </c>
      <c r="N1231" s="188">
        <f t="shared" si="796"/>
        <v>12.26</v>
      </c>
      <c r="O1231" s="188">
        <f t="shared" si="797"/>
        <v>12.31</v>
      </c>
      <c r="P1231" s="189">
        <f t="shared" si="674"/>
        <v>81900</v>
      </c>
      <c r="Q1231" s="189">
        <f t="shared" si="675"/>
        <v>180.00000000000256</v>
      </c>
      <c r="R1231" s="189">
        <v>25.92</v>
      </c>
      <c r="S1231" s="189">
        <f t="shared" si="697"/>
        <v>5.07</v>
      </c>
      <c r="T1231" s="189">
        <f>ROUND((M1231*K1231)*K$1807,2)-10.26</f>
        <v>0</v>
      </c>
      <c r="U1231" s="189">
        <f t="shared" si="731"/>
        <v>1.23</v>
      </c>
      <c r="V1231" s="189">
        <f t="shared" si="840"/>
        <v>2.25</v>
      </c>
      <c r="W1231" s="189">
        <f t="shared" si="758"/>
        <v>0.08</v>
      </c>
      <c r="X1231" s="189">
        <f t="shared" si="681"/>
        <v>34.549999999999997</v>
      </c>
      <c r="Y1231" s="190">
        <f t="shared" si="682"/>
        <v>145.44999999999999</v>
      </c>
      <c r="Z1231" s="191">
        <v>145.06</v>
      </c>
      <c r="AA1231" s="192">
        <f t="shared" si="837"/>
        <v>-0.38999999999998636</v>
      </c>
      <c r="AB1231" s="193">
        <f t="shared" si="684"/>
        <v>4.4052863436123977E-3</v>
      </c>
      <c r="AC1231" s="194">
        <f t="shared" si="685"/>
        <v>4.2200000000000001E-4</v>
      </c>
      <c r="AD1231" s="189"/>
      <c r="AE1231" s="195" t="s">
        <v>403</v>
      </c>
      <c r="AF1231" s="119"/>
    </row>
    <row r="1232" spans="1:32" ht="12" hidden="1" customHeight="1">
      <c r="A1232" s="183">
        <v>44617</v>
      </c>
      <c r="B1232" s="184" t="s">
        <v>575</v>
      </c>
      <c r="C1232" s="184"/>
      <c r="D1232" s="184"/>
      <c r="E1232" s="184"/>
      <c r="F1232" s="184"/>
      <c r="G1232" s="184"/>
      <c r="H1232" s="184" t="s">
        <v>654</v>
      </c>
      <c r="I1232" s="184" t="s">
        <v>469</v>
      </c>
      <c r="J1232" s="184" t="s">
        <v>448</v>
      </c>
      <c r="K1232" s="185">
        <v>20</v>
      </c>
      <c r="L1232" s="186">
        <v>975</v>
      </c>
      <c r="M1232" s="187">
        <v>981.5</v>
      </c>
      <c r="N1232" s="188">
        <f t="shared" si="796"/>
        <v>5.85</v>
      </c>
      <c r="O1232" s="188">
        <f t="shared" si="797"/>
        <v>5.89</v>
      </c>
      <c r="P1232" s="189">
        <f t="shared" si="674"/>
        <v>39130</v>
      </c>
      <c r="Q1232" s="189">
        <f t="shared" si="675"/>
        <v>130</v>
      </c>
      <c r="R1232" s="189">
        <f>ROUND(N1232+O1232,2)</f>
        <v>11.74</v>
      </c>
      <c r="S1232" s="189">
        <f t="shared" si="697"/>
        <v>2.31</v>
      </c>
      <c r="T1232" s="189">
        <f>ROUND((M1232*K1232)*K$1807,2)</f>
        <v>4.91</v>
      </c>
      <c r="U1232" s="189">
        <f t="shared" si="731"/>
        <v>0.59</v>
      </c>
      <c r="V1232" s="189">
        <f t="shared" si="840"/>
        <v>1.08</v>
      </c>
      <c r="W1232" s="189">
        <f t="shared" si="758"/>
        <v>0.04</v>
      </c>
      <c r="X1232" s="189">
        <f t="shared" si="681"/>
        <v>20.67</v>
      </c>
      <c r="Y1232" s="190">
        <f t="shared" si="682"/>
        <v>109.33</v>
      </c>
      <c r="Z1232" s="191">
        <v>108.66</v>
      </c>
      <c r="AA1232" s="192">
        <f t="shared" si="837"/>
        <v>-0.67000000000000171</v>
      </c>
      <c r="AB1232" s="193">
        <f t="shared" si="684"/>
        <v>6.6666666666666671E-3</v>
      </c>
      <c r="AC1232" s="194">
        <f t="shared" si="685"/>
        <v>5.2800000000000004E-4</v>
      </c>
      <c r="AD1232" s="189"/>
      <c r="AE1232" s="195" t="s">
        <v>403</v>
      </c>
      <c r="AF1232" s="119"/>
    </row>
    <row r="1233" spans="1:32" ht="12" hidden="1" customHeight="1">
      <c r="A1233" s="183">
        <v>44617</v>
      </c>
      <c r="B1233" s="184" t="s">
        <v>595</v>
      </c>
      <c r="C1233" s="184"/>
      <c r="D1233" s="184"/>
      <c r="E1233" s="184"/>
      <c r="F1233" s="184"/>
      <c r="G1233" s="184"/>
      <c r="H1233" s="184" t="s">
        <v>654</v>
      </c>
      <c r="I1233" s="184" t="s">
        <v>469</v>
      </c>
      <c r="J1233" s="184" t="s">
        <v>448</v>
      </c>
      <c r="K1233" s="185">
        <v>300</v>
      </c>
      <c r="L1233" s="186">
        <v>44.7</v>
      </c>
      <c r="M1233" s="187">
        <v>44.75</v>
      </c>
      <c r="N1233" s="188">
        <f t="shared" si="796"/>
        <v>4.0199999999999996</v>
      </c>
      <c r="O1233" s="188">
        <f t="shared" si="797"/>
        <v>4.03</v>
      </c>
      <c r="P1233" s="189">
        <f t="shared" si="674"/>
        <v>26835</v>
      </c>
      <c r="Q1233" s="189">
        <f t="shared" si="675"/>
        <v>14.999999999999147</v>
      </c>
      <c r="R1233" s="189">
        <v>24.03</v>
      </c>
      <c r="S1233" s="189">
        <f t="shared" si="697"/>
        <v>4.46</v>
      </c>
      <c r="T1233" s="189">
        <f>ROUND((M1233*K1233)*K$1807,2)-3.36</f>
        <v>0</v>
      </c>
      <c r="U1233" s="189">
        <f t="shared" si="731"/>
        <v>0.4</v>
      </c>
      <c r="V1233" s="189">
        <f t="shared" si="840"/>
        <v>0.74</v>
      </c>
      <c r="W1233" s="189">
        <f t="shared" si="758"/>
        <v>0.03</v>
      </c>
      <c r="X1233" s="189">
        <f t="shared" si="681"/>
        <v>29.66</v>
      </c>
      <c r="Y1233" s="190">
        <f t="shared" si="682"/>
        <v>-14.66</v>
      </c>
      <c r="Z1233" s="191">
        <v>-14.66</v>
      </c>
      <c r="AA1233" s="192">
        <f t="shared" si="837"/>
        <v>0</v>
      </c>
      <c r="AB1233" s="193">
        <f t="shared" si="684"/>
        <v>1.1185682326621288E-3</v>
      </c>
      <c r="AC1233" s="194">
        <f t="shared" si="685"/>
        <v>1.1050000000000001E-3</v>
      </c>
      <c r="AD1233" s="189"/>
      <c r="AE1233" s="195" t="s">
        <v>403</v>
      </c>
      <c r="AF1233" s="119"/>
    </row>
    <row r="1234" spans="1:32" ht="12" hidden="1" customHeight="1">
      <c r="A1234" s="183">
        <v>44620</v>
      </c>
      <c r="B1234" s="184" t="s">
        <v>575</v>
      </c>
      <c r="C1234" s="184"/>
      <c r="D1234" s="184"/>
      <c r="E1234" s="184"/>
      <c r="F1234" s="184"/>
      <c r="G1234" s="184"/>
      <c r="H1234" s="184" t="s">
        <v>654</v>
      </c>
      <c r="I1234" s="184" t="s">
        <v>469</v>
      </c>
      <c r="J1234" s="184" t="s">
        <v>448</v>
      </c>
      <c r="K1234" s="185">
        <v>20</v>
      </c>
      <c r="L1234" s="186">
        <v>984</v>
      </c>
      <c r="M1234" s="187">
        <v>987.5</v>
      </c>
      <c r="N1234" s="188">
        <f t="shared" si="796"/>
        <v>5.9</v>
      </c>
      <c r="O1234" s="188">
        <f t="shared" si="797"/>
        <v>5.93</v>
      </c>
      <c r="P1234" s="189">
        <f t="shared" si="674"/>
        <v>39430</v>
      </c>
      <c r="Q1234" s="189">
        <f t="shared" si="675"/>
        <v>70</v>
      </c>
      <c r="R1234" s="189">
        <v>17.75</v>
      </c>
      <c r="S1234" s="189">
        <f t="shared" si="697"/>
        <v>3.39</v>
      </c>
      <c r="T1234" s="189">
        <f>ROUND((M1234*K1234)*K$1807,2)-1</f>
        <v>3.9400000000000004</v>
      </c>
      <c r="U1234" s="189">
        <f t="shared" si="731"/>
        <v>0.59</v>
      </c>
      <c r="V1234" s="189">
        <f t="shared" si="840"/>
        <v>1.08</v>
      </c>
      <c r="W1234" s="189">
        <f t="shared" si="758"/>
        <v>0.04</v>
      </c>
      <c r="X1234" s="189">
        <f t="shared" si="681"/>
        <v>26.79</v>
      </c>
      <c r="Y1234" s="190">
        <f t="shared" si="682"/>
        <v>43.21</v>
      </c>
      <c r="Z1234" s="191">
        <v>43.34</v>
      </c>
      <c r="AA1234" s="192">
        <f t="shared" si="837"/>
        <v>0.13000000000000256</v>
      </c>
      <c r="AB1234" s="193">
        <f t="shared" si="684"/>
        <v>3.5569105691056909E-3</v>
      </c>
      <c r="AC1234" s="194">
        <f t="shared" si="685"/>
        <v>6.7900000000000002E-4</v>
      </c>
      <c r="AD1234" s="189"/>
      <c r="AE1234" s="195" t="s">
        <v>403</v>
      </c>
      <c r="AF1234" s="119"/>
    </row>
    <row r="1235" spans="1:32" ht="12" hidden="1" customHeight="1">
      <c r="A1235" s="183">
        <v>44622</v>
      </c>
      <c r="B1235" s="184" t="s">
        <v>595</v>
      </c>
      <c r="C1235" s="184"/>
      <c r="D1235" s="184"/>
      <c r="E1235" s="184"/>
      <c r="F1235" s="184"/>
      <c r="G1235" s="184"/>
      <c r="H1235" s="184" t="s">
        <v>654</v>
      </c>
      <c r="I1235" s="184" t="s">
        <v>469</v>
      </c>
      <c r="J1235" s="184" t="s">
        <v>448</v>
      </c>
      <c r="K1235" s="185">
        <v>400</v>
      </c>
      <c r="L1235" s="186">
        <v>45.42</v>
      </c>
      <c r="M1235" s="187">
        <v>45.5</v>
      </c>
      <c r="N1235" s="188">
        <f t="shared" si="796"/>
        <v>5.45</v>
      </c>
      <c r="O1235" s="188">
        <f t="shared" si="797"/>
        <v>5.46</v>
      </c>
      <c r="P1235" s="189">
        <f t="shared" si="674"/>
        <v>36368</v>
      </c>
      <c r="Q1235" s="189">
        <f t="shared" si="675"/>
        <v>31.999999999999318</v>
      </c>
      <c r="R1235" s="189">
        <f t="shared" ref="R1235:R1238" si="841">ROUND(N1235+O1235,2)</f>
        <v>10.91</v>
      </c>
      <c r="S1235" s="189">
        <f t="shared" si="697"/>
        <v>2.14</v>
      </c>
      <c r="T1235" s="189">
        <f>ROUND((M1235*K1235)*K$1807,2)-4.55</f>
        <v>0</v>
      </c>
      <c r="U1235" s="189">
        <f t="shared" si="731"/>
        <v>0.55000000000000004</v>
      </c>
      <c r="V1235" s="189">
        <f t="shared" si="840"/>
        <v>1</v>
      </c>
      <c r="W1235" s="189">
        <f t="shared" si="758"/>
        <v>0.04</v>
      </c>
      <c r="X1235" s="189">
        <f t="shared" si="681"/>
        <v>14.64</v>
      </c>
      <c r="Y1235" s="190">
        <f t="shared" si="682"/>
        <v>17.36</v>
      </c>
      <c r="Z1235" s="191">
        <v>16.91</v>
      </c>
      <c r="AA1235" s="192">
        <f t="shared" si="837"/>
        <v>-0.44999999999999929</v>
      </c>
      <c r="AB1235" s="193">
        <f t="shared" si="684"/>
        <v>1.7613386173491478E-3</v>
      </c>
      <c r="AC1235" s="194">
        <f t="shared" si="685"/>
        <v>4.0299999999999998E-4</v>
      </c>
      <c r="AD1235" s="189"/>
      <c r="AE1235" s="195" t="s">
        <v>403</v>
      </c>
      <c r="AF1235" s="119"/>
    </row>
    <row r="1236" spans="1:32" ht="12" hidden="1" customHeight="1">
      <c r="A1236" s="183">
        <v>44622</v>
      </c>
      <c r="B1236" s="184" t="s">
        <v>590</v>
      </c>
      <c r="C1236" s="184"/>
      <c r="D1236" s="184"/>
      <c r="E1236" s="184"/>
      <c r="F1236" s="184"/>
      <c r="G1236" s="184"/>
      <c r="H1236" s="184" t="s">
        <v>654</v>
      </c>
      <c r="I1236" s="184" t="s">
        <v>469</v>
      </c>
      <c r="J1236" s="184" t="s">
        <v>471</v>
      </c>
      <c r="K1236" s="185">
        <v>20</v>
      </c>
      <c r="L1236" s="186">
        <v>1288.5</v>
      </c>
      <c r="M1236" s="187">
        <v>1295.5</v>
      </c>
      <c r="N1236" s="188">
        <f t="shared" si="796"/>
        <v>7.73</v>
      </c>
      <c r="O1236" s="188">
        <f t="shared" si="797"/>
        <v>7.77</v>
      </c>
      <c r="P1236" s="189">
        <f t="shared" si="674"/>
        <v>51680</v>
      </c>
      <c r="Q1236" s="189">
        <f t="shared" si="675"/>
        <v>140</v>
      </c>
      <c r="R1236" s="189">
        <f t="shared" si="841"/>
        <v>15.5</v>
      </c>
      <c r="S1236" s="189">
        <f t="shared" si="697"/>
        <v>3.11</v>
      </c>
      <c r="T1236" s="189">
        <f t="shared" ref="T1236:T1242" si="842">ROUND((M1236*K1236)*K$1807,2)</f>
        <v>6.48</v>
      </c>
      <c r="U1236" s="189">
        <f t="shared" si="731"/>
        <v>0.77</v>
      </c>
      <c r="V1236" s="189">
        <f>ROUND(P1236*M$1809,2)</f>
        <v>1.78</v>
      </c>
      <c r="W1236" s="189">
        <f t="shared" si="758"/>
        <v>0.05</v>
      </c>
      <c r="X1236" s="189">
        <f t="shared" si="681"/>
        <v>27.69</v>
      </c>
      <c r="Y1236" s="190">
        <f t="shared" si="682"/>
        <v>112.31</v>
      </c>
      <c r="Z1236" s="191">
        <v>111.65</v>
      </c>
      <c r="AA1236" s="192">
        <f t="shared" si="837"/>
        <v>-0.65999999999999659</v>
      </c>
      <c r="AB1236" s="193">
        <f t="shared" si="684"/>
        <v>5.4326736515327902E-3</v>
      </c>
      <c r="AC1236" s="194">
        <f t="shared" si="685"/>
        <v>5.3600000000000002E-4</v>
      </c>
      <c r="AD1236" s="189"/>
      <c r="AE1236" s="195" t="s">
        <v>403</v>
      </c>
      <c r="AF1236" s="119"/>
    </row>
    <row r="1237" spans="1:32" ht="12" hidden="1" customHeight="1">
      <c r="A1237" s="183">
        <v>44623</v>
      </c>
      <c r="B1237" s="184" t="s">
        <v>575</v>
      </c>
      <c r="C1237" s="184"/>
      <c r="D1237" s="184"/>
      <c r="E1237" s="184"/>
      <c r="F1237" s="184"/>
      <c r="G1237" s="184"/>
      <c r="H1237" s="184" t="s">
        <v>654</v>
      </c>
      <c r="I1237" s="184" t="s">
        <v>469</v>
      </c>
      <c r="J1237" s="184" t="s">
        <v>448</v>
      </c>
      <c r="K1237" s="185">
        <v>20</v>
      </c>
      <c r="L1237" s="186">
        <v>1052</v>
      </c>
      <c r="M1237" s="187">
        <v>1059.5</v>
      </c>
      <c r="N1237" s="188">
        <f t="shared" si="796"/>
        <v>6.31</v>
      </c>
      <c r="O1237" s="188">
        <f t="shared" si="797"/>
        <v>6.36</v>
      </c>
      <c r="P1237" s="189">
        <f t="shared" si="674"/>
        <v>42230</v>
      </c>
      <c r="Q1237" s="189">
        <f t="shared" si="675"/>
        <v>150</v>
      </c>
      <c r="R1237" s="189">
        <f t="shared" si="841"/>
        <v>12.67</v>
      </c>
      <c r="S1237" s="189">
        <f t="shared" si="697"/>
        <v>2.4900000000000002</v>
      </c>
      <c r="T1237" s="189">
        <f t="shared" si="842"/>
        <v>5.3</v>
      </c>
      <c r="U1237" s="189">
        <f t="shared" si="731"/>
        <v>0.63</v>
      </c>
      <c r="V1237" s="189">
        <f t="shared" ref="V1237:V1268" si="843">ROUND(P1237*L$1809,2)</f>
        <v>1.1599999999999999</v>
      </c>
      <c r="W1237" s="189">
        <f t="shared" si="758"/>
        <v>0.04</v>
      </c>
      <c r="X1237" s="189">
        <f t="shared" si="681"/>
        <v>22.29</v>
      </c>
      <c r="Y1237" s="190">
        <f t="shared" si="682"/>
        <v>127.71</v>
      </c>
      <c r="Z1237" s="191">
        <v>127.64</v>
      </c>
      <c r="AA1237" s="192">
        <f t="shared" si="837"/>
        <v>-6.9999999999993179E-2</v>
      </c>
      <c r="AB1237" s="193">
        <f t="shared" si="684"/>
        <v>7.1292775665399242E-3</v>
      </c>
      <c r="AC1237" s="194">
        <f t="shared" si="685"/>
        <v>5.2800000000000004E-4</v>
      </c>
      <c r="AD1237" s="189"/>
      <c r="AE1237" s="195" t="s">
        <v>403</v>
      </c>
      <c r="AF1237" s="119"/>
    </row>
    <row r="1238" spans="1:32" ht="12" hidden="1" customHeight="1">
      <c r="A1238" s="183">
        <v>44624</v>
      </c>
      <c r="B1238" s="184" t="s">
        <v>575</v>
      </c>
      <c r="C1238" s="184"/>
      <c r="D1238" s="184"/>
      <c r="E1238" s="184"/>
      <c r="F1238" s="184"/>
      <c r="G1238" s="184"/>
      <c r="H1238" s="184" t="s">
        <v>654</v>
      </c>
      <c r="I1238" s="184" t="s">
        <v>469</v>
      </c>
      <c r="J1238" s="184" t="s">
        <v>448</v>
      </c>
      <c r="K1238" s="185">
        <v>30</v>
      </c>
      <c r="L1238" s="186">
        <v>1039.6667</v>
      </c>
      <c r="M1238" s="187">
        <v>1046</v>
      </c>
      <c r="N1238" s="188">
        <f t="shared" si="796"/>
        <v>9.36</v>
      </c>
      <c r="O1238" s="188">
        <f t="shared" si="797"/>
        <v>9.41</v>
      </c>
      <c r="P1238" s="189">
        <f t="shared" si="674"/>
        <v>62570</v>
      </c>
      <c r="Q1238" s="189">
        <f t="shared" si="675"/>
        <v>189.99900000000025</v>
      </c>
      <c r="R1238" s="189">
        <f t="shared" si="841"/>
        <v>18.77</v>
      </c>
      <c r="S1238" s="189">
        <f t="shared" si="697"/>
        <v>3.69</v>
      </c>
      <c r="T1238" s="189">
        <f t="shared" si="842"/>
        <v>7.85</v>
      </c>
      <c r="U1238" s="189">
        <f t="shared" si="731"/>
        <v>0.94</v>
      </c>
      <c r="V1238" s="189">
        <f t="shared" si="843"/>
        <v>1.72</v>
      </c>
      <c r="W1238" s="189">
        <f t="shared" si="758"/>
        <v>0.06</v>
      </c>
      <c r="X1238" s="189">
        <f t="shared" si="681"/>
        <v>33.030000000000008</v>
      </c>
      <c r="Y1238" s="190">
        <f t="shared" si="682"/>
        <v>156.97</v>
      </c>
      <c r="Z1238" s="191">
        <v>157.07</v>
      </c>
      <c r="AA1238" s="192">
        <f t="shared" si="837"/>
        <v>9.9999999999994316E-2</v>
      </c>
      <c r="AB1238" s="193">
        <f t="shared" si="684"/>
        <v>6.0916637995619251E-3</v>
      </c>
      <c r="AC1238" s="194">
        <f t="shared" si="685"/>
        <v>5.2800000000000004E-4</v>
      </c>
      <c r="AD1238" s="189"/>
      <c r="AE1238" s="195" t="s">
        <v>403</v>
      </c>
      <c r="AF1238" s="119"/>
    </row>
    <row r="1239" spans="1:32" ht="12" hidden="1" customHeight="1">
      <c r="A1239" s="183">
        <v>44627</v>
      </c>
      <c r="B1239" s="184" t="s">
        <v>575</v>
      </c>
      <c r="C1239" s="184"/>
      <c r="D1239" s="184"/>
      <c r="E1239" s="184"/>
      <c r="F1239" s="184"/>
      <c r="G1239" s="184"/>
      <c r="H1239" s="184" t="s">
        <v>654</v>
      </c>
      <c r="I1239" s="184" t="s">
        <v>469</v>
      </c>
      <c r="J1239" s="184" t="s">
        <v>448</v>
      </c>
      <c r="K1239" s="185">
        <v>20</v>
      </c>
      <c r="L1239" s="186">
        <v>961.5</v>
      </c>
      <c r="M1239" s="187">
        <v>966</v>
      </c>
      <c r="N1239" s="188">
        <f t="shared" si="796"/>
        <v>5.77</v>
      </c>
      <c r="O1239" s="188">
        <f t="shared" si="797"/>
        <v>5.8</v>
      </c>
      <c r="P1239" s="189">
        <f t="shared" si="674"/>
        <v>38550</v>
      </c>
      <c r="Q1239" s="189">
        <f t="shared" si="675"/>
        <v>90</v>
      </c>
      <c r="R1239" s="189">
        <v>11.72</v>
      </c>
      <c r="S1239" s="189">
        <f t="shared" si="697"/>
        <v>2.2999999999999998</v>
      </c>
      <c r="T1239" s="189">
        <f t="shared" si="842"/>
        <v>4.83</v>
      </c>
      <c r="U1239" s="189">
        <f t="shared" si="731"/>
        <v>0.57999999999999996</v>
      </c>
      <c r="V1239" s="189">
        <f t="shared" si="843"/>
        <v>1.06</v>
      </c>
      <c r="W1239" s="189">
        <f t="shared" si="758"/>
        <v>0.04</v>
      </c>
      <c r="X1239" s="189">
        <f t="shared" si="681"/>
        <v>20.529999999999998</v>
      </c>
      <c r="Y1239" s="190">
        <f t="shared" si="682"/>
        <v>69.47</v>
      </c>
      <c r="Z1239" s="191">
        <v>69.55</v>
      </c>
      <c r="AA1239" s="192">
        <f t="shared" si="837"/>
        <v>7.9999999999998295E-2</v>
      </c>
      <c r="AB1239" s="193">
        <f t="shared" si="684"/>
        <v>4.6801872074882997E-3</v>
      </c>
      <c r="AC1239" s="194">
        <f t="shared" si="685"/>
        <v>5.3300000000000005E-4</v>
      </c>
      <c r="AD1239" s="189"/>
      <c r="AE1239" s="195" t="s">
        <v>403</v>
      </c>
      <c r="AF1239" s="119"/>
    </row>
    <row r="1240" spans="1:32" ht="12" hidden="1" customHeight="1">
      <c r="A1240" s="183">
        <v>44628</v>
      </c>
      <c r="B1240" s="184" t="s">
        <v>575</v>
      </c>
      <c r="C1240" s="184"/>
      <c r="D1240" s="184"/>
      <c r="E1240" s="184"/>
      <c r="F1240" s="184"/>
      <c r="G1240" s="184"/>
      <c r="H1240" s="184" t="s">
        <v>654</v>
      </c>
      <c r="I1240" s="184" t="s">
        <v>469</v>
      </c>
      <c r="J1240" s="184" t="s">
        <v>448</v>
      </c>
      <c r="K1240" s="185">
        <v>100</v>
      </c>
      <c r="L1240" s="186">
        <v>965.6</v>
      </c>
      <c r="M1240" s="187">
        <v>975.96</v>
      </c>
      <c r="N1240" s="188">
        <f t="shared" si="796"/>
        <v>20</v>
      </c>
      <c r="O1240" s="188">
        <f t="shared" si="797"/>
        <v>20</v>
      </c>
      <c r="P1240" s="189">
        <f t="shared" si="674"/>
        <v>194156</v>
      </c>
      <c r="Q1240" s="189">
        <f t="shared" si="675"/>
        <v>1036.0000000000014</v>
      </c>
      <c r="R1240" s="189">
        <v>58.26</v>
      </c>
      <c r="S1240" s="189">
        <f t="shared" si="697"/>
        <v>11.45</v>
      </c>
      <c r="T1240" s="189">
        <f t="shared" si="842"/>
        <v>24.4</v>
      </c>
      <c r="U1240" s="189">
        <f t="shared" si="731"/>
        <v>2.9</v>
      </c>
      <c r="V1240" s="189">
        <f t="shared" si="843"/>
        <v>5.34</v>
      </c>
      <c r="W1240" s="189">
        <f t="shared" si="758"/>
        <v>0.19</v>
      </c>
      <c r="X1240" s="189">
        <f t="shared" si="681"/>
        <v>102.53999999999999</v>
      </c>
      <c r="Y1240" s="190">
        <f t="shared" si="682"/>
        <v>933.46</v>
      </c>
      <c r="Z1240" s="191">
        <v>933.77</v>
      </c>
      <c r="AA1240" s="192">
        <f t="shared" si="837"/>
        <v>0.30999999999994543</v>
      </c>
      <c r="AB1240" s="193">
        <f t="shared" si="684"/>
        <v>1.0729080364540197E-2</v>
      </c>
      <c r="AC1240" s="194">
        <f t="shared" si="685"/>
        <v>5.2800000000000004E-4</v>
      </c>
      <c r="AD1240" s="189"/>
      <c r="AE1240" s="195" t="s">
        <v>403</v>
      </c>
      <c r="AF1240" s="119"/>
    </row>
    <row r="1241" spans="1:32" ht="12" hidden="1" customHeight="1">
      <c r="A1241" s="183">
        <v>44628</v>
      </c>
      <c r="B1241" s="184" t="s">
        <v>479</v>
      </c>
      <c r="C1241" s="184"/>
      <c r="D1241" s="184"/>
      <c r="E1241" s="184"/>
      <c r="F1241" s="184"/>
      <c r="G1241" s="184"/>
      <c r="H1241" s="184" t="s">
        <v>654</v>
      </c>
      <c r="I1241" s="184" t="s">
        <v>469</v>
      </c>
      <c r="J1241" s="184" t="s">
        <v>471</v>
      </c>
      <c r="K1241" s="185">
        <v>25</v>
      </c>
      <c r="L1241" s="186">
        <v>426</v>
      </c>
      <c r="M1241" s="187">
        <v>432</v>
      </c>
      <c r="N1241" s="188">
        <f t="shared" si="796"/>
        <v>3.2</v>
      </c>
      <c r="O1241" s="188">
        <f t="shared" si="797"/>
        <v>3.24</v>
      </c>
      <c r="P1241" s="189">
        <f t="shared" si="674"/>
        <v>21450</v>
      </c>
      <c r="Q1241" s="189">
        <f t="shared" si="675"/>
        <v>150</v>
      </c>
      <c r="R1241" s="189">
        <v>13.01</v>
      </c>
      <c r="S1241" s="189">
        <f t="shared" si="697"/>
        <v>2.4500000000000002</v>
      </c>
      <c r="T1241" s="189">
        <f t="shared" si="842"/>
        <v>2.7</v>
      </c>
      <c r="U1241" s="189">
        <f t="shared" si="731"/>
        <v>0.32</v>
      </c>
      <c r="V1241" s="189">
        <f t="shared" si="843"/>
        <v>0.59</v>
      </c>
      <c r="W1241" s="189">
        <f t="shared" si="758"/>
        <v>0.02</v>
      </c>
      <c r="X1241" s="189">
        <f t="shared" si="681"/>
        <v>19.09</v>
      </c>
      <c r="Y1241" s="190">
        <f t="shared" si="682"/>
        <v>130.91</v>
      </c>
      <c r="Z1241" s="191">
        <v>131.15</v>
      </c>
      <c r="AA1241" s="192">
        <f t="shared" si="837"/>
        <v>0.24000000000000909</v>
      </c>
      <c r="AB1241" s="193">
        <f t="shared" si="684"/>
        <v>1.4084507042253521E-2</v>
      </c>
      <c r="AC1241" s="194">
        <f t="shared" si="685"/>
        <v>8.8999999999999995E-4</v>
      </c>
      <c r="AD1241" s="189"/>
      <c r="AE1241" s="195" t="s">
        <v>403</v>
      </c>
      <c r="AF1241" s="119"/>
    </row>
    <row r="1242" spans="1:32" ht="12" hidden="1" customHeight="1">
      <c r="A1242" s="183">
        <v>44629</v>
      </c>
      <c r="B1242" s="184" t="s">
        <v>575</v>
      </c>
      <c r="C1242" s="184"/>
      <c r="D1242" s="184"/>
      <c r="E1242" s="184"/>
      <c r="F1242" s="184"/>
      <c r="G1242" s="184"/>
      <c r="H1242" s="184" t="s">
        <v>654</v>
      </c>
      <c r="I1242" s="184" t="s">
        <v>469</v>
      </c>
      <c r="J1242" s="184" t="s">
        <v>448</v>
      </c>
      <c r="K1242" s="185">
        <v>50</v>
      </c>
      <c r="L1242" s="186">
        <v>1020.8</v>
      </c>
      <c r="M1242" s="187">
        <v>1023.008</v>
      </c>
      <c r="N1242" s="188">
        <f t="shared" si="796"/>
        <v>15.31</v>
      </c>
      <c r="O1242" s="188">
        <f t="shared" si="797"/>
        <v>15.35</v>
      </c>
      <c r="P1242" s="189">
        <f t="shared" si="674"/>
        <v>102190.39999999999</v>
      </c>
      <c r="Q1242" s="189">
        <f t="shared" si="675"/>
        <v>110.40000000000418</v>
      </c>
      <c r="R1242" s="189">
        <v>30.46</v>
      </c>
      <c r="S1242" s="189">
        <f t="shared" si="697"/>
        <v>5.99</v>
      </c>
      <c r="T1242" s="189">
        <f t="shared" si="842"/>
        <v>12.79</v>
      </c>
      <c r="U1242" s="189">
        <f t="shared" si="731"/>
        <v>1.53</v>
      </c>
      <c r="V1242" s="189">
        <f t="shared" si="843"/>
        <v>2.81</v>
      </c>
      <c r="W1242" s="189">
        <f t="shared" si="758"/>
        <v>0.1</v>
      </c>
      <c r="X1242" s="189">
        <f t="shared" si="681"/>
        <v>53.680000000000007</v>
      </c>
      <c r="Y1242" s="190">
        <f t="shared" si="682"/>
        <v>56.72</v>
      </c>
      <c r="Z1242" s="191">
        <v>56.4</v>
      </c>
      <c r="AA1242" s="192">
        <f t="shared" si="837"/>
        <v>-0.32000000000000028</v>
      </c>
      <c r="AB1242" s="193">
        <f t="shared" si="684"/>
        <v>2.1630094043887968E-3</v>
      </c>
      <c r="AC1242" s="194">
        <f t="shared" si="685"/>
        <v>5.2499999999999997E-4</v>
      </c>
      <c r="AD1242" s="189"/>
      <c r="AE1242" s="195" t="s">
        <v>403</v>
      </c>
      <c r="AF1242" s="119"/>
    </row>
    <row r="1243" spans="1:32" ht="12" hidden="1" customHeight="1">
      <c r="A1243" s="183">
        <v>44629</v>
      </c>
      <c r="B1243" s="184" t="s">
        <v>595</v>
      </c>
      <c r="C1243" s="184"/>
      <c r="D1243" s="184"/>
      <c r="E1243" s="184"/>
      <c r="F1243" s="184"/>
      <c r="G1243" s="184"/>
      <c r="H1243" s="184" t="s">
        <v>654</v>
      </c>
      <c r="I1243" s="184" t="s">
        <v>469</v>
      </c>
      <c r="J1243" s="184" t="s">
        <v>448</v>
      </c>
      <c r="K1243" s="185">
        <v>1000</v>
      </c>
      <c r="L1243" s="186">
        <v>47.4</v>
      </c>
      <c r="M1243" s="187">
        <v>47.85</v>
      </c>
      <c r="N1243" s="188">
        <f t="shared" si="796"/>
        <v>14.22</v>
      </c>
      <c r="O1243" s="188">
        <f t="shared" si="797"/>
        <v>14.36</v>
      </c>
      <c r="P1243" s="189">
        <f t="shared" si="674"/>
        <v>95250</v>
      </c>
      <c r="Q1243" s="189">
        <f t="shared" si="675"/>
        <v>450.00000000000284</v>
      </c>
      <c r="R1243" s="189">
        <f t="shared" ref="R1243:R1248" si="844">ROUND(N1243+O1243,2)</f>
        <v>28.58</v>
      </c>
      <c r="S1243" s="189">
        <f t="shared" si="697"/>
        <v>5.62</v>
      </c>
      <c r="T1243" s="189">
        <f>ROUND((M1243*K1243)*K$1807,2)-11.96</f>
        <v>0</v>
      </c>
      <c r="U1243" s="189">
        <f t="shared" si="731"/>
        <v>1.42</v>
      </c>
      <c r="V1243" s="189">
        <f t="shared" si="843"/>
        <v>2.62</v>
      </c>
      <c r="W1243" s="189">
        <f t="shared" si="758"/>
        <v>0.1</v>
      </c>
      <c r="X1243" s="189">
        <f t="shared" si="681"/>
        <v>38.339999999999996</v>
      </c>
      <c r="Y1243" s="190">
        <f t="shared" si="682"/>
        <v>411.66</v>
      </c>
      <c r="Z1243" s="191">
        <v>411.66</v>
      </c>
      <c r="AA1243" s="192">
        <f t="shared" si="837"/>
        <v>0</v>
      </c>
      <c r="AB1243" s="193">
        <f t="shared" si="684"/>
        <v>9.4936708860760104E-3</v>
      </c>
      <c r="AC1243" s="194">
        <f t="shared" si="685"/>
        <v>4.0299999999999998E-4</v>
      </c>
      <c r="AD1243" s="189"/>
      <c r="AE1243" s="195" t="s">
        <v>403</v>
      </c>
      <c r="AF1243" s="119"/>
    </row>
    <row r="1244" spans="1:32" ht="12" hidden="1" customHeight="1">
      <c r="A1244" s="183">
        <v>44634</v>
      </c>
      <c r="B1244" s="184" t="s">
        <v>575</v>
      </c>
      <c r="C1244" s="184"/>
      <c r="D1244" s="184"/>
      <c r="E1244" s="184"/>
      <c r="F1244" s="184"/>
      <c r="G1244" s="184"/>
      <c r="H1244" s="184" t="s">
        <v>654</v>
      </c>
      <c r="I1244" s="184" t="s">
        <v>469</v>
      </c>
      <c r="J1244" s="184" t="s">
        <v>448</v>
      </c>
      <c r="K1244" s="185">
        <v>40</v>
      </c>
      <c r="L1244" s="186">
        <v>1085.75</v>
      </c>
      <c r="M1244" s="187">
        <v>1089.5</v>
      </c>
      <c r="N1244" s="188">
        <f t="shared" si="796"/>
        <v>13.03</v>
      </c>
      <c r="O1244" s="188">
        <f t="shared" si="797"/>
        <v>13.07</v>
      </c>
      <c r="P1244" s="189">
        <f t="shared" si="674"/>
        <v>87010</v>
      </c>
      <c r="Q1244" s="189">
        <f t="shared" si="675"/>
        <v>150</v>
      </c>
      <c r="R1244" s="189">
        <f t="shared" si="844"/>
        <v>26.1</v>
      </c>
      <c r="S1244" s="189">
        <f t="shared" si="697"/>
        <v>5.13</v>
      </c>
      <c r="T1244" s="189">
        <f t="shared" ref="T1244:T1257" si="845">ROUND((M1244*K1244)*K$1807,2)</f>
        <v>10.9</v>
      </c>
      <c r="U1244" s="189">
        <f t="shared" si="731"/>
        <v>1.3</v>
      </c>
      <c r="V1244" s="189">
        <f t="shared" si="843"/>
        <v>2.39</v>
      </c>
      <c r="W1244" s="189">
        <f t="shared" si="758"/>
        <v>0.09</v>
      </c>
      <c r="X1244" s="189">
        <f t="shared" si="681"/>
        <v>45.910000000000004</v>
      </c>
      <c r="Y1244" s="190">
        <f t="shared" si="682"/>
        <v>104.09</v>
      </c>
      <c r="Z1244" s="191">
        <v>104.65</v>
      </c>
      <c r="AA1244" s="192">
        <f t="shared" si="837"/>
        <v>0.56000000000000227</v>
      </c>
      <c r="AB1244" s="193">
        <f t="shared" si="684"/>
        <v>3.45383375546857E-3</v>
      </c>
      <c r="AC1244" s="194">
        <f t="shared" si="685"/>
        <v>5.2800000000000004E-4</v>
      </c>
      <c r="AD1244" s="189"/>
      <c r="AE1244" s="195" t="s">
        <v>403</v>
      </c>
      <c r="AF1244" s="119"/>
    </row>
    <row r="1245" spans="1:32" ht="12" hidden="1" customHeight="1">
      <c r="A1245" s="183">
        <v>44635</v>
      </c>
      <c r="B1245" s="184" t="s">
        <v>575</v>
      </c>
      <c r="C1245" s="184"/>
      <c r="D1245" s="184"/>
      <c r="E1245" s="184"/>
      <c r="F1245" s="184"/>
      <c r="G1245" s="184"/>
      <c r="H1245" s="184" t="s">
        <v>654</v>
      </c>
      <c r="I1245" s="184" t="s">
        <v>469</v>
      </c>
      <c r="J1245" s="184" t="s">
        <v>448</v>
      </c>
      <c r="K1245" s="185">
        <v>20</v>
      </c>
      <c r="L1245" s="186">
        <v>1029</v>
      </c>
      <c r="M1245" s="187">
        <v>1040</v>
      </c>
      <c r="N1245" s="188">
        <f t="shared" si="796"/>
        <v>6.17</v>
      </c>
      <c r="O1245" s="188">
        <f t="shared" si="797"/>
        <v>6.24</v>
      </c>
      <c r="P1245" s="189">
        <f t="shared" si="674"/>
        <v>41380</v>
      </c>
      <c r="Q1245" s="189">
        <f t="shared" si="675"/>
        <v>220</v>
      </c>
      <c r="R1245" s="189">
        <f t="shared" si="844"/>
        <v>12.41</v>
      </c>
      <c r="S1245" s="189">
        <f t="shared" si="697"/>
        <v>2.44</v>
      </c>
      <c r="T1245" s="189">
        <f t="shared" si="845"/>
        <v>5.2</v>
      </c>
      <c r="U1245" s="189">
        <f t="shared" si="731"/>
        <v>0.62</v>
      </c>
      <c r="V1245" s="189">
        <f t="shared" si="843"/>
        <v>1.1399999999999999</v>
      </c>
      <c r="W1245" s="189">
        <f t="shared" si="758"/>
        <v>0.04</v>
      </c>
      <c r="X1245" s="189">
        <f t="shared" si="681"/>
        <v>21.85</v>
      </c>
      <c r="Y1245" s="190">
        <f t="shared" si="682"/>
        <v>198.15</v>
      </c>
      <c r="Z1245" s="191">
        <v>197.58</v>
      </c>
      <c r="AA1245" s="192">
        <f t="shared" si="837"/>
        <v>-0.56999999999999318</v>
      </c>
      <c r="AB1245" s="193">
        <f t="shared" si="684"/>
        <v>1.0689990281827016E-2</v>
      </c>
      <c r="AC1245" s="194">
        <f t="shared" si="685"/>
        <v>5.2800000000000004E-4</v>
      </c>
      <c r="AD1245" s="189"/>
      <c r="AE1245" s="195" t="s">
        <v>403</v>
      </c>
      <c r="AF1245" s="119"/>
    </row>
    <row r="1246" spans="1:32" ht="12" hidden="1" customHeight="1">
      <c r="A1246" s="183">
        <v>44636</v>
      </c>
      <c r="B1246" s="184" t="s">
        <v>575</v>
      </c>
      <c r="C1246" s="184"/>
      <c r="D1246" s="184"/>
      <c r="E1246" s="184"/>
      <c r="F1246" s="184"/>
      <c r="G1246" s="184"/>
      <c r="H1246" s="184" t="s">
        <v>654</v>
      </c>
      <c r="I1246" s="184" t="s">
        <v>469</v>
      </c>
      <c r="J1246" s="184" t="s">
        <v>448</v>
      </c>
      <c r="K1246" s="185">
        <v>10</v>
      </c>
      <c r="L1246" s="186">
        <v>1050</v>
      </c>
      <c r="M1246" s="187">
        <v>1055</v>
      </c>
      <c r="N1246" s="188">
        <f t="shared" si="796"/>
        <v>3.15</v>
      </c>
      <c r="O1246" s="188">
        <f t="shared" si="797"/>
        <v>3.17</v>
      </c>
      <c r="P1246" s="189">
        <f t="shared" si="674"/>
        <v>21050</v>
      </c>
      <c r="Q1246" s="189">
        <f t="shared" si="675"/>
        <v>50</v>
      </c>
      <c r="R1246" s="189">
        <f t="shared" si="844"/>
        <v>6.32</v>
      </c>
      <c r="S1246" s="189">
        <f t="shared" si="697"/>
        <v>1.24</v>
      </c>
      <c r="T1246" s="189">
        <f t="shared" si="845"/>
        <v>2.64</v>
      </c>
      <c r="U1246" s="189">
        <f t="shared" si="731"/>
        <v>0.32</v>
      </c>
      <c r="V1246" s="189">
        <f t="shared" si="843"/>
        <v>0.57999999999999996</v>
      </c>
      <c r="W1246" s="189">
        <f t="shared" si="758"/>
        <v>0.02</v>
      </c>
      <c r="X1246" s="189">
        <f t="shared" si="681"/>
        <v>11.120000000000001</v>
      </c>
      <c r="Y1246" s="190">
        <f t="shared" si="682"/>
        <v>38.880000000000003</v>
      </c>
      <c r="Z1246" s="191">
        <v>38.85</v>
      </c>
      <c r="AA1246" s="192">
        <f t="shared" si="837"/>
        <v>-3.0000000000001137E-2</v>
      </c>
      <c r="AB1246" s="193">
        <f t="shared" si="684"/>
        <v>4.7619047619047623E-3</v>
      </c>
      <c r="AC1246" s="194">
        <f t="shared" si="685"/>
        <v>5.2800000000000004E-4</v>
      </c>
      <c r="AD1246" s="189"/>
      <c r="AE1246" s="195" t="s">
        <v>403</v>
      </c>
      <c r="AF1246" s="119"/>
    </row>
    <row r="1247" spans="1:32" ht="12" hidden="1" customHeight="1">
      <c r="A1247" s="183">
        <v>44637</v>
      </c>
      <c r="B1247" s="184" t="s">
        <v>575</v>
      </c>
      <c r="C1247" s="184"/>
      <c r="D1247" s="184"/>
      <c r="E1247" s="184"/>
      <c r="F1247" s="184"/>
      <c r="G1247" s="184"/>
      <c r="H1247" s="184" t="s">
        <v>654</v>
      </c>
      <c r="I1247" s="184" t="s">
        <v>469</v>
      </c>
      <c r="J1247" s="184" t="s">
        <v>448</v>
      </c>
      <c r="K1247" s="185">
        <v>20</v>
      </c>
      <c r="L1247" s="186">
        <v>1060</v>
      </c>
      <c r="M1247" s="187">
        <v>1067.425</v>
      </c>
      <c r="N1247" s="188">
        <f t="shared" si="796"/>
        <v>6.36</v>
      </c>
      <c r="O1247" s="188">
        <f t="shared" si="797"/>
        <v>6.4</v>
      </c>
      <c r="P1247" s="189">
        <f t="shared" si="674"/>
        <v>42548.5</v>
      </c>
      <c r="Q1247" s="189">
        <f t="shared" si="675"/>
        <v>148.49999999999909</v>
      </c>
      <c r="R1247" s="189">
        <f t="shared" si="844"/>
        <v>12.76</v>
      </c>
      <c r="S1247" s="189">
        <f t="shared" si="697"/>
        <v>2.5099999999999998</v>
      </c>
      <c r="T1247" s="189">
        <f t="shared" si="845"/>
        <v>5.34</v>
      </c>
      <c r="U1247" s="189">
        <f t="shared" si="731"/>
        <v>0.64</v>
      </c>
      <c r="V1247" s="189">
        <f t="shared" si="843"/>
        <v>1.17</v>
      </c>
      <c r="W1247" s="189">
        <f t="shared" si="758"/>
        <v>0.04</v>
      </c>
      <c r="X1247" s="189">
        <f t="shared" si="681"/>
        <v>22.46</v>
      </c>
      <c r="Y1247" s="190">
        <f t="shared" si="682"/>
        <v>126.04</v>
      </c>
      <c r="Z1247" s="191">
        <v>126.02</v>
      </c>
      <c r="AA1247" s="192">
        <f t="shared" si="837"/>
        <v>-2.0000000000010232E-2</v>
      </c>
      <c r="AB1247" s="193">
        <f t="shared" si="684"/>
        <v>7.0047169811320326E-3</v>
      </c>
      <c r="AC1247" s="194">
        <f t="shared" si="685"/>
        <v>5.2800000000000004E-4</v>
      </c>
      <c r="AD1247" s="189"/>
      <c r="AE1247" s="195" t="s">
        <v>403</v>
      </c>
      <c r="AF1247" s="119"/>
    </row>
    <row r="1248" spans="1:32" ht="12" hidden="1" customHeight="1">
      <c r="A1248" s="183">
        <v>44641</v>
      </c>
      <c r="B1248" s="184" t="s">
        <v>575</v>
      </c>
      <c r="C1248" s="184"/>
      <c r="D1248" s="184"/>
      <c r="E1248" s="184"/>
      <c r="F1248" s="184"/>
      <c r="G1248" s="184"/>
      <c r="H1248" s="184" t="s">
        <v>654</v>
      </c>
      <c r="I1248" s="184" t="s">
        <v>469</v>
      </c>
      <c r="J1248" s="184" t="s">
        <v>448</v>
      </c>
      <c r="K1248" s="185">
        <v>20</v>
      </c>
      <c r="L1248" s="186">
        <v>1074</v>
      </c>
      <c r="M1248" s="187">
        <v>1081</v>
      </c>
      <c r="N1248" s="188">
        <f t="shared" si="796"/>
        <v>6.44</v>
      </c>
      <c r="O1248" s="188">
        <f t="shared" si="797"/>
        <v>6.49</v>
      </c>
      <c r="P1248" s="189">
        <f t="shared" si="674"/>
        <v>43100</v>
      </c>
      <c r="Q1248" s="189">
        <f t="shared" si="675"/>
        <v>140</v>
      </c>
      <c r="R1248" s="189">
        <f t="shared" si="844"/>
        <v>12.93</v>
      </c>
      <c r="S1248" s="189">
        <f t="shared" si="697"/>
        <v>2.54</v>
      </c>
      <c r="T1248" s="189">
        <f t="shared" si="845"/>
        <v>5.41</v>
      </c>
      <c r="U1248" s="189">
        <f t="shared" si="731"/>
        <v>0.64</v>
      </c>
      <c r="V1248" s="189">
        <f t="shared" si="843"/>
        <v>1.19</v>
      </c>
      <c r="W1248" s="189">
        <f t="shared" si="758"/>
        <v>0.04</v>
      </c>
      <c r="X1248" s="189">
        <f t="shared" si="681"/>
        <v>22.75</v>
      </c>
      <c r="Y1248" s="190">
        <f t="shared" si="682"/>
        <v>117.25</v>
      </c>
      <c r="Z1248" s="191">
        <v>117.12</v>
      </c>
      <c r="AA1248" s="192">
        <f t="shared" si="837"/>
        <v>-0.12999999999999545</v>
      </c>
      <c r="AB1248" s="193">
        <f t="shared" si="684"/>
        <v>6.5176908752327747E-3</v>
      </c>
      <c r="AC1248" s="194">
        <f t="shared" si="685"/>
        <v>5.2800000000000004E-4</v>
      </c>
      <c r="AD1248" s="189"/>
      <c r="AE1248" s="195" t="s">
        <v>403</v>
      </c>
      <c r="AF1248" s="119"/>
    </row>
    <row r="1249" spans="1:32" ht="12" hidden="1" customHeight="1">
      <c r="A1249" s="183">
        <v>44642</v>
      </c>
      <c r="B1249" s="184" t="s">
        <v>575</v>
      </c>
      <c r="C1249" s="184"/>
      <c r="D1249" s="184"/>
      <c r="E1249" s="184"/>
      <c r="F1249" s="184"/>
      <c r="G1249" s="184"/>
      <c r="H1249" s="184" t="s">
        <v>654</v>
      </c>
      <c r="I1249" s="184" t="s">
        <v>469</v>
      </c>
      <c r="J1249" s="184" t="s">
        <v>448</v>
      </c>
      <c r="K1249" s="185">
        <v>44</v>
      </c>
      <c r="L1249" s="186">
        <v>1061.9545000000001</v>
      </c>
      <c r="M1249" s="187">
        <v>1066.8136</v>
      </c>
      <c r="N1249" s="188">
        <f t="shared" si="796"/>
        <v>14.02</v>
      </c>
      <c r="O1249" s="188">
        <f t="shared" si="797"/>
        <v>14.08</v>
      </c>
      <c r="P1249" s="189">
        <f t="shared" si="674"/>
        <v>93665.8</v>
      </c>
      <c r="Q1249" s="189">
        <f t="shared" si="675"/>
        <v>213.80039999999553</v>
      </c>
      <c r="R1249" s="189">
        <v>30.02</v>
      </c>
      <c r="S1249" s="189">
        <f t="shared" si="697"/>
        <v>5.87</v>
      </c>
      <c r="T1249" s="189">
        <f t="shared" si="845"/>
        <v>11.73</v>
      </c>
      <c r="U1249" s="189">
        <f t="shared" si="731"/>
        <v>1.4</v>
      </c>
      <c r="V1249" s="189">
        <f t="shared" si="843"/>
        <v>2.58</v>
      </c>
      <c r="W1249" s="189">
        <f t="shared" si="758"/>
        <v>0.09</v>
      </c>
      <c r="X1249" s="189">
        <f t="shared" si="681"/>
        <v>51.690000000000005</v>
      </c>
      <c r="Y1249" s="190">
        <f t="shared" si="682"/>
        <v>162.11000000000001</v>
      </c>
      <c r="Z1249" s="191">
        <v>161.97999999999999</v>
      </c>
      <c r="AA1249" s="192">
        <f t="shared" si="837"/>
        <v>-0.13000000000002387</v>
      </c>
      <c r="AB1249" s="193">
        <f t="shared" si="684"/>
        <v>4.5756197652534998E-3</v>
      </c>
      <c r="AC1249" s="194">
        <f t="shared" si="685"/>
        <v>5.5199999999999997E-4</v>
      </c>
      <c r="AD1249" s="189"/>
      <c r="AE1249" s="195" t="s">
        <v>403</v>
      </c>
      <c r="AF1249" s="119"/>
    </row>
    <row r="1250" spans="1:32" ht="12" hidden="1" customHeight="1">
      <c r="A1250" s="183">
        <v>44643</v>
      </c>
      <c r="B1250" s="184" t="s">
        <v>575</v>
      </c>
      <c r="C1250" s="184"/>
      <c r="D1250" s="184"/>
      <c r="E1250" s="184"/>
      <c r="F1250" s="184"/>
      <c r="G1250" s="184"/>
      <c r="H1250" s="184" t="s">
        <v>654</v>
      </c>
      <c r="I1250" s="184" t="s">
        <v>469</v>
      </c>
      <c r="J1250" s="184" t="s">
        <v>448</v>
      </c>
      <c r="K1250" s="185">
        <v>20</v>
      </c>
      <c r="L1250" s="186">
        <v>1073.25</v>
      </c>
      <c r="M1250" s="187">
        <v>1078</v>
      </c>
      <c r="N1250" s="188">
        <f t="shared" si="796"/>
        <v>6.44</v>
      </c>
      <c r="O1250" s="188">
        <f t="shared" si="797"/>
        <v>6.47</v>
      </c>
      <c r="P1250" s="189">
        <f t="shared" si="674"/>
        <v>43025</v>
      </c>
      <c r="Q1250" s="189">
        <f t="shared" si="675"/>
        <v>95</v>
      </c>
      <c r="R1250" s="189">
        <v>14.79</v>
      </c>
      <c r="S1250" s="189">
        <f t="shared" si="697"/>
        <v>2.87</v>
      </c>
      <c r="T1250" s="189">
        <f t="shared" si="845"/>
        <v>5.39</v>
      </c>
      <c r="U1250" s="189">
        <f t="shared" si="731"/>
        <v>0.64</v>
      </c>
      <c r="V1250" s="189">
        <f t="shared" si="843"/>
        <v>1.18</v>
      </c>
      <c r="W1250" s="189">
        <f t="shared" si="758"/>
        <v>0.04</v>
      </c>
      <c r="X1250" s="189">
        <f t="shared" si="681"/>
        <v>24.91</v>
      </c>
      <c r="Y1250" s="190">
        <f t="shared" si="682"/>
        <v>70.09</v>
      </c>
      <c r="Z1250" s="191">
        <v>69.540000000000006</v>
      </c>
      <c r="AA1250" s="192">
        <f t="shared" si="837"/>
        <v>-0.54999999999999716</v>
      </c>
      <c r="AB1250" s="193">
        <f t="shared" si="684"/>
        <v>4.425809457255998E-3</v>
      </c>
      <c r="AC1250" s="194">
        <f t="shared" si="685"/>
        <v>5.7899999999999998E-4</v>
      </c>
      <c r="AD1250" s="189"/>
      <c r="AE1250" s="195" t="s">
        <v>403</v>
      </c>
      <c r="AF1250" s="119"/>
    </row>
    <row r="1251" spans="1:32" ht="12" hidden="1" customHeight="1">
      <c r="A1251" s="183">
        <v>44644</v>
      </c>
      <c r="B1251" s="184" t="s">
        <v>575</v>
      </c>
      <c r="C1251" s="184"/>
      <c r="D1251" s="184"/>
      <c r="E1251" s="184"/>
      <c r="F1251" s="184"/>
      <c r="G1251" s="184"/>
      <c r="H1251" s="184" t="s">
        <v>654</v>
      </c>
      <c r="I1251" s="184" t="s">
        <v>469</v>
      </c>
      <c r="J1251" s="184" t="s">
        <v>448</v>
      </c>
      <c r="K1251" s="185">
        <v>10</v>
      </c>
      <c r="L1251" s="186">
        <v>1064.55</v>
      </c>
      <c r="M1251" s="187">
        <v>1068</v>
      </c>
      <c r="N1251" s="188">
        <f t="shared" si="796"/>
        <v>3.19</v>
      </c>
      <c r="O1251" s="188">
        <f t="shared" si="797"/>
        <v>3.2</v>
      </c>
      <c r="P1251" s="189">
        <f t="shared" si="674"/>
        <v>21325.5</v>
      </c>
      <c r="Q1251" s="189">
        <f t="shared" si="675"/>
        <v>34.500000000000455</v>
      </c>
      <c r="R1251" s="189">
        <f t="shared" ref="R1251:R1253" si="846">ROUND(N1251+O1251,2)</f>
        <v>6.39</v>
      </c>
      <c r="S1251" s="189">
        <f t="shared" si="697"/>
        <v>1.26</v>
      </c>
      <c r="T1251" s="189">
        <f t="shared" si="845"/>
        <v>2.67</v>
      </c>
      <c r="U1251" s="189">
        <f t="shared" si="731"/>
        <v>0.32</v>
      </c>
      <c r="V1251" s="189">
        <f t="shared" si="843"/>
        <v>0.59</v>
      </c>
      <c r="W1251" s="189">
        <f t="shared" si="758"/>
        <v>0.02</v>
      </c>
      <c r="X1251" s="189">
        <f t="shared" si="681"/>
        <v>11.25</v>
      </c>
      <c r="Y1251" s="190">
        <f t="shared" si="682"/>
        <v>23.25</v>
      </c>
      <c r="Z1251" s="191">
        <v>23.23</v>
      </c>
      <c r="AA1251" s="192">
        <f t="shared" si="837"/>
        <v>-1.9999999999999574E-2</v>
      </c>
      <c r="AB1251" s="193">
        <f t="shared" si="684"/>
        <v>3.2408059743554043E-3</v>
      </c>
      <c r="AC1251" s="194">
        <f t="shared" si="685"/>
        <v>5.2800000000000004E-4</v>
      </c>
      <c r="AD1251" s="189"/>
      <c r="AE1251" s="195" t="s">
        <v>403</v>
      </c>
      <c r="AF1251" s="119"/>
    </row>
    <row r="1252" spans="1:32" ht="12" hidden="1" customHeight="1">
      <c r="A1252" s="183">
        <v>44645</v>
      </c>
      <c r="B1252" s="184" t="s">
        <v>575</v>
      </c>
      <c r="C1252" s="184"/>
      <c r="D1252" s="184"/>
      <c r="E1252" s="184"/>
      <c r="F1252" s="184"/>
      <c r="G1252" s="184"/>
      <c r="H1252" s="184" t="s">
        <v>654</v>
      </c>
      <c r="I1252" s="184" t="s">
        <v>469</v>
      </c>
      <c r="J1252" s="184" t="s">
        <v>448</v>
      </c>
      <c r="K1252" s="185">
        <v>10</v>
      </c>
      <c r="L1252" s="186">
        <v>1068</v>
      </c>
      <c r="M1252" s="187">
        <v>1074</v>
      </c>
      <c r="N1252" s="188">
        <f t="shared" si="796"/>
        <v>3.2</v>
      </c>
      <c r="O1252" s="188">
        <f t="shared" si="797"/>
        <v>3.22</v>
      </c>
      <c r="P1252" s="189">
        <f t="shared" si="674"/>
        <v>21420</v>
      </c>
      <c r="Q1252" s="189">
        <f t="shared" si="675"/>
        <v>60</v>
      </c>
      <c r="R1252" s="189">
        <f t="shared" si="846"/>
        <v>6.42</v>
      </c>
      <c r="S1252" s="189">
        <f t="shared" si="697"/>
        <v>1.26</v>
      </c>
      <c r="T1252" s="189">
        <f t="shared" si="845"/>
        <v>2.69</v>
      </c>
      <c r="U1252" s="189">
        <f t="shared" si="731"/>
        <v>0.32</v>
      </c>
      <c r="V1252" s="189">
        <f t="shared" si="843"/>
        <v>0.59</v>
      </c>
      <c r="W1252" s="189">
        <f t="shared" si="758"/>
        <v>0.02</v>
      </c>
      <c r="X1252" s="189">
        <f t="shared" si="681"/>
        <v>11.299999999999999</v>
      </c>
      <c r="Y1252" s="190">
        <f t="shared" si="682"/>
        <v>48.7</v>
      </c>
      <c r="Z1252" s="191">
        <v>48.7</v>
      </c>
      <c r="AA1252" s="192">
        <f t="shared" si="837"/>
        <v>0</v>
      </c>
      <c r="AB1252" s="193">
        <f t="shared" si="684"/>
        <v>5.6179775280898875E-3</v>
      </c>
      <c r="AC1252" s="194">
        <f t="shared" si="685"/>
        <v>5.2800000000000004E-4</v>
      </c>
      <c r="AD1252" s="189"/>
      <c r="AE1252" s="195" t="s">
        <v>403</v>
      </c>
      <c r="AF1252" s="119"/>
    </row>
    <row r="1253" spans="1:32" ht="12" hidden="1" customHeight="1">
      <c r="A1253" s="183">
        <v>44648</v>
      </c>
      <c r="B1253" s="184" t="s">
        <v>575</v>
      </c>
      <c r="C1253" s="184"/>
      <c r="D1253" s="184"/>
      <c r="E1253" s="184"/>
      <c r="F1253" s="184"/>
      <c r="G1253" s="184"/>
      <c r="H1253" s="184" t="s">
        <v>654</v>
      </c>
      <c r="I1253" s="184" t="s">
        <v>469</v>
      </c>
      <c r="J1253" s="184" t="s">
        <v>448</v>
      </c>
      <c r="K1253" s="185">
        <v>20</v>
      </c>
      <c r="L1253" s="186">
        <v>1042.5</v>
      </c>
      <c r="M1253" s="187">
        <v>1050</v>
      </c>
      <c r="N1253" s="188">
        <f t="shared" si="796"/>
        <v>6.26</v>
      </c>
      <c r="O1253" s="188">
        <f t="shared" si="797"/>
        <v>6.3</v>
      </c>
      <c r="P1253" s="189">
        <f t="shared" si="674"/>
        <v>41850</v>
      </c>
      <c r="Q1253" s="189">
        <f t="shared" si="675"/>
        <v>150</v>
      </c>
      <c r="R1253" s="189">
        <f t="shared" si="846"/>
        <v>12.56</v>
      </c>
      <c r="S1253" s="189">
        <f t="shared" si="697"/>
        <v>2.4700000000000002</v>
      </c>
      <c r="T1253" s="189">
        <f t="shared" si="845"/>
        <v>5.25</v>
      </c>
      <c r="U1253" s="189">
        <f t="shared" si="731"/>
        <v>0.63</v>
      </c>
      <c r="V1253" s="189">
        <f t="shared" si="843"/>
        <v>1.1499999999999999</v>
      </c>
      <c r="W1253" s="189">
        <f t="shared" si="758"/>
        <v>0.04</v>
      </c>
      <c r="X1253" s="189">
        <f t="shared" si="681"/>
        <v>22.099999999999998</v>
      </c>
      <c r="Y1253" s="190">
        <f t="shared" si="682"/>
        <v>127.9</v>
      </c>
      <c r="Z1253" s="191">
        <v>127.79</v>
      </c>
      <c r="AA1253" s="192">
        <f t="shared" si="837"/>
        <v>-0.10999999999999943</v>
      </c>
      <c r="AB1253" s="193">
        <f t="shared" si="684"/>
        <v>7.1942446043165471E-3</v>
      </c>
      <c r="AC1253" s="194">
        <f t="shared" si="685"/>
        <v>5.2800000000000004E-4</v>
      </c>
      <c r="AD1253" s="189"/>
      <c r="AE1253" s="195" t="s">
        <v>403</v>
      </c>
      <c r="AF1253" s="119"/>
    </row>
    <row r="1254" spans="1:32" ht="12" hidden="1" customHeight="1">
      <c r="A1254" s="183">
        <v>44649</v>
      </c>
      <c r="B1254" s="184" t="s">
        <v>575</v>
      </c>
      <c r="C1254" s="184"/>
      <c r="D1254" s="184"/>
      <c r="E1254" s="184"/>
      <c r="F1254" s="184"/>
      <c r="G1254" s="184"/>
      <c r="H1254" s="184" t="s">
        <v>654</v>
      </c>
      <c r="I1254" s="184" t="s">
        <v>469</v>
      </c>
      <c r="J1254" s="184" t="s">
        <v>448</v>
      </c>
      <c r="K1254" s="185">
        <v>40</v>
      </c>
      <c r="L1254" s="186">
        <v>1076.75</v>
      </c>
      <c r="M1254" s="187">
        <v>1086.8625</v>
      </c>
      <c r="N1254" s="188">
        <f t="shared" si="796"/>
        <v>12.92</v>
      </c>
      <c r="O1254" s="188">
        <f t="shared" si="797"/>
        <v>13.04</v>
      </c>
      <c r="P1254" s="189">
        <f t="shared" si="674"/>
        <v>86544.5</v>
      </c>
      <c r="Q1254" s="189">
        <f t="shared" si="675"/>
        <v>404.49999999999818</v>
      </c>
      <c r="R1254" s="189">
        <v>29.23</v>
      </c>
      <c r="S1254" s="189">
        <f t="shared" si="697"/>
        <v>5.69</v>
      </c>
      <c r="T1254" s="189">
        <f t="shared" si="845"/>
        <v>10.87</v>
      </c>
      <c r="U1254" s="189">
        <f t="shared" si="731"/>
        <v>1.29</v>
      </c>
      <c r="V1254" s="189">
        <f t="shared" si="843"/>
        <v>2.38</v>
      </c>
      <c r="W1254" s="189">
        <f t="shared" si="758"/>
        <v>0.09</v>
      </c>
      <c r="X1254" s="189">
        <f t="shared" si="681"/>
        <v>49.550000000000004</v>
      </c>
      <c r="Y1254" s="190">
        <f t="shared" si="682"/>
        <v>354.95</v>
      </c>
      <c r="Z1254" s="191">
        <v>355.47</v>
      </c>
      <c r="AA1254" s="192">
        <f t="shared" si="837"/>
        <v>0.52000000000003865</v>
      </c>
      <c r="AB1254" s="193">
        <f t="shared" si="684"/>
        <v>9.3916879498490407E-3</v>
      </c>
      <c r="AC1254" s="194">
        <f t="shared" si="685"/>
        <v>5.7300000000000005E-4</v>
      </c>
      <c r="AD1254" s="189"/>
      <c r="AE1254" s="195" t="s">
        <v>403</v>
      </c>
      <c r="AF1254" s="119"/>
    </row>
    <row r="1255" spans="1:32" ht="12" hidden="1" customHeight="1">
      <c r="A1255" s="183">
        <v>44649</v>
      </c>
      <c r="B1255" s="184" t="s">
        <v>621</v>
      </c>
      <c r="C1255" s="184"/>
      <c r="D1255" s="184"/>
      <c r="E1255" s="184"/>
      <c r="F1255" s="184"/>
      <c r="G1255" s="184"/>
      <c r="H1255" s="184" t="s">
        <v>654</v>
      </c>
      <c r="I1255" s="184" t="s">
        <v>469</v>
      </c>
      <c r="J1255" s="184" t="s">
        <v>471</v>
      </c>
      <c r="K1255" s="185">
        <v>30</v>
      </c>
      <c r="L1255" s="186">
        <v>158</v>
      </c>
      <c r="M1255" s="187">
        <v>168</v>
      </c>
      <c r="N1255" s="188">
        <f t="shared" si="796"/>
        <v>1.42</v>
      </c>
      <c r="O1255" s="188">
        <f t="shared" si="797"/>
        <v>1.51</v>
      </c>
      <c r="P1255" s="189">
        <f t="shared" si="674"/>
        <v>9780</v>
      </c>
      <c r="Q1255" s="189">
        <f t="shared" si="675"/>
        <v>300</v>
      </c>
      <c r="R1255" s="189">
        <f t="shared" ref="R1255:R1260" si="847">ROUND(N1255+O1255,2)</f>
        <v>2.93</v>
      </c>
      <c r="S1255" s="189">
        <f t="shared" si="697"/>
        <v>0.57999999999999996</v>
      </c>
      <c r="T1255" s="189">
        <f t="shared" si="845"/>
        <v>1.26</v>
      </c>
      <c r="U1255" s="189">
        <f t="shared" si="731"/>
        <v>0.14000000000000001</v>
      </c>
      <c r="V1255" s="189">
        <f t="shared" si="843"/>
        <v>0.27</v>
      </c>
      <c r="W1255" s="189">
        <f t="shared" si="758"/>
        <v>0.01</v>
      </c>
      <c r="X1255" s="189">
        <f t="shared" si="681"/>
        <v>5.1899999999999995</v>
      </c>
      <c r="Y1255" s="190">
        <f t="shared" si="682"/>
        <v>294.81</v>
      </c>
      <c r="Z1255" s="191">
        <v>295.51</v>
      </c>
      <c r="AA1255" s="192">
        <f t="shared" si="837"/>
        <v>0.69999999999998863</v>
      </c>
      <c r="AB1255" s="193">
        <f t="shared" si="684"/>
        <v>6.3291139240506333E-2</v>
      </c>
      <c r="AC1255" s="194">
        <f t="shared" si="685"/>
        <v>5.31E-4</v>
      </c>
      <c r="AD1255" s="189"/>
      <c r="AE1255" s="195" t="s">
        <v>403</v>
      </c>
      <c r="AF1255" s="119"/>
    </row>
    <row r="1256" spans="1:32" ht="12" hidden="1" customHeight="1">
      <c r="A1256" s="183">
        <v>44650</v>
      </c>
      <c r="B1256" s="184" t="s">
        <v>575</v>
      </c>
      <c r="C1256" s="184"/>
      <c r="D1256" s="184"/>
      <c r="E1256" s="184"/>
      <c r="F1256" s="184"/>
      <c r="G1256" s="184"/>
      <c r="H1256" s="184" t="s">
        <v>654</v>
      </c>
      <c r="I1256" s="184" t="s">
        <v>469</v>
      </c>
      <c r="J1256" s="184" t="s">
        <v>448</v>
      </c>
      <c r="K1256" s="185">
        <v>114</v>
      </c>
      <c r="L1256" s="186">
        <v>1133</v>
      </c>
      <c r="M1256" s="187">
        <v>1140</v>
      </c>
      <c r="N1256" s="188">
        <f t="shared" si="796"/>
        <v>20</v>
      </c>
      <c r="O1256" s="188">
        <f t="shared" si="797"/>
        <v>20</v>
      </c>
      <c r="P1256" s="189">
        <f t="shared" si="674"/>
        <v>259122</v>
      </c>
      <c r="Q1256" s="189">
        <f t="shared" si="675"/>
        <v>798</v>
      </c>
      <c r="R1256" s="189">
        <f t="shared" si="847"/>
        <v>40</v>
      </c>
      <c r="S1256" s="189">
        <f t="shared" si="697"/>
        <v>8.48</v>
      </c>
      <c r="T1256" s="189">
        <f t="shared" si="845"/>
        <v>32.49</v>
      </c>
      <c r="U1256" s="189">
        <f t="shared" si="731"/>
        <v>3.87</v>
      </c>
      <c r="V1256" s="189">
        <f t="shared" si="843"/>
        <v>7.13</v>
      </c>
      <c r="W1256" s="189">
        <f t="shared" si="758"/>
        <v>0.26</v>
      </c>
      <c r="X1256" s="189">
        <f t="shared" si="681"/>
        <v>92.23</v>
      </c>
      <c r="Y1256" s="190">
        <f t="shared" si="682"/>
        <v>705.77</v>
      </c>
      <c r="Z1256" s="191">
        <v>704.31</v>
      </c>
      <c r="AA1256" s="192">
        <f t="shared" si="837"/>
        <v>-1.4600000000000364</v>
      </c>
      <c r="AB1256" s="193">
        <f t="shared" si="684"/>
        <v>6.1782877316857903E-3</v>
      </c>
      <c r="AC1256" s="194">
        <f t="shared" si="685"/>
        <v>3.5599999999999998E-4</v>
      </c>
      <c r="AD1256" s="189"/>
      <c r="AE1256" s="195" t="s">
        <v>403</v>
      </c>
      <c r="AF1256" s="119"/>
    </row>
    <row r="1257" spans="1:32" ht="12" hidden="1" customHeight="1">
      <c r="A1257" s="183">
        <v>44651</v>
      </c>
      <c r="B1257" s="184" t="s">
        <v>575</v>
      </c>
      <c r="C1257" s="184"/>
      <c r="D1257" s="184"/>
      <c r="E1257" s="184"/>
      <c r="F1257" s="184"/>
      <c r="G1257" s="184"/>
      <c r="H1257" s="184" t="s">
        <v>654</v>
      </c>
      <c r="I1257" s="184" t="s">
        <v>469</v>
      </c>
      <c r="J1257" s="184" t="s">
        <v>448</v>
      </c>
      <c r="K1257" s="185">
        <v>124</v>
      </c>
      <c r="L1257" s="186">
        <v>1123</v>
      </c>
      <c r="M1257" s="187">
        <v>1140</v>
      </c>
      <c r="N1257" s="188">
        <f t="shared" si="796"/>
        <v>20</v>
      </c>
      <c r="O1257" s="188">
        <f t="shared" si="797"/>
        <v>20</v>
      </c>
      <c r="P1257" s="189">
        <f t="shared" si="674"/>
        <v>280612</v>
      </c>
      <c r="Q1257" s="189">
        <f t="shared" si="675"/>
        <v>2108</v>
      </c>
      <c r="R1257" s="189">
        <f t="shared" si="847"/>
        <v>40</v>
      </c>
      <c r="S1257" s="189">
        <f t="shared" si="697"/>
        <v>8.59</v>
      </c>
      <c r="T1257" s="189">
        <f t="shared" si="845"/>
        <v>35.340000000000003</v>
      </c>
      <c r="U1257" s="189">
        <f t="shared" si="731"/>
        <v>4.18</v>
      </c>
      <c r="V1257" s="189">
        <f t="shared" si="843"/>
        <v>7.72</v>
      </c>
      <c r="W1257" s="189">
        <f t="shared" si="758"/>
        <v>0.28000000000000003</v>
      </c>
      <c r="X1257" s="189">
        <f t="shared" si="681"/>
        <v>96.110000000000014</v>
      </c>
      <c r="Y1257" s="190">
        <f t="shared" si="682"/>
        <v>2011.89</v>
      </c>
      <c r="Z1257" s="191">
        <v>2012.41</v>
      </c>
      <c r="AA1257" s="192">
        <f t="shared" si="837"/>
        <v>0.51999999999998181</v>
      </c>
      <c r="AB1257" s="193">
        <f t="shared" si="684"/>
        <v>1.5138023152270703E-2</v>
      </c>
      <c r="AC1257" s="194">
        <f t="shared" si="685"/>
        <v>3.4299999999999999E-4</v>
      </c>
      <c r="AD1257" s="189"/>
      <c r="AE1257" s="195" t="s">
        <v>403</v>
      </c>
      <c r="AF1257" s="119"/>
    </row>
    <row r="1258" spans="1:32" ht="12" hidden="1" customHeight="1">
      <c r="A1258" s="183">
        <v>44652</v>
      </c>
      <c r="B1258" s="184" t="s">
        <v>575</v>
      </c>
      <c r="C1258" s="184"/>
      <c r="D1258" s="184"/>
      <c r="E1258" s="184"/>
      <c r="F1258" s="184"/>
      <c r="G1258" s="184"/>
      <c r="H1258" s="184" t="s">
        <v>654</v>
      </c>
      <c r="I1258" s="184" t="s">
        <v>469</v>
      </c>
      <c r="J1258" s="184" t="s">
        <v>448</v>
      </c>
      <c r="K1258" s="185">
        <v>100</v>
      </c>
      <c r="L1258" s="186">
        <v>1211</v>
      </c>
      <c r="M1258" s="187">
        <v>1220</v>
      </c>
      <c r="N1258" s="188">
        <f t="shared" si="796"/>
        <v>20</v>
      </c>
      <c r="O1258" s="188">
        <f t="shared" si="797"/>
        <v>20</v>
      </c>
      <c r="P1258" s="189">
        <f t="shared" si="674"/>
        <v>243100</v>
      </c>
      <c r="Q1258" s="189">
        <f t="shared" si="675"/>
        <v>900</v>
      </c>
      <c r="R1258" s="189">
        <f t="shared" si="847"/>
        <v>40</v>
      </c>
      <c r="S1258" s="189">
        <f t="shared" si="697"/>
        <v>8.4</v>
      </c>
      <c r="T1258" s="189">
        <f>ROUND((M1258*K1258)*K$1807,2)+5</f>
        <v>35.5</v>
      </c>
      <c r="U1258" s="189">
        <f t="shared" si="731"/>
        <v>3.63</v>
      </c>
      <c r="V1258" s="189">
        <f t="shared" si="843"/>
        <v>6.69</v>
      </c>
      <c r="W1258" s="189">
        <f t="shared" si="758"/>
        <v>0.24</v>
      </c>
      <c r="X1258" s="189">
        <f t="shared" si="681"/>
        <v>94.46</v>
      </c>
      <c r="Y1258" s="190">
        <f t="shared" si="682"/>
        <v>805.54</v>
      </c>
      <c r="Z1258" s="191">
        <v>804.83</v>
      </c>
      <c r="AA1258" s="192">
        <f t="shared" si="837"/>
        <v>-0.70999999999992269</v>
      </c>
      <c r="AB1258" s="193">
        <f t="shared" si="684"/>
        <v>7.4318744838976049E-3</v>
      </c>
      <c r="AC1258" s="194">
        <f t="shared" si="685"/>
        <v>3.8900000000000002E-4</v>
      </c>
      <c r="AD1258" s="189"/>
      <c r="AE1258" s="195" t="s">
        <v>403</v>
      </c>
      <c r="AF1258" s="119"/>
    </row>
    <row r="1259" spans="1:32" ht="12" hidden="1" customHeight="1">
      <c r="A1259" s="183">
        <v>44655</v>
      </c>
      <c r="B1259" s="184" t="s">
        <v>296</v>
      </c>
      <c r="C1259" s="184"/>
      <c r="D1259" s="184"/>
      <c r="E1259" s="184"/>
      <c r="F1259" s="184"/>
      <c r="G1259" s="184"/>
      <c r="H1259" s="184" t="s">
        <v>654</v>
      </c>
      <c r="I1259" s="184" t="s">
        <v>469</v>
      </c>
      <c r="J1259" s="184" t="s">
        <v>471</v>
      </c>
      <c r="K1259" s="185">
        <v>100</v>
      </c>
      <c r="L1259" s="186">
        <v>166</v>
      </c>
      <c r="M1259" s="187">
        <v>167</v>
      </c>
      <c r="N1259" s="188">
        <f t="shared" si="796"/>
        <v>4.9800000000000004</v>
      </c>
      <c r="O1259" s="188">
        <f t="shared" si="797"/>
        <v>5.01</v>
      </c>
      <c r="P1259" s="189">
        <f t="shared" si="674"/>
        <v>33300</v>
      </c>
      <c r="Q1259" s="189">
        <f t="shared" si="675"/>
        <v>100</v>
      </c>
      <c r="R1259" s="189">
        <f t="shared" si="847"/>
        <v>9.99</v>
      </c>
      <c r="S1259" s="189">
        <f t="shared" si="697"/>
        <v>1.96</v>
      </c>
      <c r="T1259" s="189">
        <f t="shared" ref="T1259:T1273" si="848">ROUND((M1259*K1259)*K$1807,2)</f>
        <v>4.18</v>
      </c>
      <c r="U1259" s="189">
        <f t="shared" si="731"/>
        <v>0.5</v>
      </c>
      <c r="V1259" s="189">
        <f t="shared" si="843"/>
        <v>0.92</v>
      </c>
      <c r="W1259" s="189">
        <f t="shared" si="758"/>
        <v>0.03</v>
      </c>
      <c r="X1259" s="189">
        <f t="shared" si="681"/>
        <v>17.580000000000002</v>
      </c>
      <c r="Y1259" s="190">
        <f t="shared" si="682"/>
        <v>82.42</v>
      </c>
      <c r="Z1259" s="191">
        <v>80.650000000000006</v>
      </c>
      <c r="AA1259" s="192">
        <f t="shared" si="837"/>
        <v>-1.769999999999996</v>
      </c>
      <c r="AB1259" s="193">
        <f t="shared" si="684"/>
        <v>6.024096385542169E-3</v>
      </c>
      <c r="AC1259" s="194">
        <f t="shared" si="685"/>
        <v>5.2800000000000004E-4</v>
      </c>
      <c r="AD1259" s="189"/>
      <c r="AE1259" s="195" t="s">
        <v>403</v>
      </c>
      <c r="AF1259" s="119"/>
    </row>
    <row r="1260" spans="1:32" ht="12" hidden="1" customHeight="1">
      <c r="A1260" s="183">
        <v>44657</v>
      </c>
      <c r="B1260" s="184" t="s">
        <v>481</v>
      </c>
      <c r="C1260" s="184"/>
      <c r="D1260" s="184"/>
      <c r="E1260" s="184"/>
      <c r="F1260" s="184"/>
      <c r="G1260" s="184"/>
      <c r="H1260" s="184" t="s">
        <v>654</v>
      </c>
      <c r="I1260" s="184" t="s">
        <v>469</v>
      </c>
      <c r="J1260" s="184" t="s">
        <v>471</v>
      </c>
      <c r="K1260" s="185">
        <v>200</v>
      </c>
      <c r="L1260" s="186">
        <v>110.4</v>
      </c>
      <c r="M1260" s="187">
        <v>110.5</v>
      </c>
      <c r="N1260" s="188">
        <f t="shared" si="796"/>
        <v>6.62</v>
      </c>
      <c r="O1260" s="188">
        <f t="shared" si="797"/>
        <v>6.63</v>
      </c>
      <c r="P1260" s="189">
        <f t="shared" si="674"/>
        <v>44180</v>
      </c>
      <c r="Q1260" s="189">
        <f t="shared" si="675"/>
        <v>19.999999999998863</v>
      </c>
      <c r="R1260" s="189">
        <f t="shared" si="847"/>
        <v>13.25</v>
      </c>
      <c r="S1260" s="189">
        <f t="shared" si="697"/>
        <v>2.6</v>
      </c>
      <c r="T1260" s="189">
        <f t="shared" si="848"/>
        <v>5.53</v>
      </c>
      <c r="U1260" s="189">
        <f t="shared" si="731"/>
        <v>0.66</v>
      </c>
      <c r="V1260" s="189">
        <f t="shared" si="843"/>
        <v>1.21</v>
      </c>
      <c r="W1260" s="189">
        <f t="shared" si="758"/>
        <v>0.04</v>
      </c>
      <c r="X1260" s="189">
        <f t="shared" si="681"/>
        <v>23.29</v>
      </c>
      <c r="Y1260" s="190">
        <f t="shared" si="682"/>
        <v>-3.29</v>
      </c>
      <c r="Z1260" s="191">
        <v>-4.1900000000000004</v>
      </c>
      <c r="AA1260" s="192">
        <f t="shared" si="837"/>
        <v>-0.90000000000000036</v>
      </c>
      <c r="AB1260" s="193">
        <f t="shared" si="684"/>
        <v>9.0579710144922387E-4</v>
      </c>
      <c r="AC1260" s="194">
        <f t="shared" si="685"/>
        <v>5.2700000000000002E-4</v>
      </c>
      <c r="AD1260" s="189"/>
      <c r="AE1260" s="195" t="s">
        <v>403</v>
      </c>
      <c r="AF1260" s="119"/>
    </row>
    <row r="1261" spans="1:32" ht="12" hidden="1" customHeight="1">
      <c r="A1261" s="183">
        <v>44657</v>
      </c>
      <c r="B1261" s="184" t="s">
        <v>575</v>
      </c>
      <c r="C1261" s="184"/>
      <c r="D1261" s="184"/>
      <c r="E1261" s="184"/>
      <c r="F1261" s="184"/>
      <c r="G1261" s="184"/>
      <c r="H1261" s="184" t="s">
        <v>654</v>
      </c>
      <c r="I1261" s="184" t="s">
        <v>469</v>
      </c>
      <c r="J1261" s="184" t="s">
        <v>448</v>
      </c>
      <c r="K1261" s="185">
        <v>200</v>
      </c>
      <c r="L1261" s="186">
        <v>1193.25</v>
      </c>
      <c r="M1261" s="187">
        <v>1198.75</v>
      </c>
      <c r="N1261" s="188">
        <f t="shared" si="796"/>
        <v>20</v>
      </c>
      <c r="O1261" s="188">
        <f t="shared" si="797"/>
        <v>20</v>
      </c>
      <c r="P1261" s="189">
        <f t="shared" si="674"/>
        <v>478400</v>
      </c>
      <c r="Q1261" s="189">
        <f t="shared" si="675"/>
        <v>1100</v>
      </c>
      <c r="R1261" s="189">
        <v>127.59</v>
      </c>
      <c r="S1261" s="189">
        <f t="shared" si="697"/>
        <v>25.34</v>
      </c>
      <c r="T1261" s="189">
        <f t="shared" si="848"/>
        <v>59.94</v>
      </c>
      <c r="U1261" s="189">
        <f t="shared" si="731"/>
        <v>7.16</v>
      </c>
      <c r="V1261" s="189">
        <f t="shared" si="843"/>
        <v>13.16</v>
      </c>
      <c r="W1261" s="189">
        <f t="shared" si="758"/>
        <v>0.48</v>
      </c>
      <c r="X1261" s="189">
        <f t="shared" si="681"/>
        <v>233.67</v>
      </c>
      <c r="Y1261" s="190">
        <f t="shared" si="682"/>
        <v>866.33</v>
      </c>
      <c r="Z1261" s="191">
        <v>866</v>
      </c>
      <c r="AA1261" s="192">
        <f t="shared" si="837"/>
        <v>-0.33000000000004093</v>
      </c>
      <c r="AB1261" s="193">
        <f t="shared" si="684"/>
        <v>4.6092604232139114E-3</v>
      </c>
      <c r="AC1261" s="194">
        <f t="shared" si="685"/>
        <v>4.8799999999999999E-4</v>
      </c>
      <c r="AD1261" s="189"/>
      <c r="AE1261" s="195" t="s">
        <v>403</v>
      </c>
      <c r="AF1261" s="119"/>
    </row>
    <row r="1262" spans="1:32" ht="12" hidden="1" customHeight="1">
      <c r="A1262" s="183">
        <v>44658</v>
      </c>
      <c r="B1262" s="184" t="s">
        <v>575</v>
      </c>
      <c r="C1262" s="184"/>
      <c r="D1262" s="184"/>
      <c r="E1262" s="184"/>
      <c r="F1262" s="184"/>
      <c r="G1262" s="184"/>
      <c r="H1262" s="184" t="s">
        <v>654</v>
      </c>
      <c r="I1262" s="184" t="s">
        <v>469</v>
      </c>
      <c r="J1262" s="184" t="s">
        <v>448</v>
      </c>
      <c r="K1262" s="185">
        <v>250</v>
      </c>
      <c r="L1262" s="186">
        <v>1189</v>
      </c>
      <c r="M1262" s="187">
        <v>1198.48</v>
      </c>
      <c r="N1262" s="188">
        <f t="shared" si="796"/>
        <v>20</v>
      </c>
      <c r="O1262" s="188">
        <f t="shared" si="797"/>
        <v>20</v>
      </c>
      <c r="P1262" s="189">
        <f t="shared" si="674"/>
        <v>596870</v>
      </c>
      <c r="Q1262" s="189">
        <f t="shared" si="675"/>
        <v>2370.0000000000045</v>
      </c>
      <c r="R1262" s="189">
        <v>179.08</v>
      </c>
      <c r="S1262" s="189">
        <f t="shared" si="697"/>
        <v>35.19</v>
      </c>
      <c r="T1262" s="189">
        <f t="shared" si="848"/>
        <v>74.91</v>
      </c>
      <c r="U1262" s="189">
        <f t="shared" si="731"/>
        <v>8.92</v>
      </c>
      <c r="V1262" s="189">
        <f t="shared" si="843"/>
        <v>16.41</v>
      </c>
      <c r="W1262" s="189">
        <f t="shared" si="758"/>
        <v>0.6</v>
      </c>
      <c r="X1262" s="189">
        <f t="shared" si="681"/>
        <v>315.11000000000007</v>
      </c>
      <c r="Y1262" s="190">
        <f t="shared" si="682"/>
        <v>2054.89</v>
      </c>
      <c r="Z1262" s="191">
        <v>2055.13</v>
      </c>
      <c r="AA1262" s="192">
        <f t="shared" si="837"/>
        <v>0.24000000000023647</v>
      </c>
      <c r="AB1262" s="193">
        <f t="shared" si="684"/>
        <v>7.9730866274180141E-3</v>
      </c>
      <c r="AC1262" s="194">
        <f t="shared" si="685"/>
        <v>5.2800000000000004E-4</v>
      </c>
      <c r="AD1262" s="189"/>
      <c r="AE1262" s="195" t="s">
        <v>403</v>
      </c>
      <c r="AF1262" s="119"/>
    </row>
    <row r="1263" spans="1:32" ht="12" hidden="1" customHeight="1">
      <c r="A1263" s="183">
        <v>44659</v>
      </c>
      <c r="B1263" s="184" t="s">
        <v>575</v>
      </c>
      <c r="C1263" s="184"/>
      <c r="D1263" s="184"/>
      <c r="E1263" s="184"/>
      <c r="F1263" s="184"/>
      <c r="G1263" s="184"/>
      <c r="H1263" s="184" t="s">
        <v>654</v>
      </c>
      <c r="I1263" s="184" t="s">
        <v>469</v>
      </c>
      <c r="J1263" s="184" t="s">
        <v>448</v>
      </c>
      <c r="K1263" s="185">
        <v>169</v>
      </c>
      <c r="L1263" s="186">
        <v>1182.1124</v>
      </c>
      <c r="M1263" s="187">
        <v>1188.0716</v>
      </c>
      <c r="N1263" s="188">
        <f t="shared" si="796"/>
        <v>20</v>
      </c>
      <c r="O1263" s="188">
        <f t="shared" si="797"/>
        <v>20</v>
      </c>
      <c r="P1263" s="189">
        <f t="shared" si="674"/>
        <v>400561.1</v>
      </c>
      <c r="Q1263" s="189">
        <f t="shared" si="675"/>
        <v>1007.1048000000017</v>
      </c>
      <c r="R1263" s="189">
        <v>111.08</v>
      </c>
      <c r="S1263" s="189">
        <f t="shared" si="697"/>
        <v>21.98</v>
      </c>
      <c r="T1263" s="189">
        <f t="shared" si="848"/>
        <v>50.2</v>
      </c>
      <c r="U1263" s="189">
        <f t="shared" si="731"/>
        <v>5.99</v>
      </c>
      <c r="V1263" s="189">
        <f t="shared" si="843"/>
        <v>11.02</v>
      </c>
      <c r="W1263" s="189">
        <f t="shared" si="758"/>
        <v>0.4</v>
      </c>
      <c r="X1263" s="189">
        <f t="shared" si="681"/>
        <v>200.67000000000002</v>
      </c>
      <c r="Y1263" s="190">
        <f t="shared" si="682"/>
        <v>806.43</v>
      </c>
      <c r="Z1263" s="191">
        <v>806.41</v>
      </c>
      <c r="AA1263" s="192">
        <f t="shared" si="837"/>
        <v>-1.999999999998181E-2</v>
      </c>
      <c r="AB1263" s="193">
        <f t="shared" si="684"/>
        <v>5.0411449875663343E-3</v>
      </c>
      <c r="AC1263" s="194">
        <f t="shared" si="685"/>
        <v>5.0100000000000003E-4</v>
      </c>
      <c r="AD1263" s="189"/>
      <c r="AE1263" s="195" t="s">
        <v>403</v>
      </c>
      <c r="AF1263" s="119"/>
    </row>
    <row r="1264" spans="1:32" ht="12" hidden="1" customHeight="1">
      <c r="A1264" s="183">
        <v>44663</v>
      </c>
      <c r="B1264" s="184" t="s">
        <v>575</v>
      </c>
      <c r="C1264" s="184"/>
      <c r="D1264" s="184"/>
      <c r="E1264" s="184"/>
      <c r="F1264" s="184"/>
      <c r="G1264" s="184"/>
      <c r="H1264" s="184" t="s">
        <v>654</v>
      </c>
      <c r="I1264" s="184" t="s">
        <v>469</v>
      </c>
      <c r="J1264" s="184" t="s">
        <v>448</v>
      </c>
      <c r="K1264" s="185">
        <v>672</v>
      </c>
      <c r="L1264" s="186">
        <v>1128.6904999999999</v>
      </c>
      <c r="M1264" s="187">
        <v>1132.2563500000001</v>
      </c>
      <c r="N1264" s="188">
        <f t="shared" si="796"/>
        <v>20</v>
      </c>
      <c r="O1264" s="188">
        <f t="shared" si="797"/>
        <v>20</v>
      </c>
      <c r="P1264" s="189">
        <f t="shared" si="674"/>
        <v>1519356.28</v>
      </c>
      <c r="Q1264" s="189">
        <f t="shared" si="675"/>
        <v>2396.2512000001225</v>
      </c>
      <c r="R1264" s="189">
        <v>240</v>
      </c>
      <c r="S1264" s="189">
        <f t="shared" si="697"/>
        <v>50.72</v>
      </c>
      <c r="T1264" s="189">
        <f t="shared" si="848"/>
        <v>190.22</v>
      </c>
      <c r="U1264" s="189">
        <f t="shared" si="731"/>
        <v>22.75</v>
      </c>
      <c r="V1264" s="189">
        <f t="shared" si="843"/>
        <v>41.78</v>
      </c>
      <c r="W1264" s="189">
        <f t="shared" si="758"/>
        <v>1.52</v>
      </c>
      <c r="X1264" s="189">
        <f t="shared" si="681"/>
        <v>546.99</v>
      </c>
      <c r="Y1264" s="190">
        <f t="shared" si="682"/>
        <v>1849.26</v>
      </c>
      <c r="Z1264" s="191">
        <v>1846.83</v>
      </c>
      <c r="AA1264" s="192">
        <f t="shared" si="837"/>
        <v>-2.4300000000000637</v>
      </c>
      <c r="AB1264" s="193">
        <f t="shared" si="684"/>
        <v>3.1592805999520529E-3</v>
      </c>
      <c r="AC1264" s="194">
        <f t="shared" si="685"/>
        <v>3.6000000000000002E-4</v>
      </c>
      <c r="AD1264" s="189"/>
      <c r="AE1264" s="195" t="s">
        <v>403</v>
      </c>
      <c r="AF1264" s="119"/>
    </row>
    <row r="1265" spans="1:32" ht="12" hidden="1" customHeight="1">
      <c r="A1265" s="183">
        <v>44664</v>
      </c>
      <c r="B1265" s="184" t="s">
        <v>575</v>
      </c>
      <c r="C1265" s="184"/>
      <c r="D1265" s="184"/>
      <c r="E1265" s="184"/>
      <c r="F1265" s="184"/>
      <c r="G1265" s="184"/>
      <c r="H1265" s="184" t="s">
        <v>654</v>
      </c>
      <c r="I1265" s="184" t="s">
        <v>469</v>
      </c>
      <c r="J1265" s="184" t="s">
        <v>448</v>
      </c>
      <c r="K1265" s="185">
        <v>200</v>
      </c>
      <c r="L1265" s="186">
        <v>1126.5</v>
      </c>
      <c r="M1265" s="187">
        <v>1134.75</v>
      </c>
      <c r="N1265" s="188">
        <f t="shared" si="796"/>
        <v>20</v>
      </c>
      <c r="O1265" s="188">
        <f t="shared" si="797"/>
        <v>20</v>
      </c>
      <c r="P1265" s="189">
        <f t="shared" si="674"/>
        <v>452250</v>
      </c>
      <c r="Q1265" s="189">
        <f t="shared" si="675"/>
        <v>1650</v>
      </c>
      <c r="R1265" s="189">
        <v>121.55</v>
      </c>
      <c r="S1265" s="189">
        <f t="shared" si="697"/>
        <v>24.12</v>
      </c>
      <c r="T1265" s="189">
        <f t="shared" si="848"/>
        <v>56.74</v>
      </c>
      <c r="U1265" s="189">
        <f t="shared" si="731"/>
        <v>6.76</v>
      </c>
      <c r="V1265" s="189">
        <f t="shared" si="843"/>
        <v>12.44</v>
      </c>
      <c r="W1265" s="189">
        <f t="shared" si="758"/>
        <v>0.45</v>
      </c>
      <c r="X1265" s="189">
        <f t="shared" si="681"/>
        <v>222.05999999999997</v>
      </c>
      <c r="Y1265" s="190">
        <f t="shared" si="682"/>
        <v>1427.94</v>
      </c>
      <c r="Z1265" s="191">
        <v>1427.47</v>
      </c>
      <c r="AA1265" s="192">
        <f t="shared" si="837"/>
        <v>-0.47000000000002728</v>
      </c>
      <c r="AB1265" s="193">
        <f t="shared" si="684"/>
        <v>7.3235685752330226E-3</v>
      </c>
      <c r="AC1265" s="194">
        <f t="shared" si="685"/>
        <v>4.9100000000000001E-4</v>
      </c>
      <c r="AD1265" s="189"/>
      <c r="AE1265" s="195" t="s">
        <v>403</v>
      </c>
      <c r="AF1265" s="119"/>
    </row>
    <row r="1266" spans="1:32" ht="12" hidden="1" customHeight="1">
      <c r="A1266" s="183">
        <v>44670</v>
      </c>
      <c r="B1266" s="184" t="s">
        <v>575</v>
      </c>
      <c r="C1266" s="184"/>
      <c r="D1266" s="184"/>
      <c r="E1266" s="184"/>
      <c r="F1266" s="184"/>
      <c r="G1266" s="184"/>
      <c r="H1266" s="184" t="s">
        <v>654</v>
      </c>
      <c r="I1266" s="184" t="s">
        <v>469</v>
      </c>
      <c r="J1266" s="184" t="s">
        <v>448</v>
      </c>
      <c r="K1266" s="185">
        <v>50</v>
      </c>
      <c r="L1266" s="186">
        <v>1144.2</v>
      </c>
      <c r="M1266" s="187">
        <v>1155.2</v>
      </c>
      <c r="N1266" s="188">
        <f t="shared" si="796"/>
        <v>17.16</v>
      </c>
      <c r="O1266" s="188">
        <f t="shared" si="797"/>
        <v>17.329999999999998</v>
      </c>
      <c r="P1266" s="189">
        <f t="shared" si="674"/>
        <v>114970</v>
      </c>
      <c r="Q1266" s="189">
        <f t="shared" si="675"/>
        <v>550</v>
      </c>
      <c r="R1266" s="189">
        <f>ROUND(N1266+O1266,2)</f>
        <v>34.49</v>
      </c>
      <c r="S1266" s="189">
        <f t="shared" si="697"/>
        <v>6.78</v>
      </c>
      <c r="T1266" s="189">
        <f t="shared" si="848"/>
        <v>14.44</v>
      </c>
      <c r="U1266" s="189">
        <f t="shared" si="731"/>
        <v>1.72</v>
      </c>
      <c r="V1266" s="189">
        <f t="shared" si="843"/>
        <v>3.16</v>
      </c>
      <c r="W1266" s="189">
        <f t="shared" si="758"/>
        <v>0.11</v>
      </c>
      <c r="X1266" s="189">
        <f t="shared" si="681"/>
        <v>60.7</v>
      </c>
      <c r="Y1266" s="190">
        <f t="shared" si="682"/>
        <v>489.3</v>
      </c>
      <c r="Z1266" s="191">
        <v>489</v>
      </c>
      <c r="AA1266" s="192">
        <f t="shared" si="837"/>
        <v>-0.30000000000001137</v>
      </c>
      <c r="AB1266" s="193">
        <f t="shared" si="684"/>
        <v>9.6137038979199445E-3</v>
      </c>
      <c r="AC1266" s="194">
        <f t="shared" si="685"/>
        <v>5.2800000000000004E-4</v>
      </c>
      <c r="AD1266" s="189"/>
      <c r="AE1266" s="195" t="s">
        <v>403</v>
      </c>
      <c r="AF1266" s="119"/>
    </row>
    <row r="1267" spans="1:32" ht="12" hidden="1" customHeight="1">
      <c r="A1267" s="183">
        <v>44671</v>
      </c>
      <c r="B1267" s="184" t="s">
        <v>575</v>
      </c>
      <c r="C1267" s="184"/>
      <c r="D1267" s="184"/>
      <c r="E1267" s="184"/>
      <c r="F1267" s="184"/>
      <c r="G1267" s="184"/>
      <c r="H1267" s="184" t="s">
        <v>654</v>
      </c>
      <c r="I1267" s="184" t="s">
        <v>469</v>
      </c>
      <c r="J1267" s="184" t="s">
        <v>448</v>
      </c>
      <c r="K1267" s="185">
        <v>80</v>
      </c>
      <c r="L1267" s="186">
        <v>1170.6763000000001</v>
      </c>
      <c r="M1267" s="187">
        <v>1175.375</v>
      </c>
      <c r="N1267" s="188">
        <f t="shared" si="796"/>
        <v>20</v>
      </c>
      <c r="O1267" s="188">
        <f t="shared" si="797"/>
        <v>20</v>
      </c>
      <c r="P1267" s="189">
        <f t="shared" si="674"/>
        <v>187684.1</v>
      </c>
      <c r="Q1267" s="189">
        <f t="shared" si="675"/>
        <v>375.89599999999336</v>
      </c>
      <c r="R1267" s="189">
        <v>54.97</v>
      </c>
      <c r="S1267" s="189">
        <f t="shared" si="697"/>
        <v>10.82</v>
      </c>
      <c r="T1267" s="189">
        <f t="shared" si="848"/>
        <v>23.51</v>
      </c>
      <c r="U1267" s="189">
        <f t="shared" si="731"/>
        <v>2.81</v>
      </c>
      <c r="V1267" s="189">
        <f t="shared" si="843"/>
        <v>5.16</v>
      </c>
      <c r="W1267" s="189">
        <f t="shared" si="758"/>
        <v>0.19</v>
      </c>
      <c r="X1267" s="189">
        <f t="shared" si="681"/>
        <v>97.46</v>
      </c>
      <c r="Y1267" s="190">
        <f t="shared" si="682"/>
        <v>278.44</v>
      </c>
      <c r="Z1267" s="191">
        <v>278.54000000000002</v>
      </c>
      <c r="AA1267" s="192">
        <f t="shared" si="837"/>
        <v>0.10000000000002274</v>
      </c>
      <c r="AB1267" s="193">
        <f t="shared" si="684"/>
        <v>4.0136628716237925E-3</v>
      </c>
      <c r="AC1267" s="194">
        <f t="shared" si="685"/>
        <v>5.1900000000000004E-4</v>
      </c>
      <c r="AD1267" s="189"/>
      <c r="AE1267" s="195" t="s">
        <v>403</v>
      </c>
      <c r="AF1267" s="119"/>
    </row>
    <row r="1268" spans="1:32" ht="12" hidden="1" customHeight="1">
      <c r="A1268" s="183">
        <v>44672</v>
      </c>
      <c r="B1268" s="184" t="s">
        <v>575</v>
      </c>
      <c r="C1268" s="184"/>
      <c r="D1268" s="184"/>
      <c r="E1268" s="184"/>
      <c r="F1268" s="184"/>
      <c r="G1268" s="184"/>
      <c r="H1268" s="184" t="s">
        <v>654</v>
      </c>
      <c r="I1268" s="184" t="s">
        <v>469</v>
      </c>
      <c r="J1268" s="184" t="s">
        <v>448</v>
      </c>
      <c r="K1268" s="185">
        <v>100</v>
      </c>
      <c r="L1268" s="186">
        <v>1178.5</v>
      </c>
      <c r="M1268" s="187">
        <v>1187.5</v>
      </c>
      <c r="N1268" s="188">
        <f t="shared" si="796"/>
        <v>20</v>
      </c>
      <c r="O1268" s="188">
        <f t="shared" si="797"/>
        <v>20</v>
      </c>
      <c r="P1268" s="189">
        <f t="shared" si="674"/>
        <v>236600</v>
      </c>
      <c r="Q1268" s="189">
        <f t="shared" si="675"/>
        <v>900</v>
      </c>
      <c r="R1268" s="189">
        <v>82.1</v>
      </c>
      <c r="S1268" s="189">
        <f t="shared" si="697"/>
        <v>15.95</v>
      </c>
      <c r="T1268" s="189">
        <f t="shared" si="848"/>
        <v>29.69</v>
      </c>
      <c r="U1268" s="189">
        <f t="shared" si="731"/>
        <v>3.54</v>
      </c>
      <c r="V1268" s="189">
        <f t="shared" si="843"/>
        <v>6.51</v>
      </c>
      <c r="W1268" s="189">
        <f t="shared" si="758"/>
        <v>0.24</v>
      </c>
      <c r="X1268" s="189">
        <f t="shared" si="681"/>
        <v>138.03</v>
      </c>
      <c r="Y1268" s="190">
        <f t="shared" si="682"/>
        <v>761.97</v>
      </c>
      <c r="Z1268" s="191">
        <v>761.97</v>
      </c>
      <c r="AA1268" s="192">
        <f t="shared" si="837"/>
        <v>0</v>
      </c>
      <c r="AB1268" s="193">
        <f t="shared" si="684"/>
        <v>7.6368264743317781E-3</v>
      </c>
      <c r="AC1268" s="194">
        <f t="shared" si="685"/>
        <v>5.8299999999999997E-4</v>
      </c>
      <c r="AD1268" s="189"/>
      <c r="AE1268" s="195" t="s">
        <v>403</v>
      </c>
      <c r="AF1268" s="119"/>
    </row>
    <row r="1269" spans="1:32" ht="12" hidden="1" customHeight="1">
      <c r="A1269" s="183">
        <v>44673</v>
      </c>
      <c r="B1269" s="184" t="s">
        <v>575</v>
      </c>
      <c r="C1269" s="184"/>
      <c r="D1269" s="184"/>
      <c r="E1269" s="184"/>
      <c r="F1269" s="184"/>
      <c r="G1269" s="184"/>
      <c r="H1269" s="184" t="s">
        <v>654</v>
      </c>
      <c r="I1269" s="184" t="s">
        <v>469</v>
      </c>
      <c r="J1269" s="184" t="s">
        <v>448</v>
      </c>
      <c r="K1269" s="185">
        <v>50</v>
      </c>
      <c r="L1269" s="186">
        <v>1138</v>
      </c>
      <c r="M1269" s="187">
        <v>1150</v>
      </c>
      <c r="N1269" s="188">
        <f t="shared" si="796"/>
        <v>17.07</v>
      </c>
      <c r="O1269" s="188">
        <f t="shared" si="797"/>
        <v>17.25</v>
      </c>
      <c r="P1269" s="189">
        <f t="shared" si="674"/>
        <v>114400</v>
      </c>
      <c r="Q1269" s="189">
        <f t="shared" si="675"/>
        <v>600</v>
      </c>
      <c r="R1269" s="189">
        <f>ROUND(N1269+O1269,2)</f>
        <v>34.32</v>
      </c>
      <c r="S1269" s="189">
        <f t="shared" si="697"/>
        <v>7.1</v>
      </c>
      <c r="T1269" s="189">
        <f t="shared" si="848"/>
        <v>14.38</v>
      </c>
      <c r="U1269" s="189">
        <f t="shared" si="731"/>
        <v>1.71</v>
      </c>
      <c r="V1269" s="189">
        <f>ROUND(P1269*L$1809,2)+2</f>
        <v>5.15</v>
      </c>
      <c r="W1269" s="189">
        <f t="shared" si="758"/>
        <v>0.11</v>
      </c>
      <c r="X1269" s="189">
        <f t="shared" si="681"/>
        <v>62.77</v>
      </c>
      <c r="Y1269" s="190">
        <f t="shared" si="682"/>
        <v>537.23</v>
      </c>
      <c r="Z1269" s="191">
        <v>537.89</v>
      </c>
      <c r="AA1269" s="192">
        <f t="shared" si="837"/>
        <v>0.65999999999996817</v>
      </c>
      <c r="AB1269" s="193">
        <f t="shared" si="684"/>
        <v>1.054481546572935E-2</v>
      </c>
      <c r="AC1269" s="194">
        <f t="shared" si="685"/>
        <v>5.4900000000000001E-4</v>
      </c>
      <c r="AD1269" s="189"/>
      <c r="AE1269" s="195" t="s">
        <v>403</v>
      </c>
      <c r="AF1269" s="119"/>
    </row>
    <row r="1270" spans="1:32" ht="12" hidden="1" customHeight="1">
      <c r="A1270" s="183">
        <v>44676</v>
      </c>
      <c r="B1270" s="184" t="s">
        <v>575</v>
      </c>
      <c r="C1270" s="184"/>
      <c r="D1270" s="184"/>
      <c r="E1270" s="184"/>
      <c r="F1270" s="184"/>
      <c r="G1270" s="184"/>
      <c r="H1270" s="184" t="s">
        <v>654</v>
      </c>
      <c r="I1270" s="184" t="s">
        <v>469</v>
      </c>
      <c r="J1270" s="184" t="s">
        <v>448</v>
      </c>
      <c r="K1270" s="185">
        <v>270</v>
      </c>
      <c r="L1270" s="186">
        <v>1133.6074000000001</v>
      </c>
      <c r="M1270" s="187">
        <v>1139.14815</v>
      </c>
      <c r="N1270" s="188">
        <f t="shared" si="796"/>
        <v>20</v>
      </c>
      <c r="O1270" s="188">
        <f t="shared" si="797"/>
        <v>20</v>
      </c>
      <c r="P1270" s="189">
        <f t="shared" si="674"/>
        <v>613644</v>
      </c>
      <c r="Q1270" s="189">
        <f t="shared" si="675"/>
        <v>1496.00249999997</v>
      </c>
      <c r="R1270" s="189">
        <v>169.84</v>
      </c>
      <c r="S1270" s="189">
        <f t="shared" si="697"/>
        <v>33.79</v>
      </c>
      <c r="T1270" s="189">
        <f t="shared" si="848"/>
        <v>76.89</v>
      </c>
      <c r="U1270" s="189">
        <f t="shared" si="731"/>
        <v>9.18</v>
      </c>
      <c r="V1270" s="189">
        <f>ROUND(P1270*L$1809,2)+1</f>
        <v>17.88</v>
      </c>
      <c r="W1270" s="189">
        <f t="shared" si="758"/>
        <v>0.61</v>
      </c>
      <c r="X1270" s="189">
        <f t="shared" si="681"/>
        <v>308.19</v>
      </c>
      <c r="Y1270" s="190">
        <f t="shared" si="682"/>
        <v>1187.81</v>
      </c>
      <c r="Z1270" s="191">
        <v>1188</v>
      </c>
      <c r="AA1270" s="192">
        <f t="shared" si="837"/>
        <v>0.19000000000005457</v>
      </c>
      <c r="AB1270" s="193">
        <f t="shared" si="684"/>
        <v>4.8877150943085661E-3</v>
      </c>
      <c r="AC1270" s="194">
        <f t="shared" si="685"/>
        <v>5.0199999999999995E-4</v>
      </c>
      <c r="AD1270" s="189"/>
      <c r="AE1270" s="195" t="s">
        <v>403</v>
      </c>
      <c r="AF1270" s="119"/>
    </row>
    <row r="1271" spans="1:32" ht="12" hidden="1" customHeight="1">
      <c r="A1271" s="183">
        <v>44677</v>
      </c>
      <c r="B1271" s="184" t="s">
        <v>575</v>
      </c>
      <c r="C1271" s="184"/>
      <c r="D1271" s="184"/>
      <c r="E1271" s="184"/>
      <c r="F1271" s="184"/>
      <c r="G1271" s="184"/>
      <c r="H1271" s="184" t="s">
        <v>654</v>
      </c>
      <c r="I1271" s="184" t="s">
        <v>469</v>
      </c>
      <c r="J1271" s="184" t="s">
        <v>448</v>
      </c>
      <c r="K1271" s="185">
        <v>250</v>
      </c>
      <c r="L1271" s="186">
        <v>1159</v>
      </c>
      <c r="M1271" s="187">
        <v>1166.25</v>
      </c>
      <c r="N1271" s="188">
        <f t="shared" si="796"/>
        <v>20</v>
      </c>
      <c r="O1271" s="188">
        <f t="shared" si="797"/>
        <v>20</v>
      </c>
      <c r="P1271" s="189">
        <f t="shared" si="674"/>
        <v>581312.5</v>
      </c>
      <c r="Q1271" s="189">
        <f t="shared" si="675"/>
        <v>1812.5</v>
      </c>
      <c r="R1271" s="189">
        <v>174.42</v>
      </c>
      <c r="S1271" s="189">
        <f t="shared" si="697"/>
        <v>34.270000000000003</v>
      </c>
      <c r="T1271" s="189">
        <f t="shared" si="848"/>
        <v>72.89</v>
      </c>
      <c r="U1271" s="189">
        <f t="shared" si="731"/>
        <v>8.69</v>
      </c>
      <c r="V1271" s="189">
        <f t="shared" ref="V1271:V1278" si="849">ROUND(P1271*L$1809,2)</f>
        <v>15.99</v>
      </c>
      <c r="W1271" s="189">
        <f t="shared" si="758"/>
        <v>0.57999999999999996</v>
      </c>
      <c r="X1271" s="189">
        <f t="shared" si="681"/>
        <v>306.83999999999997</v>
      </c>
      <c r="Y1271" s="190">
        <f t="shared" si="682"/>
        <v>1505.66</v>
      </c>
      <c r="Z1271" s="191">
        <v>1506</v>
      </c>
      <c r="AA1271" s="192">
        <f t="shared" si="837"/>
        <v>0.33999999999991815</v>
      </c>
      <c r="AB1271" s="193">
        <f t="shared" si="684"/>
        <v>6.255392579810181E-3</v>
      </c>
      <c r="AC1271" s="194">
        <f t="shared" si="685"/>
        <v>5.2800000000000004E-4</v>
      </c>
      <c r="AD1271" s="189"/>
      <c r="AE1271" s="195" t="s">
        <v>403</v>
      </c>
      <c r="AF1271" s="119"/>
    </row>
    <row r="1272" spans="1:32" ht="12" hidden="1" customHeight="1">
      <c r="A1272" s="183">
        <v>44678</v>
      </c>
      <c r="B1272" s="184" t="s">
        <v>575</v>
      </c>
      <c r="C1272" s="184"/>
      <c r="D1272" s="184"/>
      <c r="E1272" s="184"/>
      <c r="F1272" s="184"/>
      <c r="G1272" s="184"/>
      <c r="H1272" s="184" t="s">
        <v>654</v>
      </c>
      <c r="I1272" s="184" t="s">
        <v>469</v>
      </c>
      <c r="J1272" s="184" t="s">
        <v>448</v>
      </c>
      <c r="K1272" s="185">
        <v>120</v>
      </c>
      <c r="L1272" s="186">
        <v>1142.0833</v>
      </c>
      <c r="M1272" s="187">
        <v>1147.5</v>
      </c>
      <c r="N1272" s="188">
        <f t="shared" si="796"/>
        <v>20</v>
      </c>
      <c r="O1272" s="188">
        <f t="shared" si="797"/>
        <v>20</v>
      </c>
      <c r="P1272" s="189">
        <f t="shared" si="674"/>
        <v>274750</v>
      </c>
      <c r="Q1272" s="189">
        <f t="shared" si="675"/>
        <v>650.003999999999</v>
      </c>
      <c r="R1272" s="189">
        <v>82.42</v>
      </c>
      <c r="S1272" s="189">
        <f t="shared" si="697"/>
        <v>16.2</v>
      </c>
      <c r="T1272" s="189">
        <f t="shared" si="848"/>
        <v>34.43</v>
      </c>
      <c r="U1272" s="189">
        <f t="shared" si="731"/>
        <v>4.1100000000000003</v>
      </c>
      <c r="V1272" s="189">
        <f t="shared" si="849"/>
        <v>7.56</v>
      </c>
      <c r="W1272" s="189">
        <f t="shared" si="758"/>
        <v>0.27</v>
      </c>
      <c r="X1272" s="189">
        <f t="shared" si="681"/>
        <v>144.99000000000004</v>
      </c>
      <c r="Y1272" s="190">
        <f t="shared" si="682"/>
        <v>505.01</v>
      </c>
      <c r="Z1272" s="191">
        <v>505.19</v>
      </c>
      <c r="AA1272" s="192">
        <f t="shared" si="837"/>
        <v>0.18000000000000682</v>
      </c>
      <c r="AB1272" s="193">
        <f t="shared" si="684"/>
        <v>4.7428239253651562E-3</v>
      </c>
      <c r="AC1272" s="194">
        <f t="shared" si="685"/>
        <v>5.2800000000000004E-4</v>
      </c>
      <c r="AD1272" s="189"/>
      <c r="AE1272" s="195" t="s">
        <v>403</v>
      </c>
      <c r="AF1272" s="119"/>
    </row>
    <row r="1273" spans="1:32" ht="12" hidden="1" customHeight="1">
      <c r="A1273" s="183">
        <v>44678</v>
      </c>
      <c r="B1273" s="184" t="s">
        <v>307</v>
      </c>
      <c r="C1273" s="184"/>
      <c r="D1273" s="184"/>
      <c r="E1273" s="184"/>
      <c r="F1273" s="184"/>
      <c r="G1273" s="184"/>
      <c r="H1273" s="184" t="s">
        <v>654</v>
      </c>
      <c r="I1273" s="184" t="s">
        <v>469</v>
      </c>
      <c r="J1273" s="184" t="s">
        <v>471</v>
      </c>
      <c r="K1273" s="185">
        <v>55</v>
      </c>
      <c r="L1273" s="186">
        <v>866.36360000000002</v>
      </c>
      <c r="M1273" s="187">
        <v>874.09090000000003</v>
      </c>
      <c r="N1273" s="188">
        <f t="shared" si="796"/>
        <v>14.29</v>
      </c>
      <c r="O1273" s="188">
        <f t="shared" si="797"/>
        <v>14.42</v>
      </c>
      <c r="P1273" s="189">
        <f t="shared" si="674"/>
        <v>95725</v>
      </c>
      <c r="Q1273" s="189">
        <f t="shared" si="675"/>
        <v>425.00150000000076</v>
      </c>
      <c r="R1273" s="189">
        <f>ROUND(N1273+O1273,2)+1.25</f>
        <v>29.96</v>
      </c>
      <c r="S1273" s="189">
        <f t="shared" si="697"/>
        <v>5.87</v>
      </c>
      <c r="T1273" s="189">
        <f t="shared" si="848"/>
        <v>12.02</v>
      </c>
      <c r="U1273" s="189">
        <f t="shared" si="731"/>
        <v>1.43</v>
      </c>
      <c r="V1273" s="189">
        <f t="shared" si="849"/>
        <v>2.63</v>
      </c>
      <c r="W1273" s="189">
        <f t="shared" si="758"/>
        <v>0.1</v>
      </c>
      <c r="X1273" s="189">
        <f t="shared" si="681"/>
        <v>52.01</v>
      </c>
      <c r="Y1273" s="190">
        <f t="shared" si="682"/>
        <v>372.99</v>
      </c>
      <c r="Z1273" s="191">
        <v>372.19</v>
      </c>
      <c r="AA1273" s="192">
        <f t="shared" si="837"/>
        <v>-0.80000000000001137</v>
      </c>
      <c r="AB1273" s="193">
        <f t="shared" si="684"/>
        <v>8.9192343722658864E-3</v>
      </c>
      <c r="AC1273" s="194">
        <f t="shared" si="685"/>
        <v>5.4299999999999997E-4</v>
      </c>
      <c r="AD1273" s="189"/>
      <c r="AE1273" s="195" t="s">
        <v>403</v>
      </c>
      <c r="AF1273" s="119"/>
    </row>
    <row r="1274" spans="1:32" ht="12" hidden="1" customHeight="1">
      <c r="A1274" s="183">
        <v>44679</v>
      </c>
      <c r="B1274" s="184" t="s">
        <v>575</v>
      </c>
      <c r="C1274" s="184"/>
      <c r="D1274" s="184"/>
      <c r="E1274" s="184"/>
      <c r="F1274" s="184"/>
      <c r="G1274" s="184"/>
      <c r="H1274" s="184" t="s">
        <v>654</v>
      </c>
      <c r="I1274" s="184" t="s">
        <v>469</v>
      </c>
      <c r="J1274" s="184" t="s">
        <v>448</v>
      </c>
      <c r="K1274" s="185">
        <v>800</v>
      </c>
      <c r="L1274" s="186">
        <v>1201.4844000000001</v>
      </c>
      <c r="M1274" s="187">
        <v>1209.1169</v>
      </c>
      <c r="N1274" s="188">
        <f t="shared" si="796"/>
        <v>20</v>
      </c>
      <c r="O1274" s="188">
        <f t="shared" si="797"/>
        <v>20</v>
      </c>
      <c r="P1274" s="189">
        <f t="shared" si="674"/>
        <v>1928481.04</v>
      </c>
      <c r="Q1274" s="189">
        <f t="shared" si="675"/>
        <v>6105.9999999999491</v>
      </c>
      <c r="R1274" s="189">
        <f>561.19+71</f>
        <v>632.19000000000005</v>
      </c>
      <c r="S1274" s="189">
        <f t="shared" si="697"/>
        <v>123.34</v>
      </c>
      <c r="T1274" s="189">
        <f>ROUND((M1274*K1274)*K$1807,2)-209</f>
        <v>32.819999999999993</v>
      </c>
      <c r="U1274" s="189">
        <f>ROUND((L1274*K1274)*L$1813,2)-15</f>
        <v>13.84</v>
      </c>
      <c r="V1274" s="189">
        <f t="shared" si="849"/>
        <v>53.03</v>
      </c>
      <c r="W1274" s="189">
        <f t="shared" si="758"/>
        <v>1.93</v>
      </c>
      <c r="X1274" s="189">
        <f t="shared" si="681"/>
        <v>857.15000000000009</v>
      </c>
      <c r="Y1274" s="190">
        <f t="shared" si="682"/>
        <v>5248.85</v>
      </c>
      <c r="Z1274" s="191">
        <v>5248.44</v>
      </c>
      <c r="AA1274" s="192">
        <f t="shared" si="837"/>
        <v>-0.41000000000076398</v>
      </c>
      <c r="AB1274" s="193">
        <f t="shared" si="684"/>
        <v>6.352558551738113E-3</v>
      </c>
      <c r="AC1274" s="194">
        <f t="shared" si="685"/>
        <v>4.44E-4</v>
      </c>
      <c r="AD1274" s="189"/>
      <c r="AE1274" s="195" t="s">
        <v>403</v>
      </c>
      <c r="AF1274" s="119"/>
    </row>
    <row r="1275" spans="1:32" ht="12" hidden="1" customHeight="1">
      <c r="A1275" s="183">
        <v>44679</v>
      </c>
      <c r="B1275" s="184" t="s">
        <v>307</v>
      </c>
      <c r="C1275" s="184"/>
      <c r="D1275" s="184"/>
      <c r="E1275" s="184"/>
      <c r="F1275" s="184"/>
      <c r="G1275" s="184"/>
      <c r="H1275" s="184" t="s">
        <v>654</v>
      </c>
      <c r="I1275" s="184" t="s">
        <v>469</v>
      </c>
      <c r="J1275" s="184" t="s">
        <v>471</v>
      </c>
      <c r="K1275" s="185">
        <v>25</v>
      </c>
      <c r="L1275" s="186">
        <v>877</v>
      </c>
      <c r="M1275" s="187">
        <v>883</v>
      </c>
      <c r="N1275" s="188">
        <f t="shared" si="796"/>
        <v>6.58</v>
      </c>
      <c r="O1275" s="188">
        <f t="shared" si="797"/>
        <v>6.62</v>
      </c>
      <c r="P1275" s="189">
        <f t="shared" si="674"/>
        <v>44000</v>
      </c>
      <c r="Q1275" s="189">
        <f t="shared" si="675"/>
        <v>150</v>
      </c>
      <c r="R1275" s="189">
        <f>ROUND(N1275+O1275,2)</f>
        <v>13.2</v>
      </c>
      <c r="S1275" s="189">
        <f t="shared" si="697"/>
        <v>2.59</v>
      </c>
      <c r="T1275" s="189">
        <f t="shared" ref="T1275:T1277" si="850">ROUND((M1275*K1275)*K$1807,2)</f>
        <v>5.52</v>
      </c>
      <c r="U1275" s="189">
        <f t="shared" ref="U1275:U1409" si="851">ROUND((L1275*K1275)*L$1813,2)</f>
        <v>0.66</v>
      </c>
      <c r="V1275" s="189">
        <f t="shared" si="849"/>
        <v>1.21</v>
      </c>
      <c r="W1275" s="189">
        <f t="shared" si="758"/>
        <v>0.04</v>
      </c>
      <c r="X1275" s="189">
        <f t="shared" si="681"/>
        <v>23.22</v>
      </c>
      <c r="Y1275" s="190">
        <f t="shared" si="682"/>
        <v>126.78</v>
      </c>
      <c r="Z1275" s="191">
        <v>126.07</v>
      </c>
      <c r="AA1275" s="192">
        <f t="shared" si="837"/>
        <v>-0.71000000000000796</v>
      </c>
      <c r="AB1275" s="193">
        <f t="shared" si="684"/>
        <v>6.8415051311288486E-3</v>
      </c>
      <c r="AC1275" s="194">
        <f t="shared" si="685"/>
        <v>5.2800000000000004E-4</v>
      </c>
      <c r="AD1275" s="189"/>
      <c r="AE1275" s="195" t="s">
        <v>403</v>
      </c>
      <c r="AF1275" s="119"/>
    </row>
    <row r="1276" spans="1:32" ht="12" hidden="1" customHeight="1">
      <c r="A1276" s="183">
        <v>44680</v>
      </c>
      <c r="B1276" s="184" t="s">
        <v>575</v>
      </c>
      <c r="C1276" s="184"/>
      <c r="D1276" s="184"/>
      <c r="E1276" s="184"/>
      <c r="F1276" s="184"/>
      <c r="G1276" s="184"/>
      <c r="H1276" s="184" t="s">
        <v>654</v>
      </c>
      <c r="I1276" s="184" t="s">
        <v>469</v>
      </c>
      <c r="J1276" s="184" t="s">
        <v>448</v>
      </c>
      <c r="K1276" s="185">
        <v>950</v>
      </c>
      <c r="L1276" s="186">
        <v>1209.06845</v>
      </c>
      <c r="M1276" s="187">
        <v>1214.1795</v>
      </c>
      <c r="N1276" s="188">
        <f t="shared" si="796"/>
        <v>20</v>
      </c>
      <c r="O1276" s="188">
        <f t="shared" si="797"/>
        <v>20</v>
      </c>
      <c r="P1276" s="189">
        <f t="shared" si="674"/>
        <v>2302085.5499999998</v>
      </c>
      <c r="Q1276" s="189">
        <f t="shared" si="675"/>
        <v>4855.4974999999786</v>
      </c>
      <c r="R1276" s="189">
        <v>432.61</v>
      </c>
      <c r="S1276" s="189">
        <f t="shared" si="697"/>
        <v>89.27</v>
      </c>
      <c r="T1276" s="189">
        <f t="shared" si="850"/>
        <v>288.37</v>
      </c>
      <c r="U1276" s="189">
        <f t="shared" si="851"/>
        <v>34.46</v>
      </c>
      <c r="V1276" s="189">
        <f t="shared" si="849"/>
        <v>63.31</v>
      </c>
      <c r="W1276" s="189">
        <f t="shared" si="758"/>
        <v>2.2999999999999998</v>
      </c>
      <c r="X1276" s="189">
        <f t="shared" si="681"/>
        <v>910.31999999999994</v>
      </c>
      <c r="Y1276" s="190">
        <f t="shared" si="682"/>
        <v>3945.18</v>
      </c>
      <c r="Z1276" s="191">
        <v>3945.05</v>
      </c>
      <c r="AA1276" s="192">
        <f t="shared" si="837"/>
        <v>-0.12999999999965439</v>
      </c>
      <c r="AB1276" s="193">
        <f t="shared" si="684"/>
        <v>4.2272627327261557E-3</v>
      </c>
      <c r="AC1276" s="194">
        <f t="shared" si="685"/>
        <v>3.9500000000000001E-4</v>
      </c>
      <c r="AD1276" s="189"/>
      <c r="AE1276" s="195" t="s">
        <v>403</v>
      </c>
      <c r="AF1276" s="119"/>
    </row>
    <row r="1277" spans="1:32" ht="12" hidden="1" customHeight="1">
      <c r="A1277" s="183">
        <v>44683</v>
      </c>
      <c r="B1277" s="184" t="s">
        <v>575</v>
      </c>
      <c r="C1277" s="184"/>
      <c r="D1277" s="184"/>
      <c r="E1277" s="184"/>
      <c r="F1277" s="184"/>
      <c r="G1277" s="184"/>
      <c r="H1277" s="184" t="s">
        <v>654</v>
      </c>
      <c r="I1277" s="184" t="s">
        <v>469</v>
      </c>
      <c r="J1277" s="184" t="s">
        <v>448</v>
      </c>
      <c r="K1277" s="185">
        <v>600</v>
      </c>
      <c r="L1277" s="186">
        <v>1159.8086000000001</v>
      </c>
      <c r="M1277" s="187">
        <v>1165.7666999999999</v>
      </c>
      <c r="N1277" s="188">
        <f t="shared" si="796"/>
        <v>20</v>
      </c>
      <c r="O1277" s="188">
        <f t="shared" si="797"/>
        <v>20</v>
      </c>
      <c r="P1277" s="189">
        <f t="shared" si="674"/>
        <v>1395345.18</v>
      </c>
      <c r="Q1277" s="189">
        <f t="shared" si="675"/>
        <v>3574.8599999998987</v>
      </c>
      <c r="R1277" s="189">
        <v>269.7</v>
      </c>
      <c r="S1277" s="189">
        <f t="shared" si="697"/>
        <v>55.45</v>
      </c>
      <c r="T1277" s="189">
        <f t="shared" si="850"/>
        <v>174.87</v>
      </c>
      <c r="U1277" s="189">
        <f t="shared" si="851"/>
        <v>20.88</v>
      </c>
      <c r="V1277" s="189">
        <f t="shared" si="849"/>
        <v>38.369999999999997</v>
      </c>
      <c r="W1277" s="189">
        <f t="shared" si="758"/>
        <v>1.4</v>
      </c>
      <c r="X1277" s="189">
        <f t="shared" si="681"/>
        <v>560.66999999999996</v>
      </c>
      <c r="Y1277" s="190">
        <f t="shared" si="682"/>
        <v>3014.19</v>
      </c>
      <c r="Z1277" s="191">
        <v>3014</v>
      </c>
      <c r="AA1277" s="192">
        <f t="shared" si="837"/>
        <v>-0.19000000000005457</v>
      </c>
      <c r="AB1277" s="193">
        <f t="shared" si="684"/>
        <v>5.1371407316688558E-3</v>
      </c>
      <c r="AC1277" s="194">
        <f t="shared" si="685"/>
        <v>4.0200000000000001E-4</v>
      </c>
      <c r="AD1277" s="189"/>
      <c r="AE1277" s="195" t="s">
        <v>403</v>
      </c>
      <c r="AF1277" s="119"/>
    </row>
    <row r="1278" spans="1:32" ht="12" hidden="1" customHeight="1">
      <c r="A1278" s="183">
        <v>44685</v>
      </c>
      <c r="B1278" s="184" t="s">
        <v>575</v>
      </c>
      <c r="C1278" s="184"/>
      <c r="D1278" s="184"/>
      <c r="E1278" s="184"/>
      <c r="F1278" s="184"/>
      <c r="G1278" s="184"/>
      <c r="H1278" s="184" t="s">
        <v>654</v>
      </c>
      <c r="I1278" s="184" t="s">
        <v>469</v>
      </c>
      <c r="J1278" s="184" t="s">
        <v>448</v>
      </c>
      <c r="K1278" s="185">
        <v>950</v>
      </c>
      <c r="L1278" s="186">
        <v>1190.125</v>
      </c>
      <c r="M1278" s="187">
        <v>1195.9952000000001</v>
      </c>
      <c r="N1278" s="188">
        <f t="shared" si="796"/>
        <v>20</v>
      </c>
      <c r="O1278" s="188">
        <f t="shared" si="797"/>
        <v>20</v>
      </c>
      <c r="P1278" s="189">
        <f t="shared" si="674"/>
        <v>2266814.19</v>
      </c>
      <c r="Q1278" s="189">
        <f t="shared" si="675"/>
        <v>5576.6900000000642</v>
      </c>
      <c r="R1278" s="189">
        <v>456.42</v>
      </c>
      <c r="S1278" s="189">
        <f t="shared" si="697"/>
        <v>93.38</v>
      </c>
      <c r="T1278" s="189">
        <f>ROUND((M1278*K1278)*K$1807,2)-1</f>
        <v>283.05</v>
      </c>
      <c r="U1278" s="189">
        <f t="shared" si="851"/>
        <v>33.92</v>
      </c>
      <c r="V1278" s="189">
        <f t="shared" si="849"/>
        <v>62.34</v>
      </c>
      <c r="W1278" s="189">
        <f t="shared" si="758"/>
        <v>2.27</v>
      </c>
      <c r="X1278" s="189">
        <f t="shared" si="681"/>
        <v>931.37999999999988</v>
      </c>
      <c r="Y1278" s="190">
        <f t="shared" si="682"/>
        <v>4645.3100000000004</v>
      </c>
      <c r="Z1278" s="191">
        <v>4645.3</v>
      </c>
      <c r="AA1278" s="192">
        <f t="shared" si="837"/>
        <v>-1.0000000000218279E-2</v>
      </c>
      <c r="AB1278" s="193">
        <f t="shared" si="684"/>
        <v>4.9324230648041742E-3</v>
      </c>
      <c r="AC1278" s="194">
        <f t="shared" si="685"/>
        <v>4.1100000000000002E-4</v>
      </c>
      <c r="AD1278" s="189"/>
      <c r="AE1278" s="195" t="s">
        <v>403</v>
      </c>
      <c r="AF1278" s="119"/>
    </row>
    <row r="1279" spans="1:32" ht="12" hidden="1" customHeight="1">
      <c r="A1279" s="183">
        <v>44686</v>
      </c>
      <c r="B1279" s="184" t="s">
        <v>575</v>
      </c>
      <c r="C1279" s="184"/>
      <c r="D1279" s="184"/>
      <c r="E1279" s="184"/>
      <c r="F1279" s="184"/>
      <c r="G1279" s="184"/>
      <c r="H1279" s="184" t="s">
        <v>654</v>
      </c>
      <c r="I1279" s="184" t="s">
        <v>469</v>
      </c>
      <c r="J1279" s="184" t="s">
        <v>448</v>
      </c>
      <c r="K1279" s="185">
        <v>1320</v>
      </c>
      <c r="L1279" s="186">
        <v>1212.3893</v>
      </c>
      <c r="M1279" s="187">
        <v>1217.6552999999999</v>
      </c>
      <c r="N1279" s="188">
        <f t="shared" si="796"/>
        <v>20</v>
      </c>
      <c r="O1279" s="188">
        <f t="shared" si="797"/>
        <v>20</v>
      </c>
      <c r="P1279" s="189">
        <f t="shared" si="674"/>
        <v>3207658.87</v>
      </c>
      <c r="Q1279" s="189">
        <f t="shared" si="675"/>
        <v>6951.1199999998007</v>
      </c>
      <c r="R1279" s="189">
        <v>599.97</v>
      </c>
      <c r="S1279" s="189">
        <f t="shared" si="697"/>
        <v>125.31</v>
      </c>
      <c r="T1279" s="189">
        <f>ROUND((M1279*K1279)*K$1807,2)</f>
        <v>401.83</v>
      </c>
      <c r="U1279" s="189">
        <f t="shared" si="851"/>
        <v>48.01</v>
      </c>
      <c r="V1279" s="189">
        <f>ROUND(P1279*L$1809,2)+8</f>
        <v>96.21</v>
      </c>
      <c r="W1279" s="189">
        <f t="shared" si="758"/>
        <v>3.21</v>
      </c>
      <c r="X1279" s="189">
        <f t="shared" si="681"/>
        <v>1274.54</v>
      </c>
      <c r="Y1279" s="190">
        <f t="shared" si="682"/>
        <v>5676.58</v>
      </c>
      <c r="Z1279" s="191">
        <v>5676.71</v>
      </c>
      <c r="AA1279" s="192">
        <f t="shared" si="837"/>
        <v>0.13000000000010914</v>
      </c>
      <c r="AB1279" s="193">
        <f t="shared" si="684"/>
        <v>4.3434893396039117E-3</v>
      </c>
      <c r="AC1279" s="194">
        <f t="shared" si="685"/>
        <v>3.97E-4</v>
      </c>
      <c r="AD1279" s="189"/>
      <c r="AE1279" s="195" t="s">
        <v>403</v>
      </c>
      <c r="AF1279" s="119"/>
    </row>
    <row r="1280" spans="1:32" ht="12" hidden="1" customHeight="1">
      <c r="A1280" s="183">
        <v>44687</v>
      </c>
      <c r="B1280" s="184" t="s">
        <v>575</v>
      </c>
      <c r="C1280" s="184"/>
      <c r="D1280" s="184"/>
      <c r="E1280" s="184"/>
      <c r="F1280" s="184"/>
      <c r="G1280" s="184"/>
      <c r="H1280" s="184" t="s">
        <v>654</v>
      </c>
      <c r="I1280" s="184" t="s">
        <v>469</v>
      </c>
      <c r="J1280" s="184" t="s">
        <v>448</v>
      </c>
      <c r="K1280" s="185">
        <v>350</v>
      </c>
      <c r="L1280" s="186">
        <v>1117.0450000000001</v>
      </c>
      <c r="M1280" s="187">
        <v>1123.5714</v>
      </c>
      <c r="N1280" s="188">
        <f t="shared" si="796"/>
        <v>20</v>
      </c>
      <c r="O1280" s="188">
        <f t="shared" si="797"/>
        <v>20</v>
      </c>
      <c r="P1280" s="189">
        <f t="shared" si="674"/>
        <v>784215.74</v>
      </c>
      <c r="Q1280" s="189">
        <f t="shared" si="675"/>
        <v>2284.2399999999884</v>
      </c>
      <c r="R1280" s="189">
        <v>184.11</v>
      </c>
      <c r="S1280" s="189">
        <f t="shared" si="697"/>
        <v>37.020000000000003</v>
      </c>
      <c r="T1280" s="189">
        <f>ROUND((M1280*K1280)*K$1807,2)-3</f>
        <v>95.31</v>
      </c>
      <c r="U1280" s="189">
        <f t="shared" si="851"/>
        <v>11.73</v>
      </c>
      <c r="V1280" s="189">
        <f>ROUND(P1280*L$1809,2)</f>
        <v>21.57</v>
      </c>
      <c r="W1280" s="189">
        <f t="shared" si="758"/>
        <v>0.78</v>
      </c>
      <c r="X1280" s="189">
        <f t="shared" si="681"/>
        <v>350.52000000000004</v>
      </c>
      <c r="Y1280" s="190">
        <f t="shared" si="682"/>
        <v>1933.72</v>
      </c>
      <c r="Z1280" s="191">
        <v>1934.36</v>
      </c>
      <c r="AA1280" s="192">
        <f t="shared" si="837"/>
        <v>0.63999999999987267</v>
      </c>
      <c r="AB1280" s="193">
        <f t="shared" si="684"/>
        <v>5.8425578199624607E-3</v>
      </c>
      <c r="AC1280" s="194">
        <f t="shared" si="685"/>
        <v>4.4700000000000002E-4</v>
      </c>
      <c r="AD1280" s="189"/>
      <c r="AE1280" s="195" t="s">
        <v>403</v>
      </c>
      <c r="AF1280" s="119"/>
    </row>
    <row r="1281" spans="1:32" ht="12" hidden="1" customHeight="1">
      <c r="A1281" s="183">
        <v>44690</v>
      </c>
      <c r="B1281" s="184" t="s">
        <v>575</v>
      </c>
      <c r="C1281" s="184"/>
      <c r="D1281" s="184"/>
      <c r="E1281" s="184"/>
      <c r="F1281" s="184"/>
      <c r="G1281" s="184"/>
      <c r="H1281" s="184" t="s">
        <v>654</v>
      </c>
      <c r="I1281" s="184" t="s">
        <v>469</v>
      </c>
      <c r="J1281" s="184" t="s">
        <v>448</v>
      </c>
      <c r="K1281" s="185">
        <v>390</v>
      </c>
      <c r="L1281" s="186">
        <v>1022.2308</v>
      </c>
      <c r="M1281" s="187">
        <v>1027.6667</v>
      </c>
      <c r="N1281" s="188">
        <f t="shared" si="796"/>
        <v>20</v>
      </c>
      <c r="O1281" s="188">
        <f t="shared" si="797"/>
        <v>20</v>
      </c>
      <c r="P1281" s="189">
        <f t="shared" si="674"/>
        <v>799460.03</v>
      </c>
      <c r="Q1281" s="189">
        <f t="shared" si="675"/>
        <v>2120.0009999999793</v>
      </c>
      <c r="R1281" s="189">
        <v>196.75</v>
      </c>
      <c r="S1281" s="189">
        <f t="shared" si="697"/>
        <v>39.549999999999997</v>
      </c>
      <c r="T1281" s="189">
        <f t="shared" ref="T1281:T1283" si="852">ROUND((M1281*K1281)*K$1807,2)</f>
        <v>100.2</v>
      </c>
      <c r="U1281" s="189">
        <f t="shared" si="851"/>
        <v>11.96</v>
      </c>
      <c r="V1281" s="189">
        <f>ROUND(P1281*L$1809,2)+1</f>
        <v>22.99</v>
      </c>
      <c r="W1281" s="189">
        <f t="shared" si="758"/>
        <v>0.8</v>
      </c>
      <c r="X1281" s="189">
        <f t="shared" si="681"/>
        <v>372.25</v>
      </c>
      <c r="Y1281" s="190">
        <f t="shared" si="682"/>
        <v>1747.75</v>
      </c>
      <c r="Z1281" s="191">
        <v>1748.45</v>
      </c>
      <c r="AA1281" s="192">
        <f t="shared" si="837"/>
        <v>0.70000000000004547</v>
      </c>
      <c r="AB1281" s="193">
        <f t="shared" si="684"/>
        <v>5.3176836385676763E-3</v>
      </c>
      <c r="AC1281" s="194">
        <f t="shared" si="685"/>
        <v>4.66E-4</v>
      </c>
      <c r="AD1281" s="189"/>
      <c r="AE1281" s="195" t="s">
        <v>403</v>
      </c>
      <c r="AF1281" s="119"/>
    </row>
    <row r="1282" spans="1:32" ht="12" hidden="1" customHeight="1">
      <c r="A1282" s="183">
        <v>44691</v>
      </c>
      <c r="B1282" s="184" t="s">
        <v>575</v>
      </c>
      <c r="C1282" s="184"/>
      <c r="D1282" s="184"/>
      <c r="E1282" s="184"/>
      <c r="F1282" s="184"/>
      <c r="G1282" s="184"/>
      <c r="H1282" s="184" t="s">
        <v>654</v>
      </c>
      <c r="I1282" s="184" t="s">
        <v>469</v>
      </c>
      <c r="J1282" s="184" t="s">
        <v>448</v>
      </c>
      <c r="K1282" s="185">
        <v>510</v>
      </c>
      <c r="L1282" s="186">
        <v>1027.3088</v>
      </c>
      <c r="M1282" s="187">
        <v>1033.1609000000001</v>
      </c>
      <c r="N1282" s="188">
        <f t="shared" si="796"/>
        <v>20</v>
      </c>
      <c r="O1282" s="188">
        <f t="shared" si="797"/>
        <v>20</v>
      </c>
      <c r="P1282" s="189">
        <f t="shared" si="674"/>
        <v>1050839.55</v>
      </c>
      <c r="Q1282" s="189">
        <f t="shared" si="675"/>
        <v>2984.5710000000327</v>
      </c>
      <c r="R1282" s="189">
        <v>253.09</v>
      </c>
      <c r="S1282" s="189">
        <f t="shared" si="697"/>
        <v>50.76</v>
      </c>
      <c r="T1282" s="189">
        <f t="shared" si="852"/>
        <v>131.72999999999999</v>
      </c>
      <c r="U1282" s="189">
        <f t="shared" si="851"/>
        <v>15.72</v>
      </c>
      <c r="V1282" s="189">
        <f t="shared" ref="V1282:V1306" si="853">ROUND(P1282*L$1809,2)</f>
        <v>28.9</v>
      </c>
      <c r="W1282" s="189">
        <f t="shared" si="758"/>
        <v>1.05</v>
      </c>
      <c r="X1282" s="189">
        <f t="shared" si="681"/>
        <v>481.25000000000006</v>
      </c>
      <c r="Y1282" s="190">
        <f t="shared" si="682"/>
        <v>2503.3200000000002</v>
      </c>
      <c r="Z1282" s="191">
        <v>2503.46</v>
      </c>
      <c r="AA1282" s="192">
        <f t="shared" si="837"/>
        <v>0.13999999999987267</v>
      </c>
      <c r="AB1282" s="193">
        <f t="shared" si="684"/>
        <v>5.6965344792141021E-3</v>
      </c>
      <c r="AC1282" s="194">
        <f t="shared" si="685"/>
        <v>4.5800000000000002E-4</v>
      </c>
      <c r="AD1282" s="189"/>
      <c r="AE1282" s="195" t="s">
        <v>403</v>
      </c>
      <c r="AF1282" s="119"/>
    </row>
    <row r="1283" spans="1:32" ht="12" hidden="1" customHeight="1">
      <c r="A1283" s="183">
        <v>44692</v>
      </c>
      <c r="B1283" s="184" t="s">
        <v>575</v>
      </c>
      <c r="C1283" s="184"/>
      <c r="D1283" s="184"/>
      <c r="E1283" s="184"/>
      <c r="F1283" s="184"/>
      <c r="G1283" s="184"/>
      <c r="H1283" s="184" t="s">
        <v>654</v>
      </c>
      <c r="I1283" s="184" t="s">
        <v>469</v>
      </c>
      <c r="J1283" s="184" t="s">
        <v>448</v>
      </c>
      <c r="K1283" s="185">
        <v>470</v>
      </c>
      <c r="L1283" s="186">
        <v>1010.9681</v>
      </c>
      <c r="M1283" s="187">
        <v>1018.2702</v>
      </c>
      <c r="N1283" s="188">
        <f t="shared" si="796"/>
        <v>20</v>
      </c>
      <c r="O1283" s="188">
        <f t="shared" si="797"/>
        <v>20</v>
      </c>
      <c r="P1283" s="189">
        <f t="shared" si="674"/>
        <v>953742</v>
      </c>
      <c r="Q1283" s="189">
        <f t="shared" si="675"/>
        <v>3431.9869999999983</v>
      </c>
      <c r="R1283" s="189">
        <v>244.35</v>
      </c>
      <c r="S1283" s="189">
        <f t="shared" si="697"/>
        <v>48.7</v>
      </c>
      <c r="T1283" s="189">
        <f t="shared" si="852"/>
        <v>119.65</v>
      </c>
      <c r="U1283" s="189">
        <f t="shared" si="851"/>
        <v>14.25</v>
      </c>
      <c r="V1283" s="189">
        <f t="shared" si="853"/>
        <v>26.23</v>
      </c>
      <c r="W1283" s="189">
        <f t="shared" si="758"/>
        <v>0.95</v>
      </c>
      <c r="X1283" s="189">
        <f t="shared" si="681"/>
        <v>454.13000000000005</v>
      </c>
      <c r="Y1283" s="190">
        <f t="shared" si="682"/>
        <v>2977.86</v>
      </c>
      <c r="Z1283" s="191">
        <v>2978.78</v>
      </c>
      <c r="AA1283" s="192">
        <f t="shared" si="837"/>
        <v>0.92000000000007276</v>
      </c>
      <c r="AB1283" s="193">
        <f t="shared" si="684"/>
        <v>7.222878743651749E-3</v>
      </c>
      <c r="AC1283" s="194">
        <f t="shared" si="685"/>
        <v>4.7600000000000002E-4</v>
      </c>
      <c r="AD1283" s="189"/>
      <c r="AE1283" s="195" t="s">
        <v>403</v>
      </c>
      <c r="AF1283" s="119"/>
    </row>
    <row r="1284" spans="1:32" ht="12" hidden="1" customHeight="1">
      <c r="A1284" s="183">
        <v>44693</v>
      </c>
      <c r="B1284" s="184" t="s">
        <v>575</v>
      </c>
      <c r="C1284" s="184"/>
      <c r="D1284" s="184"/>
      <c r="E1284" s="184"/>
      <c r="F1284" s="184"/>
      <c r="G1284" s="184"/>
      <c r="H1284" s="184" t="s">
        <v>654</v>
      </c>
      <c r="I1284" s="184" t="s">
        <v>469</v>
      </c>
      <c r="J1284" s="184" t="s">
        <v>448</v>
      </c>
      <c r="K1284" s="185">
        <v>550</v>
      </c>
      <c r="L1284" s="186">
        <v>1036.17362</v>
      </c>
      <c r="M1284" s="187">
        <v>1041.4431</v>
      </c>
      <c r="N1284" s="188">
        <f t="shared" si="796"/>
        <v>20</v>
      </c>
      <c r="O1284" s="188">
        <f t="shared" si="797"/>
        <v>20</v>
      </c>
      <c r="P1284" s="189">
        <f t="shared" si="674"/>
        <v>1142689.2</v>
      </c>
      <c r="Q1284" s="189">
        <f t="shared" si="675"/>
        <v>2898.2139999999617</v>
      </c>
      <c r="R1284" s="189">
        <v>342.83</v>
      </c>
      <c r="S1284" s="189">
        <f t="shared" si="697"/>
        <v>67.37</v>
      </c>
      <c r="T1284" s="189">
        <f>ROUND((M1284*K1284)*K$1807,2)+3.25</f>
        <v>146.44999999999999</v>
      </c>
      <c r="U1284" s="189">
        <f t="shared" si="851"/>
        <v>17.100000000000001</v>
      </c>
      <c r="V1284" s="189">
        <f t="shared" si="853"/>
        <v>31.42</v>
      </c>
      <c r="W1284" s="189">
        <f t="shared" si="758"/>
        <v>1.1399999999999999</v>
      </c>
      <c r="X1284" s="189">
        <f t="shared" si="681"/>
        <v>606.30999999999995</v>
      </c>
      <c r="Y1284" s="190">
        <f t="shared" si="682"/>
        <v>2291.9</v>
      </c>
      <c r="Z1284" s="191">
        <v>2291.62</v>
      </c>
      <c r="AA1284" s="192">
        <f t="shared" si="837"/>
        <v>-0.28000000000020009</v>
      </c>
      <c r="AB1284" s="193">
        <f t="shared" si="684"/>
        <v>5.0855183902480845E-3</v>
      </c>
      <c r="AC1284" s="194">
        <f t="shared" si="685"/>
        <v>5.31E-4</v>
      </c>
      <c r="AD1284" s="189"/>
      <c r="AE1284" s="195" t="s">
        <v>403</v>
      </c>
      <c r="AF1284" s="119"/>
    </row>
    <row r="1285" spans="1:32" ht="12" hidden="1" customHeight="1">
      <c r="A1285" s="183">
        <v>44694</v>
      </c>
      <c r="B1285" s="184" t="s">
        <v>575</v>
      </c>
      <c r="C1285" s="184"/>
      <c r="D1285" s="184"/>
      <c r="E1285" s="184"/>
      <c r="F1285" s="184"/>
      <c r="G1285" s="184"/>
      <c r="H1285" s="184" t="s">
        <v>654</v>
      </c>
      <c r="I1285" s="184" t="s">
        <v>469</v>
      </c>
      <c r="J1285" s="184" t="s">
        <v>448</v>
      </c>
      <c r="K1285" s="185">
        <v>20</v>
      </c>
      <c r="L1285" s="186">
        <v>995</v>
      </c>
      <c r="M1285" s="187">
        <v>998</v>
      </c>
      <c r="N1285" s="188">
        <f t="shared" si="796"/>
        <v>5.97</v>
      </c>
      <c r="O1285" s="188">
        <f t="shared" si="797"/>
        <v>5.99</v>
      </c>
      <c r="P1285" s="189">
        <f t="shared" si="674"/>
        <v>39860</v>
      </c>
      <c r="Q1285" s="189">
        <f t="shared" si="675"/>
        <v>60</v>
      </c>
      <c r="R1285" s="189">
        <v>21.43</v>
      </c>
      <c r="S1285" s="189">
        <f t="shared" si="697"/>
        <v>4.0599999999999996</v>
      </c>
      <c r="T1285" s="189">
        <f t="shared" ref="T1285:T1290" si="854">ROUND((M1285*K1285)*K$1807,2)</f>
        <v>4.99</v>
      </c>
      <c r="U1285" s="189">
        <f t="shared" si="851"/>
        <v>0.6</v>
      </c>
      <c r="V1285" s="189">
        <f t="shared" si="853"/>
        <v>1.1000000000000001</v>
      </c>
      <c r="W1285" s="189">
        <f t="shared" si="758"/>
        <v>0.04</v>
      </c>
      <c r="X1285" s="189">
        <f t="shared" si="681"/>
        <v>32.22</v>
      </c>
      <c r="Y1285" s="190">
        <f t="shared" si="682"/>
        <v>27.78</v>
      </c>
      <c r="Z1285" s="191">
        <v>28.62</v>
      </c>
      <c r="AA1285" s="192">
        <f t="shared" si="837"/>
        <v>0.83999999999999986</v>
      </c>
      <c r="AB1285" s="193">
        <f t="shared" si="684"/>
        <v>3.015075376884422E-3</v>
      </c>
      <c r="AC1285" s="194">
        <f t="shared" si="685"/>
        <v>8.0800000000000002E-4</v>
      </c>
      <c r="AD1285" s="189"/>
      <c r="AE1285" s="195" t="s">
        <v>403</v>
      </c>
      <c r="AF1285" s="119"/>
    </row>
    <row r="1286" spans="1:32" ht="12" hidden="1" customHeight="1">
      <c r="A1286" s="183">
        <v>44698</v>
      </c>
      <c r="B1286" s="184" t="s">
        <v>575</v>
      </c>
      <c r="C1286" s="184"/>
      <c r="D1286" s="184"/>
      <c r="E1286" s="184"/>
      <c r="F1286" s="184"/>
      <c r="G1286" s="184"/>
      <c r="H1286" s="184" t="s">
        <v>654</v>
      </c>
      <c r="I1286" s="184" t="s">
        <v>469</v>
      </c>
      <c r="J1286" s="184" t="s">
        <v>448</v>
      </c>
      <c r="K1286" s="185">
        <v>50</v>
      </c>
      <c r="L1286" s="186">
        <v>916.76</v>
      </c>
      <c r="M1286" s="187">
        <v>923.6</v>
      </c>
      <c r="N1286" s="188">
        <f t="shared" si="796"/>
        <v>13.75</v>
      </c>
      <c r="O1286" s="188">
        <f t="shared" si="797"/>
        <v>13.85</v>
      </c>
      <c r="P1286" s="189">
        <f t="shared" si="674"/>
        <v>92018</v>
      </c>
      <c r="Q1286" s="189">
        <f t="shared" si="675"/>
        <v>342.00000000000159</v>
      </c>
      <c r="R1286" s="189">
        <v>27.52</v>
      </c>
      <c r="S1286" s="189">
        <f t="shared" si="697"/>
        <v>5.41</v>
      </c>
      <c r="T1286" s="189">
        <f t="shared" si="854"/>
        <v>11.55</v>
      </c>
      <c r="U1286" s="189">
        <f t="shared" si="851"/>
        <v>1.38</v>
      </c>
      <c r="V1286" s="189">
        <f t="shared" si="853"/>
        <v>2.5299999999999998</v>
      </c>
      <c r="W1286" s="189">
        <f t="shared" si="758"/>
        <v>0.09</v>
      </c>
      <c r="X1286" s="189">
        <f t="shared" si="681"/>
        <v>48.480000000000011</v>
      </c>
      <c r="Y1286" s="190">
        <f t="shared" si="682"/>
        <v>293.52</v>
      </c>
      <c r="Z1286" s="191">
        <v>293.83</v>
      </c>
      <c r="AA1286" s="192">
        <f t="shared" si="837"/>
        <v>0.31000000000000227</v>
      </c>
      <c r="AB1286" s="193">
        <f t="shared" si="684"/>
        <v>7.4610585104062481E-3</v>
      </c>
      <c r="AC1286" s="194">
        <f t="shared" si="685"/>
        <v>5.2700000000000002E-4</v>
      </c>
      <c r="AD1286" s="189"/>
      <c r="AE1286" s="195" t="s">
        <v>403</v>
      </c>
      <c r="AF1286" s="119"/>
    </row>
    <row r="1287" spans="1:32" ht="12" hidden="1" customHeight="1">
      <c r="A1287" s="183">
        <v>44698</v>
      </c>
      <c r="B1287" s="184" t="s">
        <v>589</v>
      </c>
      <c r="C1287" s="184"/>
      <c r="D1287" s="184"/>
      <c r="E1287" s="184"/>
      <c r="F1287" s="184"/>
      <c r="G1287" s="184"/>
      <c r="H1287" s="184" t="s">
        <v>654</v>
      </c>
      <c r="I1287" s="184" t="s">
        <v>469</v>
      </c>
      <c r="J1287" s="184" t="s">
        <v>471</v>
      </c>
      <c r="K1287" s="185">
        <v>20</v>
      </c>
      <c r="L1287" s="186">
        <v>1248.8625</v>
      </c>
      <c r="M1287" s="187">
        <v>1267</v>
      </c>
      <c r="N1287" s="188">
        <f t="shared" si="796"/>
        <v>7.49</v>
      </c>
      <c r="O1287" s="188">
        <f t="shared" si="797"/>
        <v>7.6</v>
      </c>
      <c r="P1287" s="189">
        <f t="shared" si="674"/>
        <v>50317.25</v>
      </c>
      <c r="Q1287" s="189">
        <f t="shared" si="675"/>
        <v>362.75000000000091</v>
      </c>
      <c r="R1287" s="189">
        <f>ROUND(N1287+O1287,2)</f>
        <v>15.09</v>
      </c>
      <c r="S1287" s="189">
        <f t="shared" si="697"/>
        <v>2.96</v>
      </c>
      <c r="T1287" s="189">
        <f t="shared" si="854"/>
        <v>6.34</v>
      </c>
      <c r="U1287" s="189">
        <f t="shared" si="851"/>
        <v>0.75</v>
      </c>
      <c r="V1287" s="189">
        <f t="shared" si="853"/>
        <v>1.38</v>
      </c>
      <c r="W1287" s="189">
        <f t="shared" si="758"/>
        <v>0.05</v>
      </c>
      <c r="X1287" s="189">
        <f t="shared" si="681"/>
        <v>26.57</v>
      </c>
      <c r="Y1287" s="190">
        <f t="shared" si="682"/>
        <v>336.18</v>
      </c>
      <c r="Z1287" s="191">
        <v>336.25</v>
      </c>
      <c r="AA1287" s="192">
        <f t="shared" si="837"/>
        <v>6.9999999999993179E-2</v>
      </c>
      <c r="AB1287" s="193">
        <f t="shared" si="684"/>
        <v>1.4523216126675311E-2</v>
      </c>
      <c r="AC1287" s="194">
        <f t="shared" si="685"/>
        <v>5.2800000000000004E-4</v>
      </c>
      <c r="AD1287" s="189"/>
      <c r="AE1287" s="195" t="s">
        <v>403</v>
      </c>
      <c r="AF1287" s="119"/>
    </row>
    <row r="1288" spans="1:32" ht="12" hidden="1" customHeight="1">
      <c r="A1288" s="183">
        <v>44699</v>
      </c>
      <c r="B1288" s="184" t="s">
        <v>575</v>
      </c>
      <c r="C1288" s="184"/>
      <c r="D1288" s="184"/>
      <c r="E1288" s="184"/>
      <c r="F1288" s="184"/>
      <c r="G1288" s="184"/>
      <c r="H1288" s="184" t="s">
        <v>654</v>
      </c>
      <c r="I1288" s="184" t="s">
        <v>469</v>
      </c>
      <c r="J1288" s="184" t="s">
        <v>448</v>
      </c>
      <c r="K1288" s="185">
        <v>125</v>
      </c>
      <c r="L1288" s="186">
        <v>947.6</v>
      </c>
      <c r="M1288" s="187">
        <v>951.6</v>
      </c>
      <c r="N1288" s="188">
        <f t="shared" si="796"/>
        <v>20</v>
      </c>
      <c r="O1288" s="188">
        <f t="shared" si="797"/>
        <v>20</v>
      </c>
      <c r="P1288" s="189">
        <f t="shared" si="674"/>
        <v>237400</v>
      </c>
      <c r="Q1288" s="189">
        <f t="shared" si="675"/>
        <v>500</v>
      </c>
      <c r="R1288" s="189">
        <v>71.23</v>
      </c>
      <c r="S1288" s="189">
        <f t="shared" si="697"/>
        <v>14</v>
      </c>
      <c r="T1288" s="189">
        <f t="shared" si="854"/>
        <v>29.74</v>
      </c>
      <c r="U1288" s="189">
        <f t="shared" si="851"/>
        <v>3.55</v>
      </c>
      <c r="V1288" s="189">
        <f t="shared" si="853"/>
        <v>6.53</v>
      </c>
      <c r="W1288" s="189">
        <f t="shared" si="758"/>
        <v>0.24</v>
      </c>
      <c r="X1288" s="189">
        <f t="shared" si="681"/>
        <v>125.28999999999999</v>
      </c>
      <c r="Y1288" s="190">
        <f t="shared" si="682"/>
        <v>374.71</v>
      </c>
      <c r="Z1288" s="191">
        <v>374.02</v>
      </c>
      <c r="AA1288" s="192">
        <f t="shared" si="837"/>
        <v>-0.68999999999999773</v>
      </c>
      <c r="AB1288" s="193">
        <f t="shared" si="684"/>
        <v>4.221190375685943E-3</v>
      </c>
      <c r="AC1288" s="194">
        <f t="shared" si="685"/>
        <v>5.2800000000000004E-4</v>
      </c>
      <c r="AD1288" s="189"/>
      <c r="AE1288" s="195" t="s">
        <v>403</v>
      </c>
      <c r="AF1288" s="119"/>
    </row>
    <row r="1289" spans="1:32" ht="12" hidden="1" customHeight="1">
      <c r="A1289" s="183">
        <v>44699</v>
      </c>
      <c r="B1289" s="184" t="s">
        <v>601</v>
      </c>
      <c r="C1289" s="184"/>
      <c r="D1289" s="184"/>
      <c r="E1289" s="184"/>
      <c r="F1289" s="184"/>
      <c r="G1289" s="184"/>
      <c r="H1289" s="184" t="s">
        <v>654</v>
      </c>
      <c r="I1289" s="184" t="s">
        <v>469</v>
      </c>
      <c r="J1289" s="184" t="s">
        <v>471</v>
      </c>
      <c r="K1289" s="185">
        <v>50</v>
      </c>
      <c r="L1289" s="186">
        <v>1154.152</v>
      </c>
      <c r="M1289" s="187">
        <v>1157.202</v>
      </c>
      <c r="N1289" s="188">
        <f t="shared" si="796"/>
        <v>17.309999999999999</v>
      </c>
      <c r="O1289" s="188">
        <f t="shared" si="797"/>
        <v>17.36</v>
      </c>
      <c r="P1289" s="189">
        <f t="shared" si="674"/>
        <v>115567.7</v>
      </c>
      <c r="Q1289" s="189">
        <f t="shared" si="675"/>
        <v>152.49999999999773</v>
      </c>
      <c r="R1289" s="189">
        <v>37.99</v>
      </c>
      <c r="S1289" s="189">
        <f t="shared" si="697"/>
        <v>7.41</v>
      </c>
      <c r="T1289" s="189">
        <f t="shared" si="854"/>
        <v>14.47</v>
      </c>
      <c r="U1289" s="189">
        <f t="shared" si="851"/>
        <v>1.73</v>
      </c>
      <c r="V1289" s="189">
        <f t="shared" si="853"/>
        <v>3.18</v>
      </c>
      <c r="W1289" s="189">
        <f t="shared" si="758"/>
        <v>0.12</v>
      </c>
      <c r="X1289" s="189">
        <f t="shared" si="681"/>
        <v>64.900000000000006</v>
      </c>
      <c r="Y1289" s="190">
        <f t="shared" si="682"/>
        <v>87.6</v>
      </c>
      <c r="Z1289" s="191">
        <v>86.6</v>
      </c>
      <c r="AA1289" s="192">
        <f t="shared" si="837"/>
        <v>-1</v>
      </c>
      <c r="AB1289" s="193">
        <f t="shared" si="684"/>
        <v>2.6426328594500157E-3</v>
      </c>
      <c r="AC1289" s="194">
        <f t="shared" si="685"/>
        <v>5.62E-4</v>
      </c>
      <c r="AD1289" s="189"/>
      <c r="AE1289" s="195" t="s">
        <v>403</v>
      </c>
      <c r="AF1289" s="119"/>
    </row>
    <row r="1290" spans="1:32" ht="12" hidden="1" customHeight="1">
      <c r="A1290" s="183">
        <v>44700</v>
      </c>
      <c r="B1290" s="184" t="s">
        <v>575</v>
      </c>
      <c r="C1290" s="184"/>
      <c r="D1290" s="184"/>
      <c r="E1290" s="184"/>
      <c r="F1290" s="184"/>
      <c r="G1290" s="184"/>
      <c r="H1290" s="184" t="s">
        <v>654</v>
      </c>
      <c r="I1290" s="184" t="s">
        <v>469</v>
      </c>
      <c r="J1290" s="184" t="s">
        <v>448</v>
      </c>
      <c r="K1290" s="185">
        <v>120</v>
      </c>
      <c r="L1290" s="186">
        <v>955.66669999999999</v>
      </c>
      <c r="M1290" s="187">
        <v>960.83339999999998</v>
      </c>
      <c r="N1290" s="188">
        <f t="shared" si="796"/>
        <v>20</v>
      </c>
      <c r="O1290" s="188">
        <f t="shared" si="797"/>
        <v>20</v>
      </c>
      <c r="P1290" s="189">
        <f t="shared" si="674"/>
        <v>229980.01</v>
      </c>
      <c r="Q1290" s="189">
        <f t="shared" si="675"/>
        <v>620.003999999999</v>
      </c>
      <c r="R1290" s="189">
        <v>80.27</v>
      </c>
      <c r="S1290" s="189">
        <f t="shared" si="697"/>
        <v>15.59</v>
      </c>
      <c r="T1290" s="189">
        <f t="shared" si="854"/>
        <v>28.83</v>
      </c>
      <c r="U1290" s="189">
        <f t="shared" si="851"/>
        <v>3.44</v>
      </c>
      <c r="V1290" s="189">
        <f t="shared" si="853"/>
        <v>6.32</v>
      </c>
      <c r="W1290" s="189">
        <f t="shared" si="758"/>
        <v>0.23</v>
      </c>
      <c r="X1290" s="189">
        <f t="shared" si="681"/>
        <v>134.67999999999998</v>
      </c>
      <c r="Y1290" s="190">
        <f t="shared" si="682"/>
        <v>485.32</v>
      </c>
      <c r="Z1290" s="191">
        <v>485.33</v>
      </c>
      <c r="AA1290" s="192">
        <f t="shared" si="837"/>
        <v>9.9999999999909051E-3</v>
      </c>
      <c r="AB1290" s="193">
        <f t="shared" si="684"/>
        <v>5.4063827901505738E-3</v>
      </c>
      <c r="AC1290" s="194">
        <f t="shared" si="685"/>
        <v>5.8600000000000004E-4</v>
      </c>
      <c r="AD1290" s="189"/>
      <c r="AE1290" s="195" t="s">
        <v>403</v>
      </c>
      <c r="AF1290" s="119"/>
    </row>
    <row r="1291" spans="1:32" ht="12" hidden="1" customHeight="1">
      <c r="A1291" s="183">
        <v>44701</v>
      </c>
      <c r="B1291" s="184" t="s">
        <v>575</v>
      </c>
      <c r="C1291" s="184"/>
      <c r="D1291" s="184"/>
      <c r="E1291" s="184"/>
      <c r="F1291" s="184"/>
      <c r="G1291" s="184"/>
      <c r="H1291" s="184" t="s">
        <v>654</v>
      </c>
      <c r="I1291" s="184" t="s">
        <v>469</v>
      </c>
      <c r="J1291" s="184" t="s">
        <v>448</v>
      </c>
      <c r="K1291" s="185">
        <v>225</v>
      </c>
      <c r="L1291" s="186">
        <v>984.96669999999995</v>
      </c>
      <c r="M1291" s="187">
        <v>989.77779999999996</v>
      </c>
      <c r="N1291" s="188">
        <f t="shared" si="796"/>
        <v>20</v>
      </c>
      <c r="O1291" s="188">
        <f t="shared" si="797"/>
        <v>20</v>
      </c>
      <c r="P1291" s="189">
        <f t="shared" si="674"/>
        <v>444317.51</v>
      </c>
      <c r="Q1291" s="189">
        <f t="shared" si="675"/>
        <v>1082.4975000000022</v>
      </c>
      <c r="R1291" s="189">
        <v>124.27</v>
      </c>
      <c r="S1291" s="189">
        <f t="shared" si="697"/>
        <v>24.57</v>
      </c>
      <c r="T1291" s="189">
        <f>ROUND((M1291*K1291)*K$1807,2)+1</f>
        <v>56.68</v>
      </c>
      <c r="U1291" s="189">
        <f t="shared" si="851"/>
        <v>6.65</v>
      </c>
      <c r="V1291" s="189">
        <f t="shared" si="853"/>
        <v>12.22</v>
      </c>
      <c r="W1291" s="189">
        <f t="shared" si="758"/>
        <v>0.44</v>
      </c>
      <c r="X1291" s="189">
        <f t="shared" si="681"/>
        <v>224.83</v>
      </c>
      <c r="Y1291" s="190">
        <f t="shared" si="682"/>
        <v>857.67</v>
      </c>
      <c r="Z1291" s="191">
        <v>857.32</v>
      </c>
      <c r="AA1291" s="192">
        <f t="shared" si="837"/>
        <v>-0.34999999999990905</v>
      </c>
      <c r="AB1291" s="193">
        <f t="shared" si="684"/>
        <v>4.8845306140806698E-3</v>
      </c>
      <c r="AC1291" s="194">
        <f t="shared" si="685"/>
        <v>5.0600000000000005E-4</v>
      </c>
      <c r="AD1291" s="189"/>
      <c r="AE1291" s="195" t="s">
        <v>403</v>
      </c>
      <c r="AF1291" s="119"/>
    </row>
    <row r="1292" spans="1:32" ht="12" hidden="1" customHeight="1">
      <c r="A1292" s="183">
        <v>44704</v>
      </c>
      <c r="B1292" s="184" t="s">
        <v>713</v>
      </c>
      <c r="C1292" s="184"/>
      <c r="D1292" s="184"/>
      <c r="E1292" s="184"/>
      <c r="F1292" s="184"/>
      <c r="G1292" s="184"/>
      <c r="H1292" s="184" t="s">
        <v>654</v>
      </c>
      <c r="I1292" s="184" t="s">
        <v>469</v>
      </c>
      <c r="J1292" s="184" t="s">
        <v>471</v>
      </c>
      <c r="K1292" s="185">
        <v>6</v>
      </c>
      <c r="L1292" s="186">
        <v>620</v>
      </c>
      <c r="M1292" s="187">
        <v>628</v>
      </c>
      <c r="N1292" s="188">
        <f t="shared" si="796"/>
        <v>1.1200000000000001</v>
      </c>
      <c r="O1292" s="188">
        <f t="shared" si="797"/>
        <v>1.1299999999999999</v>
      </c>
      <c r="P1292" s="189">
        <f t="shared" si="674"/>
        <v>7488</v>
      </c>
      <c r="Q1292" s="189">
        <f t="shared" si="675"/>
        <v>48</v>
      </c>
      <c r="R1292" s="189">
        <f>ROUND(N1292+O1292,2)</f>
        <v>2.25</v>
      </c>
      <c r="S1292" s="189">
        <f t="shared" si="697"/>
        <v>0.44</v>
      </c>
      <c r="T1292" s="189">
        <f>ROUND((M1292*K1292)*K$1807,2)</f>
        <v>0.94</v>
      </c>
      <c r="U1292" s="189">
        <f t="shared" si="851"/>
        <v>0.11</v>
      </c>
      <c r="V1292" s="189">
        <f t="shared" si="853"/>
        <v>0.21</v>
      </c>
      <c r="W1292" s="189">
        <f t="shared" si="758"/>
        <v>0.01</v>
      </c>
      <c r="X1292" s="189">
        <f t="shared" si="681"/>
        <v>3.9599999999999995</v>
      </c>
      <c r="Y1292" s="190">
        <f t="shared" si="682"/>
        <v>44.04</v>
      </c>
      <c r="Z1292" s="191">
        <v>44.09</v>
      </c>
      <c r="AA1292" s="192">
        <f t="shared" si="837"/>
        <v>5.0000000000004263E-2</v>
      </c>
      <c r="AB1292" s="193">
        <f t="shared" si="684"/>
        <v>1.2903225806451613E-2</v>
      </c>
      <c r="AC1292" s="194">
        <f t="shared" si="685"/>
        <v>5.2899999999999996E-4</v>
      </c>
      <c r="AD1292" s="189"/>
      <c r="AE1292" s="195" t="s">
        <v>403</v>
      </c>
      <c r="AF1292" s="119"/>
    </row>
    <row r="1293" spans="1:32" ht="12" hidden="1" customHeight="1">
      <c r="A1293" s="183">
        <v>44704</v>
      </c>
      <c r="B1293" s="184" t="s">
        <v>575</v>
      </c>
      <c r="C1293" s="184"/>
      <c r="D1293" s="184"/>
      <c r="E1293" s="184"/>
      <c r="F1293" s="184"/>
      <c r="G1293" s="184"/>
      <c r="H1293" s="184" t="s">
        <v>654</v>
      </c>
      <c r="I1293" s="184" t="s">
        <v>469</v>
      </c>
      <c r="J1293" s="184" t="s">
        <v>448</v>
      </c>
      <c r="K1293" s="185">
        <v>150</v>
      </c>
      <c r="L1293" s="186">
        <v>1001</v>
      </c>
      <c r="M1293" s="187">
        <v>1006</v>
      </c>
      <c r="N1293" s="188">
        <f t="shared" si="796"/>
        <v>20</v>
      </c>
      <c r="O1293" s="188">
        <f t="shared" si="797"/>
        <v>20</v>
      </c>
      <c r="P1293" s="189">
        <f t="shared" si="674"/>
        <v>301050</v>
      </c>
      <c r="Q1293" s="189">
        <f t="shared" si="675"/>
        <v>750</v>
      </c>
      <c r="R1293" s="189">
        <v>90.33</v>
      </c>
      <c r="S1293" s="189">
        <f t="shared" si="697"/>
        <v>17.75</v>
      </c>
      <c r="T1293" s="189">
        <f t="shared" ref="T1293:T1294" si="855">ROUND((M1293*K1293)*K$1807,2)+1</f>
        <v>38.729999999999997</v>
      </c>
      <c r="U1293" s="189">
        <f t="shared" si="851"/>
        <v>4.5</v>
      </c>
      <c r="V1293" s="189">
        <f t="shared" si="853"/>
        <v>8.2799999999999994</v>
      </c>
      <c r="W1293" s="189">
        <f t="shared" si="758"/>
        <v>0.3</v>
      </c>
      <c r="X1293" s="189">
        <f t="shared" si="681"/>
        <v>159.89000000000001</v>
      </c>
      <c r="Y1293" s="190">
        <f t="shared" si="682"/>
        <v>590.11</v>
      </c>
      <c r="Z1293" s="191">
        <v>589.71</v>
      </c>
      <c r="AA1293" s="192">
        <f t="shared" si="837"/>
        <v>-0.39999999999997726</v>
      </c>
      <c r="AB1293" s="193">
        <f t="shared" si="684"/>
        <v>4.995004995004995E-3</v>
      </c>
      <c r="AC1293" s="194">
        <f t="shared" si="685"/>
        <v>5.31E-4</v>
      </c>
      <c r="AD1293" s="189"/>
      <c r="AE1293" s="195" t="s">
        <v>403</v>
      </c>
      <c r="AF1293" s="119"/>
    </row>
    <row r="1294" spans="1:32" ht="12" hidden="1" customHeight="1">
      <c r="A1294" s="183">
        <v>44705</v>
      </c>
      <c r="B1294" s="184" t="s">
        <v>575</v>
      </c>
      <c r="C1294" s="184"/>
      <c r="D1294" s="184"/>
      <c r="E1294" s="184"/>
      <c r="F1294" s="184"/>
      <c r="G1294" s="184"/>
      <c r="H1294" s="184" t="s">
        <v>654</v>
      </c>
      <c r="I1294" s="184" t="s">
        <v>469</v>
      </c>
      <c r="J1294" s="184" t="s">
        <v>448</v>
      </c>
      <c r="K1294" s="185">
        <v>75</v>
      </c>
      <c r="L1294" s="186">
        <v>985</v>
      </c>
      <c r="M1294" s="187">
        <v>992</v>
      </c>
      <c r="N1294" s="188">
        <f t="shared" si="796"/>
        <v>20</v>
      </c>
      <c r="O1294" s="188">
        <f t="shared" si="797"/>
        <v>20</v>
      </c>
      <c r="P1294" s="189">
        <f t="shared" si="674"/>
        <v>148275</v>
      </c>
      <c r="Q1294" s="189">
        <f t="shared" si="675"/>
        <v>525</v>
      </c>
      <c r="R1294" s="189">
        <v>44.48</v>
      </c>
      <c r="S1294" s="189">
        <f t="shared" si="697"/>
        <v>8.74</v>
      </c>
      <c r="T1294" s="189">
        <f t="shared" si="855"/>
        <v>19.600000000000001</v>
      </c>
      <c r="U1294" s="189">
        <f t="shared" si="851"/>
        <v>2.2200000000000002</v>
      </c>
      <c r="V1294" s="189">
        <f t="shared" si="853"/>
        <v>4.08</v>
      </c>
      <c r="W1294" s="189">
        <f t="shared" si="758"/>
        <v>0.15</v>
      </c>
      <c r="X1294" s="189">
        <f t="shared" si="681"/>
        <v>79.27</v>
      </c>
      <c r="Y1294" s="190">
        <f t="shared" si="682"/>
        <v>445.73</v>
      </c>
      <c r="Z1294" s="191">
        <v>445.93</v>
      </c>
      <c r="AA1294" s="192">
        <f t="shared" si="837"/>
        <v>0.19999999999998863</v>
      </c>
      <c r="AB1294" s="193">
        <f t="shared" si="684"/>
        <v>7.1065989847715737E-3</v>
      </c>
      <c r="AC1294" s="194">
        <f t="shared" si="685"/>
        <v>5.3499999999999999E-4</v>
      </c>
      <c r="AD1294" s="189"/>
      <c r="AE1294" s="195" t="s">
        <v>403</v>
      </c>
      <c r="AF1294" s="119"/>
    </row>
    <row r="1295" spans="1:32" ht="12" hidden="1" customHeight="1">
      <c r="A1295" s="183">
        <v>44705</v>
      </c>
      <c r="B1295" s="184" t="s">
        <v>713</v>
      </c>
      <c r="C1295" s="184"/>
      <c r="D1295" s="184"/>
      <c r="E1295" s="184"/>
      <c r="F1295" s="184"/>
      <c r="G1295" s="184"/>
      <c r="H1295" s="184" t="s">
        <v>654</v>
      </c>
      <c r="I1295" s="184" t="s">
        <v>469</v>
      </c>
      <c r="J1295" s="184" t="s">
        <v>471</v>
      </c>
      <c r="K1295" s="185">
        <v>6</v>
      </c>
      <c r="L1295" s="186">
        <v>631</v>
      </c>
      <c r="M1295" s="187">
        <v>644</v>
      </c>
      <c r="N1295" s="188">
        <f t="shared" si="796"/>
        <v>1.1399999999999999</v>
      </c>
      <c r="O1295" s="188">
        <f t="shared" si="797"/>
        <v>1.1599999999999999</v>
      </c>
      <c r="P1295" s="189">
        <f t="shared" si="674"/>
        <v>7650</v>
      </c>
      <c r="Q1295" s="189">
        <f t="shared" si="675"/>
        <v>78</v>
      </c>
      <c r="R1295" s="189">
        <f t="shared" ref="R1295:R1296" si="856">ROUND(N1295+O1295,2)</f>
        <v>2.2999999999999998</v>
      </c>
      <c r="S1295" s="189">
        <f t="shared" si="697"/>
        <v>0.45</v>
      </c>
      <c r="T1295" s="189">
        <f t="shared" ref="T1295:T1359" si="857">ROUND((M1295*K1295)*K$1807,2)</f>
        <v>0.97</v>
      </c>
      <c r="U1295" s="189">
        <f t="shared" si="851"/>
        <v>0.11</v>
      </c>
      <c r="V1295" s="189">
        <f t="shared" si="853"/>
        <v>0.21</v>
      </c>
      <c r="W1295" s="189">
        <f t="shared" si="758"/>
        <v>0.01</v>
      </c>
      <c r="X1295" s="189">
        <f t="shared" si="681"/>
        <v>4.05</v>
      </c>
      <c r="Y1295" s="190">
        <f t="shared" si="682"/>
        <v>73.95</v>
      </c>
      <c r="Z1295" s="191">
        <v>74</v>
      </c>
      <c r="AA1295" s="192">
        <f t="shared" si="837"/>
        <v>4.9999999999997158E-2</v>
      </c>
      <c r="AB1295" s="193">
        <f t="shared" si="684"/>
        <v>2.0602218700475437E-2</v>
      </c>
      <c r="AC1295" s="194">
        <f t="shared" si="685"/>
        <v>5.2899999999999996E-4</v>
      </c>
      <c r="AD1295" s="189"/>
      <c r="AE1295" s="195" t="s">
        <v>403</v>
      </c>
      <c r="AF1295" s="119"/>
    </row>
    <row r="1296" spans="1:32" ht="12" hidden="1" customHeight="1">
      <c r="A1296" s="183">
        <v>44705</v>
      </c>
      <c r="B1296" s="184" t="s">
        <v>602</v>
      </c>
      <c r="C1296" s="184"/>
      <c r="D1296" s="184"/>
      <c r="E1296" s="184"/>
      <c r="F1296" s="184"/>
      <c r="G1296" s="184"/>
      <c r="H1296" s="184" t="s">
        <v>654</v>
      </c>
      <c r="I1296" s="184" t="s">
        <v>469</v>
      </c>
      <c r="J1296" s="184" t="s">
        <v>471</v>
      </c>
      <c r="K1296" s="185">
        <v>100</v>
      </c>
      <c r="L1296" s="186">
        <v>99.55</v>
      </c>
      <c r="M1296" s="187">
        <v>102.8</v>
      </c>
      <c r="N1296" s="188">
        <f t="shared" si="796"/>
        <v>2.99</v>
      </c>
      <c r="O1296" s="188">
        <f t="shared" si="797"/>
        <v>3.08</v>
      </c>
      <c r="P1296" s="189">
        <f t="shared" si="674"/>
        <v>20235</v>
      </c>
      <c r="Q1296" s="189">
        <f t="shared" si="675"/>
        <v>325</v>
      </c>
      <c r="R1296" s="189">
        <f t="shared" si="856"/>
        <v>6.07</v>
      </c>
      <c r="S1296" s="189">
        <f t="shared" si="697"/>
        <v>1.19</v>
      </c>
      <c r="T1296" s="189">
        <f t="shared" si="857"/>
        <v>2.57</v>
      </c>
      <c r="U1296" s="189">
        <f t="shared" si="851"/>
        <v>0.3</v>
      </c>
      <c r="V1296" s="189">
        <f t="shared" si="853"/>
        <v>0.56000000000000005</v>
      </c>
      <c r="W1296" s="189">
        <f t="shared" si="758"/>
        <v>0.02</v>
      </c>
      <c r="X1296" s="189">
        <f t="shared" si="681"/>
        <v>10.71</v>
      </c>
      <c r="Y1296" s="190">
        <f t="shared" si="682"/>
        <v>314.29000000000002</v>
      </c>
      <c r="Z1296" s="191">
        <v>314.95999999999998</v>
      </c>
      <c r="AA1296" s="192">
        <f t="shared" si="837"/>
        <v>0.66999999999995907</v>
      </c>
      <c r="AB1296" s="193">
        <f t="shared" si="684"/>
        <v>3.2646911099949778E-2</v>
      </c>
      <c r="AC1296" s="194">
        <f t="shared" si="685"/>
        <v>5.2899999999999996E-4</v>
      </c>
      <c r="AD1296" s="189"/>
      <c r="AE1296" s="195" t="s">
        <v>403</v>
      </c>
      <c r="AF1296" s="119"/>
    </row>
    <row r="1297" spans="1:32" ht="12" hidden="1" customHeight="1">
      <c r="A1297" s="183">
        <v>44706</v>
      </c>
      <c r="B1297" s="184" t="s">
        <v>575</v>
      </c>
      <c r="C1297" s="184"/>
      <c r="D1297" s="184"/>
      <c r="E1297" s="184"/>
      <c r="F1297" s="184"/>
      <c r="G1297" s="184"/>
      <c r="H1297" s="184" t="s">
        <v>654</v>
      </c>
      <c r="I1297" s="184" t="s">
        <v>469</v>
      </c>
      <c r="J1297" s="184" t="s">
        <v>448</v>
      </c>
      <c r="K1297" s="185">
        <v>20</v>
      </c>
      <c r="L1297" s="186">
        <v>961.54</v>
      </c>
      <c r="M1297" s="187">
        <v>974.75</v>
      </c>
      <c r="N1297" s="188">
        <f t="shared" si="796"/>
        <v>5.77</v>
      </c>
      <c r="O1297" s="188">
        <f t="shared" si="797"/>
        <v>5.85</v>
      </c>
      <c r="P1297" s="189">
        <f t="shared" si="674"/>
        <v>38725.800000000003</v>
      </c>
      <c r="Q1297" s="189">
        <f t="shared" si="675"/>
        <v>264.20000000000073</v>
      </c>
      <c r="R1297" s="189">
        <v>14.7</v>
      </c>
      <c r="S1297" s="189">
        <f t="shared" si="697"/>
        <v>2.84</v>
      </c>
      <c r="T1297" s="189">
        <f t="shared" si="857"/>
        <v>4.87</v>
      </c>
      <c r="U1297" s="189">
        <f t="shared" si="851"/>
        <v>0.57999999999999996</v>
      </c>
      <c r="V1297" s="189">
        <f t="shared" si="853"/>
        <v>1.06</v>
      </c>
      <c r="W1297" s="189">
        <f t="shared" si="758"/>
        <v>0.04</v>
      </c>
      <c r="X1297" s="189">
        <f t="shared" si="681"/>
        <v>24.089999999999996</v>
      </c>
      <c r="Y1297" s="190">
        <f t="shared" si="682"/>
        <v>240.11</v>
      </c>
      <c r="Z1297" s="191">
        <v>239.74</v>
      </c>
      <c r="AA1297" s="192">
        <f t="shared" si="837"/>
        <v>-0.37000000000000455</v>
      </c>
      <c r="AB1297" s="193">
        <f t="shared" si="684"/>
        <v>1.3738378018595209E-2</v>
      </c>
      <c r="AC1297" s="194">
        <f t="shared" si="685"/>
        <v>6.2200000000000005E-4</v>
      </c>
      <c r="AD1297" s="189"/>
      <c r="AE1297" s="195" t="s">
        <v>403</v>
      </c>
      <c r="AF1297" s="119"/>
    </row>
    <row r="1298" spans="1:32" ht="12" hidden="1" customHeight="1">
      <c r="A1298" s="183">
        <v>44707</v>
      </c>
      <c r="B1298" s="184" t="s">
        <v>575</v>
      </c>
      <c r="C1298" s="184"/>
      <c r="D1298" s="184"/>
      <c r="E1298" s="184"/>
      <c r="F1298" s="184"/>
      <c r="G1298" s="184"/>
      <c r="H1298" s="184" t="s">
        <v>654</v>
      </c>
      <c r="I1298" s="184" t="s">
        <v>469</v>
      </c>
      <c r="J1298" s="184" t="s">
        <v>448</v>
      </c>
      <c r="K1298" s="185">
        <v>55</v>
      </c>
      <c r="L1298" s="186">
        <v>976.86360000000002</v>
      </c>
      <c r="M1298" s="187">
        <v>980.90909999999997</v>
      </c>
      <c r="N1298" s="188">
        <f t="shared" si="796"/>
        <v>16.12</v>
      </c>
      <c r="O1298" s="188">
        <f t="shared" si="797"/>
        <v>16.190000000000001</v>
      </c>
      <c r="P1298" s="189">
        <f t="shared" si="674"/>
        <v>107677.5</v>
      </c>
      <c r="Q1298" s="189">
        <f t="shared" si="675"/>
        <v>222.5024999999971</v>
      </c>
      <c r="R1298" s="189">
        <v>38.01</v>
      </c>
      <c r="S1298" s="189">
        <f t="shared" si="697"/>
        <v>7.37</v>
      </c>
      <c r="T1298" s="189">
        <f t="shared" si="857"/>
        <v>13.49</v>
      </c>
      <c r="U1298" s="189">
        <f t="shared" si="851"/>
        <v>1.61</v>
      </c>
      <c r="V1298" s="189">
        <f t="shared" si="853"/>
        <v>2.96</v>
      </c>
      <c r="W1298" s="189">
        <f t="shared" si="758"/>
        <v>0.11</v>
      </c>
      <c r="X1298" s="189">
        <f t="shared" si="681"/>
        <v>63.55</v>
      </c>
      <c r="Y1298" s="190">
        <f t="shared" si="682"/>
        <v>158.94999999999999</v>
      </c>
      <c r="Z1298" s="191">
        <v>158.4</v>
      </c>
      <c r="AA1298" s="192">
        <f t="shared" si="837"/>
        <v>-0.54999999999998295</v>
      </c>
      <c r="AB1298" s="193">
        <f t="shared" si="684"/>
        <v>4.1413151232167393E-3</v>
      </c>
      <c r="AC1298" s="194">
        <f t="shared" si="685"/>
        <v>5.9000000000000003E-4</v>
      </c>
      <c r="AD1298" s="189"/>
      <c r="AE1298" s="195" t="s">
        <v>403</v>
      </c>
      <c r="AF1298" s="119"/>
    </row>
    <row r="1299" spans="1:32" ht="12" hidden="1" customHeight="1">
      <c r="A1299" s="183">
        <v>44708</v>
      </c>
      <c r="B1299" s="184" t="s">
        <v>307</v>
      </c>
      <c r="C1299" s="184"/>
      <c r="D1299" s="184"/>
      <c r="E1299" s="184"/>
      <c r="F1299" s="184"/>
      <c r="G1299" s="184"/>
      <c r="H1299" s="184" t="s">
        <v>654</v>
      </c>
      <c r="I1299" s="184" t="s">
        <v>469</v>
      </c>
      <c r="J1299" s="184" t="s">
        <v>471</v>
      </c>
      <c r="K1299" s="185">
        <v>125</v>
      </c>
      <c r="L1299" s="186">
        <v>873.4</v>
      </c>
      <c r="M1299" s="187">
        <v>878.6</v>
      </c>
      <c r="N1299" s="188">
        <f t="shared" si="796"/>
        <v>20</v>
      </c>
      <c r="O1299" s="188">
        <f t="shared" si="797"/>
        <v>20</v>
      </c>
      <c r="P1299" s="189">
        <f t="shared" si="674"/>
        <v>219000</v>
      </c>
      <c r="Q1299" s="189">
        <f t="shared" si="675"/>
        <v>650.00000000000568</v>
      </c>
      <c r="R1299" s="189">
        <v>79.02</v>
      </c>
      <c r="S1299" s="189">
        <f t="shared" si="697"/>
        <v>15.31</v>
      </c>
      <c r="T1299" s="189">
        <f t="shared" si="857"/>
        <v>27.46</v>
      </c>
      <c r="U1299" s="189">
        <f t="shared" si="851"/>
        <v>3.28</v>
      </c>
      <c r="V1299" s="189">
        <f t="shared" si="853"/>
        <v>6.02</v>
      </c>
      <c r="W1299" s="189">
        <f t="shared" si="758"/>
        <v>0.22</v>
      </c>
      <c r="X1299" s="189">
        <f t="shared" si="681"/>
        <v>131.31</v>
      </c>
      <c r="Y1299" s="190">
        <f t="shared" si="682"/>
        <v>518.69000000000005</v>
      </c>
      <c r="Z1299" s="191">
        <v>519.05999999999995</v>
      </c>
      <c r="AA1299" s="192">
        <f t="shared" si="837"/>
        <v>0.36999999999989086</v>
      </c>
      <c r="AB1299" s="193">
        <f t="shared" si="684"/>
        <v>5.9537439890085244E-3</v>
      </c>
      <c r="AC1299" s="194">
        <f t="shared" si="685"/>
        <v>5.9999999999999995E-4</v>
      </c>
      <c r="AD1299" s="189"/>
      <c r="AE1299" s="195" t="s">
        <v>403</v>
      </c>
      <c r="AF1299" s="119"/>
    </row>
    <row r="1300" spans="1:32" ht="12" hidden="1" customHeight="1">
      <c r="A1300" s="183">
        <v>44708</v>
      </c>
      <c r="B1300" s="184" t="s">
        <v>575</v>
      </c>
      <c r="C1300" s="184"/>
      <c r="D1300" s="184"/>
      <c r="E1300" s="184"/>
      <c r="F1300" s="184"/>
      <c r="G1300" s="184"/>
      <c r="H1300" s="184" t="s">
        <v>654</v>
      </c>
      <c r="I1300" s="184" t="s">
        <v>469</v>
      </c>
      <c r="J1300" s="184" t="s">
        <v>448</v>
      </c>
      <c r="K1300" s="185">
        <v>50</v>
      </c>
      <c r="L1300" s="186">
        <v>971.66</v>
      </c>
      <c r="M1300" s="187">
        <v>977</v>
      </c>
      <c r="N1300" s="188">
        <f t="shared" si="796"/>
        <v>14.57</v>
      </c>
      <c r="O1300" s="188">
        <f t="shared" si="797"/>
        <v>14.66</v>
      </c>
      <c r="P1300" s="189">
        <f t="shared" si="674"/>
        <v>97433</v>
      </c>
      <c r="Q1300" s="189">
        <f t="shared" si="675"/>
        <v>267.00000000000159</v>
      </c>
      <c r="R1300" s="189">
        <v>29.42</v>
      </c>
      <c r="S1300" s="189">
        <f t="shared" si="697"/>
        <v>5.78</v>
      </c>
      <c r="T1300" s="189">
        <f t="shared" si="857"/>
        <v>12.21</v>
      </c>
      <c r="U1300" s="189">
        <f t="shared" si="851"/>
        <v>1.46</v>
      </c>
      <c r="V1300" s="189">
        <f t="shared" si="853"/>
        <v>2.68</v>
      </c>
      <c r="W1300" s="189">
        <f t="shared" si="758"/>
        <v>0.1</v>
      </c>
      <c r="X1300" s="189">
        <f t="shared" si="681"/>
        <v>51.650000000000006</v>
      </c>
      <c r="Y1300" s="190">
        <f t="shared" si="682"/>
        <v>215.35</v>
      </c>
      <c r="Z1300" s="191">
        <v>214.99</v>
      </c>
      <c r="AA1300" s="192">
        <f t="shared" si="837"/>
        <v>-0.35999999999998522</v>
      </c>
      <c r="AB1300" s="193">
        <f t="shared" si="684"/>
        <v>5.4957495420209041E-3</v>
      </c>
      <c r="AC1300" s="194">
        <f t="shared" si="685"/>
        <v>5.2999999999999998E-4</v>
      </c>
      <c r="AD1300" s="189"/>
      <c r="AE1300" s="195" t="s">
        <v>403</v>
      </c>
      <c r="AF1300" s="119"/>
    </row>
    <row r="1301" spans="1:32" ht="12" hidden="1" customHeight="1">
      <c r="A1301" s="183">
        <v>44712</v>
      </c>
      <c r="B1301" s="184" t="s">
        <v>575</v>
      </c>
      <c r="C1301" s="184"/>
      <c r="D1301" s="184"/>
      <c r="E1301" s="184"/>
      <c r="F1301" s="184"/>
      <c r="G1301" s="184"/>
      <c r="H1301" s="184" t="s">
        <v>654</v>
      </c>
      <c r="I1301" s="184" t="s">
        <v>469</v>
      </c>
      <c r="J1301" s="184" t="s">
        <v>448</v>
      </c>
      <c r="K1301" s="185">
        <v>25</v>
      </c>
      <c r="L1301" s="186">
        <v>993</v>
      </c>
      <c r="M1301" s="187">
        <v>1002</v>
      </c>
      <c r="N1301" s="188">
        <f t="shared" si="796"/>
        <v>7.45</v>
      </c>
      <c r="O1301" s="188">
        <f t="shared" si="797"/>
        <v>7.52</v>
      </c>
      <c r="P1301" s="189">
        <f t="shared" si="674"/>
        <v>49875</v>
      </c>
      <c r="Q1301" s="189">
        <f t="shared" si="675"/>
        <v>225</v>
      </c>
      <c r="R1301" s="189">
        <f>ROUND(N1301+O1301,2)</f>
        <v>14.97</v>
      </c>
      <c r="S1301" s="189">
        <f t="shared" si="697"/>
        <v>2.94</v>
      </c>
      <c r="T1301" s="189">
        <f t="shared" si="857"/>
        <v>6.26</v>
      </c>
      <c r="U1301" s="189">
        <f t="shared" si="851"/>
        <v>0.74</v>
      </c>
      <c r="V1301" s="189">
        <f t="shared" si="853"/>
        <v>1.37</v>
      </c>
      <c r="W1301" s="189">
        <f t="shared" si="758"/>
        <v>0.05</v>
      </c>
      <c r="X1301" s="189">
        <f t="shared" si="681"/>
        <v>26.330000000000002</v>
      </c>
      <c r="Y1301" s="190">
        <f t="shared" si="682"/>
        <v>198.67</v>
      </c>
      <c r="Z1301" s="191">
        <v>198.68</v>
      </c>
      <c r="AA1301" s="192">
        <f t="shared" si="837"/>
        <v>1.0000000000019327E-2</v>
      </c>
      <c r="AB1301" s="193">
        <f t="shared" si="684"/>
        <v>9.0634441087613302E-3</v>
      </c>
      <c r="AC1301" s="194">
        <f t="shared" si="685"/>
        <v>5.2800000000000004E-4</v>
      </c>
      <c r="AD1301" s="189"/>
      <c r="AE1301" s="195" t="s">
        <v>403</v>
      </c>
      <c r="AF1301" s="119"/>
    </row>
    <row r="1302" spans="1:32" ht="12" hidden="1" customHeight="1">
      <c r="A1302" s="183">
        <v>44713</v>
      </c>
      <c r="B1302" s="184" t="s">
        <v>575</v>
      </c>
      <c r="C1302" s="184"/>
      <c r="D1302" s="184"/>
      <c r="E1302" s="184"/>
      <c r="F1302" s="184"/>
      <c r="G1302" s="184"/>
      <c r="H1302" s="184" t="s">
        <v>654</v>
      </c>
      <c r="I1302" s="184" t="s">
        <v>469</v>
      </c>
      <c r="J1302" s="184" t="s">
        <v>448</v>
      </c>
      <c r="K1302" s="185">
        <v>75</v>
      </c>
      <c r="L1302" s="186">
        <v>996</v>
      </c>
      <c r="M1302" s="187">
        <v>1003.3333</v>
      </c>
      <c r="N1302" s="188">
        <f t="shared" si="796"/>
        <v>20</v>
      </c>
      <c r="O1302" s="188">
        <f t="shared" si="797"/>
        <v>20</v>
      </c>
      <c r="P1302" s="189">
        <f t="shared" si="674"/>
        <v>149950</v>
      </c>
      <c r="Q1302" s="189">
        <f t="shared" si="675"/>
        <v>549.99750000000063</v>
      </c>
      <c r="R1302" s="189">
        <v>44.98</v>
      </c>
      <c r="S1302" s="189">
        <f t="shared" si="697"/>
        <v>8.84</v>
      </c>
      <c r="T1302" s="189">
        <f t="shared" si="857"/>
        <v>18.809999999999999</v>
      </c>
      <c r="U1302" s="189">
        <f t="shared" si="851"/>
        <v>2.2400000000000002</v>
      </c>
      <c r="V1302" s="189">
        <f t="shared" si="853"/>
        <v>4.12</v>
      </c>
      <c r="W1302" s="189">
        <f t="shared" si="758"/>
        <v>0.15</v>
      </c>
      <c r="X1302" s="189">
        <f t="shared" si="681"/>
        <v>79.14</v>
      </c>
      <c r="Y1302" s="190">
        <f t="shared" si="682"/>
        <v>470.86</v>
      </c>
      <c r="Z1302" s="191">
        <v>470.91</v>
      </c>
      <c r="AA1302" s="192">
        <f t="shared" si="837"/>
        <v>5.0000000000011369E-2</v>
      </c>
      <c r="AB1302" s="193">
        <f t="shared" si="684"/>
        <v>7.3627510040160729E-3</v>
      </c>
      <c r="AC1302" s="194">
        <f t="shared" si="685"/>
        <v>5.2800000000000004E-4</v>
      </c>
      <c r="AD1302" s="189"/>
      <c r="AE1302" s="195" t="s">
        <v>403</v>
      </c>
      <c r="AF1302" s="119"/>
    </row>
    <row r="1303" spans="1:32" ht="12" hidden="1" customHeight="1">
      <c r="A1303" s="183">
        <v>44713</v>
      </c>
      <c r="B1303" s="184" t="s">
        <v>307</v>
      </c>
      <c r="C1303" s="184"/>
      <c r="D1303" s="184"/>
      <c r="E1303" s="184"/>
      <c r="F1303" s="184"/>
      <c r="G1303" s="184"/>
      <c r="H1303" s="184" t="s">
        <v>654</v>
      </c>
      <c r="I1303" s="184" t="s">
        <v>469</v>
      </c>
      <c r="J1303" s="184" t="s">
        <v>471</v>
      </c>
      <c r="K1303" s="185">
        <v>23</v>
      </c>
      <c r="L1303" s="186">
        <v>906</v>
      </c>
      <c r="M1303" s="187">
        <v>912</v>
      </c>
      <c r="N1303" s="188">
        <f t="shared" si="796"/>
        <v>6.25</v>
      </c>
      <c r="O1303" s="188">
        <f t="shared" si="797"/>
        <v>6.29</v>
      </c>
      <c r="P1303" s="189">
        <f t="shared" si="674"/>
        <v>41814</v>
      </c>
      <c r="Q1303" s="189">
        <f t="shared" si="675"/>
        <v>138</v>
      </c>
      <c r="R1303" s="189">
        <f>ROUND(N1303+O1303,2)</f>
        <v>12.54</v>
      </c>
      <c r="S1303" s="189">
        <f t="shared" si="697"/>
        <v>2.46</v>
      </c>
      <c r="T1303" s="189">
        <f t="shared" si="857"/>
        <v>5.24</v>
      </c>
      <c r="U1303" s="189">
        <f t="shared" si="851"/>
        <v>0.63</v>
      </c>
      <c r="V1303" s="189">
        <f t="shared" si="853"/>
        <v>1.1499999999999999</v>
      </c>
      <c r="W1303" s="189">
        <f t="shared" si="758"/>
        <v>0.04</v>
      </c>
      <c r="X1303" s="189">
        <f t="shared" si="681"/>
        <v>22.06</v>
      </c>
      <c r="Y1303" s="190">
        <f t="shared" si="682"/>
        <v>115.94</v>
      </c>
      <c r="Z1303" s="191">
        <v>115.8</v>
      </c>
      <c r="AA1303" s="192">
        <f t="shared" si="837"/>
        <v>-0.14000000000000057</v>
      </c>
      <c r="AB1303" s="193">
        <f t="shared" si="684"/>
        <v>6.6225165562913907E-3</v>
      </c>
      <c r="AC1303" s="194">
        <f t="shared" si="685"/>
        <v>5.2800000000000004E-4</v>
      </c>
      <c r="AD1303" s="189"/>
      <c r="AE1303" s="195" t="s">
        <v>403</v>
      </c>
      <c r="AF1303" s="119"/>
    </row>
    <row r="1304" spans="1:32" ht="12" hidden="1" customHeight="1">
      <c r="A1304" s="183">
        <v>44714</v>
      </c>
      <c r="B1304" s="184" t="s">
        <v>575</v>
      </c>
      <c r="C1304" s="184"/>
      <c r="D1304" s="184"/>
      <c r="E1304" s="184"/>
      <c r="F1304" s="184"/>
      <c r="G1304" s="184"/>
      <c r="H1304" s="184" t="s">
        <v>654</v>
      </c>
      <c r="I1304" s="184" t="s">
        <v>469</v>
      </c>
      <c r="J1304" s="184" t="s">
        <v>448</v>
      </c>
      <c r="K1304" s="185">
        <v>125</v>
      </c>
      <c r="L1304" s="186">
        <v>1000.46</v>
      </c>
      <c r="M1304" s="187">
        <v>1005.76</v>
      </c>
      <c r="N1304" s="188">
        <f t="shared" si="796"/>
        <v>20</v>
      </c>
      <c r="O1304" s="188">
        <f t="shared" si="797"/>
        <v>20</v>
      </c>
      <c r="P1304" s="189">
        <f t="shared" si="674"/>
        <v>250777.5</v>
      </c>
      <c r="Q1304" s="189">
        <f t="shared" si="675"/>
        <v>662.49999999999432</v>
      </c>
      <c r="R1304" s="189">
        <v>75.239999999999995</v>
      </c>
      <c r="S1304" s="189">
        <f t="shared" si="697"/>
        <v>14.79</v>
      </c>
      <c r="T1304" s="189">
        <f t="shared" si="857"/>
        <v>31.43</v>
      </c>
      <c r="U1304" s="189">
        <f t="shared" si="851"/>
        <v>3.75</v>
      </c>
      <c r="V1304" s="189">
        <f t="shared" si="853"/>
        <v>6.9</v>
      </c>
      <c r="W1304" s="189">
        <f t="shared" si="758"/>
        <v>0.25</v>
      </c>
      <c r="X1304" s="189">
        <f t="shared" si="681"/>
        <v>132.36000000000001</v>
      </c>
      <c r="Y1304" s="190">
        <f t="shared" si="682"/>
        <v>530.14</v>
      </c>
      <c r="Z1304" s="191">
        <v>530.34</v>
      </c>
      <c r="AA1304" s="192">
        <f t="shared" si="837"/>
        <v>0.20000000000004547</v>
      </c>
      <c r="AB1304" s="193">
        <f t="shared" si="684"/>
        <v>5.2975631209643105E-3</v>
      </c>
      <c r="AC1304" s="194">
        <f t="shared" si="685"/>
        <v>5.2800000000000004E-4</v>
      </c>
      <c r="AD1304" s="189"/>
      <c r="AE1304" s="195" t="s">
        <v>403</v>
      </c>
      <c r="AF1304" s="119"/>
    </row>
    <row r="1305" spans="1:32" ht="12" hidden="1" customHeight="1">
      <c r="A1305" s="183">
        <v>44714</v>
      </c>
      <c r="B1305" s="184" t="s">
        <v>307</v>
      </c>
      <c r="C1305" s="184"/>
      <c r="D1305" s="184"/>
      <c r="E1305" s="184"/>
      <c r="F1305" s="184"/>
      <c r="G1305" s="184"/>
      <c r="H1305" s="184" t="s">
        <v>654</v>
      </c>
      <c r="I1305" s="184" t="s">
        <v>469</v>
      </c>
      <c r="J1305" s="184" t="s">
        <v>471</v>
      </c>
      <c r="K1305" s="185">
        <v>50</v>
      </c>
      <c r="L1305" s="186">
        <v>915</v>
      </c>
      <c r="M1305" s="187">
        <v>918.5</v>
      </c>
      <c r="N1305" s="188">
        <f t="shared" si="796"/>
        <v>13.73</v>
      </c>
      <c r="O1305" s="188">
        <f t="shared" si="797"/>
        <v>13.78</v>
      </c>
      <c r="P1305" s="189">
        <f t="shared" si="674"/>
        <v>91675</v>
      </c>
      <c r="Q1305" s="189">
        <f t="shared" si="675"/>
        <v>175</v>
      </c>
      <c r="R1305" s="189">
        <f>ROUND(N1305+O1305,2)</f>
        <v>27.51</v>
      </c>
      <c r="S1305" s="189">
        <f t="shared" si="697"/>
        <v>5.41</v>
      </c>
      <c r="T1305" s="189">
        <f t="shared" si="857"/>
        <v>11.48</v>
      </c>
      <c r="U1305" s="189">
        <f t="shared" si="851"/>
        <v>1.37</v>
      </c>
      <c r="V1305" s="189">
        <f t="shared" si="853"/>
        <v>2.52</v>
      </c>
      <c r="W1305" s="189">
        <f t="shared" si="758"/>
        <v>0.09</v>
      </c>
      <c r="X1305" s="189">
        <f t="shared" si="681"/>
        <v>48.38000000000001</v>
      </c>
      <c r="Y1305" s="190">
        <f t="shared" si="682"/>
        <v>126.62</v>
      </c>
      <c r="Z1305" s="191">
        <v>126.77</v>
      </c>
      <c r="AA1305" s="192">
        <f t="shared" si="837"/>
        <v>0.14999999999999147</v>
      </c>
      <c r="AB1305" s="193">
        <f t="shared" si="684"/>
        <v>3.8251366120218579E-3</v>
      </c>
      <c r="AC1305" s="194">
        <f t="shared" si="685"/>
        <v>5.2800000000000004E-4</v>
      </c>
      <c r="AD1305" s="189"/>
      <c r="AE1305" s="195" t="s">
        <v>403</v>
      </c>
      <c r="AF1305" s="119"/>
    </row>
    <row r="1306" spans="1:32" ht="12" hidden="1" customHeight="1">
      <c r="A1306" s="183">
        <v>44715</v>
      </c>
      <c r="B1306" s="184" t="s">
        <v>575</v>
      </c>
      <c r="C1306" s="184"/>
      <c r="D1306" s="184"/>
      <c r="E1306" s="184"/>
      <c r="F1306" s="184"/>
      <c r="G1306" s="184"/>
      <c r="H1306" s="184" t="s">
        <v>654</v>
      </c>
      <c r="I1306" s="184" t="s">
        <v>469</v>
      </c>
      <c r="J1306" s="184" t="s">
        <v>448</v>
      </c>
      <c r="K1306" s="185">
        <v>50</v>
      </c>
      <c r="L1306" s="186">
        <v>1006</v>
      </c>
      <c r="M1306" s="187">
        <v>1011</v>
      </c>
      <c r="N1306" s="188">
        <f t="shared" si="796"/>
        <v>15.09</v>
      </c>
      <c r="O1306" s="188">
        <f t="shared" si="797"/>
        <v>15.17</v>
      </c>
      <c r="P1306" s="189">
        <f t="shared" si="674"/>
        <v>100850</v>
      </c>
      <c r="Q1306" s="189">
        <f t="shared" si="675"/>
        <v>250</v>
      </c>
      <c r="R1306" s="189">
        <v>38.020000000000003</v>
      </c>
      <c r="S1306" s="189">
        <f t="shared" si="697"/>
        <v>7.34</v>
      </c>
      <c r="T1306" s="189">
        <f t="shared" si="857"/>
        <v>12.64</v>
      </c>
      <c r="U1306" s="189">
        <f t="shared" si="851"/>
        <v>1.51</v>
      </c>
      <c r="V1306" s="189">
        <f t="shared" si="853"/>
        <v>2.77</v>
      </c>
      <c r="W1306" s="189">
        <f t="shared" si="758"/>
        <v>0.1</v>
      </c>
      <c r="X1306" s="189">
        <f t="shared" si="681"/>
        <v>62.38</v>
      </c>
      <c r="Y1306" s="190">
        <f t="shared" si="682"/>
        <v>187.62</v>
      </c>
      <c r="Z1306" s="191">
        <v>187.24</v>
      </c>
      <c r="AA1306" s="192">
        <f t="shared" si="837"/>
        <v>-0.37999999999999545</v>
      </c>
      <c r="AB1306" s="193">
        <f t="shared" si="684"/>
        <v>4.970178926441352E-3</v>
      </c>
      <c r="AC1306" s="194">
        <f t="shared" si="685"/>
        <v>6.1899999999999998E-4</v>
      </c>
      <c r="AD1306" s="189"/>
      <c r="AE1306" s="195" t="s">
        <v>403</v>
      </c>
      <c r="AF1306" s="119"/>
    </row>
    <row r="1307" spans="1:32" ht="12" hidden="1" customHeight="1">
      <c r="A1307" s="183">
        <v>44715</v>
      </c>
      <c r="B1307" s="184" t="s">
        <v>307</v>
      </c>
      <c r="C1307" s="184"/>
      <c r="D1307" s="184"/>
      <c r="E1307" s="184"/>
      <c r="F1307" s="184"/>
      <c r="G1307" s="184"/>
      <c r="H1307" s="184" t="s">
        <v>654</v>
      </c>
      <c r="I1307" s="184" t="s">
        <v>469</v>
      </c>
      <c r="J1307" s="184" t="s">
        <v>471</v>
      </c>
      <c r="K1307" s="185">
        <v>100</v>
      </c>
      <c r="L1307" s="186">
        <v>948.21950000000004</v>
      </c>
      <c r="M1307" s="187">
        <v>955.5</v>
      </c>
      <c r="N1307" s="188">
        <f t="shared" si="796"/>
        <v>20</v>
      </c>
      <c r="O1307" s="188">
        <f t="shared" si="797"/>
        <v>20</v>
      </c>
      <c r="P1307" s="189">
        <f t="shared" si="674"/>
        <v>190371.95</v>
      </c>
      <c r="Q1307" s="189">
        <f t="shared" si="675"/>
        <v>728.04999999999609</v>
      </c>
      <c r="R1307" s="189">
        <v>57.11</v>
      </c>
      <c r="S1307" s="189">
        <f t="shared" si="697"/>
        <v>11.4</v>
      </c>
      <c r="T1307" s="189">
        <f t="shared" si="857"/>
        <v>23.89</v>
      </c>
      <c r="U1307" s="189">
        <f t="shared" si="851"/>
        <v>2.84</v>
      </c>
      <c r="V1307" s="189">
        <f>ROUND(P1307*L$1809,2)+1</f>
        <v>6.24</v>
      </c>
      <c r="W1307" s="189">
        <f t="shared" si="758"/>
        <v>0.19</v>
      </c>
      <c r="X1307" s="189">
        <f t="shared" si="681"/>
        <v>101.67</v>
      </c>
      <c r="Y1307" s="190">
        <f t="shared" si="682"/>
        <v>626.38</v>
      </c>
      <c r="Z1307" s="191">
        <v>625.72</v>
      </c>
      <c r="AA1307" s="192">
        <f t="shared" si="837"/>
        <v>-0.65999999999996817</v>
      </c>
      <c r="AB1307" s="193">
        <f t="shared" si="684"/>
        <v>7.6780745386484462E-3</v>
      </c>
      <c r="AC1307" s="194">
        <f t="shared" si="685"/>
        <v>5.3399999999999997E-4</v>
      </c>
      <c r="AD1307" s="189"/>
      <c r="AE1307" s="195" t="s">
        <v>403</v>
      </c>
      <c r="AF1307" s="119"/>
    </row>
    <row r="1308" spans="1:32" ht="12" hidden="1" customHeight="1">
      <c r="A1308" s="183">
        <v>44718</v>
      </c>
      <c r="B1308" s="184" t="s">
        <v>575</v>
      </c>
      <c r="C1308" s="184"/>
      <c r="D1308" s="184"/>
      <c r="E1308" s="184"/>
      <c r="F1308" s="184"/>
      <c r="G1308" s="184"/>
      <c r="H1308" s="184" t="s">
        <v>654</v>
      </c>
      <c r="I1308" s="184" t="s">
        <v>469</v>
      </c>
      <c r="J1308" s="184" t="s">
        <v>448</v>
      </c>
      <c r="K1308" s="185">
        <v>75</v>
      </c>
      <c r="L1308" s="186">
        <v>981.8</v>
      </c>
      <c r="M1308" s="187">
        <v>987</v>
      </c>
      <c r="N1308" s="188">
        <f t="shared" si="796"/>
        <v>20</v>
      </c>
      <c r="O1308" s="188">
        <f t="shared" si="797"/>
        <v>20</v>
      </c>
      <c r="P1308" s="189">
        <f t="shared" si="674"/>
        <v>147660</v>
      </c>
      <c r="Q1308" s="189">
        <f t="shared" si="675"/>
        <v>390.00000000000341</v>
      </c>
      <c r="R1308" s="189">
        <v>44.3</v>
      </c>
      <c r="S1308" s="189">
        <f t="shared" si="697"/>
        <v>8.6999999999999993</v>
      </c>
      <c r="T1308" s="189">
        <f t="shared" si="857"/>
        <v>18.510000000000002</v>
      </c>
      <c r="U1308" s="189">
        <f t="shared" si="851"/>
        <v>2.21</v>
      </c>
      <c r="V1308" s="189">
        <f t="shared" ref="V1308:V1328" si="858">ROUND(P1308*L$1809,2)</f>
        <v>4.0599999999999996</v>
      </c>
      <c r="W1308" s="189">
        <f t="shared" si="758"/>
        <v>0.15</v>
      </c>
      <c r="X1308" s="189">
        <f t="shared" si="681"/>
        <v>77.930000000000007</v>
      </c>
      <c r="Y1308" s="190">
        <f t="shared" si="682"/>
        <v>312.07</v>
      </c>
      <c r="Z1308" s="191">
        <v>312.79000000000002</v>
      </c>
      <c r="AA1308" s="192">
        <f t="shared" si="837"/>
        <v>0.72000000000002728</v>
      </c>
      <c r="AB1308" s="193">
        <f t="shared" si="684"/>
        <v>5.2963943776737068E-3</v>
      </c>
      <c r="AC1308" s="194">
        <f t="shared" si="685"/>
        <v>5.2800000000000004E-4</v>
      </c>
      <c r="AD1308" s="189"/>
      <c r="AE1308" s="195" t="s">
        <v>403</v>
      </c>
      <c r="AF1308" s="119"/>
    </row>
    <row r="1309" spans="1:32" ht="12" hidden="1" customHeight="1">
      <c r="A1309" s="183">
        <v>44719</v>
      </c>
      <c r="B1309" s="184" t="s">
        <v>575</v>
      </c>
      <c r="C1309" s="184"/>
      <c r="D1309" s="184"/>
      <c r="E1309" s="184"/>
      <c r="F1309" s="184"/>
      <c r="G1309" s="184"/>
      <c r="H1309" s="184" t="s">
        <v>654</v>
      </c>
      <c r="I1309" s="184" t="s">
        <v>469</v>
      </c>
      <c r="J1309" s="184" t="s">
        <v>448</v>
      </c>
      <c r="K1309" s="185">
        <v>175</v>
      </c>
      <c r="L1309" s="186">
        <v>981.42859999999996</v>
      </c>
      <c r="M1309" s="187">
        <v>987.27139999999997</v>
      </c>
      <c r="N1309" s="188">
        <f t="shared" si="796"/>
        <v>20</v>
      </c>
      <c r="O1309" s="188">
        <f t="shared" si="797"/>
        <v>20</v>
      </c>
      <c r="P1309" s="189">
        <f t="shared" si="674"/>
        <v>344522.5</v>
      </c>
      <c r="Q1309" s="189">
        <f t="shared" si="675"/>
        <v>1022.4900000000019</v>
      </c>
      <c r="R1309" s="189">
        <v>93.91</v>
      </c>
      <c r="S1309" s="189">
        <f t="shared" si="697"/>
        <v>18.61</v>
      </c>
      <c r="T1309" s="189">
        <f t="shared" si="857"/>
        <v>43.19</v>
      </c>
      <c r="U1309" s="189">
        <f t="shared" si="851"/>
        <v>5.15</v>
      </c>
      <c r="V1309" s="189">
        <f t="shared" si="858"/>
        <v>9.4700000000000006</v>
      </c>
      <c r="W1309" s="189">
        <f t="shared" si="758"/>
        <v>0.34</v>
      </c>
      <c r="X1309" s="189">
        <f t="shared" si="681"/>
        <v>170.67</v>
      </c>
      <c r="Y1309" s="190">
        <f t="shared" si="682"/>
        <v>851.82</v>
      </c>
      <c r="Z1309" s="191">
        <v>851.54</v>
      </c>
      <c r="AA1309" s="192">
        <f t="shared" si="837"/>
        <v>-0.2800000000000864</v>
      </c>
      <c r="AB1309" s="193">
        <f t="shared" si="684"/>
        <v>5.953362272100091E-3</v>
      </c>
      <c r="AC1309" s="194">
        <f t="shared" si="685"/>
        <v>4.95E-4</v>
      </c>
      <c r="AD1309" s="189"/>
      <c r="AE1309" s="195" t="s">
        <v>403</v>
      </c>
      <c r="AF1309" s="119"/>
    </row>
    <row r="1310" spans="1:32" ht="12" hidden="1" customHeight="1">
      <c r="A1310" s="183">
        <v>44720</v>
      </c>
      <c r="B1310" s="184" t="s">
        <v>575</v>
      </c>
      <c r="C1310" s="184"/>
      <c r="D1310" s="184"/>
      <c r="E1310" s="184"/>
      <c r="F1310" s="184"/>
      <c r="G1310" s="184"/>
      <c r="H1310" s="184" t="s">
        <v>654</v>
      </c>
      <c r="I1310" s="184" t="s">
        <v>469</v>
      </c>
      <c r="J1310" s="184" t="s">
        <v>448</v>
      </c>
      <c r="K1310" s="185">
        <v>100</v>
      </c>
      <c r="L1310" s="186">
        <v>991.25</v>
      </c>
      <c r="M1310" s="187">
        <v>996.07500000000005</v>
      </c>
      <c r="N1310" s="188">
        <f t="shared" si="796"/>
        <v>20</v>
      </c>
      <c r="O1310" s="188">
        <f t="shared" si="797"/>
        <v>20</v>
      </c>
      <c r="P1310" s="189">
        <f t="shared" si="674"/>
        <v>198732.5</v>
      </c>
      <c r="Q1310" s="189">
        <f t="shared" si="675"/>
        <v>482.50000000000455</v>
      </c>
      <c r="R1310" s="189">
        <v>59.63</v>
      </c>
      <c r="S1310" s="189">
        <f t="shared" si="697"/>
        <v>11.72</v>
      </c>
      <c r="T1310" s="189">
        <f t="shared" si="857"/>
        <v>24.9</v>
      </c>
      <c r="U1310" s="189">
        <f t="shared" si="851"/>
        <v>2.97</v>
      </c>
      <c r="V1310" s="189">
        <f t="shared" si="858"/>
        <v>5.47</v>
      </c>
      <c r="W1310" s="189">
        <f t="shared" si="758"/>
        <v>0.2</v>
      </c>
      <c r="X1310" s="189">
        <f t="shared" si="681"/>
        <v>104.89</v>
      </c>
      <c r="Y1310" s="190">
        <f t="shared" si="682"/>
        <v>377.61</v>
      </c>
      <c r="Z1310" s="191">
        <v>378.05</v>
      </c>
      <c r="AA1310" s="192">
        <f t="shared" si="837"/>
        <v>0.43999999999999773</v>
      </c>
      <c r="AB1310" s="193">
        <f t="shared" si="684"/>
        <v>4.8675914249685197E-3</v>
      </c>
      <c r="AC1310" s="194">
        <f t="shared" si="685"/>
        <v>5.2800000000000004E-4</v>
      </c>
      <c r="AD1310" s="189"/>
      <c r="AE1310" s="195" t="s">
        <v>403</v>
      </c>
      <c r="AF1310" s="119"/>
    </row>
    <row r="1311" spans="1:32" ht="12" hidden="1" customHeight="1">
      <c r="A1311" s="183">
        <v>44721</v>
      </c>
      <c r="B1311" s="184" t="s">
        <v>575</v>
      </c>
      <c r="C1311" s="184"/>
      <c r="D1311" s="184"/>
      <c r="E1311" s="184"/>
      <c r="F1311" s="184"/>
      <c r="G1311" s="184"/>
      <c r="H1311" s="184" t="s">
        <v>654</v>
      </c>
      <c r="I1311" s="184" t="s">
        <v>469</v>
      </c>
      <c r="J1311" s="184" t="s">
        <v>448</v>
      </c>
      <c r="K1311" s="185">
        <v>225</v>
      </c>
      <c r="L1311" s="186">
        <v>981.5</v>
      </c>
      <c r="M1311" s="187">
        <v>987.86670000000004</v>
      </c>
      <c r="N1311" s="188">
        <f t="shared" si="796"/>
        <v>20</v>
      </c>
      <c r="O1311" s="188">
        <f t="shared" si="797"/>
        <v>20</v>
      </c>
      <c r="P1311" s="189">
        <f t="shared" si="674"/>
        <v>443107.51</v>
      </c>
      <c r="Q1311" s="189">
        <f t="shared" si="675"/>
        <v>1432.5075000000083</v>
      </c>
      <c r="R1311" s="189">
        <v>111.77</v>
      </c>
      <c r="S1311" s="189">
        <f t="shared" si="697"/>
        <v>22.31</v>
      </c>
      <c r="T1311" s="189">
        <f t="shared" si="857"/>
        <v>55.57</v>
      </c>
      <c r="U1311" s="189">
        <f t="shared" si="851"/>
        <v>6.63</v>
      </c>
      <c r="V1311" s="189">
        <f t="shared" si="858"/>
        <v>12.19</v>
      </c>
      <c r="W1311" s="189">
        <f t="shared" si="758"/>
        <v>0.44</v>
      </c>
      <c r="X1311" s="189">
        <f t="shared" si="681"/>
        <v>208.90999999999997</v>
      </c>
      <c r="Y1311" s="190">
        <f t="shared" si="682"/>
        <v>1223.5999999999999</v>
      </c>
      <c r="Z1311" s="191">
        <v>1223.6600000000001</v>
      </c>
      <c r="AA1311" s="192">
        <f t="shared" si="837"/>
        <v>6.0000000000172804E-2</v>
      </c>
      <c r="AB1311" s="193">
        <f t="shared" si="684"/>
        <v>6.4867040244524065E-3</v>
      </c>
      <c r="AC1311" s="194">
        <f t="shared" si="685"/>
        <v>4.7100000000000001E-4</v>
      </c>
      <c r="AD1311" s="189"/>
      <c r="AE1311" s="195" t="s">
        <v>403</v>
      </c>
      <c r="AF1311" s="119"/>
    </row>
    <row r="1312" spans="1:32" ht="12" hidden="1" customHeight="1">
      <c r="A1312" s="183">
        <v>44722</v>
      </c>
      <c r="B1312" s="184" t="s">
        <v>575</v>
      </c>
      <c r="C1312" s="184"/>
      <c r="D1312" s="184"/>
      <c r="E1312" s="184"/>
      <c r="F1312" s="184"/>
      <c r="G1312" s="184"/>
      <c r="H1312" s="184" t="s">
        <v>654</v>
      </c>
      <c r="I1312" s="184" t="s">
        <v>469</v>
      </c>
      <c r="J1312" s="184" t="s">
        <v>448</v>
      </c>
      <c r="K1312" s="185">
        <v>50</v>
      </c>
      <c r="L1312" s="186">
        <v>982.25</v>
      </c>
      <c r="M1312" s="187">
        <v>990</v>
      </c>
      <c r="N1312" s="188">
        <f t="shared" si="796"/>
        <v>14.73</v>
      </c>
      <c r="O1312" s="188">
        <f t="shared" si="797"/>
        <v>14.85</v>
      </c>
      <c r="P1312" s="189">
        <f t="shared" si="674"/>
        <v>98612.5</v>
      </c>
      <c r="Q1312" s="189">
        <f t="shared" si="675"/>
        <v>387.5</v>
      </c>
      <c r="R1312" s="189">
        <f>ROUND(N1312+O1312,2)</f>
        <v>29.58</v>
      </c>
      <c r="S1312" s="189">
        <f t="shared" si="697"/>
        <v>5.81</v>
      </c>
      <c r="T1312" s="189">
        <f t="shared" si="857"/>
        <v>12.38</v>
      </c>
      <c r="U1312" s="189">
        <f t="shared" si="851"/>
        <v>1.47</v>
      </c>
      <c r="V1312" s="189">
        <f t="shared" si="858"/>
        <v>2.71</v>
      </c>
      <c r="W1312" s="189">
        <f t="shared" si="758"/>
        <v>0.1</v>
      </c>
      <c r="X1312" s="189">
        <f t="shared" si="681"/>
        <v>52.050000000000004</v>
      </c>
      <c r="Y1312" s="190">
        <f t="shared" si="682"/>
        <v>335.45</v>
      </c>
      <c r="Z1312" s="191">
        <v>336.3</v>
      </c>
      <c r="AA1312" s="192">
        <f t="shared" si="837"/>
        <v>0.85000000000002274</v>
      </c>
      <c r="AB1312" s="193">
        <f t="shared" si="684"/>
        <v>7.8900483583609054E-3</v>
      </c>
      <c r="AC1312" s="194">
        <f t="shared" si="685"/>
        <v>5.2800000000000004E-4</v>
      </c>
      <c r="AD1312" s="189"/>
      <c r="AE1312" s="195" t="s">
        <v>403</v>
      </c>
      <c r="AF1312" s="119"/>
    </row>
    <row r="1313" spans="1:32" ht="12" hidden="1" customHeight="1">
      <c r="A1313" s="183">
        <v>44725</v>
      </c>
      <c r="B1313" s="184" t="s">
        <v>575</v>
      </c>
      <c r="C1313" s="184"/>
      <c r="D1313" s="184"/>
      <c r="E1313" s="184"/>
      <c r="F1313" s="184"/>
      <c r="G1313" s="184"/>
      <c r="H1313" s="184" t="s">
        <v>654</v>
      </c>
      <c r="I1313" s="184" t="s">
        <v>469</v>
      </c>
      <c r="J1313" s="184" t="s">
        <v>448</v>
      </c>
      <c r="K1313" s="185">
        <v>230</v>
      </c>
      <c r="L1313" s="186">
        <v>941.73910000000001</v>
      </c>
      <c r="M1313" s="187">
        <v>947.20799999999997</v>
      </c>
      <c r="N1313" s="188">
        <f t="shared" si="796"/>
        <v>20</v>
      </c>
      <c r="O1313" s="188">
        <f t="shared" si="797"/>
        <v>20</v>
      </c>
      <c r="P1313" s="189">
        <f t="shared" si="674"/>
        <v>434457.83</v>
      </c>
      <c r="Q1313" s="189">
        <f t="shared" si="675"/>
        <v>1257.8469999999913</v>
      </c>
      <c r="R1313" s="189">
        <v>125.48</v>
      </c>
      <c r="S1313" s="189">
        <f t="shared" si="697"/>
        <v>24.74</v>
      </c>
      <c r="T1313" s="189">
        <f t="shared" si="857"/>
        <v>54.46</v>
      </c>
      <c r="U1313" s="189">
        <f t="shared" si="851"/>
        <v>6.5</v>
      </c>
      <c r="V1313" s="189">
        <f t="shared" si="858"/>
        <v>11.95</v>
      </c>
      <c r="W1313" s="189">
        <f t="shared" si="758"/>
        <v>0.43</v>
      </c>
      <c r="X1313" s="189">
        <f t="shared" si="681"/>
        <v>223.56</v>
      </c>
      <c r="Y1313" s="190">
        <f t="shared" si="682"/>
        <v>1034.29</v>
      </c>
      <c r="Z1313" s="191">
        <v>1034.1300000000001</v>
      </c>
      <c r="AA1313" s="192">
        <f t="shared" si="837"/>
        <v>-0.15999999999985448</v>
      </c>
      <c r="AB1313" s="193">
        <f t="shared" si="684"/>
        <v>5.8072347213787368E-3</v>
      </c>
      <c r="AC1313" s="194">
        <f t="shared" si="685"/>
        <v>5.1500000000000005E-4</v>
      </c>
      <c r="AD1313" s="189"/>
      <c r="AE1313" s="195" t="s">
        <v>403</v>
      </c>
      <c r="AF1313" s="119"/>
    </row>
    <row r="1314" spans="1:32" ht="12" hidden="1" customHeight="1">
      <c r="A1314" s="183">
        <v>44726</v>
      </c>
      <c r="B1314" s="184" t="s">
        <v>575</v>
      </c>
      <c r="C1314" s="184"/>
      <c r="D1314" s="184"/>
      <c r="E1314" s="184"/>
      <c r="F1314" s="184"/>
      <c r="G1314" s="184"/>
      <c r="H1314" s="184" t="s">
        <v>654</v>
      </c>
      <c r="I1314" s="184" t="s">
        <v>469</v>
      </c>
      <c r="J1314" s="184" t="s">
        <v>448</v>
      </c>
      <c r="K1314" s="185">
        <v>200</v>
      </c>
      <c r="L1314" s="186">
        <v>933.125</v>
      </c>
      <c r="M1314" s="187">
        <v>939.00329999999997</v>
      </c>
      <c r="N1314" s="188">
        <f t="shared" si="796"/>
        <v>20</v>
      </c>
      <c r="O1314" s="188">
        <f t="shared" si="797"/>
        <v>20</v>
      </c>
      <c r="P1314" s="189">
        <f t="shared" si="674"/>
        <v>374425.66</v>
      </c>
      <c r="Q1314" s="189">
        <f t="shared" si="675"/>
        <v>1175.6599999999935</v>
      </c>
      <c r="R1314" s="189">
        <v>112.35999999999999</v>
      </c>
      <c r="S1314" s="189">
        <f t="shared" si="697"/>
        <v>22.08</v>
      </c>
      <c r="T1314" s="189">
        <f t="shared" si="857"/>
        <v>46.95</v>
      </c>
      <c r="U1314" s="189">
        <f t="shared" si="851"/>
        <v>5.6</v>
      </c>
      <c r="V1314" s="189">
        <f t="shared" si="858"/>
        <v>10.3</v>
      </c>
      <c r="W1314" s="189">
        <f t="shared" si="758"/>
        <v>0.37</v>
      </c>
      <c r="X1314" s="189">
        <f t="shared" si="681"/>
        <v>197.66</v>
      </c>
      <c r="Y1314" s="190">
        <f t="shared" si="682"/>
        <v>978</v>
      </c>
      <c r="Z1314" s="191">
        <v>977.58</v>
      </c>
      <c r="AA1314" s="192">
        <f t="shared" si="837"/>
        <v>-0.41999999999995907</v>
      </c>
      <c r="AB1314" s="193">
        <f t="shared" si="684"/>
        <v>6.2995847287340579E-3</v>
      </c>
      <c r="AC1314" s="194">
        <f t="shared" si="685"/>
        <v>5.2800000000000004E-4</v>
      </c>
      <c r="AD1314" s="189"/>
      <c r="AE1314" s="195" t="s">
        <v>403</v>
      </c>
      <c r="AF1314" s="119"/>
    </row>
    <row r="1315" spans="1:32" ht="12" hidden="1" customHeight="1">
      <c r="A1315" s="183">
        <v>44727</v>
      </c>
      <c r="B1315" s="184" t="s">
        <v>575</v>
      </c>
      <c r="C1315" s="184"/>
      <c r="D1315" s="184"/>
      <c r="E1315" s="184"/>
      <c r="F1315" s="184"/>
      <c r="G1315" s="184"/>
      <c r="H1315" s="184" t="s">
        <v>654</v>
      </c>
      <c r="I1315" s="184" t="s">
        <v>469</v>
      </c>
      <c r="J1315" s="184" t="s">
        <v>448</v>
      </c>
      <c r="K1315" s="185">
        <v>150</v>
      </c>
      <c r="L1315" s="186">
        <v>962.64835000000005</v>
      </c>
      <c r="M1315" s="187">
        <v>967.35</v>
      </c>
      <c r="N1315" s="188">
        <f t="shared" si="796"/>
        <v>20</v>
      </c>
      <c r="O1315" s="188">
        <f t="shared" si="797"/>
        <v>20</v>
      </c>
      <c r="P1315" s="189">
        <f t="shared" si="674"/>
        <v>289499.75</v>
      </c>
      <c r="Q1315" s="189">
        <f t="shared" si="675"/>
        <v>705.24749999999585</v>
      </c>
      <c r="R1315" s="189">
        <v>84.9</v>
      </c>
      <c r="S1315" s="189">
        <f t="shared" si="697"/>
        <v>16.71</v>
      </c>
      <c r="T1315" s="189">
        <f t="shared" si="857"/>
        <v>36.28</v>
      </c>
      <c r="U1315" s="189">
        <f t="shared" si="851"/>
        <v>4.33</v>
      </c>
      <c r="V1315" s="189">
        <f t="shared" si="858"/>
        <v>7.96</v>
      </c>
      <c r="W1315" s="189">
        <f t="shared" si="758"/>
        <v>0.28999999999999998</v>
      </c>
      <c r="X1315" s="189">
        <f t="shared" si="681"/>
        <v>150.47000000000003</v>
      </c>
      <c r="Y1315" s="190">
        <f t="shared" si="682"/>
        <v>554.78</v>
      </c>
      <c r="Z1315" s="191">
        <v>554.95000000000005</v>
      </c>
      <c r="AA1315" s="192">
        <f t="shared" si="837"/>
        <v>0.17000000000007276</v>
      </c>
      <c r="AB1315" s="193">
        <f t="shared" si="684"/>
        <v>4.88407838646373E-3</v>
      </c>
      <c r="AC1315" s="194">
        <f t="shared" si="685"/>
        <v>5.1999999999999995E-4</v>
      </c>
      <c r="AD1315" s="189"/>
      <c r="AE1315" s="195" t="s">
        <v>403</v>
      </c>
      <c r="AF1315" s="119"/>
    </row>
    <row r="1316" spans="1:32" ht="12" hidden="1" customHeight="1">
      <c r="A1316" s="183">
        <v>44729</v>
      </c>
      <c r="B1316" s="184" t="s">
        <v>575</v>
      </c>
      <c r="C1316" s="184"/>
      <c r="D1316" s="184"/>
      <c r="E1316" s="184"/>
      <c r="F1316" s="184"/>
      <c r="G1316" s="184"/>
      <c r="H1316" s="184" t="s">
        <v>654</v>
      </c>
      <c r="I1316" s="184" t="s">
        <v>469</v>
      </c>
      <c r="J1316" s="184" t="s">
        <v>448</v>
      </c>
      <c r="K1316" s="185">
        <v>50</v>
      </c>
      <c r="L1316" s="186">
        <v>948.85599999999999</v>
      </c>
      <c r="M1316" s="187">
        <v>955</v>
      </c>
      <c r="N1316" s="188">
        <f t="shared" si="796"/>
        <v>14.23</v>
      </c>
      <c r="O1316" s="188">
        <f t="shared" si="797"/>
        <v>14.33</v>
      </c>
      <c r="P1316" s="189">
        <f t="shared" si="674"/>
        <v>95192.8</v>
      </c>
      <c r="Q1316" s="189">
        <f t="shared" si="675"/>
        <v>307.20000000000027</v>
      </c>
      <c r="R1316" s="189">
        <f>ROUND(N1316+O1316,2)</f>
        <v>28.56</v>
      </c>
      <c r="S1316" s="189">
        <f t="shared" si="697"/>
        <v>5.61</v>
      </c>
      <c r="T1316" s="189">
        <f t="shared" si="857"/>
        <v>11.94</v>
      </c>
      <c r="U1316" s="189">
        <f t="shared" si="851"/>
        <v>1.42</v>
      </c>
      <c r="V1316" s="189">
        <f t="shared" si="858"/>
        <v>2.62</v>
      </c>
      <c r="W1316" s="189">
        <f t="shared" si="758"/>
        <v>0.1</v>
      </c>
      <c r="X1316" s="189">
        <f t="shared" si="681"/>
        <v>50.25</v>
      </c>
      <c r="Y1316" s="190">
        <f t="shared" si="682"/>
        <v>256.95</v>
      </c>
      <c r="Z1316" s="191">
        <v>257.31</v>
      </c>
      <c r="AA1316" s="192">
        <f t="shared" si="837"/>
        <v>0.36000000000001364</v>
      </c>
      <c r="AB1316" s="193">
        <f t="shared" si="684"/>
        <v>6.4751658839697548E-3</v>
      </c>
      <c r="AC1316" s="194">
        <f t="shared" si="685"/>
        <v>5.2800000000000004E-4</v>
      </c>
      <c r="AD1316" s="189"/>
      <c r="AE1316" s="195" t="s">
        <v>403</v>
      </c>
      <c r="AF1316" s="119"/>
    </row>
    <row r="1317" spans="1:32" ht="12" hidden="1" customHeight="1">
      <c r="A1317" s="183">
        <v>44732</v>
      </c>
      <c r="B1317" s="184" t="s">
        <v>575</v>
      </c>
      <c r="C1317" s="184"/>
      <c r="D1317" s="184"/>
      <c r="E1317" s="184"/>
      <c r="F1317" s="184"/>
      <c r="G1317" s="184"/>
      <c r="H1317" s="184" t="s">
        <v>654</v>
      </c>
      <c r="I1317" s="184" t="s">
        <v>469</v>
      </c>
      <c r="J1317" s="184" t="s">
        <v>448</v>
      </c>
      <c r="K1317" s="185">
        <v>130</v>
      </c>
      <c r="L1317" s="186">
        <v>949.71540000000005</v>
      </c>
      <c r="M1317" s="187">
        <v>954.69230000000005</v>
      </c>
      <c r="N1317" s="188">
        <f t="shared" si="796"/>
        <v>20</v>
      </c>
      <c r="O1317" s="188">
        <f t="shared" si="797"/>
        <v>20</v>
      </c>
      <c r="P1317" s="189">
        <f t="shared" si="674"/>
        <v>247573</v>
      </c>
      <c r="Q1317" s="189">
        <f t="shared" si="675"/>
        <v>646.99700000000007</v>
      </c>
      <c r="R1317" s="189">
        <v>71.31</v>
      </c>
      <c r="S1317" s="189">
        <f t="shared" si="697"/>
        <v>14.06</v>
      </c>
      <c r="T1317" s="189">
        <f t="shared" si="857"/>
        <v>31.03</v>
      </c>
      <c r="U1317" s="189">
        <f t="shared" si="851"/>
        <v>3.7</v>
      </c>
      <c r="V1317" s="189">
        <f t="shared" si="858"/>
        <v>6.81</v>
      </c>
      <c r="W1317" s="189">
        <f t="shared" si="758"/>
        <v>0.25</v>
      </c>
      <c r="X1317" s="189">
        <f t="shared" si="681"/>
        <v>127.16000000000001</v>
      </c>
      <c r="Y1317" s="190">
        <f t="shared" si="682"/>
        <v>519.84</v>
      </c>
      <c r="Z1317" s="191">
        <v>519.58000000000004</v>
      </c>
      <c r="AA1317" s="192">
        <f t="shared" si="837"/>
        <v>-0.25999999999999091</v>
      </c>
      <c r="AB1317" s="193">
        <f t="shared" si="684"/>
        <v>5.2404120223805998E-3</v>
      </c>
      <c r="AC1317" s="194">
        <f t="shared" si="685"/>
        <v>5.1400000000000003E-4</v>
      </c>
      <c r="AD1317" s="189"/>
      <c r="AE1317" s="195" t="s">
        <v>403</v>
      </c>
      <c r="AF1317" s="119"/>
    </row>
    <row r="1318" spans="1:32" ht="12" hidden="1" customHeight="1">
      <c r="A1318" s="183">
        <v>44733</v>
      </c>
      <c r="B1318" s="184" t="s">
        <v>575</v>
      </c>
      <c r="C1318" s="184"/>
      <c r="D1318" s="184"/>
      <c r="E1318" s="184"/>
      <c r="F1318" s="184"/>
      <c r="G1318" s="184"/>
      <c r="H1318" s="184" t="s">
        <v>654</v>
      </c>
      <c r="I1318" s="184" t="s">
        <v>469</v>
      </c>
      <c r="J1318" s="184" t="s">
        <v>448</v>
      </c>
      <c r="K1318" s="185">
        <v>150</v>
      </c>
      <c r="L1318" s="186">
        <v>949.31500000000005</v>
      </c>
      <c r="M1318" s="187">
        <v>955.80100000000004</v>
      </c>
      <c r="N1318" s="188">
        <f t="shared" si="796"/>
        <v>20</v>
      </c>
      <c r="O1318" s="188">
        <f t="shared" si="797"/>
        <v>20</v>
      </c>
      <c r="P1318" s="189">
        <f t="shared" si="674"/>
        <v>285767.40000000002</v>
      </c>
      <c r="Q1318" s="189">
        <f t="shared" si="675"/>
        <v>972.8999999999985</v>
      </c>
      <c r="R1318" s="189">
        <v>82.82</v>
      </c>
      <c r="S1318" s="189">
        <f t="shared" si="697"/>
        <v>16.32</v>
      </c>
      <c r="T1318" s="189">
        <f t="shared" si="857"/>
        <v>35.840000000000003</v>
      </c>
      <c r="U1318" s="189">
        <f t="shared" si="851"/>
        <v>4.2699999999999996</v>
      </c>
      <c r="V1318" s="189">
        <f t="shared" si="858"/>
        <v>7.86</v>
      </c>
      <c r="W1318" s="189">
        <f t="shared" si="758"/>
        <v>0.28999999999999998</v>
      </c>
      <c r="X1318" s="189">
        <f t="shared" si="681"/>
        <v>147.4</v>
      </c>
      <c r="Y1318" s="190">
        <f t="shared" si="682"/>
        <v>825.5</v>
      </c>
      <c r="Z1318" s="191">
        <v>825.62</v>
      </c>
      <c r="AA1318" s="192">
        <f t="shared" si="837"/>
        <v>0.12000000000000455</v>
      </c>
      <c r="AB1318" s="193">
        <f t="shared" si="684"/>
        <v>6.8322948652449287E-3</v>
      </c>
      <c r="AC1318" s="194">
        <f t="shared" si="685"/>
        <v>5.1599999999999997E-4</v>
      </c>
      <c r="AD1318" s="189"/>
      <c r="AE1318" s="195" t="s">
        <v>403</v>
      </c>
      <c r="AF1318" s="119"/>
    </row>
    <row r="1319" spans="1:32" ht="12" hidden="1" customHeight="1">
      <c r="A1319" s="183">
        <v>44734</v>
      </c>
      <c r="B1319" s="184" t="s">
        <v>575</v>
      </c>
      <c r="C1319" s="184"/>
      <c r="D1319" s="184"/>
      <c r="E1319" s="184"/>
      <c r="F1319" s="184"/>
      <c r="G1319" s="184"/>
      <c r="H1319" s="184" t="s">
        <v>654</v>
      </c>
      <c r="I1319" s="184" t="s">
        <v>469</v>
      </c>
      <c r="J1319" s="184" t="s">
        <v>448</v>
      </c>
      <c r="K1319" s="185">
        <v>50</v>
      </c>
      <c r="L1319" s="186">
        <v>935.84</v>
      </c>
      <c r="M1319" s="187">
        <v>938.5</v>
      </c>
      <c r="N1319" s="188">
        <f t="shared" si="796"/>
        <v>14.04</v>
      </c>
      <c r="O1319" s="188">
        <f t="shared" si="797"/>
        <v>14.08</v>
      </c>
      <c r="P1319" s="189">
        <f t="shared" si="674"/>
        <v>93717</v>
      </c>
      <c r="Q1319" s="189">
        <f t="shared" si="675"/>
        <v>132.99999999999841</v>
      </c>
      <c r="R1319" s="189">
        <f>ROUND(N1319+O1319,2)</f>
        <v>28.12</v>
      </c>
      <c r="S1319" s="189">
        <f t="shared" si="697"/>
        <v>5.53</v>
      </c>
      <c r="T1319" s="189">
        <f t="shared" si="857"/>
        <v>11.73</v>
      </c>
      <c r="U1319" s="189">
        <f t="shared" si="851"/>
        <v>1.4</v>
      </c>
      <c r="V1319" s="189">
        <f t="shared" si="858"/>
        <v>2.58</v>
      </c>
      <c r="W1319" s="189">
        <f t="shared" si="758"/>
        <v>0.09</v>
      </c>
      <c r="X1319" s="189">
        <f t="shared" si="681"/>
        <v>49.449999999999996</v>
      </c>
      <c r="Y1319" s="190">
        <f t="shared" si="682"/>
        <v>83.55</v>
      </c>
      <c r="Z1319" s="191">
        <v>83.69</v>
      </c>
      <c r="AA1319" s="192">
        <f t="shared" si="837"/>
        <v>0.14000000000000057</v>
      </c>
      <c r="AB1319" s="193">
        <f t="shared" si="684"/>
        <v>2.8423662164472219E-3</v>
      </c>
      <c r="AC1319" s="194">
        <f t="shared" si="685"/>
        <v>5.2800000000000004E-4</v>
      </c>
      <c r="AD1319" s="189"/>
      <c r="AE1319" s="195" t="s">
        <v>403</v>
      </c>
      <c r="AF1319" s="119"/>
    </row>
    <row r="1320" spans="1:32" ht="12" hidden="1" customHeight="1">
      <c r="A1320" s="183">
        <v>44736</v>
      </c>
      <c r="B1320" s="184" t="s">
        <v>575</v>
      </c>
      <c r="C1320" s="184"/>
      <c r="D1320" s="184"/>
      <c r="E1320" s="184"/>
      <c r="F1320" s="184"/>
      <c r="G1320" s="184"/>
      <c r="H1320" s="184" t="s">
        <v>654</v>
      </c>
      <c r="I1320" s="184" t="s">
        <v>469</v>
      </c>
      <c r="J1320" s="184" t="s">
        <v>448</v>
      </c>
      <c r="K1320" s="185">
        <v>150</v>
      </c>
      <c r="L1320" s="186">
        <v>944.80634999999995</v>
      </c>
      <c r="M1320" s="187">
        <v>950</v>
      </c>
      <c r="N1320" s="188">
        <f t="shared" si="796"/>
        <v>20</v>
      </c>
      <c r="O1320" s="188">
        <f t="shared" si="797"/>
        <v>20</v>
      </c>
      <c r="P1320" s="189">
        <f t="shared" si="674"/>
        <v>284220.95</v>
      </c>
      <c r="Q1320" s="189">
        <f t="shared" si="675"/>
        <v>779.04750000000718</v>
      </c>
      <c r="R1320" s="189">
        <v>82.57</v>
      </c>
      <c r="S1320" s="189">
        <f t="shared" si="697"/>
        <v>16.27</v>
      </c>
      <c r="T1320" s="189">
        <f t="shared" si="857"/>
        <v>35.630000000000003</v>
      </c>
      <c r="U1320" s="189">
        <f t="shared" si="851"/>
        <v>4.25</v>
      </c>
      <c r="V1320" s="189">
        <f t="shared" si="858"/>
        <v>7.82</v>
      </c>
      <c r="W1320" s="189">
        <f t="shared" si="758"/>
        <v>0.28000000000000003</v>
      </c>
      <c r="X1320" s="189">
        <f t="shared" si="681"/>
        <v>146.82</v>
      </c>
      <c r="Y1320" s="190">
        <f t="shared" si="682"/>
        <v>632.23</v>
      </c>
      <c r="Z1320" s="191">
        <v>632.12</v>
      </c>
      <c r="AA1320" s="192">
        <f t="shared" si="837"/>
        <v>-0.11000000000001364</v>
      </c>
      <c r="AB1320" s="193">
        <f t="shared" si="684"/>
        <v>5.4970523853909836E-3</v>
      </c>
      <c r="AC1320" s="194">
        <f t="shared" si="685"/>
        <v>5.1699999999999999E-4</v>
      </c>
      <c r="AD1320" s="189"/>
      <c r="AE1320" s="195" t="s">
        <v>403</v>
      </c>
      <c r="AF1320" s="119"/>
    </row>
    <row r="1321" spans="1:32" ht="12" hidden="1" customHeight="1">
      <c r="A1321" s="183">
        <v>44736</v>
      </c>
      <c r="B1321" s="184" t="s">
        <v>307</v>
      </c>
      <c r="C1321" s="184"/>
      <c r="D1321" s="184"/>
      <c r="E1321" s="184"/>
      <c r="F1321" s="184"/>
      <c r="G1321" s="184"/>
      <c r="H1321" s="184" t="s">
        <v>654</v>
      </c>
      <c r="I1321" s="184" t="s">
        <v>469</v>
      </c>
      <c r="J1321" s="184" t="s">
        <v>471</v>
      </c>
      <c r="K1321" s="185">
        <v>55</v>
      </c>
      <c r="L1321" s="186">
        <v>777</v>
      </c>
      <c r="M1321" s="187">
        <v>780</v>
      </c>
      <c r="N1321" s="188">
        <f t="shared" si="796"/>
        <v>12.82</v>
      </c>
      <c r="O1321" s="188">
        <f t="shared" si="797"/>
        <v>12.87</v>
      </c>
      <c r="P1321" s="189">
        <f t="shared" si="674"/>
        <v>85635</v>
      </c>
      <c r="Q1321" s="189">
        <f t="shared" si="675"/>
        <v>165</v>
      </c>
      <c r="R1321" s="189">
        <f t="shared" ref="R1321:R1322" si="859">ROUND(N1321+O1321,2)</f>
        <v>25.69</v>
      </c>
      <c r="S1321" s="189">
        <f t="shared" si="697"/>
        <v>5.05</v>
      </c>
      <c r="T1321" s="189">
        <f t="shared" si="857"/>
        <v>10.73</v>
      </c>
      <c r="U1321" s="189">
        <f t="shared" si="851"/>
        <v>1.28</v>
      </c>
      <c r="V1321" s="189">
        <f t="shared" si="858"/>
        <v>2.35</v>
      </c>
      <c r="W1321" s="189">
        <f t="shared" si="758"/>
        <v>0.09</v>
      </c>
      <c r="X1321" s="189">
        <f t="shared" si="681"/>
        <v>45.190000000000005</v>
      </c>
      <c r="Y1321" s="190">
        <f t="shared" si="682"/>
        <v>119.81</v>
      </c>
      <c r="Z1321" s="191">
        <v>119.82</v>
      </c>
      <c r="AA1321" s="192">
        <f t="shared" si="837"/>
        <v>9.9999999999909051E-3</v>
      </c>
      <c r="AB1321" s="193">
        <f t="shared" si="684"/>
        <v>3.8610038610038611E-3</v>
      </c>
      <c r="AC1321" s="194">
        <f t="shared" si="685"/>
        <v>5.2800000000000004E-4</v>
      </c>
      <c r="AD1321" s="189"/>
      <c r="AE1321" s="195" t="s">
        <v>403</v>
      </c>
      <c r="AF1321" s="119"/>
    </row>
    <row r="1322" spans="1:32" ht="12" hidden="1" customHeight="1">
      <c r="A1322" s="183">
        <v>44739</v>
      </c>
      <c r="B1322" s="184" t="s">
        <v>575</v>
      </c>
      <c r="C1322" s="184"/>
      <c r="D1322" s="184"/>
      <c r="E1322" s="184"/>
      <c r="F1322" s="184"/>
      <c r="G1322" s="184"/>
      <c r="H1322" s="184" t="s">
        <v>654</v>
      </c>
      <c r="I1322" s="184" t="s">
        <v>469</v>
      </c>
      <c r="J1322" s="184" t="s">
        <v>448</v>
      </c>
      <c r="K1322" s="185">
        <v>50</v>
      </c>
      <c r="L1322" s="186">
        <v>949.67</v>
      </c>
      <c r="M1322" s="187">
        <v>955.02</v>
      </c>
      <c r="N1322" s="188">
        <f t="shared" si="796"/>
        <v>14.25</v>
      </c>
      <c r="O1322" s="188">
        <f t="shared" si="797"/>
        <v>14.33</v>
      </c>
      <c r="P1322" s="189">
        <f t="shared" si="674"/>
        <v>95234.5</v>
      </c>
      <c r="Q1322" s="189">
        <f t="shared" si="675"/>
        <v>267.50000000000114</v>
      </c>
      <c r="R1322" s="189">
        <f t="shared" si="859"/>
        <v>28.58</v>
      </c>
      <c r="S1322" s="189">
        <f t="shared" si="697"/>
        <v>5.62</v>
      </c>
      <c r="T1322" s="189">
        <f t="shared" si="857"/>
        <v>11.94</v>
      </c>
      <c r="U1322" s="189">
        <f t="shared" si="851"/>
        <v>1.42</v>
      </c>
      <c r="V1322" s="189">
        <f t="shared" si="858"/>
        <v>2.62</v>
      </c>
      <c r="W1322" s="189">
        <f t="shared" si="758"/>
        <v>0.1</v>
      </c>
      <c r="X1322" s="189">
        <f t="shared" si="681"/>
        <v>50.279999999999994</v>
      </c>
      <c r="Y1322" s="190">
        <f t="shared" si="682"/>
        <v>217.22</v>
      </c>
      <c r="Z1322" s="191">
        <v>218.16</v>
      </c>
      <c r="AA1322" s="192">
        <f t="shared" si="837"/>
        <v>0.93999999999999773</v>
      </c>
      <c r="AB1322" s="193">
        <f t="shared" si="684"/>
        <v>5.6335358598250162E-3</v>
      </c>
      <c r="AC1322" s="194">
        <f t="shared" si="685"/>
        <v>5.2800000000000004E-4</v>
      </c>
      <c r="AD1322" s="189"/>
      <c r="AE1322" s="195" t="s">
        <v>403</v>
      </c>
      <c r="AF1322" s="119"/>
    </row>
    <row r="1323" spans="1:32" ht="12" hidden="1" customHeight="1">
      <c r="A1323" s="183">
        <v>44740</v>
      </c>
      <c r="B1323" s="184" t="s">
        <v>575</v>
      </c>
      <c r="C1323" s="184"/>
      <c r="D1323" s="184"/>
      <c r="E1323" s="184"/>
      <c r="F1323" s="184"/>
      <c r="G1323" s="184"/>
      <c r="H1323" s="184" t="s">
        <v>654</v>
      </c>
      <c r="I1323" s="184" t="s">
        <v>469</v>
      </c>
      <c r="J1323" s="184" t="s">
        <v>448</v>
      </c>
      <c r="K1323" s="185">
        <v>123</v>
      </c>
      <c r="L1323" s="186">
        <v>952.01419999999996</v>
      </c>
      <c r="M1323" s="187">
        <v>958.05</v>
      </c>
      <c r="N1323" s="188">
        <f t="shared" si="796"/>
        <v>20</v>
      </c>
      <c r="O1323" s="188">
        <f t="shared" si="797"/>
        <v>20</v>
      </c>
      <c r="P1323" s="189">
        <f t="shared" si="674"/>
        <v>234937.9</v>
      </c>
      <c r="Q1323" s="189">
        <f t="shared" si="675"/>
        <v>742.40339999999935</v>
      </c>
      <c r="R1323" s="189">
        <v>70.48</v>
      </c>
      <c r="S1323" s="189">
        <f t="shared" si="697"/>
        <v>13.85</v>
      </c>
      <c r="T1323" s="189">
        <f t="shared" si="857"/>
        <v>29.46</v>
      </c>
      <c r="U1323" s="189">
        <f t="shared" si="851"/>
        <v>3.51</v>
      </c>
      <c r="V1323" s="189">
        <f t="shared" si="858"/>
        <v>6.46</v>
      </c>
      <c r="W1323" s="189">
        <f t="shared" si="758"/>
        <v>0.23</v>
      </c>
      <c r="X1323" s="189">
        <f t="shared" si="681"/>
        <v>123.99</v>
      </c>
      <c r="Y1323" s="190">
        <f t="shared" si="682"/>
        <v>618.41</v>
      </c>
      <c r="Z1323" s="191">
        <v>618.37</v>
      </c>
      <c r="AA1323" s="192">
        <f t="shared" si="837"/>
        <v>-3.999999999996362E-2</v>
      </c>
      <c r="AB1323" s="193">
        <f t="shared" si="684"/>
        <v>6.3400314827236764E-3</v>
      </c>
      <c r="AC1323" s="194">
        <f t="shared" si="685"/>
        <v>5.2800000000000004E-4</v>
      </c>
      <c r="AD1323" s="189"/>
      <c r="AE1323" s="195" t="s">
        <v>403</v>
      </c>
      <c r="AF1323" s="119"/>
    </row>
    <row r="1324" spans="1:32" ht="12" hidden="1" customHeight="1">
      <c r="A1324" s="183">
        <v>44743</v>
      </c>
      <c r="B1324" s="184" t="s">
        <v>575</v>
      </c>
      <c r="C1324" s="184"/>
      <c r="D1324" s="184"/>
      <c r="E1324" s="184"/>
      <c r="F1324" s="184"/>
      <c r="G1324" s="184"/>
      <c r="H1324" s="184" t="s">
        <v>654</v>
      </c>
      <c r="I1324" s="184" t="s">
        <v>469</v>
      </c>
      <c r="J1324" s="184" t="s">
        <v>448</v>
      </c>
      <c r="K1324" s="185">
        <v>77</v>
      </c>
      <c r="L1324" s="186">
        <v>946.46749999999997</v>
      </c>
      <c r="M1324" s="187">
        <v>950.45320000000004</v>
      </c>
      <c r="N1324" s="188">
        <f t="shared" si="796"/>
        <v>20</v>
      </c>
      <c r="O1324" s="188">
        <f t="shared" si="797"/>
        <v>20</v>
      </c>
      <c r="P1324" s="189">
        <f t="shared" si="674"/>
        <v>146062.89000000001</v>
      </c>
      <c r="Q1324" s="189">
        <f t="shared" si="675"/>
        <v>306.89890000000503</v>
      </c>
      <c r="R1324" s="189">
        <v>54.61</v>
      </c>
      <c r="S1324" s="189">
        <f t="shared" si="697"/>
        <v>10.55</v>
      </c>
      <c r="T1324" s="189">
        <f t="shared" si="857"/>
        <v>18.3</v>
      </c>
      <c r="U1324" s="189">
        <f t="shared" si="851"/>
        <v>2.19</v>
      </c>
      <c r="V1324" s="189">
        <f t="shared" si="858"/>
        <v>4.0199999999999996</v>
      </c>
      <c r="W1324" s="189">
        <f t="shared" si="758"/>
        <v>0.15</v>
      </c>
      <c r="X1324" s="189">
        <f t="shared" si="681"/>
        <v>89.82</v>
      </c>
      <c r="Y1324" s="190">
        <f t="shared" si="682"/>
        <v>217.08</v>
      </c>
      <c r="Z1324" s="191">
        <v>217.37</v>
      </c>
      <c r="AA1324" s="192">
        <f t="shared" si="837"/>
        <v>0.28999999999999204</v>
      </c>
      <c r="AB1324" s="193">
        <f t="shared" si="684"/>
        <v>4.2111324477597653E-3</v>
      </c>
      <c r="AC1324" s="194">
        <f t="shared" si="685"/>
        <v>6.1499999999999999E-4</v>
      </c>
      <c r="AD1324" s="189"/>
      <c r="AE1324" s="195" t="s">
        <v>403</v>
      </c>
      <c r="AF1324" s="119"/>
    </row>
    <row r="1325" spans="1:32" ht="12" hidden="1" customHeight="1">
      <c r="A1325" s="183">
        <v>44746</v>
      </c>
      <c r="B1325" s="184" t="s">
        <v>575</v>
      </c>
      <c r="C1325" s="184"/>
      <c r="D1325" s="184"/>
      <c r="E1325" s="184"/>
      <c r="F1325" s="184"/>
      <c r="G1325" s="184"/>
      <c r="H1325" s="184" t="s">
        <v>654</v>
      </c>
      <c r="I1325" s="184" t="s">
        <v>469</v>
      </c>
      <c r="J1325" s="184" t="s">
        <v>448</v>
      </c>
      <c r="K1325" s="185">
        <v>50</v>
      </c>
      <c r="L1325" s="186">
        <v>952.5</v>
      </c>
      <c r="M1325" s="187">
        <v>955.66</v>
      </c>
      <c r="N1325" s="188">
        <f t="shared" si="796"/>
        <v>14.29</v>
      </c>
      <c r="O1325" s="188">
        <f t="shared" si="797"/>
        <v>14.33</v>
      </c>
      <c r="P1325" s="189">
        <f t="shared" si="674"/>
        <v>95408</v>
      </c>
      <c r="Q1325" s="189">
        <f t="shared" si="675"/>
        <v>157.99999999999841</v>
      </c>
      <c r="R1325" s="189">
        <f>ROUND(N1325+O1325,2)</f>
        <v>28.62</v>
      </c>
      <c r="S1325" s="189">
        <f t="shared" si="697"/>
        <v>5.62</v>
      </c>
      <c r="T1325" s="189">
        <f t="shared" si="857"/>
        <v>11.95</v>
      </c>
      <c r="U1325" s="189">
        <f t="shared" si="851"/>
        <v>1.43</v>
      </c>
      <c r="V1325" s="189">
        <f t="shared" si="858"/>
        <v>2.62</v>
      </c>
      <c r="W1325" s="189">
        <f t="shared" si="758"/>
        <v>0.1</v>
      </c>
      <c r="X1325" s="189">
        <f t="shared" si="681"/>
        <v>50.339999999999996</v>
      </c>
      <c r="Y1325" s="190">
        <f t="shared" si="682"/>
        <v>107.66</v>
      </c>
      <c r="Z1325" s="191">
        <v>107.09</v>
      </c>
      <c r="AA1325" s="192">
        <f t="shared" si="837"/>
        <v>-0.56999999999999318</v>
      </c>
      <c r="AB1325" s="193">
        <f t="shared" si="684"/>
        <v>3.3175853018372371E-3</v>
      </c>
      <c r="AC1325" s="194">
        <f t="shared" si="685"/>
        <v>5.2800000000000004E-4</v>
      </c>
      <c r="AD1325" s="189"/>
      <c r="AE1325" s="195" t="s">
        <v>403</v>
      </c>
      <c r="AF1325" s="119"/>
    </row>
    <row r="1326" spans="1:32" ht="12" hidden="1" customHeight="1">
      <c r="A1326" s="183">
        <v>44747</v>
      </c>
      <c r="B1326" s="184" t="s">
        <v>575</v>
      </c>
      <c r="C1326" s="184"/>
      <c r="D1326" s="184"/>
      <c r="E1326" s="184"/>
      <c r="F1326" s="184"/>
      <c r="G1326" s="184"/>
      <c r="H1326" s="184" t="s">
        <v>654</v>
      </c>
      <c r="I1326" s="184" t="s">
        <v>469</v>
      </c>
      <c r="J1326" s="184" t="s">
        <v>448</v>
      </c>
      <c r="K1326" s="185">
        <v>100</v>
      </c>
      <c r="L1326" s="186">
        <v>953.32500000000005</v>
      </c>
      <c r="M1326" s="187">
        <v>958.5</v>
      </c>
      <c r="N1326" s="188">
        <f t="shared" si="796"/>
        <v>20</v>
      </c>
      <c r="O1326" s="188">
        <f t="shared" si="797"/>
        <v>20</v>
      </c>
      <c r="P1326" s="189">
        <f t="shared" si="674"/>
        <v>191182.5</v>
      </c>
      <c r="Q1326" s="189">
        <f t="shared" si="675"/>
        <v>517.49999999999545</v>
      </c>
      <c r="R1326" s="189">
        <v>64.52</v>
      </c>
      <c r="S1326" s="189">
        <f t="shared" si="697"/>
        <v>12.56</v>
      </c>
      <c r="T1326" s="189">
        <f t="shared" si="857"/>
        <v>23.96</v>
      </c>
      <c r="U1326" s="189">
        <f t="shared" si="851"/>
        <v>2.86</v>
      </c>
      <c r="V1326" s="189">
        <f t="shared" si="858"/>
        <v>5.26</v>
      </c>
      <c r="W1326" s="189">
        <f t="shared" si="758"/>
        <v>0.19</v>
      </c>
      <c r="X1326" s="189">
        <f t="shared" si="681"/>
        <v>109.35</v>
      </c>
      <c r="Y1326" s="190">
        <f t="shared" si="682"/>
        <v>408.15</v>
      </c>
      <c r="Z1326" s="191">
        <v>408.18</v>
      </c>
      <c r="AA1326" s="192">
        <f t="shared" si="837"/>
        <v>3.0000000000029559E-2</v>
      </c>
      <c r="AB1326" s="193">
        <f t="shared" si="684"/>
        <v>5.4283691291007307E-3</v>
      </c>
      <c r="AC1326" s="194">
        <f t="shared" si="685"/>
        <v>5.7200000000000003E-4</v>
      </c>
      <c r="AD1326" s="189"/>
      <c r="AE1326" s="195" t="s">
        <v>403</v>
      </c>
      <c r="AF1326" s="119"/>
    </row>
    <row r="1327" spans="1:32" ht="12" hidden="1" customHeight="1">
      <c r="A1327" s="183">
        <v>44748</v>
      </c>
      <c r="B1327" s="184" t="s">
        <v>575</v>
      </c>
      <c r="C1327" s="184"/>
      <c r="D1327" s="184"/>
      <c r="E1327" s="184"/>
      <c r="F1327" s="184"/>
      <c r="G1327" s="184"/>
      <c r="H1327" s="184" t="s">
        <v>654</v>
      </c>
      <c r="I1327" s="184" t="s">
        <v>469</v>
      </c>
      <c r="J1327" s="184" t="s">
        <v>448</v>
      </c>
      <c r="K1327" s="185">
        <v>50</v>
      </c>
      <c r="L1327" s="186">
        <v>974</v>
      </c>
      <c r="M1327" s="187">
        <v>977</v>
      </c>
      <c r="N1327" s="188">
        <f t="shared" si="796"/>
        <v>14.61</v>
      </c>
      <c r="O1327" s="188">
        <f t="shared" si="797"/>
        <v>14.66</v>
      </c>
      <c r="P1327" s="189">
        <f t="shared" si="674"/>
        <v>97550</v>
      </c>
      <c r="Q1327" s="189">
        <f t="shared" si="675"/>
        <v>150</v>
      </c>
      <c r="R1327" s="189">
        <f>ROUND(N1327+O1327,2)</f>
        <v>29.27</v>
      </c>
      <c r="S1327" s="189">
        <f t="shared" si="697"/>
        <v>5.75</v>
      </c>
      <c r="T1327" s="189">
        <f t="shared" si="857"/>
        <v>12.21</v>
      </c>
      <c r="U1327" s="189">
        <f t="shared" si="851"/>
        <v>1.46</v>
      </c>
      <c r="V1327" s="189">
        <f t="shared" si="858"/>
        <v>2.68</v>
      </c>
      <c r="W1327" s="189">
        <f t="shared" si="758"/>
        <v>0.1</v>
      </c>
      <c r="X1327" s="189">
        <f t="shared" si="681"/>
        <v>51.47</v>
      </c>
      <c r="Y1327" s="190">
        <f t="shared" si="682"/>
        <v>98.53</v>
      </c>
      <c r="Z1327" s="191">
        <v>98.31</v>
      </c>
      <c r="AA1327" s="192">
        <f t="shared" si="837"/>
        <v>-0.21999999999999886</v>
      </c>
      <c r="AB1327" s="193">
        <f t="shared" si="684"/>
        <v>3.0800821355236141E-3</v>
      </c>
      <c r="AC1327" s="194">
        <f t="shared" si="685"/>
        <v>5.2800000000000004E-4</v>
      </c>
      <c r="AD1327" s="189"/>
      <c r="AE1327" s="195" t="s">
        <v>403</v>
      </c>
      <c r="AF1327" s="119"/>
    </row>
    <row r="1328" spans="1:32" ht="12" hidden="1" customHeight="1">
      <c r="A1328" s="183">
        <v>44753</v>
      </c>
      <c r="B1328" s="184" t="s">
        <v>575</v>
      </c>
      <c r="C1328" s="184"/>
      <c r="D1328" s="184"/>
      <c r="E1328" s="184"/>
      <c r="F1328" s="184"/>
      <c r="G1328" s="184"/>
      <c r="H1328" s="184" t="s">
        <v>654</v>
      </c>
      <c r="I1328" s="184" t="s">
        <v>469</v>
      </c>
      <c r="J1328" s="184" t="s">
        <v>448</v>
      </c>
      <c r="K1328" s="185">
        <v>10</v>
      </c>
      <c r="L1328" s="186">
        <v>967</v>
      </c>
      <c r="M1328" s="187">
        <v>972.82</v>
      </c>
      <c r="N1328" s="188">
        <f t="shared" si="796"/>
        <v>2.9</v>
      </c>
      <c r="O1328" s="188">
        <f t="shared" si="797"/>
        <v>2.92</v>
      </c>
      <c r="P1328" s="189">
        <f t="shared" si="674"/>
        <v>19398.2</v>
      </c>
      <c r="Q1328" s="189">
        <f t="shared" si="675"/>
        <v>58.2000000000005</v>
      </c>
      <c r="R1328" s="189">
        <v>17.28</v>
      </c>
      <c r="S1328" s="189">
        <f t="shared" si="697"/>
        <v>3.21</v>
      </c>
      <c r="T1328" s="189">
        <f t="shared" si="857"/>
        <v>2.4300000000000002</v>
      </c>
      <c r="U1328" s="189">
        <f t="shared" si="851"/>
        <v>0.28999999999999998</v>
      </c>
      <c r="V1328" s="189">
        <f t="shared" si="858"/>
        <v>0.53</v>
      </c>
      <c r="W1328" s="189">
        <f t="shared" si="758"/>
        <v>0.02</v>
      </c>
      <c r="X1328" s="189">
        <f t="shared" si="681"/>
        <v>23.76</v>
      </c>
      <c r="Y1328" s="190">
        <f t="shared" si="682"/>
        <v>34.44</v>
      </c>
      <c r="Z1328" s="191">
        <v>34</v>
      </c>
      <c r="AA1328" s="192">
        <f t="shared" si="837"/>
        <v>-0.43999999999999773</v>
      </c>
      <c r="AB1328" s="193">
        <f t="shared" si="684"/>
        <v>6.0186142709411066E-3</v>
      </c>
      <c r="AC1328" s="194">
        <f t="shared" si="685"/>
        <v>1.225E-3</v>
      </c>
      <c r="AD1328" s="189"/>
      <c r="AE1328" s="195" t="s">
        <v>403</v>
      </c>
      <c r="AF1328" s="119"/>
    </row>
    <row r="1329" spans="1:32" ht="12" hidden="1" customHeight="1">
      <c r="A1329" s="183">
        <v>44753</v>
      </c>
      <c r="B1329" s="184" t="s">
        <v>307</v>
      </c>
      <c r="C1329" s="184"/>
      <c r="D1329" s="184"/>
      <c r="E1329" s="184"/>
      <c r="F1329" s="184"/>
      <c r="G1329" s="184"/>
      <c r="H1329" s="184" t="s">
        <v>654</v>
      </c>
      <c r="I1329" s="184" t="s">
        <v>469</v>
      </c>
      <c r="J1329" s="184" t="s">
        <v>471</v>
      </c>
      <c r="K1329" s="185">
        <v>9</v>
      </c>
      <c r="L1329" s="186">
        <v>860</v>
      </c>
      <c r="M1329" s="187">
        <v>880</v>
      </c>
      <c r="N1329" s="188">
        <f t="shared" si="796"/>
        <v>2.3199999999999998</v>
      </c>
      <c r="O1329" s="188">
        <f t="shared" si="797"/>
        <v>2.38</v>
      </c>
      <c r="P1329" s="189">
        <f t="shared" si="674"/>
        <v>15660</v>
      </c>
      <c r="Q1329" s="189">
        <f t="shared" si="675"/>
        <v>180</v>
      </c>
      <c r="R1329" s="189">
        <v>7.42</v>
      </c>
      <c r="S1329" s="189">
        <f t="shared" si="697"/>
        <v>1.48</v>
      </c>
      <c r="T1329" s="189">
        <f t="shared" si="857"/>
        <v>1.98</v>
      </c>
      <c r="U1329" s="189">
        <f t="shared" si="851"/>
        <v>0.23</v>
      </c>
      <c r="V1329" s="189">
        <f>ROUND(P1329*L$1809,2)+0.35</f>
        <v>0.78</v>
      </c>
      <c r="W1329" s="189">
        <f t="shared" si="758"/>
        <v>0.02</v>
      </c>
      <c r="X1329" s="189">
        <f t="shared" si="681"/>
        <v>11.91</v>
      </c>
      <c r="Y1329" s="190">
        <f t="shared" si="682"/>
        <v>168.09</v>
      </c>
      <c r="Z1329" s="191">
        <v>167.87</v>
      </c>
      <c r="AA1329" s="192">
        <f t="shared" si="837"/>
        <v>-0.21999999999999886</v>
      </c>
      <c r="AB1329" s="193">
        <f t="shared" si="684"/>
        <v>2.3255813953488372E-2</v>
      </c>
      <c r="AC1329" s="194">
        <f t="shared" si="685"/>
        <v>7.6099999999999996E-4</v>
      </c>
      <c r="AD1329" s="189"/>
      <c r="AE1329" s="195" t="s">
        <v>403</v>
      </c>
      <c r="AF1329" s="119"/>
    </row>
    <row r="1330" spans="1:32" ht="12" hidden="1" customHeight="1">
      <c r="A1330" s="183">
        <v>44754</v>
      </c>
      <c r="B1330" s="184" t="s">
        <v>575</v>
      </c>
      <c r="C1330" s="184"/>
      <c r="D1330" s="184"/>
      <c r="E1330" s="184"/>
      <c r="F1330" s="184"/>
      <c r="G1330" s="184"/>
      <c r="H1330" s="184" t="s">
        <v>654</v>
      </c>
      <c r="I1330" s="184" t="s">
        <v>469</v>
      </c>
      <c r="J1330" s="184" t="s">
        <v>448</v>
      </c>
      <c r="K1330" s="185">
        <v>100</v>
      </c>
      <c r="L1330" s="186">
        <v>985</v>
      </c>
      <c r="M1330" s="187">
        <v>989.375</v>
      </c>
      <c r="N1330" s="188">
        <f t="shared" si="796"/>
        <v>20</v>
      </c>
      <c r="O1330" s="188">
        <f t="shared" si="797"/>
        <v>20</v>
      </c>
      <c r="P1330" s="189">
        <f t="shared" si="674"/>
        <v>197437.5</v>
      </c>
      <c r="Q1330" s="189">
        <f t="shared" si="675"/>
        <v>437.5</v>
      </c>
      <c r="R1330" s="189">
        <v>119.97</v>
      </c>
      <c r="S1330" s="189">
        <f t="shared" si="697"/>
        <v>22.57</v>
      </c>
      <c r="T1330" s="189">
        <f t="shared" si="857"/>
        <v>24.73</v>
      </c>
      <c r="U1330" s="189">
        <f t="shared" si="851"/>
        <v>2.96</v>
      </c>
      <c r="V1330" s="189">
        <f t="shared" ref="V1330:V1335" si="860">ROUND(P1330*L$1809,2)</f>
        <v>5.43</v>
      </c>
      <c r="W1330" s="189">
        <f t="shared" si="758"/>
        <v>0.2</v>
      </c>
      <c r="X1330" s="189">
        <f t="shared" si="681"/>
        <v>175.85999999999999</v>
      </c>
      <c r="Y1330" s="190">
        <f t="shared" si="682"/>
        <v>261.64</v>
      </c>
      <c r="Z1330" s="191">
        <v>262.45999999999998</v>
      </c>
      <c r="AA1330" s="192">
        <f t="shared" si="837"/>
        <v>0.81999999999999318</v>
      </c>
      <c r="AB1330" s="193">
        <f t="shared" si="684"/>
        <v>4.4416243654822338E-3</v>
      </c>
      <c r="AC1330" s="194">
        <f t="shared" si="685"/>
        <v>8.9099999999999997E-4</v>
      </c>
      <c r="AD1330" s="189"/>
      <c r="AE1330" s="195" t="s">
        <v>403</v>
      </c>
      <c r="AF1330" s="119"/>
    </row>
    <row r="1331" spans="1:32" ht="12" hidden="1" customHeight="1">
      <c r="A1331" s="183">
        <v>44756</v>
      </c>
      <c r="B1331" s="184" t="s">
        <v>575</v>
      </c>
      <c r="C1331" s="184"/>
      <c r="D1331" s="184"/>
      <c r="E1331" s="184"/>
      <c r="F1331" s="184"/>
      <c r="G1331" s="184"/>
      <c r="H1331" s="184" t="s">
        <v>654</v>
      </c>
      <c r="I1331" s="184" t="s">
        <v>469</v>
      </c>
      <c r="J1331" s="184" t="s">
        <v>448</v>
      </c>
      <c r="K1331" s="185">
        <v>50</v>
      </c>
      <c r="L1331" s="186">
        <v>963.22699999999998</v>
      </c>
      <c r="M1331" s="187">
        <v>977</v>
      </c>
      <c r="N1331" s="188">
        <f t="shared" si="796"/>
        <v>14.45</v>
      </c>
      <c r="O1331" s="188">
        <f t="shared" si="797"/>
        <v>14.66</v>
      </c>
      <c r="P1331" s="189">
        <f t="shared" si="674"/>
        <v>97011.35</v>
      </c>
      <c r="Q1331" s="189">
        <f t="shared" si="675"/>
        <v>688.65000000000123</v>
      </c>
      <c r="R1331" s="189">
        <f>ROUND(N1331+O1331,2)</f>
        <v>29.11</v>
      </c>
      <c r="S1331" s="189">
        <f t="shared" si="697"/>
        <v>5.72</v>
      </c>
      <c r="T1331" s="189">
        <f t="shared" si="857"/>
        <v>12.21</v>
      </c>
      <c r="U1331" s="189">
        <f t="shared" si="851"/>
        <v>1.44</v>
      </c>
      <c r="V1331" s="189">
        <f t="shared" si="860"/>
        <v>2.67</v>
      </c>
      <c r="W1331" s="189">
        <f t="shared" si="758"/>
        <v>0.1</v>
      </c>
      <c r="X1331" s="189">
        <f t="shared" si="681"/>
        <v>51.25</v>
      </c>
      <c r="Y1331" s="190">
        <f t="shared" si="682"/>
        <v>637.4</v>
      </c>
      <c r="Z1331" s="191">
        <v>638.05999999999995</v>
      </c>
      <c r="AA1331" s="192">
        <f t="shared" si="837"/>
        <v>0.65999999999996817</v>
      </c>
      <c r="AB1331" s="193">
        <f t="shared" si="684"/>
        <v>1.4298810145479752E-2</v>
      </c>
      <c r="AC1331" s="194">
        <f t="shared" si="685"/>
        <v>5.2800000000000004E-4</v>
      </c>
      <c r="AD1331" s="189"/>
      <c r="AE1331" s="195" t="s">
        <v>403</v>
      </c>
      <c r="AF1331" s="119"/>
    </row>
    <row r="1332" spans="1:32" ht="12" hidden="1" customHeight="1">
      <c r="A1332" s="183">
        <v>44757</v>
      </c>
      <c r="B1332" s="184" t="s">
        <v>575</v>
      </c>
      <c r="C1332" s="184"/>
      <c r="D1332" s="184"/>
      <c r="E1332" s="184"/>
      <c r="F1332" s="184"/>
      <c r="G1332" s="184"/>
      <c r="H1332" s="184" t="s">
        <v>654</v>
      </c>
      <c r="I1332" s="184" t="s">
        <v>469</v>
      </c>
      <c r="J1332" s="184" t="s">
        <v>448</v>
      </c>
      <c r="K1332" s="185">
        <v>130</v>
      </c>
      <c r="L1332" s="186">
        <v>984.38459999999998</v>
      </c>
      <c r="M1332" s="187">
        <v>989.94230000000005</v>
      </c>
      <c r="N1332" s="188">
        <f t="shared" si="796"/>
        <v>20</v>
      </c>
      <c r="O1332" s="188">
        <f t="shared" si="797"/>
        <v>20</v>
      </c>
      <c r="P1332" s="189">
        <f t="shared" si="674"/>
        <v>256662.5</v>
      </c>
      <c r="Q1332" s="189">
        <f t="shared" si="675"/>
        <v>722.50100000000884</v>
      </c>
      <c r="R1332" s="189">
        <v>79.400000000000006</v>
      </c>
      <c r="S1332" s="189">
        <f t="shared" si="697"/>
        <v>15.56</v>
      </c>
      <c r="T1332" s="189">
        <f t="shared" si="857"/>
        <v>32.17</v>
      </c>
      <c r="U1332" s="189">
        <f t="shared" si="851"/>
        <v>3.84</v>
      </c>
      <c r="V1332" s="189">
        <f t="shared" si="860"/>
        <v>7.06</v>
      </c>
      <c r="W1332" s="189">
        <f t="shared" si="758"/>
        <v>0.26</v>
      </c>
      <c r="X1332" s="189">
        <f t="shared" si="681"/>
        <v>138.29</v>
      </c>
      <c r="Y1332" s="190">
        <f t="shared" si="682"/>
        <v>584.21</v>
      </c>
      <c r="Z1332" s="191">
        <v>584.59</v>
      </c>
      <c r="AA1332" s="192">
        <f t="shared" si="837"/>
        <v>0.37999999999999545</v>
      </c>
      <c r="AB1332" s="193">
        <f t="shared" si="684"/>
        <v>5.6458623997166025E-3</v>
      </c>
      <c r="AC1332" s="194">
        <f t="shared" si="685"/>
        <v>5.3899999999999998E-4</v>
      </c>
      <c r="AD1332" s="189"/>
      <c r="AE1332" s="195" t="s">
        <v>403</v>
      </c>
      <c r="AF1332" s="119"/>
    </row>
    <row r="1333" spans="1:32" ht="12" hidden="1" customHeight="1">
      <c r="A1333" s="183">
        <v>44761</v>
      </c>
      <c r="B1333" s="184" t="s">
        <v>307</v>
      </c>
      <c r="C1333" s="184"/>
      <c r="D1333" s="184"/>
      <c r="E1333" s="184"/>
      <c r="F1333" s="184"/>
      <c r="G1333" s="184"/>
      <c r="H1333" s="184" t="s">
        <v>654</v>
      </c>
      <c r="I1333" s="184" t="s">
        <v>469</v>
      </c>
      <c r="J1333" s="184" t="s">
        <v>471</v>
      </c>
      <c r="K1333" s="185">
        <v>19</v>
      </c>
      <c r="L1333" s="186">
        <v>860</v>
      </c>
      <c r="M1333" s="187">
        <v>865.31579999999997</v>
      </c>
      <c r="N1333" s="188">
        <f t="shared" si="796"/>
        <v>4.9000000000000004</v>
      </c>
      <c r="O1333" s="188">
        <f t="shared" si="797"/>
        <v>4.93</v>
      </c>
      <c r="P1333" s="189">
        <f t="shared" si="674"/>
        <v>32781</v>
      </c>
      <c r="Q1333" s="189">
        <f t="shared" si="675"/>
        <v>101.00019999999938</v>
      </c>
      <c r="R1333" s="189">
        <v>9.83</v>
      </c>
      <c r="S1333" s="189">
        <f t="shared" si="697"/>
        <v>1.93</v>
      </c>
      <c r="T1333" s="189">
        <f t="shared" si="857"/>
        <v>4.1100000000000003</v>
      </c>
      <c r="U1333" s="189">
        <f t="shared" si="851"/>
        <v>0.49</v>
      </c>
      <c r="V1333" s="189">
        <f t="shared" si="860"/>
        <v>0.9</v>
      </c>
      <c r="W1333" s="189">
        <f t="shared" si="758"/>
        <v>0.03</v>
      </c>
      <c r="X1333" s="189">
        <f t="shared" si="681"/>
        <v>17.29</v>
      </c>
      <c r="Y1333" s="190">
        <f t="shared" si="682"/>
        <v>83.71</v>
      </c>
      <c r="Z1333" s="191">
        <v>84.29</v>
      </c>
      <c r="AA1333" s="192">
        <f t="shared" si="837"/>
        <v>0.58000000000001251</v>
      </c>
      <c r="AB1333" s="193">
        <f t="shared" si="684"/>
        <v>6.1811627906976363E-3</v>
      </c>
      <c r="AC1333" s="194">
        <f t="shared" si="685"/>
        <v>5.2700000000000002E-4</v>
      </c>
      <c r="AD1333" s="189"/>
      <c r="AE1333" s="195" t="s">
        <v>403</v>
      </c>
      <c r="AF1333" s="119"/>
    </row>
    <row r="1334" spans="1:32" ht="12" hidden="1" customHeight="1">
      <c r="A1334" s="183">
        <v>44762</v>
      </c>
      <c r="B1334" s="184" t="s">
        <v>587</v>
      </c>
      <c r="C1334" s="184"/>
      <c r="D1334" s="184"/>
      <c r="E1334" s="184"/>
      <c r="F1334" s="184"/>
      <c r="G1334" s="184"/>
      <c r="H1334" s="184" t="s">
        <v>654</v>
      </c>
      <c r="I1334" s="184" t="s">
        <v>469</v>
      </c>
      <c r="J1334" s="184" t="s">
        <v>471</v>
      </c>
      <c r="K1334" s="185">
        <v>50</v>
      </c>
      <c r="L1334" s="186">
        <v>108</v>
      </c>
      <c r="M1334" s="187">
        <v>109.25</v>
      </c>
      <c r="N1334" s="188">
        <f t="shared" si="796"/>
        <v>1.62</v>
      </c>
      <c r="O1334" s="188">
        <f t="shared" si="797"/>
        <v>1.64</v>
      </c>
      <c r="P1334" s="189">
        <f t="shared" si="674"/>
        <v>10862.5</v>
      </c>
      <c r="Q1334" s="189">
        <f t="shared" si="675"/>
        <v>62.5</v>
      </c>
      <c r="R1334" s="189">
        <f t="shared" ref="R1334:R1335" si="861">ROUND(N1334+O1334,2)</f>
        <v>3.26</v>
      </c>
      <c r="S1334" s="189">
        <f t="shared" si="697"/>
        <v>0.64</v>
      </c>
      <c r="T1334" s="189">
        <f t="shared" si="857"/>
        <v>1.37</v>
      </c>
      <c r="U1334" s="189">
        <f t="shared" si="851"/>
        <v>0.16</v>
      </c>
      <c r="V1334" s="189">
        <f t="shared" si="860"/>
        <v>0.3</v>
      </c>
      <c r="W1334" s="189">
        <f t="shared" si="758"/>
        <v>0.01</v>
      </c>
      <c r="X1334" s="189">
        <f t="shared" si="681"/>
        <v>5.7399999999999993</v>
      </c>
      <c r="Y1334" s="190">
        <f t="shared" si="682"/>
        <v>56.76</v>
      </c>
      <c r="Z1334" s="191">
        <v>56.57</v>
      </c>
      <c r="AA1334" s="192">
        <f t="shared" si="837"/>
        <v>-0.18999999999999773</v>
      </c>
      <c r="AB1334" s="193">
        <f t="shared" si="684"/>
        <v>1.1574074074074073E-2</v>
      </c>
      <c r="AC1334" s="194">
        <f t="shared" si="685"/>
        <v>5.2800000000000004E-4</v>
      </c>
      <c r="AD1334" s="189"/>
      <c r="AE1334" s="195" t="s">
        <v>403</v>
      </c>
      <c r="AF1334" s="119"/>
    </row>
    <row r="1335" spans="1:32" ht="12" hidden="1" customHeight="1">
      <c r="A1335" s="183">
        <v>44762</v>
      </c>
      <c r="B1335" s="184" t="s">
        <v>307</v>
      </c>
      <c r="C1335" s="184"/>
      <c r="D1335" s="184"/>
      <c r="E1335" s="184"/>
      <c r="F1335" s="184"/>
      <c r="G1335" s="184"/>
      <c r="H1335" s="184" t="s">
        <v>654</v>
      </c>
      <c r="I1335" s="184" t="s">
        <v>469</v>
      </c>
      <c r="J1335" s="184" t="s">
        <v>471</v>
      </c>
      <c r="K1335" s="185">
        <v>10</v>
      </c>
      <c r="L1335" s="186">
        <v>865</v>
      </c>
      <c r="M1335" s="187">
        <v>869</v>
      </c>
      <c r="N1335" s="188">
        <f t="shared" si="796"/>
        <v>2.6</v>
      </c>
      <c r="O1335" s="188">
        <f t="shared" si="797"/>
        <v>2.61</v>
      </c>
      <c r="P1335" s="189">
        <f t="shared" si="674"/>
        <v>17340</v>
      </c>
      <c r="Q1335" s="189">
        <f t="shared" si="675"/>
        <v>40</v>
      </c>
      <c r="R1335" s="189">
        <f t="shared" si="861"/>
        <v>5.21</v>
      </c>
      <c r="S1335" s="189">
        <f t="shared" si="697"/>
        <v>1.02</v>
      </c>
      <c r="T1335" s="189">
        <f t="shared" si="857"/>
        <v>2.17</v>
      </c>
      <c r="U1335" s="189">
        <f t="shared" si="851"/>
        <v>0.26</v>
      </c>
      <c r="V1335" s="189">
        <f t="shared" si="860"/>
        <v>0.48</v>
      </c>
      <c r="W1335" s="189">
        <f t="shared" si="758"/>
        <v>0.02</v>
      </c>
      <c r="X1335" s="189">
        <f t="shared" si="681"/>
        <v>9.16</v>
      </c>
      <c r="Y1335" s="190">
        <f t="shared" si="682"/>
        <v>30.84</v>
      </c>
      <c r="Z1335" s="191">
        <v>31</v>
      </c>
      <c r="AA1335" s="192">
        <f t="shared" si="837"/>
        <v>0.16000000000000014</v>
      </c>
      <c r="AB1335" s="193">
        <f t="shared" si="684"/>
        <v>4.6242774566473991E-3</v>
      </c>
      <c r="AC1335" s="194">
        <f t="shared" si="685"/>
        <v>5.2800000000000004E-4</v>
      </c>
      <c r="AD1335" s="189"/>
      <c r="AE1335" s="195" t="s">
        <v>403</v>
      </c>
      <c r="AF1335" s="119"/>
    </row>
    <row r="1336" spans="1:32" ht="12" hidden="1" customHeight="1">
      <c r="A1336" s="183">
        <v>44763</v>
      </c>
      <c r="B1336" s="184" t="s">
        <v>575</v>
      </c>
      <c r="C1336" s="184"/>
      <c r="D1336" s="184"/>
      <c r="E1336" s="184"/>
      <c r="F1336" s="184"/>
      <c r="G1336" s="184"/>
      <c r="H1336" s="184" t="s">
        <v>654</v>
      </c>
      <c r="I1336" s="184" t="s">
        <v>469</v>
      </c>
      <c r="J1336" s="184" t="s">
        <v>448</v>
      </c>
      <c r="K1336" s="185">
        <v>450</v>
      </c>
      <c r="L1336" s="186">
        <v>973.77779999999996</v>
      </c>
      <c r="M1336" s="187">
        <v>975.91221900000005</v>
      </c>
      <c r="N1336" s="188">
        <f t="shared" si="796"/>
        <v>20</v>
      </c>
      <c r="O1336" s="188">
        <f t="shared" si="797"/>
        <v>20</v>
      </c>
      <c r="P1336" s="189">
        <f t="shared" si="674"/>
        <v>877360.51</v>
      </c>
      <c r="Q1336" s="189">
        <f t="shared" si="675"/>
        <v>960.4885500000421</v>
      </c>
      <c r="R1336" s="189">
        <v>98.7</v>
      </c>
      <c r="S1336" s="189">
        <f t="shared" si="697"/>
        <v>22.38</v>
      </c>
      <c r="T1336" s="189">
        <f t="shared" si="857"/>
        <v>109.79</v>
      </c>
      <c r="U1336" s="189">
        <f t="shared" si="851"/>
        <v>13.15</v>
      </c>
      <c r="V1336" s="189">
        <f>ROUND(P1336*L$1809,2)+1.5</f>
        <v>25.63</v>
      </c>
      <c r="W1336" s="189">
        <f t="shared" si="758"/>
        <v>0.88</v>
      </c>
      <c r="X1336" s="189">
        <f t="shared" si="681"/>
        <v>270.53000000000003</v>
      </c>
      <c r="Y1336" s="190">
        <f t="shared" si="682"/>
        <v>689.96</v>
      </c>
      <c r="Z1336" s="191">
        <v>690</v>
      </c>
      <c r="AA1336" s="192">
        <f t="shared" si="837"/>
        <v>3.999999999996362E-2</v>
      </c>
      <c r="AB1336" s="193">
        <f t="shared" si="684"/>
        <v>2.1918953173918052E-3</v>
      </c>
      <c r="AC1336" s="194">
        <f t="shared" si="685"/>
        <v>3.0800000000000001E-4</v>
      </c>
      <c r="AD1336" s="189"/>
      <c r="AE1336" s="195" t="s">
        <v>403</v>
      </c>
      <c r="AF1336" s="119"/>
    </row>
    <row r="1337" spans="1:32" ht="12" hidden="1" customHeight="1">
      <c r="A1337" s="183">
        <v>44764</v>
      </c>
      <c r="B1337" s="184" t="s">
        <v>587</v>
      </c>
      <c r="C1337" s="184"/>
      <c r="D1337" s="184"/>
      <c r="E1337" s="184"/>
      <c r="F1337" s="184"/>
      <c r="G1337" s="184"/>
      <c r="H1337" s="184" t="s">
        <v>654</v>
      </c>
      <c r="I1337" s="184" t="s">
        <v>469</v>
      </c>
      <c r="J1337" s="184" t="s">
        <v>471</v>
      </c>
      <c r="K1337" s="185">
        <v>50</v>
      </c>
      <c r="L1337" s="186">
        <v>107</v>
      </c>
      <c r="M1337" s="187">
        <v>108</v>
      </c>
      <c r="N1337" s="188">
        <f t="shared" si="796"/>
        <v>1.61</v>
      </c>
      <c r="O1337" s="188">
        <f t="shared" si="797"/>
        <v>1.62</v>
      </c>
      <c r="P1337" s="189">
        <f t="shared" si="674"/>
        <v>10750</v>
      </c>
      <c r="Q1337" s="189">
        <f t="shared" si="675"/>
        <v>50</v>
      </c>
      <c r="R1337" s="189">
        <f t="shared" ref="R1337:R1342" si="862">ROUND(N1337+O1337,2)</f>
        <v>3.23</v>
      </c>
      <c r="S1337" s="189">
        <f t="shared" si="697"/>
        <v>0.64</v>
      </c>
      <c r="T1337" s="189">
        <f t="shared" si="857"/>
        <v>1.35</v>
      </c>
      <c r="U1337" s="189">
        <f t="shared" si="851"/>
        <v>0.16</v>
      </c>
      <c r="V1337" s="189">
        <f t="shared" ref="V1337:V1363" si="863">ROUND(P1337*L$1809,2)</f>
        <v>0.3</v>
      </c>
      <c r="W1337" s="189">
        <f t="shared" si="758"/>
        <v>0.01</v>
      </c>
      <c r="X1337" s="189">
        <f t="shared" si="681"/>
        <v>5.69</v>
      </c>
      <c r="Y1337" s="190">
        <f t="shared" si="682"/>
        <v>44.31</v>
      </c>
      <c r="Z1337" s="191">
        <v>44</v>
      </c>
      <c r="AA1337" s="192">
        <f t="shared" si="837"/>
        <v>-0.31000000000000227</v>
      </c>
      <c r="AB1337" s="193">
        <f t="shared" si="684"/>
        <v>9.3457943925233638E-3</v>
      </c>
      <c r="AC1337" s="194">
        <f t="shared" si="685"/>
        <v>5.2899999999999996E-4</v>
      </c>
      <c r="AD1337" s="189"/>
      <c r="AE1337" s="195" t="s">
        <v>403</v>
      </c>
      <c r="AF1337" s="119"/>
    </row>
    <row r="1338" spans="1:32" ht="12" hidden="1" customHeight="1">
      <c r="A1338" s="183">
        <v>44764</v>
      </c>
      <c r="B1338" s="184" t="s">
        <v>552</v>
      </c>
      <c r="C1338" s="184"/>
      <c r="D1338" s="184"/>
      <c r="E1338" s="184"/>
      <c r="F1338" s="184"/>
      <c r="G1338" s="184"/>
      <c r="H1338" s="184" t="s">
        <v>654</v>
      </c>
      <c r="I1338" s="184" t="s">
        <v>469</v>
      </c>
      <c r="J1338" s="184" t="s">
        <v>471</v>
      </c>
      <c r="K1338" s="185">
        <v>50</v>
      </c>
      <c r="L1338" s="186">
        <v>287</v>
      </c>
      <c r="M1338" s="187">
        <v>291</v>
      </c>
      <c r="N1338" s="188">
        <f t="shared" si="796"/>
        <v>4.3099999999999996</v>
      </c>
      <c r="O1338" s="188">
        <f t="shared" si="797"/>
        <v>4.37</v>
      </c>
      <c r="P1338" s="189">
        <f t="shared" si="674"/>
        <v>28900</v>
      </c>
      <c r="Q1338" s="189">
        <f t="shared" si="675"/>
        <v>200</v>
      </c>
      <c r="R1338" s="189">
        <f t="shared" si="862"/>
        <v>8.68</v>
      </c>
      <c r="S1338" s="189">
        <f t="shared" si="697"/>
        <v>1.7</v>
      </c>
      <c r="T1338" s="189">
        <f t="shared" si="857"/>
        <v>3.64</v>
      </c>
      <c r="U1338" s="189">
        <f t="shared" si="851"/>
        <v>0.43</v>
      </c>
      <c r="V1338" s="189">
        <f t="shared" si="863"/>
        <v>0.79</v>
      </c>
      <c r="W1338" s="189">
        <f t="shared" si="758"/>
        <v>0.03</v>
      </c>
      <c r="X1338" s="189">
        <f t="shared" si="681"/>
        <v>15.269999999999998</v>
      </c>
      <c r="Y1338" s="190">
        <f t="shared" si="682"/>
        <v>184.73</v>
      </c>
      <c r="Z1338" s="191">
        <v>184.04</v>
      </c>
      <c r="AA1338" s="192">
        <f t="shared" si="837"/>
        <v>-0.68999999999999773</v>
      </c>
      <c r="AB1338" s="193">
        <f t="shared" si="684"/>
        <v>1.3937282229965157E-2</v>
      </c>
      <c r="AC1338" s="194">
        <f t="shared" si="685"/>
        <v>5.2800000000000004E-4</v>
      </c>
      <c r="AD1338" s="189"/>
      <c r="AE1338" s="195" t="s">
        <v>403</v>
      </c>
      <c r="AF1338" s="119"/>
    </row>
    <row r="1339" spans="1:32" ht="12" hidden="1" customHeight="1">
      <c r="A1339" s="183">
        <v>44767</v>
      </c>
      <c r="B1339" s="184" t="s">
        <v>575</v>
      </c>
      <c r="C1339" s="184"/>
      <c r="D1339" s="184"/>
      <c r="E1339" s="184"/>
      <c r="F1339" s="184"/>
      <c r="G1339" s="184"/>
      <c r="H1339" s="184" t="s">
        <v>654</v>
      </c>
      <c r="I1339" s="184" t="s">
        <v>469</v>
      </c>
      <c r="J1339" s="184" t="s">
        <v>448</v>
      </c>
      <c r="K1339" s="185">
        <v>25</v>
      </c>
      <c r="L1339" s="186">
        <v>965</v>
      </c>
      <c r="M1339" s="187">
        <v>969</v>
      </c>
      <c r="N1339" s="188">
        <f t="shared" si="796"/>
        <v>7.24</v>
      </c>
      <c r="O1339" s="188">
        <f t="shared" si="797"/>
        <v>7.27</v>
      </c>
      <c r="P1339" s="189">
        <f t="shared" si="674"/>
        <v>48350</v>
      </c>
      <c r="Q1339" s="189">
        <f t="shared" si="675"/>
        <v>100</v>
      </c>
      <c r="R1339" s="189">
        <f t="shared" si="862"/>
        <v>14.51</v>
      </c>
      <c r="S1339" s="189">
        <f t="shared" si="697"/>
        <v>2.85</v>
      </c>
      <c r="T1339" s="189">
        <f t="shared" si="857"/>
        <v>6.06</v>
      </c>
      <c r="U1339" s="189">
        <f t="shared" si="851"/>
        <v>0.72</v>
      </c>
      <c r="V1339" s="189">
        <f t="shared" si="863"/>
        <v>1.33</v>
      </c>
      <c r="W1339" s="189">
        <f t="shared" si="758"/>
        <v>0.05</v>
      </c>
      <c r="X1339" s="189">
        <f t="shared" si="681"/>
        <v>25.52</v>
      </c>
      <c r="Y1339" s="190">
        <f t="shared" si="682"/>
        <v>74.48</v>
      </c>
      <c r="Z1339" s="191">
        <v>74.260000000000005</v>
      </c>
      <c r="AA1339" s="192">
        <f t="shared" si="837"/>
        <v>-0.21999999999999886</v>
      </c>
      <c r="AB1339" s="193">
        <f t="shared" si="684"/>
        <v>4.1450777202072537E-3</v>
      </c>
      <c r="AC1339" s="194">
        <f t="shared" si="685"/>
        <v>5.2800000000000004E-4</v>
      </c>
      <c r="AD1339" s="189"/>
      <c r="AE1339" s="195" t="s">
        <v>403</v>
      </c>
      <c r="AF1339" s="119"/>
    </row>
    <row r="1340" spans="1:32" ht="12" hidden="1" customHeight="1">
      <c r="A1340" s="183">
        <v>44768</v>
      </c>
      <c r="B1340" s="184" t="s">
        <v>575</v>
      </c>
      <c r="C1340" s="184"/>
      <c r="D1340" s="184"/>
      <c r="E1340" s="184"/>
      <c r="F1340" s="184"/>
      <c r="G1340" s="184"/>
      <c r="H1340" s="184" t="s">
        <v>654</v>
      </c>
      <c r="I1340" s="184" t="s">
        <v>469</v>
      </c>
      <c r="J1340" s="184" t="s">
        <v>448</v>
      </c>
      <c r="K1340" s="185">
        <v>25</v>
      </c>
      <c r="L1340" s="186">
        <v>964.8</v>
      </c>
      <c r="M1340" s="187">
        <v>974</v>
      </c>
      <c r="N1340" s="188">
        <f t="shared" si="796"/>
        <v>7.24</v>
      </c>
      <c r="O1340" s="188">
        <f t="shared" si="797"/>
        <v>7.31</v>
      </c>
      <c r="P1340" s="189">
        <f t="shared" si="674"/>
        <v>48470</v>
      </c>
      <c r="Q1340" s="189">
        <f t="shared" si="675"/>
        <v>230.00000000000114</v>
      </c>
      <c r="R1340" s="189">
        <f t="shared" si="862"/>
        <v>14.55</v>
      </c>
      <c r="S1340" s="189">
        <f t="shared" si="697"/>
        <v>2.86</v>
      </c>
      <c r="T1340" s="189">
        <f t="shared" si="857"/>
        <v>6.09</v>
      </c>
      <c r="U1340" s="189">
        <f t="shared" si="851"/>
        <v>0.72</v>
      </c>
      <c r="V1340" s="189">
        <f t="shared" si="863"/>
        <v>1.33</v>
      </c>
      <c r="W1340" s="189">
        <f t="shared" si="758"/>
        <v>0.05</v>
      </c>
      <c r="X1340" s="189">
        <f t="shared" si="681"/>
        <v>25.599999999999998</v>
      </c>
      <c r="Y1340" s="190">
        <f t="shared" si="682"/>
        <v>204.4</v>
      </c>
      <c r="Z1340" s="191">
        <v>204.17</v>
      </c>
      <c r="AA1340" s="192">
        <f t="shared" si="837"/>
        <v>-0.23000000000001819</v>
      </c>
      <c r="AB1340" s="193">
        <f t="shared" si="684"/>
        <v>9.5356550580431645E-3</v>
      </c>
      <c r="AC1340" s="194">
        <f t="shared" si="685"/>
        <v>5.2800000000000004E-4</v>
      </c>
      <c r="AD1340" s="189"/>
      <c r="AE1340" s="195" t="s">
        <v>403</v>
      </c>
      <c r="AF1340" s="119"/>
    </row>
    <row r="1341" spans="1:32" ht="12" hidden="1" customHeight="1">
      <c r="A1341" s="183">
        <v>44770</v>
      </c>
      <c r="B1341" s="184" t="s">
        <v>484</v>
      </c>
      <c r="C1341" s="184"/>
      <c r="D1341" s="184"/>
      <c r="E1341" s="184"/>
      <c r="F1341" s="184"/>
      <c r="G1341" s="184"/>
      <c r="H1341" s="184" t="s">
        <v>654</v>
      </c>
      <c r="I1341" s="184" t="s">
        <v>469</v>
      </c>
      <c r="J1341" s="184" t="s">
        <v>471</v>
      </c>
      <c r="K1341" s="185">
        <v>5</v>
      </c>
      <c r="L1341" s="186">
        <v>7020</v>
      </c>
      <c r="M1341" s="187">
        <v>7043</v>
      </c>
      <c r="N1341" s="188">
        <f t="shared" si="796"/>
        <v>10.53</v>
      </c>
      <c r="O1341" s="188">
        <f t="shared" si="797"/>
        <v>10.56</v>
      </c>
      <c r="P1341" s="189">
        <f t="shared" si="674"/>
        <v>70315</v>
      </c>
      <c r="Q1341" s="189">
        <f t="shared" si="675"/>
        <v>115</v>
      </c>
      <c r="R1341" s="189">
        <f t="shared" si="862"/>
        <v>21.09</v>
      </c>
      <c r="S1341" s="189">
        <f t="shared" si="697"/>
        <v>4.1399999999999997</v>
      </c>
      <c r="T1341" s="189">
        <f t="shared" si="857"/>
        <v>8.8000000000000007</v>
      </c>
      <c r="U1341" s="189">
        <f t="shared" si="851"/>
        <v>1.05</v>
      </c>
      <c r="V1341" s="189">
        <f t="shared" si="863"/>
        <v>1.93</v>
      </c>
      <c r="W1341" s="189">
        <f t="shared" si="758"/>
        <v>7.0000000000000007E-2</v>
      </c>
      <c r="X1341" s="189">
        <f t="shared" si="681"/>
        <v>37.08</v>
      </c>
      <c r="Y1341" s="190">
        <f t="shared" si="682"/>
        <v>77.92</v>
      </c>
      <c r="Z1341" s="191">
        <f t="shared" ref="Z1341:Z1342" si="864">ROUND(Y1341,0)</f>
        <v>78</v>
      </c>
      <c r="AA1341" s="192">
        <f t="shared" si="837"/>
        <v>7.9999999999998295E-2</v>
      </c>
      <c r="AB1341" s="193">
        <f t="shared" si="684"/>
        <v>3.2763532763532763E-3</v>
      </c>
      <c r="AC1341" s="194">
        <f t="shared" si="685"/>
        <v>5.2700000000000002E-4</v>
      </c>
      <c r="AD1341" s="189"/>
      <c r="AE1341" s="195" t="s">
        <v>403</v>
      </c>
      <c r="AF1341" s="119"/>
    </row>
    <row r="1342" spans="1:32" ht="12" hidden="1" customHeight="1">
      <c r="A1342" s="183">
        <v>44770</v>
      </c>
      <c r="B1342" s="184" t="s">
        <v>587</v>
      </c>
      <c r="C1342" s="184"/>
      <c r="D1342" s="184"/>
      <c r="E1342" s="184"/>
      <c r="F1342" s="184"/>
      <c r="G1342" s="184"/>
      <c r="H1342" s="184" t="s">
        <v>654</v>
      </c>
      <c r="I1342" s="184" t="s">
        <v>469</v>
      </c>
      <c r="J1342" s="184" t="s">
        <v>471</v>
      </c>
      <c r="K1342" s="185">
        <v>25</v>
      </c>
      <c r="L1342" s="186">
        <v>107</v>
      </c>
      <c r="M1342" s="187">
        <v>109</v>
      </c>
      <c r="N1342" s="188">
        <f t="shared" si="796"/>
        <v>0.8</v>
      </c>
      <c r="O1342" s="188">
        <f t="shared" si="797"/>
        <v>0.82</v>
      </c>
      <c r="P1342" s="189">
        <f t="shared" si="674"/>
        <v>5400</v>
      </c>
      <c r="Q1342" s="189">
        <f t="shared" si="675"/>
        <v>50</v>
      </c>
      <c r="R1342" s="189">
        <f t="shared" si="862"/>
        <v>1.62</v>
      </c>
      <c r="S1342" s="189">
        <f t="shared" si="697"/>
        <v>0.32</v>
      </c>
      <c r="T1342" s="189">
        <f t="shared" si="857"/>
        <v>0.68</v>
      </c>
      <c r="U1342" s="189">
        <f t="shared" si="851"/>
        <v>0.08</v>
      </c>
      <c r="V1342" s="189">
        <f t="shared" si="863"/>
        <v>0.15</v>
      </c>
      <c r="W1342" s="189">
        <f t="shared" si="758"/>
        <v>0.01</v>
      </c>
      <c r="X1342" s="189">
        <f t="shared" si="681"/>
        <v>2.86</v>
      </c>
      <c r="Y1342" s="190">
        <f t="shared" si="682"/>
        <v>47.14</v>
      </c>
      <c r="Z1342" s="191">
        <f t="shared" si="864"/>
        <v>47</v>
      </c>
      <c r="AA1342" s="192">
        <f t="shared" si="837"/>
        <v>-0.14000000000000057</v>
      </c>
      <c r="AB1342" s="193">
        <f t="shared" si="684"/>
        <v>1.8691588785046728E-2</v>
      </c>
      <c r="AC1342" s="194">
        <f t="shared" si="685"/>
        <v>5.2999999999999998E-4</v>
      </c>
      <c r="AD1342" s="189"/>
      <c r="AE1342" s="195" t="s">
        <v>403</v>
      </c>
      <c r="AF1342" s="119"/>
    </row>
    <row r="1343" spans="1:32" ht="12" hidden="1" customHeight="1">
      <c r="A1343" s="183">
        <v>44771</v>
      </c>
      <c r="B1343" s="184" t="s">
        <v>575</v>
      </c>
      <c r="C1343" s="184"/>
      <c r="D1343" s="184"/>
      <c r="E1343" s="184"/>
      <c r="F1343" s="184"/>
      <c r="G1343" s="184"/>
      <c r="H1343" s="184" t="s">
        <v>654</v>
      </c>
      <c r="I1343" s="184" t="s">
        <v>469</v>
      </c>
      <c r="J1343" s="184" t="s">
        <v>448</v>
      </c>
      <c r="K1343" s="185">
        <v>100</v>
      </c>
      <c r="L1343" s="186">
        <v>984</v>
      </c>
      <c r="M1343" s="187">
        <v>987.97500000000002</v>
      </c>
      <c r="N1343" s="188">
        <f t="shared" si="796"/>
        <v>20</v>
      </c>
      <c r="O1343" s="188">
        <f t="shared" si="797"/>
        <v>20</v>
      </c>
      <c r="P1343" s="189">
        <f t="shared" si="674"/>
        <v>197197.5</v>
      </c>
      <c r="Q1343" s="189">
        <f t="shared" si="675"/>
        <v>397.50000000000227</v>
      </c>
      <c r="R1343" s="189">
        <v>70.83</v>
      </c>
      <c r="S1343" s="189">
        <f t="shared" si="697"/>
        <v>13.73</v>
      </c>
      <c r="T1343" s="189">
        <f t="shared" si="857"/>
        <v>24.7</v>
      </c>
      <c r="U1343" s="189">
        <f t="shared" si="851"/>
        <v>2.95</v>
      </c>
      <c r="V1343" s="189">
        <f t="shared" si="863"/>
        <v>5.42</v>
      </c>
      <c r="W1343" s="189">
        <f t="shared" si="758"/>
        <v>0.2</v>
      </c>
      <c r="X1343" s="189">
        <f t="shared" si="681"/>
        <v>117.83000000000001</v>
      </c>
      <c r="Y1343" s="190">
        <f t="shared" si="682"/>
        <v>279.67</v>
      </c>
      <c r="Z1343" s="191">
        <v>279.76</v>
      </c>
      <c r="AA1343" s="192">
        <f t="shared" si="837"/>
        <v>8.9999999999974989E-2</v>
      </c>
      <c r="AB1343" s="193">
        <f t="shared" si="684"/>
        <v>4.039634146341487E-3</v>
      </c>
      <c r="AC1343" s="194">
        <f t="shared" si="685"/>
        <v>5.9800000000000001E-4</v>
      </c>
      <c r="AD1343" s="189"/>
      <c r="AE1343" s="195" t="s">
        <v>403</v>
      </c>
      <c r="AF1343" s="119"/>
    </row>
    <row r="1344" spans="1:32" ht="12" hidden="1" customHeight="1">
      <c r="A1344" s="183">
        <v>44774</v>
      </c>
      <c r="B1344" s="184" t="s">
        <v>575</v>
      </c>
      <c r="C1344" s="184"/>
      <c r="D1344" s="184"/>
      <c r="E1344" s="184"/>
      <c r="F1344" s="184"/>
      <c r="G1344" s="184"/>
      <c r="H1344" s="184" t="s">
        <v>654</v>
      </c>
      <c r="I1344" s="184" t="s">
        <v>469</v>
      </c>
      <c r="J1344" s="184" t="s">
        <v>448</v>
      </c>
      <c r="K1344" s="185">
        <v>100</v>
      </c>
      <c r="L1344" s="186">
        <v>1012</v>
      </c>
      <c r="M1344" s="187">
        <v>1017.1625</v>
      </c>
      <c r="N1344" s="188">
        <f t="shared" si="796"/>
        <v>20</v>
      </c>
      <c r="O1344" s="188">
        <f t="shared" si="797"/>
        <v>20</v>
      </c>
      <c r="P1344" s="189">
        <f t="shared" si="674"/>
        <v>202916.25</v>
      </c>
      <c r="Q1344" s="189">
        <f t="shared" si="675"/>
        <v>516.25000000000227</v>
      </c>
      <c r="R1344" s="189">
        <v>60.88</v>
      </c>
      <c r="S1344" s="189">
        <f t="shared" si="697"/>
        <v>11.96</v>
      </c>
      <c r="T1344" s="189">
        <f t="shared" si="857"/>
        <v>25.43</v>
      </c>
      <c r="U1344" s="189">
        <f t="shared" si="851"/>
        <v>3.04</v>
      </c>
      <c r="V1344" s="189">
        <f t="shared" si="863"/>
        <v>5.58</v>
      </c>
      <c r="W1344" s="189">
        <f t="shared" si="758"/>
        <v>0.2</v>
      </c>
      <c r="X1344" s="189">
        <f t="shared" si="681"/>
        <v>107.09000000000002</v>
      </c>
      <c r="Y1344" s="190">
        <f t="shared" si="682"/>
        <v>409.16</v>
      </c>
      <c r="Z1344" s="191">
        <v>409.59</v>
      </c>
      <c r="AA1344" s="192">
        <f t="shared" si="837"/>
        <v>0.42999999999994998</v>
      </c>
      <c r="AB1344" s="193">
        <f t="shared" si="684"/>
        <v>5.1012845849802597E-3</v>
      </c>
      <c r="AC1344" s="194">
        <f t="shared" si="685"/>
        <v>5.2800000000000004E-4</v>
      </c>
      <c r="AD1344" s="189"/>
      <c r="AE1344" s="195" t="s">
        <v>403</v>
      </c>
      <c r="AF1344" s="119"/>
    </row>
    <row r="1345" spans="1:32" ht="12" hidden="1" customHeight="1">
      <c r="A1345" s="183">
        <v>44775</v>
      </c>
      <c r="B1345" s="184" t="s">
        <v>575</v>
      </c>
      <c r="C1345" s="184"/>
      <c r="D1345" s="184"/>
      <c r="E1345" s="184"/>
      <c r="F1345" s="184"/>
      <c r="G1345" s="184"/>
      <c r="H1345" s="184" t="s">
        <v>654</v>
      </c>
      <c r="I1345" s="184" t="s">
        <v>469</v>
      </c>
      <c r="J1345" s="184" t="s">
        <v>448</v>
      </c>
      <c r="K1345" s="185">
        <v>225</v>
      </c>
      <c r="L1345" s="186">
        <v>1011.4167</v>
      </c>
      <c r="M1345" s="187">
        <v>1018.4444</v>
      </c>
      <c r="N1345" s="188">
        <f t="shared" si="796"/>
        <v>20</v>
      </c>
      <c r="O1345" s="188">
        <f t="shared" si="797"/>
        <v>20</v>
      </c>
      <c r="P1345" s="189">
        <f t="shared" si="674"/>
        <v>456718.75</v>
      </c>
      <c r="Q1345" s="189">
        <f t="shared" si="675"/>
        <v>1581.232499999996</v>
      </c>
      <c r="R1345" s="189">
        <v>116.05</v>
      </c>
      <c r="S1345" s="189">
        <f t="shared" si="697"/>
        <v>23.15</v>
      </c>
      <c r="T1345" s="189">
        <f t="shared" si="857"/>
        <v>57.29</v>
      </c>
      <c r="U1345" s="189">
        <f t="shared" si="851"/>
        <v>6.83</v>
      </c>
      <c r="V1345" s="189">
        <f t="shared" si="863"/>
        <v>12.56</v>
      </c>
      <c r="W1345" s="189">
        <f t="shared" si="758"/>
        <v>0.46</v>
      </c>
      <c r="X1345" s="189">
        <f t="shared" si="681"/>
        <v>216.34</v>
      </c>
      <c r="Y1345" s="190">
        <f t="shared" si="682"/>
        <v>1364.89</v>
      </c>
      <c r="Z1345" s="191">
        <v>1364.95</v>
      </c>
      <c r="AA1345" s="192">
        <f t="shared" si="837"/>
        <v>5.999999999994543E-2</v>
      </c>
      <c r="AB1345" s="193">
        <f t="shared" si="684"/>
        <v>6.9483725155022472E-3</v>
      </c>
      <c r="AC1345" s="194">
        <f t="shared" si="685"/>
        <v>4.7399999999999997E-4</v>
      </c>
      <c r="AD1345" s="189"/>
      <c r="AE1345" s="195" t="s">
        <v>403</v>
      </c>
      <c r="AF1345" s="119"/>
    </row>
    <row r="1346" spans="1:32" ht="12" hidden="1" customHeight="1">
      <c r="A1346" s="183">
        <v>44776</v>
      </c>
      <c r="B1346" s="184" t="s">
        <v>575</v>
      </c>
      <c r="C1346" s="184"/>
      <c r="D1346" s="184"/>
      <c r="E1346" s="184"/>
      <c r="F1346" s="184"/>
      <c r="G1346" s="184"/>
      <c r="H1346" s="184" t="s">
        <v>654</v>
      </c>
      <c r="I1346" s="184" t="s">
        <v>469</v>
      </c>
      <c r="J1346" s="184" t="s">
        <v>448</v>
      </c>
      <c r="K1346" s="185">
        <v>50</v>
      </c>
      <c r="L1346" s="186">
        <v>1005</v>
      </c>
      <c r="M1346" s="187">
        <v>1011</v>
      </c>
      <c r="N1346" s="188">
        <f t="shared" si="796"/>
        <v>15.08</v>
      </c>
      <c r="O1346" s="188">
        <f t="shared" si="797"/>
        <v>15.17</v>
      </c>
      <c r="P1346" s="189">
        <f t="shared" si="674"/>
        <v>100800</v>
      </c>
      <c r="Q1346" s="189">
        <f t="shared" si="675"/>
        <v>300</v>
      </c>
      <c r="R1346" s="189">
        <f t="shared" ref="R1346:R1348" si="865">ROUND(N1346+O1346,2)</f>
        <v>30.25</v>
      </c>
      <c r="S1346" s="189">
        <f t="shared" si="697"/>
        <v>5.94</v>
      </c>
      <c r="T1346" s="189">
        <f t="shared" si="857"/>
        <v>12.64</v>
      </c>
      <c r="U1346" s="189">
        <f t="shared" si="851"/>
        <v>1.51</v>
      </c>
      <c r="V1346" s="189">
        <f t="shared" si="863"/>
        <v>2.77</v>
      </c>
      <c r="W1346" s="189">
        <f t="shared" si="758"/>
        <v>0.1</v>
      </c>
      <c r="X1346" s="189">
        <f t="shared" si="681"/>
        <v>53.21</v>
      </c>
      <c r="Y1346" s="190">
        <f t="shared" si="682"/>
        <v>246.79</v>
      </c>
      <c r="Z1346" s="191">
        <v>245.93</v>
      </c>
      <c r="AA1346" s="192">
        <f t="shared" si="837"/>
        <v>-0.85999999999998522</v>
      </c>
      <c r="AB1346" s="193">
        <f t="shared" si="684"/>
        <v>5.9701492537313433E-3</v>
      </c>
      <c r="AC1346" s="194">
        <f t="shared" si="685"/>
        <v>5.2800000000000004E-4</v>
      </c>
      <c r="AD1346" s="189"/>
      <c r="AE1346" s="195" t="s">
        <v>403</v>
      </c>
      <c r="AF1346" s="119"/>
    </row>
    <row r="1347" spans="1:32" ht="12" hidden="1" customHeight="1">
      <c r="A1347" s="183">
        <v>44776</v>
      </c>
      <c r="B1347" s="184" t="s">
        <v>600</v>
      </c>
      <c r="C1347" s="184"/>
      <c r="D1347" s="184"/>
      <c r="E1347" s="184"/>
      <c r="F1347" s="184"/>
      <c r="G1347" s="184"/>
      <c r="H1347" s="184" t="s">
        <v>654</v>
      </c>
      <c r="I1347" s="184" t="s">
        <v>469</v>
      </c>
      <c r="J1347" s="184" t="s">
        <v>471</v>
      </c>
      <c r="K1347" s="185">
        <v>10</v>
      </c>
      <c r="L1347" s="186">
        <v>855</v>
      </c>
      <c r="M1347" s="187">
        <v>865</v>
      </c>
      <c r="N1347" s="188">
        <f t="shared" si="796"/>
        <v>2.57</v>
      </c>
      <c r="O1347" s="188">
        <f t="shared" si="797"/>
        <v>2.6</v>
      </c>
      <c r="P1347" s="189">
        <f t="shared" si="674"/>
        <v>17200</v>
      </c>
      <c r="Q1347" s="189">
        <f t="shared" si="675"/>
        <v>100</v>
      </c>
      <c r="R1347" s="189">
        <f t="shared" si="865"/>
        <v>5.17</v>
      </c>
      <c r="S1347" s="189">
        <f t="shared" si="697"/>
        <v>1.02</v>
      </c>
      <c r="T1347" s="189">
        <f t="shared" si="857"/>
        <v>2.16</v>
      </c>
      <c r="U1347" s="189">
        <f t="shared" si="851"/>
        <v>0.26</v>
      </c>
      <c r="V1347" s="189">
        <f t="shared" si="863"/>
        <v>0.47</v>
      </c>
      <c r="W1347" s="189">
        <f t="shared" si="758"/>
        <v>0.02</v>
      </c>
      <c r="X1347" s="189">
        <f t="shared" si="681"/>
        <v>9.1</v>
      </c>
      <c r="Y1347" s="190">
        <f t="shared" si="682"/>
        <v>90.9</v>
      </c>
      <c r="Z1347" s="191">
        <v>91</v>
      </c>
      <c r="AA1347" s="192">
        <f t="shared" si="837"/>
        <v>9.9999999999994316E-2</v>
      </c>
      <c r="AB1347" s="193">
        <f t="shared" si="684"/>
        <v>1.1695906432748537E-2</v>
      </c>
      <c r="AC1347" s="194">
        <f t="shared" si="685"/>
        <v>5.2899999999999996E-4</v>
      </c>
      <c r="AD1347" s="189"/>
      <c r="AE1347" s="195" t="s">
        <v>403</v>
      </c>
      <c r="AF1347" s="119"/>
    </row>
    <row r="1348" spans="1:32" ht="12" hidden="1" customHeight="1">
      <c r="A1348" s="183">
        <v>44776</v>
      </c>
      <c r="B1348" s="184" t="s">
        <v>584</v>
      </c>
      <c r="C1348" s="184"/>
      <c r="D1348" s="184"/>
      <c r="E1348" s="184"/>
      <c r="F1348" s="184"/>
      <c r="G1348" s="184"/>
      <c r="H1348" s="184" t="s">
        <v>654</v>
      </c>
      <c r="I1348" s="184" t="s">
        <v>469</v>
      </c>
      <c r="J1348" s="184" t="s">
        <v>471</v>
      </c>
      <c r="K1348" s="185">
        <v>1000</v>
      </c>
      <c r="L1348" s="186">
        <v>13.5</v>
      </c>
      <c r="M1348" s="187">
        <v>13.7</v>
      </c>
      <c r="N1348" s="188">
        <f t="shared" si="796"/>
        <v>4.05</v>
      </c>
      <c r="O1348" s="188">
        <f t="shared" si="797"/>
        <v>4.1100000000000003</v>
      </c>
      <c r="P1348" s="189">
        <f t="shared" si="674"/>
        <v>27200</v>
      </c>
      <c r="Q1348" s="189">
        <f t="shared" si="675"/>
        <v>199.99999999999929</v>
      </c>
      <c r="R1348" s="189">
        <f t="shared" si="865"/>
        <v>8.16</v>
      </c>
      <c r="S1348" s="189">
        <f t="shared" si="697"/>
        <v>1.6</v>
      </c>
      <c r="T1348" s="189">
        <f t="shared" si="857"/>
        <v>3.43</v>
      </c>
      <c r="U1348" s="189">
        <f t="shared" si="851"/>
        <v>0.41</v>
      </c>
      <c r="V1348" s="189">
        <f t="shared" si="863"/>
        <v>0.75</v>
      </c>
      <c r="W1348" s="189">
        <f t="shared" si="758"/>
        <v>0.03</v>
      </c>
      <c r="X1348" s="189">
        <f t="shared" si="681"/>
        <v>14.379999999999999</v>
      </c>
      <c r="Y1348" s="190">
        <f t="shared" si="682"/>
        <v>185.62</v>
      </c>
      <c r="Z1348" s="191">
        <v>186</v>
      </c>
      <c r="AA1348" s="192">
        <f t="shared" si="837"/>
        <v>0.37999999999999545</v>
      </c>
      <c r="AB1348" s="193">
        <f t="shared" si="684"/>
        <v>1.4814814814814762E-2</v>
      </c>
      <c r="AC1348" s="194">
        <f t="shared" si="685"/>
        <v>5.2899999999999996E-4</v>
      </c>
      <c r="AD1348" s="189"/>
      <c r="AE1348" s="195" t="s">
        <v>403</v>
      </c>
      <c r="AF1348" s="119"/>
    </row>
    <row r="1349" spans="1:32" ht="12" hidden="1" customHeight="1">
      <c r="A1349" s="183">
        <v>44776</v>
      </c>
      <c r="B1349" s="184" t="s">
        <v>713</v>
      </c>
      <c r="C1349" s="184"/>
      <c r="D1349" s="184"/>
      <c r="E1349" s="184"/>
      <c r="F1349" s="184"/>
      <c r="G1349" s="184"/>
      <c r="H1349" s="184" t="s">
        <v>654</v>
      </c>
      <c r="I1349" s="184" t="s">
        <v>469</v>
      </c>
      <c r="J1349" s="184" t="s">
        <v>471</v>
      </c>
      <c r="K1349" s="185">
        <v>6</v>
      </c>
      <c r="L1349" s="186">
        <v>805</v>
      </c>
      <c r="M1349" s="187">
        <v>795</v>
      </c>
      <c r="N1349" s="188">
        <f t="shared" si="796"/>
        <v>1.45</v>
      </c>
      <c r="O1349" s="188">
        <f t="shared" si="797"/>
        <v>1.43</v>
      </c>
      <c r="P1349" s="189">
        <f t="shared" si="674"/>
        <v>9600</v>
      </c>
      <c r="Q1349" s="189">
        <f t="shared" si="675"/>
        <v>-60</v>
      </c>
      <c r="R1349" s="189">
        <v>3.3983999999999996</v>
      </c>
      <c r="S1349" s="189">
        <f t="shared" si="697"/>
        <v>0.66</v>
      </c>
      <c r="T1349" s="189">
        <f t="shared" si="857"/>
        <v>1.19</v>
      </c>
      <c r="U1349" s="189">
        <f t="shared" si="851"/>
        <v>0.14000000000000001</v>
      </c>
      <c r="V1349" s="189">
        <f t="shared" si="863"/>
        <v>0.26</v>
      </c>
      <c r="W1349" s="189">
        <f t="shared" si="758"/>
        <v>0.01</v>
      </c>
      <c r="X1349" s="189">
        <f t="shared" si="681"/>
        <v>5.6583999999999994</v>
      </c>
      <c r="Y1349" s="190">
        <f t="shared" si="682"/>
        <v>-65.66</v>
      </c>
      <c r="Z1349" s="191">
        <v>-66.040000000000006</v>
      </c>
      <c r="AA1349" s="192">
        <f t="shared" si="837"/>
        <v>-0.38000000000000966</v>
      </c>
      <c r="AB1349" s="193">
        <f t="shared" si="684"/>
        <v>-1.2422360248447204E-2</v>
      </c>
      <c r="AC1349" s="194">
        <f t="shared" si="685"/>
        <v>5.8900000000000001E-4</v>
      </c>
      <c r="AD1349" s="189"/>
      <c r="AE1349" s="195" t="s">
        <v>403</v>
      </c>
      <c r="AF1349" s="119"/>
    </row>
    <row r="1350" spans="1:32" ht="12" hidden="1" customHeight="1">
      <c r="A1350" s="183">
        <v>44777</v>
      </c>
      <c r="B1350" s="184" t="s">
        <v>575</v>
      </c>
      <c r="C1350" s="184"/>
      <c r="D1350" s="184"/>
      <c r="E1350" s="184"/>
      <c r="F1350" s="184"/>
      <c r="G1350" s="184"/>
      <c r="H1350" s="184" t="s">
        <v>654</v>
      </c>
      <c r="I1350" s="184" t="s">
        <v>469</v>
      </c>
      <c r="J1350" s="184" t="s">
        <v>448</v>
      </c>
      <c r="K1350" s="185">
        <v>100</v>
      </c>
      <c r="L1350" s="186">
        <v>1009.25</v>
      </c>
      <c r="M1350" s="187">
        <v>1015.5</v>
      </c>
      <c r="N1350" s="188">
        <f t="shared" si="796"/>
        <v>20</v>
      </c>
      <c r="O1350" s="188">
        <f t="shared" si="797"/>
        <v>20</v>
      </c>
      <c r="P1350" s="189">
        <f t="shared" si="674"/>
        <v>202475</v>
      </c>
      <c r="Q1350" s="189">
        <f t="shared" si="675"/>
        <v>625</v>
      </c>
      <c r="R1350" s="189">
        <v>60.75</v>
      </c>
      <c r="S1350" s="189">
        <f t="shared" si="697"/>
        <v>11.94</v>
      </c>
      <c r="T1350" s="189">
        <f t="shared" si="857"/>
        <v>25.39</v>
      </c>
      <c r="U1350" s="189">
        <f t="shared" si="851"/>
        <v>3.03</v>
      </c>
      <c r="V1350" s="189">
        <f t="shared" si="863"/>
        <v>5.57</v>
      </c>
      <c r="W1350" s="189">
        <f t="shared" si="758"/>
        <v>0.2</v>
      </c>
      <c r="X1350" s="189">
        <f t="shared" si="681"/>
        <v>106.88000000000001</v>
      </c>
      <c r="Y1350" s="190">
        <f t="shared" si="682"/>
        <v>518.12</v>
      </c>
      <c r="Z1350" s="191">
        <v>519.49</v>
      </c>
      <c r="AA1350" s="192">
        <f t="shared" si="837"/>
        <v>1.3700000000000045</v>
      </c>
      <c r="AB1350" s="193">
        <f t="shared" si="684"/>
        <v>6.1927173643794896E-3</v>
      </c>
      <c r="AC1350" s="194">
        <f t="shared" si="685"/>
        <v>5.2800000000000004E-4</v>
      </c>
      <c r="AD1350" s="189"/>
      <c r="AE1350" s="195" t="s">
        <v>403</v>
      </c>
      <c r="AF1350" s="119"/>
    </row>
    <row r="1351" spans="1:32" ht="12" hidden="1" customHeight="1">
      <c r="A1351" s="183">
        <v>44777</v>
      </c>
      <c r="B1351" s="184" t="s">
        <v>584</v>
      </c>
      <c r="C1351" s="184"/>
      <c r="D1351" s="184"/>
      <c r="E1351" s="184"/>
      <c r="F1351" s="184"/>
      <c r="G1351" s="184"/>
      <c r="H1351" s="184" t="s">
        <v>654</v>
      </c>
      <c r="I1351" s="184" t="s">
        <v>469</v>
      </c>
      <c r="J1351" s="184" t="s">
        <v>471</v>
      </c>
      <c r="K1351" s="185">
        <v>500</v>
      </c>
      <c r="L1351" s="186">
        <v>13.8</v>
      </c>
      <c r="M1351" s="187">
        <v>14.3</v>
      </c>
      <c r="N1351" s="188">
        <f t="shared" si="796"/>
        <v>2.0699999999999998</v>
      </c>
      <c r="O1351" s="188">
        <f t="shared" si="797"/>
        <v>2.15</v>
      </c>
      <c r="P1351" s="189">
        <f t="shared" si="674"/>
        <v>14050</v>
      </c>
      <c r="Q1351" s="189">
        <f t="shared" si="675"/>
        <v>250</v>
      </c>
      <c r="R1351" s="189">
        <f t="shared" ref="R1351:R1359" si="866">ROUND(N1351+O1351,2)</f>
        <v>4.22</v>
      </c>
      <c r="S1351" s="189">
        <f t="shared" si="697"/>
        <v>0.83</v>
      </c>
      <c r="T1351" s="189">
        <f t="shared" si="857"/>
        <v>1.79</v>
      </c>
      <c r="U1351" s="189">
        <f t="shared" si="851"/>
        <v>0.21</v>
      </c>
      <c r="V1351" s="189">
        <f t="shared" si="863"/>
        <v>0.39</v>
      </c>
      <c r="W1351" s="189">
        <f t="shared" si="758"/>
        <v>0.01</v>
      </c>
      <c r="X1351" s="189">
        <f t="shared" si="681"/>
        <v>7.4499999999999993</v>
      </c>
      <c r="Y1351" s="190">
        <f t="shared" si="682"/>
        <v>242.55</v>
      </c>
      <c r="Z1351" s="191">
        <v>242.55</v>
      </c>
      <c r="AA1351" s="192">
        <f t="shared" si="837"/>
        <v>0</v>
      </c>
      <c r="AB1351" s="193">
        <f t="shared" si="684"/>
        <v>3.6231884057971016E-2</v>
      </c>
      <c r="AC1351" s="194">
        <f t="shared" si="685"/>
        <v>5.2999999999999998E-4</v>
      </c>
      <c r="AD1351" s="189"/>
      <c r="AE1351" s="195" t="s">
        <v>403</v>
      </c>
      <c r="AF1351" s="119"/>
    </row>
    <row r="1352" spans="1:32" ht="12" hidden="1" customHeight="1">
      <c r="A1352" s="183">
        <v>44781</v>
      </c>
      <c r="B1352" s="184" t="s">
        <v>575</v>
      </c>
      <c r="C1352" s="184"/>
      <c r="D1352" s="184"/>
      <c r="E1352" s="184"/>
      <c r="F1352" s="184"/>
      <c r="G1352" s="184"/>
      <c r="H1352" s="184" t="s">
        <v>654</v>
      </c>
      <c r="I1352" s="184" t="s">
        <v>469</v>
      </c>
      <c r="J1352" s="184" t="s">
        <v>448</v>
      </c>
      <c r="K1352" s="185">
        <v>25</v>
      </c>
      <c r="L1352" s="186">
        <v>1039</v>
      </c>
      <c r="M1352" s="187">
        <v>1061</v>
      </c>
      <c r="N1352" s="188">
        <f t="shared" si="796"/>
        <v>7.79</v>
      </c>
      <c r="O1352" s="188">
        <f t="shared" si="797"/>
        <v>7.96</v>
      </c>
      <c r="P1352" s="189">
        <f t="shared" si="674"/>
        <v>52500</v>
      </c>
      <c r="Q1352" s="189">
        <f t="shared" si="675"/>
        <v>550</v>
      </c>
      <c r="R1352" s="189">
        <f t="shared" si="866"/>
        <v>15.75</v>
      </c>
      <c r="S1352" s="189">
        <f t="shared" si="697"/>
        <v>3.09</v>
      </c>
      <c r="T1352" s="189">
        <f t="shared" si="857"/>
        <v>6.63</v>
      </c>
      <c r="U1352" s="189">
        <f t="shared" si="851"/>
        <v>0.78</v>
      </c>
      <c r="V1352" s="189">
        <f t="shared" si="863"/>
        <v>1.44</v>
      </c>
      <c r="W1352" s="189">
        <f t="shared" si="758"/>
        <v>0.05</v>
      </c>
      <c r="X1352" s="189">
        <f t="shared" si="681"/>
        <v>27.740000000000002</v>
      </c>
      <c r="Y1352" s="190">
        <f t="shared" si="682"/>
        <v>522.26</v>
      </c>
      <c r="Z1352" s="191">
        <v>522.5</v>
      </c>
      <c r="AA1352" s="192">
        <f t="shared" si="837"/>
        <v>0.24000000000000909</v>
      </c>
      <c r="AB1352" s="193">
        <f t="shared" si="684"/>
        <v>2.1174205967276226E-2</v>
      </c>
      <c r="AC1352" s="194">
        <f t="shared" si="685"/>
        <v>5.2800000000000004E-4</v>
      </c>
      <c r="AD1352" s="189"/>
      <c r="AE1352" s="195" t="s">
        <v>403</v>
      </c>
      <c r="AF1352" s="119"/>
    </row>
    <row r="1353" spans="1:32" ht="12" hidden="1" customHeight="1">
      <c r="A1353" s="183">
        <v>44785</v>
      </c>
      <c r="B1353" s="184" t="s">
        <v>600</v>
      </c>
      <c r="C1353" s="184"/>
      <c r="D1353" s="184"/>
      <c r="E1353" s="184"/>
      <c r="F1353" s="184"/>
      <c r="G1353" s="184"/>
      <c r="H1353" s="184" t="s">
        <v>654</v>
      </c>
      <c r="I1353" s="184" t="s">
        <v>469</v>
      </c>
      <c r="J1353" s="184" t="s">
        <v>471</v>
      </c>
      <c r="K1353" s="185">
        <v>20</v>
      </c>
      <c r="L1353" s="186">
        <v>843.5</v>
      </c>
      <c r="M1353" s="187">
        <v>849</v>
      </c>
      <c r="N1353" s="188">
        <f t="shared" si="796"/>
        <v>5.0599999999999996</v>
      </c>
      <c r="O1353" s="188">
        <f t="shared" si="797"/>
        <v>5.09</v>
      </c>
      <c r="P1353" s="189">
        <f t="shared" si="674"/>
        <v>33850</v>
      </c>
      <c r="Q1353" s="189">
        <f t="shared" si="675"/>
        <v>110</v>
      </c>
      <c r="R1353" s="189">
        <f t="shared" si="866"/>
        <v>10.15</v>
      </c>
      <c r="S1353" s="189">
        <f t="shared" si="697"/>
        <v>1.99</v>
      </c>
      <c r="T1353" s="189">
        <f t="shared" si="857"/>
        <v>4.25</v>
      </c>
      <c r="U1353" s="189">
        <f t="shared" si="851"/>
        <v>0.51</v>
      </c>
      <c r="V1353" s="189">
        <f t="shared" si="863"/>
        <v>0.93</v>
      </c>
      <c r="W1353" s="189">
        <f t="shared" si="758"/>
        <v>0.03</v>
      </c>
      <c r="X1353" s="189">
        <f t="shared" si="681"/>
        <v>17.860000000000003</v>
      </c>
      <c r="Y1353" s="190">
        <f t="shared" si="682"/>
        <v>92.14</v>
      </c>
      <c r="Z1353" s="191">
        <v>90.53</v>
      </c>
      <c r="AA1353" s="192">
        <f t="shared" si="837"/>
        <v>-1.6099999999999994</v>
      </c>
      <c r="AB1353" s="193">
        <f t="shared" si="684"/>
        <v>6.5204505038529937E-3</v>
      </c>
      <c r="AC1353" s="194">
        <f t="shared" si="685"/>
        <v>5.2800000000000004E-4</v>
      </c>
      <c r="AD1353" s="189"/>
      <c r="AE1353" s="195" t="s">
        <v>403</v>
      </c>
      <c r="AF1353" s="119"/>
    </row>
    <row r="1354" spans="1:32" ht="12" hidden="1" customHeight="1">
      <c r="A1354" s="183">
        <v>44785</v>
      </c>
      <c r="B1354" s="184" t="s">
        <v>575</v>
      </c>
      <c r="C1354" s="184"/>
      <c r="D1354" s="184"/>
      <c r="E1354" s="184"/>
      <c r="F1354" s="184"/>
      <c r="G1354" s="184"/>
      <c r="H1354" s="184" t="s">
        <v>654</v>
      </c>
      <c r="I1354" s="184" t="s">
        <v>469</v>
      </c>
      <c r="J1354" s="184" t="s">
        <v>448</v>
      </c>
      <c r="K1354" s="185">
        <v>50</v>
      </c>
      <c r="L1354" s="186">
        <v>1024</v>
      </c>
      <c r="M1354" s="187">
        <v>1028</v>
      </c>
      <c r="N1354" s="188">
        <f t="shared" si="796"/>
        <v>15.36</v>
      </c>
      <c r="O1354" s="188">
        <f t="shared" si="797"/>
        <v>15.42</v>
      </c>
      <c r="P1354" s="189">
        <f t="shared" si="674"/>
        <v>102600</v>
      </c>
      <c r="Q1354" s="189">
        <f t="shared" si="675"/>
        <v>200</v>
      </c>
      <c r="R1354" s="189">
        <f t="shared" si="866"/>
        <v>30.78</v>
      </c>
      <c r="S1354" s="189">
        <f t="shared" si="697"/>
        <v>6.05</v>
      </c>
      <c r="T1354" s="189">
        <f t="shared" si="857"/>
        <v>12.85</v>
      </c>
      <c r="U1354" s="189">
        <f t="shared" si="851"/>
        <v>1.54</v>
      </c>
      <c r="V1354" s="189">
        <f t="shared" si="863"/>
        <v>2.82</v>
      </c>
      <c r="W1354" s="189">
        <f t="shared" si="758"/>
        <v>0.1</v>
      </c>
      <c r="X1354" s="189">
        <f t="shared" si="681"/>
        <v>54.14</v>
      </c>
      <c r="Y1354" s="190">
        <f t="shared" si="682"/>
        <v>145.86000000000001</v>
      </c>
      <c r="Z1354" s="191">
        <v>145.22999999999999</v>
      </c>
      <c r="AA1354" s="192">
        <f t="shared" si="837"/>
        <v>-0.63000000000002387</v>
      </c>
      <c r="AB1354" s="193">
        <f t="shared" si="684"/>
        <v>3.90625E-3</v>
      </c>
      <c r="AC1354" s="194">
        <f t="shared" si="685"/>
        <v>5.2800000000000004E-4</v>
      </c>
      <c r="AD1354" s="189"/>
      <c r="AE1354" s="195" t="s">
        <v>403</v>
      </c>
      <c r="AF1354" s="119"/>
    </row>
    <row r="1355" spans="1:32" ht="12" hidden="1" customHeight="1">
      <c r="A1355" s="183">
        <v>44789</v>
      </c>
      <c r="B1355" s="184" t="s">
        <v>600</v>
      </c>
      <c r="C1355" s="184"/>
      <c r="D1355" s="184"/>
      <c r="E1355" s="184"/>
      <c r="F1355" s="184"/>
      <c r="G1355" s="184"/>
      <c r="H1355" s="184" t="s">
        <v>654</v>
      </c>
      <c r="I1355" s="184" t="s">
        <v>469</v>
      </c>
      <c r="J1355" s="184" t="s">
        <v>471</v>
      </c>
      <c r="K1355" s="185">
        <v>10</v>
      </c>
      <c r="L1355" s="186">
        <v>851</v>
      </c>
      <c r="M1355" s="187">
        <v>859</v>
      </c>
      <c r="N1355" s="188">
        <f t="shared" si="796"/>
        <v>2.5499999999999998</v>
      </c>
      <c r="O1355" s="188">
        <f t="shared" si="797"/>
        <v>2.58</v>
      </c>
      <c r="P1355" s="189">
        <f t="shared" si="674"/>
        <v>17100</v>
      </c>
      <c r="Q1355" s="189">
        <f t="shared" si="675"/>
        <v>80</v>
      </c>
      <c r="R1355" s="189">
        <f t="shared" si="866"/>
        <v>5.13</v>
      </c>
      <c r="S1355" s="189">
        <f t="shared" si="697"/>
        <v>1.01</v>
      </c>
      <c r="T1355" s="189">
        <f t="shared" si="857"/>
        <v>2.15</v>
      </c>
      <c r="U1355" s="189">
        <f t="shared" si="851"/>
        <v>0.26</v>
      </c>
      <c r="V1355" s="189">
        <f t="shared" si="863"/>
        <v>0.47</v>
      </c>
      <c r="W1355" s="189">
        <f t="shared" si="758"/>
        <v>0.02</v>
      </c>
      <c r="X1355" s="189">
        <f t="shared" si="681"/>
        <v>9.0399999999999991</v>
      </c>
      <c r="Y1355" s="190">
        <f t="shared" si="682"/>
        <v>70.959999999999994</v>
      </c>
      <c r="Z1355" s="191">
        <v>71.23</v>
      </c>
      <c r="AA1355" s="192">
        <f t="shared" si="837"/>
        <v>0.27000000000001023</v>
      </c>
      <c r="AB1355" s="193">
        <f t="shared" si="684"/>
        <v>9.4007050528789656E-3</v>
      </c>
      <c r="AC1355" s="194">
        <f t="shared" si="685"/>
        <v>5.2899999999999996E-4</v>
      </c>
      <c r="AD1355" s="189"/>
      <c r="AE1355" s="195" t="s">
        <v>403</v>
      </c>
      <c r="AF1355" s="119"/>
    </row>
    <row r="1356" spans="1:32" ht="12" hidden="1" customHeight="1">
      <c r="A1356" s="183">
        <v>44790</v>
      </c>
      <c r="B1356" s="184" t="s">
        <v>484</v>
      </c>
      <c r="C1356" s="184"/>
      <c r="D1356" s="184"/>
      <c r="E1356" s="184"/>
      <c r="F1356" s="184"/>
      <c r="G1356" s="184"/>
      <c r="H1356" s="184" t="s">
        <v>654</v>
      </c>
      <c r="I1356" s="184" t="s">
        <v>469</v>
      </c>
      <c r="J1356" s="184" t="s">
        <v>471</v>
      </c>
      <c r="K1356" s="185">
        <v>5</v>
      </c>
      <c r="L1356" s="186">
        <v>7515</v>
      </c>
      <c r="M1356" s="187">
        <v>7575</v>
      </c>
      <c r="N1356" s="188">
        <f t="shared" si="796"/>
        <v>11.27</v>
      </c>
      <c r="O1356" s="188">
        <f t="shared" si="797"/>
        <v>11.36</v>
      </c>
      <c r="P1356" s="189">
        <f t="shared" si="674"/>
        <v>75450</v>
      </c>
      <c r="Q1356" s="189">
        <f t="shared" si="675"/>
        <v>300</v>
      </c>
      <c r="R1356" s="189">
        <f t="shared" si="866"/>
        <v>22.63</v>
      </c>
      <c r="S1356" s="189">
        <f t="shared" si="697"/>
        <v>4.45</v>
      </c>
      <c r="T1356" s="189">
        <f t="shared" si="857"/>
        <v>9.4700000000000006</v>
      </c>
      <c r="U1356" s="189">
        <f t="shared" si="851"/>
        <v>1.1299999999999999</v>
      </c>
      <c r="V1356" s="189">
        <f t="shared" si="863"/>
        <v>2.0699999999999998</v>
      </c>
      <c r="W1356" s="189">
        <f t="shared" si="758"/>
        <v>0.08</v>
      </c>
      <c r="X1356" s="189">
        <f t="shared" si="681"/>
        <v>39.83</v>
      </c>
      <c r="Y1356" s="190">
        <f t="shared" si="682"/>
        <v>260.17</v>
      </c>
      <c r="Z1356" s="191">
        <v>259.57</v>
      </c>
      <c r="AA1356" s="192">
        <f t="shared" si="837"/>
        <v>-0.60000000000002274</v>
      </c>
      <c r="AB1356" s="193">
        <f t="shared" si="684"/>
        <v>7.9840319361277438E-3</v>
      </c>
      <c r="AC1356" s="194">
        <f t="shared" si="685"/>
        <v>5.2800000000000004E-4</v>
      </c>
      <c r="AD1356" s="189"/>
      <c r="AE1356" s="195" t="s">
        <v>403</v>
      </c>
      <c r="AF1356" s="119"/>
    </row>
    <row r="1357" spans="1:32" ht="12" hidden="1" customHeight="1">
      <c r="A1357" s="183">
        <v>44795</v>
      </c>
      <c r="B1357" s="184" t="s">
        <v>614</v>
      </c>
      <c r="C1357" s="184"/>
      <c r="D1357" s="184"/>
      <c r="E1357" s="184"/>
      <c r="F1357" s="184"/>
      <c r="G1357" s="184"/>
      <c r="H1357" s="184" t="s">
        <v>654</v>
      </c>
      <c r="I1357" s="184" t="s">
        <v>469</v>
      </c>
      <c r="J1357" s="184" t="s">
        <v>471</v>
      </c>
      <c r="K1357" s="185">
        <v>10</v>
      </c>
      <c r="L1357" s="186">
        <v>1326</v>
      </c>
      <c r="M1357" s="187">
        <v>1337.5</v>
      </c>
      <c r="N1357" s="188">
        <f t="shared" si="796"/>
        <v>3.98</v>
      </c>
      <c r="O1357" s="188">
        <f t="shared" si="797"/>
        <v>4.01</v>
      </c>
      <c r="P1357" s="189">
        <f t="shared" si="674"/>
        <v>26635</v>
      </c>
      <c r="Q1357" s="189">
        <f t="shared" si="675"/>
        <v>115</v>
      </c>
      <c r="R1357" s="189">
        <f t="shared" si="866"/>
        <v>7.99</v>
      </c>
      <c r="S1357" s="189">
        <f t="shared" si="697"/>
        <v>1.57</v>
      </c>
      <c r="T1357" s="189">
        <f t="shared" si="857"/>
        <v>3.34</v>
      </c>
      <c r="U1357" s="189">
        <f t="shared" si="851"/>
        <v>0.4</v>
      </c>
      <c r="V1357" s="189">
        <f t="shared" si="863"/>
        <v>0.73</v>
      </c>
      <c r="W1357" s="189">
        <f t="shared" si="758"/>
        <v>0.03</v>
      </c>
      <c r="X1357" s="189">
        <f t="shared" si="681"/>
        <v>14.06</v>
      </c>
      <c r="Y1357" s="190">
        <f t="shared" si="682"/>
        <v>100.94</v>
      </c>
      <c r="Z1357" s="191">
        <v>100.54</v>
      </c>
      <c r="AA1357" s="192">
        <f t="shared" si="837"/>
        <v>-0.39999999999999147</v>
      </c>
      <c r="AB1357" s="193">
        <f t="shared" si="684"/>
        <v>8.6726998491704378E-3</v>
      </c>
      <c r="AC1357" s="194">
        <f t="shared" si="685"/>
        <v>5.2800000000000004E-4</v>
      </c>
      <c r="AD1357" s="189"/>
      <c r="AE1357" s="195" t="s">
        <v>403</v>
      </c>
      <c r="AF1357" s="119"/>
    </row>
    <row r="1358" spans="1:32" ht="12" hidden="1" customHeight="1">
      <c r="A1358" s="183">
        <v>44795</v>
      </c>
      <c r="B1358" s="184" t="s">
        <v>575</v>
      </c>
      <c r="C1358" s="184"/>
      <c r="D1358" s="184"/>
      <c r="E1358" s="184"/>
      <c r="F1358" s="184"/>
      <c r="G1358" s="184"/>
      <c r="H1358" s="184" t="s">
        <v>654</v>
      </c>
      <c r="I1358" s="184" t="s">
        <v>469</v>
      </c>
      <c r="J1358" s="184" t="s">
        <v>448</v>
      </c>
      <c r="K1358" s="185">
        <v>221</v>
      </c>
      <c r="L1358" s="186">
        <v>1021.5635</v>
      </c>
      <c r="M1358" s="187">
        <v>1029.95</v>
      </c>
      <c r="N1358" s="188">
        <f t="shared" si="796"/>
        <v>20</v>
      </c>
      <c r="O1358" s="188">
        <f t="shared" si="797"/>
        <v>20</v>
      </c>
      <c r="P1358" s="189">
        <f t="shared" si="674"/>
        <v>453384.48</v>
      </c>
      <c r="Q1358" s="189">
        <f t="shared" si="675"/>
        <v>1853.4165000000153</v>
      </c>
      <c r="R1358" s="189">
        <f t="shared" si="866"/>
        <v>40</v>
      </c>
      <c r="S1358" s="189">
        <f t="shared" si="697"/>
        <v>9.44</v>
      </c>
      <c r="T1358" s="189">
        <f t="shared" si="857"/>
        <v>56.9</v>
      </c>
      <c r="U1358" s="189">
        <f t="shared" si="851"/>
        <v>6.77</v>
      </c>
      <c r="V1358" s="189">
        <f t="shared" si="863"/>
        <v>12.47</v>
      </c>
      <c r="W1358" s="189">
        <f t="shared" si="758"/>
        <v>0.45</v>
      </c>
      <c r="X1358" s="189">
        <f t="shared" si="681"/>
        <v>126.03</v>
      </c>
      <c r="Y1358" s="190">
        <f t="shared" si="682"/>
        <v>1727.39</v>
      </c>
      <c r="Z1358" s="191">
        <v>1726.2</v>
      </c>
      <c r="AA1358" s="192">
        <f t="shared" si="837"/>
        <v>-1.1900000000000546</v>
      </c>
      <c r="AB1358" s="193">
        <f t="shared" si="684"/>
        <v>8.2094749861365141E-3</v>
      </c>
      <c r="AC1358" s="194">
        <f t="shared" si="685"/>
        <v>2.7799999999999998E-4</v>
      </c>
      <c r="AD1358" s="189"/>
      <c r="AE1358" s="195" t="s">
        <v>403</v>
      </c>
      <c r="AF1358" s="119"/>
    </row>
    <row r="1359" spans="1:32" ht="12" hidden="1" customHeight="1">
      <c r="A1359" s="183">
        <v>44796</v>
      </c>
      <c r="B1359" s="184" t="s">
        <v>614</v>
      </c>
      <c r="C1359" s="184"/>
      <c r="D1359" s="184"/>
      <c r="E1359" s="184"/>
      <c r="F1359" s="184"/>
      <c r="G1359" s="184"/>
      <c r="H1359" s="184" t="s">
        <v>654</v>
      </c>
      <c r="I1359" s="184" t="s">
        <v>469</v>
      </c>
      <c r="J1359" s="184" t="s">
        <v>471</v>
      </c>
      <c r="K1359" s="185">
        <v>5</v>
      </c>
      <c r="L1359" s="186">
        <v>1354</v>
      </c>
      <c r="M1359" s="187">
        <v>1355</v>
      </c>
      <c r="N1359" s="188">
        <f t="shared" si="796"/>
        <v>2.0299999999999998</v>
      </c>
      <c r="O1359" s="188">
        <f t="shared" si="797"/>
        <v>2.0299999999999998</v>
      </c>
      <c r="P1359" s="189">
        <f t="shared" si="674"/>
        <v>13545</v>
      </c>
      <c r="Q1359" s="189">
        <f t="shared" si="675"/>
        <v>5</v>
      </c>
      <c r="R1359" s="189">
        <f t="shared" si="866"/>
        <v>4.0599999999999996</v>
      </c>
      <c r="S1359" s="189">
        <f t="shared" si="697"/>
        <v>0.8</v>
      </c>
      <c r="T1359" s="189">
        <f t="shared" si="857"/>
        <v>1.69</v>
      </c>
      <c r="U1359" s="189">
        <f t="shared" si="851"/>
        <v>0.2</v>
      </c>
      <c r="V1359" s="189">
        <f t="shared" si="863"/>
        <v>0.37</v>
      </c>
      <c r="W1359" s="189">
        <f t="shared" si="758"/>
        <v>0.01</v>
      </c>
      <c r="X1359" s="189">
        <f t="shared" si="681"/>
        <v>7.129999999999999</v>
      </c>
      <c r="Y1359" s="190">
        <f t="shared" si="682"/>
        <v>-2.13</v>
      </c>
      <c r="Z1359" s="191">
        <v>-2.08</v>
      </c>
      <c r="AA1359" s="192">
        <f t="shared" si="837"/>
        <v>4.9999999999999822E-2</v>
      </c>
      <c r="AB1359" s="193">
        <f t="shared" si="684"/>
        <v>7.3855243722304289E-4</v>
      </c>
      <c r="AC1359" s="194">
        <f t="shared" si="685"/>
        <v>5.2599999999999999E-4</v>
      </c>
      <c r="AD1359" s="189"/>
      <c r="AE1359" s="195" t="s">
        <v>403</v>
      </c>
      <c r="AF1359" s="119"/>
    </row>
    <row r="1360" spans="1:32" ht="12" hidden="1" customHeight="1">
      <c r="A1360" s="183">
        <v>44798</v>
      </c>
      <c r="B1360" s="184" t="s">
        <v>575</v>
      </c>
      <c r="C1360" s="184"/>
      <c r="D1360" s="184"/>
      <c r="E1360" s="184"/>
      <c r="F1360" s="184"/>
      <c r="G1360" s="184"/>
      <c r="H1360" s="184" t="s">
        <v>654</v>
      </c>
      <c r="I1360" s="184" t="s">
        <v>469</v>
      </c>
      <c r="J1360" s="184" t="s">
        <v>448</v>
      </c>
      <c r="K1360" s="185">
        <v>200</v>
      </c>
      <c r="L1360" s="186">
        <v>1025.848</v>
      </c>
      <c r="M1360" s="187">
        <v>1032.0625</v>
      </c>
      <c r="N1360" s="188">
        <f t="shared" si="796"/>
        <v>20</v>
      </c>
      <c r="O1360" s="188">
        <f t="shared" si="797"/>
        <v>20</v>
      </c>
      <c r="P1360" s="189">
        <f t="shared" si="674"/>
        <v>411582.1</v>
      </c>
      <c r="Q1360" s="189">
        <f t="shared" si="675"/>
        <v>1242.9000000000087</v>
      </c>
      <c r="R1360" s="189">
        <v>112.73</v>
      </c>
      <c r="S1360" s="189">
        <f t="shared" si="697"/>
        <v>22.33</v>
      </c>
      <c r="T1360" s="189">
        <f t="shared" ref="T1360:T1361" si="867">ROUND((M1360*K1360)*K$1807,2)-1</f>
        <v>50.6</v>
      </c>
      <c r="U1360" s="189">
        <f t="shared" si="851"/>
        <v>6.16</v>
      </c>
      <c r="V1360" s="189">
        <f t="shared" si="863"/>
        <v>11.32</v>
      </c>
      <c r="W1360" s="189">
        <f t="shared" si="758"/>
        <v>0.41</v>
      </c>
      <c r="X1360" s="189">
        <f t="shared" si="681"/>
        <v>203.54999999999998</v>
      </c>
      <c r="Y1360" s="190">
        <f t="shared" si="682"/>
        <v>1039.3499999999999</v>
      </c>
      <c r="Z1360" s="191">
        <v>1039</v>
      </c>
      <c r="AA1360" s="192">
        <f t="shared" si="837"/>
        <v>-0.34999999999990905</v>
      </c>
      <c r="AB1360" s="193">
        <f t="shared" si="684"/>
        <v>6.0579150127504696E-3</v>
      </c>
      <c r="AC1360" s="194">
        <f t="shared" si="685"/>
        <v>4.95E-4</v>
      </c>
      <c r="AD1360" s="189"/>
      <c r="AE1360" s="195" t="s">
        <v>403</v>
      </c>
      <c r="AF1360" s="119"/>
    </row>
    <row r="1361" spans="1:32" ht="12" hidden="1" customHeight="1">
      <c r="A1361" s="183">
        <v>44799</v>
      </c>
      <c r="B1361" s="184" t="s">
        <v>575</v>
      </c>
      <c r="C1361" s="184"/>
      <c r="D1361" s="184"/>
      <c r="E1361" s="184"/>
      <c r="F1361" s="184"/>
      <c r="G1361" s="184"/>
      <c r="H1361" s="184" t="s">
        <v>654</v>
      </c>
      <c r="I1361" s="184" t="s">
        <v>469</v>
      </c>
      <c r="J1361" s="184" t="s">
        <v>448</v>
      </c>
      <c r="K1361" s="185">
        <v>100</v>
      </c>
      <c r="L1361" s="186">
        <v>1037</v>
      </c>
      <c r="M1361" s="187">
        <v>1043.45</v>
      </c>
      <c r="N1361" s="188">
        <f t="shared" si="796"/>
        <v>20</v>
      </c>
      <c r="O1361" s="188">
        <f t="shared" si="797"/>
        <v>20</v>
      </c>
      <c r="P1361" s="189">
        <f t="shared" si="674"/>
        <v>208045</v>
      </c>
      <c r="Q1361" s="189">
        <f t="shared" si="675"/>
        <v>645.00000000000455</v>
      </c>
      <c r="R1361" s="189">
        <v>51.31</v>
      </c>
      <c r="S1361" s="189">
        <f t="shared" si="697"/>
        <v>10.27</v>
      </c>
      <c r="T1361" s="189">
        <f t="shared" si="867"/>
        <v>25.09</v>
      </c>
      <c r="U1361" s="189">
        <f t="shared" si="851"/>
        <v>3.11</v>
      </c>
      <c r="V1361" s="189">
        <f t="shared" si="863"/>
        <v>5.72</v>
      </c>
      <c r="W1361" s="189">
        <f t="shared" si="758"/>
        <v>0.21</v>
      </c>
      <c r="X1361" s="189">
        <f t="shared" si="681"/>
        <v>95.71</v>
      </c>
      <c r="Y1361" s="190">
        <f t="shared" si="682"/>
        <v>549.29</v>
      </c>
      <c r="Z1361" s="191">
        <v>548.04</v>
      </c>
      <c r="AA1361" s="192">
        <f t="shared" si="837"/>
        <v>-1.25</v>
      </c>
      <c r="AB1361" s="193">
        <f t="shared" si="684"/>
        <v>6.2198649951784434E-3</v>
      </c>
      <c r="AC1361" s="194">
        <f t="shared" si="685"/>
        <v>4.6000000000000001E-4</v>
      </c>
      <c r="AD1361" s="189"/>
      <c r="AE1361" s="195" t="s">
        <v>403</v>
      </c>
      <c r="AF1361" s="119"/>
    </row>
    <row r="1362" spans="1:32" ht="12" hidden="1" customHeight="1">
      <c r="A1362" s="183">
        <v>44802</v>
      </c>
      <c r="B1362" s="184" t="s">
        <v>575</v>
      </c>
      <c r="C1362" s="184"/>
      <c r="D1362" s="184"/>
      <c r="E1362" s="184"/>
      <c r="F1362" s="184"/>
      <c r="G1362" s="184"/>
      <c r="H1362" s="184" t="s">
        <v>654</v>
      </c>
      <c r="I1362" s="184" t="s">
        <v>469</v>
      </c>
      <c r="J1362" s="184" t="s">
        <v>448</v>
      </c>
      <c r="K1362" s="185">
        <v>35</v>
      </c>
      <c r="L1362" s="186">
        <v>1010</v>
      </c>
      <c r="M1362" s="187">
        <v>1019</v>
      </c>
      <c r="N1362" s="188">
        <f t="shared" si="796"/>
        <v>10.61</v>
      </c>
      <c r="O1362" s="188">
        <f t="shared" si="797"/>
        <v>10.7</v>
      </c>
      <c r="P1362" s="189">
        <f t="shared" si="674"/>
        <v>71015</v>
      </c>
      <c r="Q1362" s="189">
        <f t="shared" si="675"/>
        <v>315</v>
      </c>
      <c r="R1362" s="189">
        <f>ROUND(N1362+O1362,2)</f>
        <v>21.31</v>
      </c>
      <c r="S1362" s="189">
        <f t="shared" si="697"/>
        <v>4.1900000000000004</v>
      </c>
      <c r="T1362" s="189">
        <f t="shared" ref="T1362:T1409" si="868">ROUND((M1362*K1362)*K$1807,2)</f>
        <v>8.92</v>
      </c>
      <c r="U1362" s="189">
        <f t="shared" si="851"/>
        <v>1.06</v>
      </c>
      <c r="V1362" s="189">
        <f t="shared" si="863"/>
        <v>1.95</v>
      </c>
      <c r="W1362" s="189">
        <f t="shared" si="758"/>
        <v>7.0000000000000007E-2</v>
      </c>
      <c r="X1362" s="189">
        <f t="shared" si="681"/>
        <v>37.500000000000007</v>
      </c>
      <c r="Y1362" s="190">
        <f t="shared" si="682"/>
        <v>277.5</v>
      </c>
      <c r="Z1362" s="191">
        <v>278.32</v>
      </c>
      <c r="AA1362" s="192">
        <f t="shared" si="837"/>
        <v>0.81999999999999318</v>
      </c>
      <c r="AB1362" s="193">
        <f t="shared" si="684"/>
        <v>8.9108910891089101E-3</v>
      </c>
      <c r="AC1362" s="194">
        <f t="shared" si="685"/>
        <v>5.2800000000000004E-4</v>
      </c>
      <c r="AD1362" s="189"/>
      <c r="AE1362" s="195" t="s">
        <v>403</v>
      </c>
      <c r="AF1362" s="119"/>
    </row>
    <row r="1363" spans="1:32" ht="12" hidden="1" customHeight="1">
      <c r="A1363" s="183">
        <v>44803</v>
      </c>
      <c r="B1363" s="184" t="s">
        <v>575</v>
      </c>
      <c r="C1363" s="184"/>
      <c r="D1363" s="184"/>
      <c r="E1363" s="184"/>
      <c r="F1363" s="184"/>
      <c r="G1363" s="184"/>
      <c r="H1363" s="184" t="s">
        <v>654</v>
      </c>
      <c r="I1363" s="184" t="s">
        <v>469</v>
      </c>
      <c r="J1363" s="184" t="s">
        <v>448</v>
      </c>
      <c r="K1363" s="185">
        <v>310</v>
      </c>
      <c r="L1363" s="186">
        <v>1047.59672</v>
      </c>
      <c r="M1363" s="187">
        <v>1054.4676999999999</v>
      </c>
      <c r="N1363" s="188">
        <f t="shared" si="796"/>
        <v>20</v>
      </c>
      <c r="O1363" s="188">
        <f t="shared" si="797"/>
        <v>20</v>
      </c>
      <c r="P1363" s="189">
        <f t="shared" si="674"/>
        <v>651639.97</v>
      </c>
      <c r="Q1363" s="189">
        <f t="shared" si="675"/>
        <v>2130.0037999999745</v>
      </c>
      <c r="R1363" s="189">
        <v>135.62</v>
      </c>
      <c r="S1363" s="189">
        <f t="shared" si="697"/>
        <v>27.64</v>
      </c>
      <c r="T1363" s="189">
        <f t="shared" si="868"/>
        <v>81.72</v>
      </c>
      <c r="U1363" s="189">
        <f t="shared" si="851"/>
        <v>9.74</v>
      </c>
      <c r="V1363" s="189">
        <f t="shared" si="863"/>
        <v>17.920000000000002</v>
      </c>
      <c r="W1363" s="189">
        <f t="shared" si="758"/>
        <v>0.65</v>
      </c>
      <c r="X1363" s="189">
        <f t="shared" si="681"/>
        <v>273.28999999999996</v>
      </c>
      <c r="Y1363" s="190">
        <f t="shared" si="682"/>
        <v>1856.71</v>
      </c>
      <c r="Z1363" s="191">
        <v>1856.35</v>
      </c>
      <c r="AA1363" s="192">
        <f t="shared" si="837"/>
        <v>-0.36000000000012733</v>
      </c>
      <c r="AB1363" s="193">
        <f t="shared" si="684"/>
        <v>6.5588025132418491E-3</v>
      </c>
      <c r="AC1363" s="194">
        <f t="shared" si="685"/>
        <v>4.1899999999999999E-4</v>
      </c>
      <c r="AD1363" s="189"/>
      <c r="AE1363" s="195" t="s">
        <v>403</v>
      </c>
      <c r="AF1363" s="119"/>
    </row>
    <row r="1364" spans="1:32" ht="12" hidden="1" customHeight="1">
      <c r="A1364" s="183">
        <v>44805</v>
      </c>
      <c r="B1364" s="184" t="s">
        <v>575</v>
      </c>
      <c r="C1364" s="184"/>
      <c r="D1364" s="184"/>
      <c r="E1364" s="184"/>
      <c r="F1364" s="184"/>
      <c r="G1364" s="184"/>
      <c r="H1364" s="184" t="s">
        <v>654</v>
      </c>
      <c r="I1364" s="184" t="s">
        <v>469</v>
      </c>
      <c r="J1364" s="184" t="s">
        <v>448</v>
      </c>
      <c r="K1364" s="185">
        <v>200</v>
      </c>
      <c r="L1364" s="186">
        <v>1047.5</v>
      </c>
      <c r="M1364" s="187">
        <v>1055.5</v>
      </c>
      <c r="N1364" s="188">
        <f t="shared" si="796"/>
        <v>20</v>
      </c>
      <c r="O1364" s="188">
        <f t="shared" si="797"/>
        <v>20</v>
      </c>
      <c r="P1364" s="189">
        <f t="shared" si="674"/>
        <v>420600</v>
      </c>
      <c r="Q1364" s="189">
        <f t="shared" si="675"/>
        <v>1600</v>
      </c>
      <c r="R1364" s="189">
        <v>80</v>
      </c>
      <c r="S1364" s="189">
        <f t="shared" si="697"/>
        <v>16.75</v>
      </c>
      <c r="T1364" s="189">
        <f t="shared" si="868"/>
        <v>52.78</v>
      </c>
      <c r="U1364" s="189">
        <f t="shared" si="851"/>
        <v>6.29</v>
      </c>
      <c r="V1364" s="189">
        <v>13.04</v>
      </c>
      <c r="W1364" s="189">
        <f t="shared" si="758"/>
        <v>0.42</v>
      </c>
      <c r="X1364" s="189">
        <f t="shared" si="681"/>
        <v>169.27999999999997</v>
      </c>
      <c r="Y1364" s="190">
        <f t="shared" si="682"/>
        <v>1430.72</v>
      </c>
      <c r="Z1364" s="191">
        <v>1430.72</v>
      </c>
      <c r="AA1364" s="192">
        <f t="shared" si="837"/>
        <v>0</v>
      </c>
      <c r="AB1364" s="193">
        <f t="shared" si="684"/>
        <v>7.6372315035799524E-3</v>
      </c>
      <c r="AC1364" s="194">
        <f t="shared" si="685"/>
        <v>4.0200000000000001E-4</v>
      </c>
      <c r="AD1364" s="189"/>
      <c r="AE1364" s="195" t="s">
        <v>403</v>
      </c>
      <c r="AF1364" s="119"/>
    </row>
    <row r="1365" spans="1:32" ht="12" hidden="1" customHeight="1">
      <c r="A1365" s="183">
        <v>44806</v>
      </c>
      <c r="B1365" s="184" t="s">
        <v>619</v>
      </c>
      <c r="C1365" s="184"/>
      <c r="D1365" s="184"/>
      <c r="E1365" s="184"/>
      <c r="F1365" s="184"/>
      <c r="G1365" s="184"/>
      <c r="H1365" s="184" t="s">
        <v>654</v>
      </c>
      <c r="I1365" s="184" t="s">
        <v>469</v>
      </c>
      <c r="J1365" s="184" t="s">
        <v>471</v>
      </c>
      <c r="K1365" s="185">
        <v>500</v>
      </c>
      <c r="L1365" s="186">
        <v>8.9</v>
      </c>
      <c r="M1365" s="187">
        <v>9.0500000000000007</v>
      </c>
      <c r="N1365" s="188">
        <f t="shared" si="796"/>
        <v>1.34</v>
      </c>
      <c r="O1365" s="188">
        <f t="shared" si="797"/>
        <v>1.36</v>
      </c>
      <c r="P1365" s="189">
        <f t="shared" si="674"/>
        <v>8975</v>
      </c>
      <c r="Q1365" s="189">
        <f t="shared" si="675"/>
        <v>75.000000000000171</v>
      </c>
      <c r="R1365" s="189">
        <f>ROUND(N1365+O1365,2)</f>
        <v>2.7</v>
      </c>
      <c r="S1365" s="189">
        <f t="shared" si="697"/>
        <v>0.53</v>
      </c>
      <c r="T1365" s="189">
        <f t="shared" si="868"/>
        <v>1.1299999999999999</v>
      </c>
      <c r="U1365" s="189">
        <f t="shared" si="851"/>
        <v>0.13</v>
      </c>
      <c r="V1365" s="189">
        <f t="shared" ref="V1365:V1409" si="869">ROUND(P1365*L$1809,2)</f>
        <v>0.25</v>
      </c>
      <c r="W1365" s="189">
        <f t="shared" si="758"/>
        <v>0.01</v>
      </c>
      <c r="X1365" s="189">
        <f t="shared" si="681"/>
        <v>4.75</v>
      </c>
      <c r="Y1365" s="190">
        <f t="shared" si="682"/>
        <v>70.25</v>
      </c>
      <c r="Z1365" s="191">
        <v>70.31</v>
      </c>
      <c r="AA1365" s="192">
        <f t="shared" si="837"/>
        <v>6.0000000000002274E-2</v>
      </c>
      <c r="AB1365" s="193">
        <f t="shared" si="684"/>
        <v>1.6853932584269701E-2</v>
      </c>
      <c r="AC1365" s="194">
        <f t="shared" si="685"/>
        <v>5.2899999999999996E-4</v>
      </c>
      <c r="AD1365" s="189"/>
      <c r="AE1365" s="195" t="s">
        <v>403</v>
      </c>
      <c r="AF1365" s="119"/>
    </row>
    <row r="1366" spans="1:32" ht="12" hidden="1" customHeight="1">
      <c r="A1366" s="183">
        <v>44810</v>
      </c>
      <c r="B1366" s="184" t="s">
        <v>575</v>
      </c>
      <c r="C1366" s="184"/>
      <c r="D1366" s="184"/>
      <c r="E1366" s="184"/>
      <c r="F1366" s="184"/>
      <c r="G1366" s="184"/>
      <c r="H1366" s="184" t="s">
        <v>654</v>
      </c>
      <c r="I1366" s="184" t="s">
        <v>469</v>
      </c>
      <c r="J1366" s="184" t="s">
        <v>448</v>
      </c>
      <c r="K1366" s="185">
        <v>200</v>
      </c>
      <c r="L1366" s="186">
        <v>1057.9000000000001</v>
      </c>
      <c r="M1366" s="187">
        <v>1063.5</v>
      </c>
      <c r="N1366" s="188">
        <f t="shared" si="796"/>
        <v>20</v>
      </c>
      <c r="O1366" s="188">
        <f t="shared" si="797"/>
        <v>20</v>
      </c>
      <c r="P1366" s="189">
        <f t="shared" si="674"/>
        <v>424280</v>
      </c>
      <c r="Q1366" s="189">
        <f t="shared" si="675"/>
        <v>1119.9999999999818</v>
      </c>
      <c r="R1366" s="189">
        <v>60</v>
      </c>
      <c r="S1366" s="189">
        <f t="shared" si="697"/>
        <v>12.9</v>
      </c>
      <c r="T1366" s="189">
        <f t="shared" si="868"/>
        <v>53.18</v>
      </c>
      <c r="U1366" s="189">
        <f t="shared" si="851"/>
        <v>6.35</v>
      </c>
      <c r="V1366" s="189">
        <f t="shared" si="869"/>
        <v>11.67</v>
      </c>
      <c r="W1366" s="189">
        <f t="shared" si="758"/>
        <v>0.42</v>
      </c>
      <c r="X1366" s="189">
        <f t="shared" si="681"/>
        <v>144.51999999999998</v>
      </c>
      <c r="Y1366" s="190">
        <f t="shared" si="682"/>
        <v>975.48</v>
      </c>
      <c r="Z1366" s="191">
        <v>975.93</v>
      </c>
      <c r="AA1366" s="192">
        <f t="shared" si="837"/>
        <v>0.44999999999993179</v>
      </c>
      <c r="AB1366" s="193">
        <f t="shared" si="684"/>
        <v>5.293506002457613E-3</v>
      </c>
      <c r="AC1366" s="194">
        <f t="shared" si="685"/>
        <v>3.4099999999999999E-4</v>
      </c>
      <c r="AD1366" s="189"/>
      <c r="AE1366" s="195" t="s">
        <v>403</v>
      </c>
      <c r="AF1366" s="119"/>
    </row>
    <row r="1367" spans="1:32" ht="12" hidden="1" customHeight="1">
      <c r="A1367" s="183">
        <v>44811</v>
      </c>
      <c r="B1367" s="184" t="s">
        <v>575</v>
      </c>
      <c r="C1367" s="184"/>
      <c r="D1367" s="184"/>
      <c r="E1367" s="184"/>
      <c r="F1367" s="184"/>
      <c r="G1367" s="184"/>
      <c r="H1367" s="184" t="s">
        <v>654</v>
      </c>
      <c r="I1367" s="184" t="s">
        <v>469</v>
      </c>
      <c r="J1367" s="184" t="s">
        <v>448</v>
      </c>
      <c r="K1367" s="185">
        <v>100</v>
      </c>
      <c r="L1367" s="186">
        <v>1057</v>
      </c>
      <c r="M1367" s="187">
        <v>1061.9000000000001</v>
      </c>
      <c r="N1367" s="188">
        <f t="shared" si="796"/>
        <v>20</v>
      </c>
      <c r="O1367" s="188">
        <f t="shared" si="797"/>
        <v>20</v>
      </c>
      <c r="P1367" s="189">
        <f t="shared" si="674"/>
        <v>211890</v>
      </c>
      <c r="Q1367" s="189">
        <f t="shared" si="675"/>
        <v>490.00000000000909</v>
      </c>
      <c r="R1367" s="189">
        <f>ROUND(N1367+O1367,2)</f>
        <v>40</v>
      </c>
      <c r="S1367" s="189">
        <f t="shared" si="697"/>
        <v>8.25</v>
      </c>
      <c r="T1367" s="189">
        <f t="shared" si="868"/>
        <v>26.55</v>
      </c>
      <c r="U1367" s="189">
        <f t="shared" si="851"/>
        <v>3.17</v>
      </c>
      <c r="V1367" s="189">
        <f t="shared" si="869"/>
        <v>5.83</v>
      </c>
      <c r="W1367" s="189">
        <f t="shared" si="758"/>
        <v>0.21</v>
      </c>
      <c r="X1367" s="189">
        <f t="shared" si="681"/>
        <v>84.009999999999991</v>
      </c>
      <c r="Y1367" s="190">
        <f t="shared" si="682"/>
        <v>405.99</v>
      </c>
      <c r="Z1367" s="191">
        <v>406.67</v>
      </c>
      <c r="AA1367" s="192">
        <f t="shared" si="837"/>
        <v>0.68000000000000682</v>
      </c>
      <c r="AB1367" s="193">
        <f t="shared" si="684"/>
        <v>4.6357615894040598E-3</v>
      </c>
      <c r="AC1367" s="194">
        <f t="shared" si="685"/>
        <v>3.9599999999999998E-4</v>
      </c>
      <c r="AD1367" s="189"/>
      <c r="AE1367" s="195" t="s">
        <v>403</v>
      </c>
      <c r="AF1367" s="119"/>
    </row>
    <row r="1368" spans="1:32" ht="12" hidden="1" customHeight="1">
      <c r="A1368" s="183">
        <v>44813</v>
      </c>
      <c r="B1368" s="184" t="s">
        <v>575</v>
      </c>
      <c r="C1368" s="184"/>
      <c r="D1368" s="184"/>
      <c r="E1368" s="184"/>
      <c r="F1368" s="184"/>
      <c r="G1368" s="184"/>
      <c r="H1368" s="184" t="s">
        <v>654</v>
      </c>
      <c r="I1368" s="184" t="s">
        <v>469</v>
      </c>
      <c r="J1368" s="184" t="s">
        <v>448</v>
      </c>
      <c r="K1368" s="185">
        <v>200</v>
      </c>
      <c r="L1368" s="186">
        <v>1064.5</v>
      </c>
      <c r="M1368" s="187">
        <v>1075.5650000000001</v>
      </c>
      <c r="N1368" s="188">
        <f t="shared" si="796"/>
        <v>20</v>
      </c>
      <c r="O1368" s="188">
        <f t="shared" si="797"/>
        <v>20</v>
      </c>
      <c r="P1368" s="189">
        <f t="shared" si="674"/>
        <v>428013</v>
      </c>
      <c r="Q1368" s="189">
        <f t="shared" si="675"/>
        <v>2213.0000000000109</v>
      </c>
      <c r="R1368" s="189">
        <v>80</v>
      </c>
      <c r="S1368" s="189">
        <f t="shared" si="697"/>
        <v>16.52</v>
      </c>
      <c r="T1368" s="189">
        <f t="shared" si="868"/>
        <v>53.78</v>
      </c>
      <c r="U1368" s="189">
        <f t="shared" si="851"/>
        <v>6.39</v>
      </c>
      <c r="V1368" s="189">
        <f t="shared" si="869"/>
        <v>11.77</v>
      </c>
      <c r="W1368" s="189">
        <f t="shared" si="758"/>
        <v>0.43</v>
      </c>
      <c r="X1368" s="189">
        <f t="shared" si="681"/>
        <v>168.89000000000001</v>
      </c>
      <c r="Y1368" s="190">
        <f t="shared" si="682"/>
        <v>2044.11</v>
      </c>
      <c r="Z1368" s="191">
        <v>2044.14</v>
      </c>
      <c r="AA1368" s="192">
        <f t="shared" si="837"/>
        <v>3.0000000000200089E-2</v>
      </c>
      <c r="AB1368" s="193">
        <f t="shared" si="684"/>
        <v>1.0394551432597515E-2</v>
      </c>
      <c r="AC1368" s="194">
        <f t="shared" si="685"/>
        <v>3.9500000000000001E-4</v>
      </c>
      <c r="AD1368" s="189"/>
      <c r="AE1368" s="195" t="s">
        <v>403</v>
      </c>
      <c r="AF1368" s="119"/>
    </row>
    <row r="1369" spans="1:32" ht="12" hidden="1" customHeight="1">
      <c r="A1369" s="183">
        <v>44816</v>
      </c>
      <c r="B1369" s="184" t="s">
        <v>575</v>
      </c>
      <c r="C1369" s="184"/>
      <c r="D1369" s="184"/>
      <c r="E1369" s="184"/>
      <c r="F1369" s="184"/>
      <c r="G1369" s="184"/>
      <c r="H1369" s="184" t="s">
        <v>654</v>
      </c>
      <c r="I1369" s="184" t="s">
        <v>469</v>
      </c>
      <c r="J1369" s="184" t="s">
        <v>448</v>
      </c>
      <c r="K1369" s="185">
        <v>200</v>
      </c>
      <c r="L1369" s="186">
        <v>1078.6500000000001</v>
      </c>
      <c r="M1369" s="187">
        <v>1082</v>
      </c>
      <c r="N1369" s="188">
        <f t="shared" si="796"/>
        <v>20</v>
      </c>
      <c r="O1369" s="188">
        <f t="shared" si="797"/>
        <v>20</v>
      </c>
      <c r="P1369" s="189">
        <f t="shared" si="674"/>
        <v>432130</v>
      </c>
      <c r="Q1369" s="189">
        <f t="shared" si="675"/>
        <v>669.99999999998181</v>
      </c>
      <c r="R1369" s="189">
        <v>80</v>
      </c>
      <c r="S1369" s="189">
        <f t="shared" si="697"/>
        <v>16.54</v>
      </c>
      <c r="T1369" s="189">
        <f t="shared" si="868"/>
        <v>54.1</v>
      </c>
      <c r="U1369" s="189">
        <f t="shared" si="851"/>
        <v>6.47</v>
      </c>
      <c r="V1369" s="189">
        <f t="shared" si="869"/>
        <v>11.88</v>
      </c>
      <c r="W1369" s="189">
        <f t="shared" si="758"/>
        <v>0.43</v>
      </c>
      <c r="X1369" s="189">
        <f t="shared" si="681"/>
        <v>169.42</v>
      </c>
      <c r="Y1369" s="190">
        <f t="shared" si="682"/>
        <v>500.58</v>
      </c>
      <c r="Z1369" s="191">
        <v>501.07</v>
      </c>
      <c r="AA1369" s="192">
        <f t="shared" si="837"/>
        <v>0.49000000000000909</v>
      </c>
      <c r="AB1369" s="193">
        <f t="shared" si="684"/>
        <v>3.1057340193759875E-3</v>
      </c>
      <c r="AC1369" s="194">
        <f t="shared" si="685"/>
        <v>3.9199999999999999E-4</v>
      </c>
      <c r="AD1369" s="189"/>
      <c r="AE1369" s="195" t="s">
        <v>403</v>
      </c>
      <c r="AF1369" s="119"/>
    </row>
    <row r="1370" spans="1:32" ht="12" hidden="1" customHeight="1">
      <c r="A1370" s="183">
        <v>44817</v>
      </c>
      <c r="B1370" s="184" t="s">
        <v>575</v>
      </c>
      <c r="C1370" s="184"/>
      <c r="D1370" s="184"/>
      <c r="E1370" s="184"/>
      <c r="F1370" s="184"/>
      <c r="G1370" s="184"/>
      <c r="H1370" s="184" t="s">
        <v>654</v>
      </c>
      <c r="I1370" s="184" t="s">
        <v>469</v>
      </c>
      <c r="J1370" s="184" t="s">
        <v>448</v>
      </c>
      <c r="K1370" s="185">
        <v>250</v>
      </c>
      <c r="L1370" s="186">
        <v>1074.6199999999999</v>
      </c>
      <c r="M1370" s="187">
        <v>1082</v>
      </c>
      <c r="N1370" s="188">
        <f t="shared" si="796"/>
        <v>20</v>
      </c>
      <c r="O1370" s="188">
        <f t="shared" si="797"/>
        <v>20</v>
      </c>
      <c r="P1370" s="189">
        <f t="shared" si="674"/>
        <v>539155</v>
      </c>
      <c r="Q1370" s="189">
        <f t="shared" si="675"/>
        <v>1845.0000000000273</v>
      </c>
      <c r="R1370" s="189">
        <v>80</v>
      </c>
      <c r="S1370" s="189">
        <f t="shared" si="697"/>
        <v>17.07</v>
      </c>
      <c r="T1370" s="189">
        <f t="shared" si="868"/>
        <v>67.63</v>
      </c>
      <c r="U1370" s="189">
        <f t="shared" si="851"/>
        <v>8.06</v>
      </c>
      <c r="V1370" s="189">
        <f t="shared" si="869"/>
        <v>14.83</v>
      </c>
      <c r="W1370" s="189">
        <f t="shared" si="758"/>
        <v>0.54</v>
      </c>
      <c r="X1370" s="189">
        <f t="shared" si="681"/>
        <v>188.13</v>
      </c>
      <c r="Y1370" s="190">
        <f t="shared" si="682"/>
        <v>1656.87</v>
      </c>
      <c r="Z1370" s="191">
        <v>1655.24</v>
      </c>
      <c r="AA1370" s="192">
        <f t="shared" si="837"/>
        <v>-1.6299999999998818</v>
      </c>
      <c r="AB1370" s="193">
        <f t="shared" si="684"/>
        <v>6.8675438759748658E-3</v>
      </c>
      <c r="AC1370" s="194">
        <f t="shared" si="685"/>
        <v>3.4900000000000003E-4</v>
      </c>
      <c r="AD1370" s="189"/>
      <c r="AE1370" s="195" t="s">
        <v>403</v>
      </c>
      <c r="AF1370" s="119"/>
    </row>
    <row r="1371" spans="1:32" ht="12" hidden="1" customHeight="1">
      <c r="A1371" s="183">
        <v>44818</v>
      </c>
      <c r="B1371" s="184" t="s">
        <v>575</v>
      </c>
      <c r="C1371" s="184"/>
      <c r="D1371" s="184"/>
      <c r="E1371" s="184"/>
      <c r="F1371" s="184"/>
      <c r="G1371" s="184"/>
      <c r="H1371" s="184" t="s">
        <v>654</v>
      </c>
      <c r="I1371" s="184" t="s">
        <v>469</v>
      </c>
      <c r="J1371" s="184" t="s">
        <v>448</v>
      </c>
      <c r="K1371" s="185">
        <v>100</v>
      </c>
      <c r="L1371" s="186">
        <v>1066</v>
      </c>
      <c r="M1371" s="187">
        <v>1067.9000000000001</v>
      </c>
      <c r="N1371" s="188">
        <f t="shared" si="796"/>
        <v>20</v>
      </c>
      <c r="O1371" s="188">
        <f t="shared" si="797"/>
        <v>20</v>
      </c>
      <c r="P1371" s="189">
        <f t="shared" si="674"/>
        <v>213390</v>
      </c>
      <c r="Q1371" s="189">
        <f t="shared" si="675"/>
        <v>190.00000000000909</v>
      </c>
      <c r="R1371" s="189">
        <f t="shared" ref="R1371:R1372" si="870">ROUND(N1371+O1371,2)</f>
        <v>40</v>
      </c>
      <c r="S1371" s="189">
        <f t="shared" si="697"/>
        <v>8.26</v>
      </c>
      <c r="T1371" s="189">
        <f t="shared" si="868"/>
        <v>26.7</v>
      </c>
      <c r="U1371" s="189">
        <f t="shared" si="851"/>
        <v>3.2</v>
      </c>
      <c r="V1371" s="189">
        <f t="shared" si="869"/>
        <v>5.87</v>
      </c>
      <c r="W1371" s="189">
        <f t="shared" si="758"/>
        <v>0.21</v>
      </c>
      <c r="X1371" s="189">
        <f t="shared" si="681"/>
        <v>84.24</v>
      </c>
      <c r="Y1371" s="190">
        <f t="shared" si="682"/>
        <v>105.76</v>
      </c>
      <c r="Z1371" s="191">
        <v>103.54</v>
      </c>
      <c r="AA1371" s="192">
        <f t="shared" si="837"/>
        <v>-2.2199999999999989</v>
      </c>
      <c r="AB1371" s="193">
        <f t="shared" si="684"/>
        <v>1.7823639774860139E-3</v>
      </c>
      <c r="AC1371" s="194">
        <f t="shared" si="685"/>
        <v>3.9500000000000001E-4</v>
      </c>
      <c r="AD1371" s="189"/>
      <c r="AE1371" s="195" t="s">
        <v>403</v>
      </c>
      <c r="AF1371" s="119"/>
    </row>
    <row r="1372" spans="1:32" ht="12" hidden="1" customHeight="1">
      <c r="A1372" s="183">
        <v>44818</v>
      </c>
      <c r="B1372" s="184" t="s">
        <v>540</v>
      </c>
      <c r="C1372" s="184"/>
      <c r="D1372" s="184"/>
      <c r="E1372" s="184"/>
      <c r="F1372" s="184"/>
      <c r="G1372" s="184"/>
      <c r="H1372" s="184" t="s">
        <v>654</v>
      </c>
      <c r="I1372" s="184" t="s">
        <v>469</v>
      </c>
      <c r="J1372" s="184" t="s">
        <v>471</v>
      </c>
      <c r="K1372" s="185">
        <v>70</v>
      </c>
      <c r="L1372" s="186">
        <v>255</v>
      </c>
      <c r="M1372" s="187">
        <v>273</v>
      </c>
      <c r="N1372" s="188">
        <f t="shared" si="796"/>
        <v>5.36</v>
      </c>
      <c r="O1372" s="188">
        <f t="shared" si="797"/>
        <v>5.73</v>
      </c>
      <c r="P1372" s="189">
        <f t="shared" si="674"/>
        <v>36960</v>
      </c>
      <c r="Q1372" s="189">
        <f t="shared" si="675"/>
        <v>1260</v>
      </c>
      <c r="R1372" s="189">
        <f t="shared" si="870"/>
        <v>11.09</v>
      </c>
      <c r="S1372" s="189">
        <f t="shared" si="697"/>
        <v>2.1800000000000002</v>
      </c>
      <c r="T1372" s="189">
        <f t="shared" si="868"/>
        <v>4.78</v>
      </c>
      <c r="U1372" s="189">
        <f t="shared" si="851"/>
        <v>0.54</v>
      </c>
      <c r="V1372" s="189">
        <f t="shared" si="869"/>
        <v>1.02</v>
      </c>
      <c r="W1372" s="189">
        <f t="shared" si="758"/>
        <v>0.04</v>
      </c>
      <c r="X1372" s="189">
        <f t="shared" si="681"/>
        <v>19.649999999999999</v>
      </c>
      <c r="Y1372" s="190">
        <f t="shared" si="682"/>
        <v>1240.3499999999999</v>
      </c>
      <c r="Z1372" s="191">
        <v>1239.77</v>
      </c>
      <c r="AA1372" s="192">
        <f t="shared" si="837"/>
        <v>-0.57999999999992724</v>
      </c>
      <c r="AB1372" s="193">
        <f t="shared" si="684"/>
        <v>7.0588235294117646E-2</v>
      </c>
      <c r="AC1372" s="194">
        <f t="shared" si="685"/>
        <v>5.3200000000000003E-4</v>
      </c>
      <c r="AD1372" s="189"/>
      <c r="AE1372" s="195" t="s">
        <v>403</v>
      </c>
      <c r="AF1372" s="119"/>
    </row>
    <row r="1373" spans="1:32" ht="12" hidden="1" customHeight="1">
      <c r="A1373" s="183">
        <v>44819</v>
      </c>
      <c r="B1373" s="184" t="s">
        <v>575</v>
      </c>
      <c r="C1373" s="184"/>
      <c r="D1373" s="184"/>
      <c r="E1373" s="184"/>
      <c r="F1373" s="184"/>
      <c r="G1373" s="184"/>
      <c r="H1373" s="184" t="s">
        <v>654</v>
      </c>
      <c r="I1373" s="184" t="s">
        <v>469</v>
      </c>
      <c r="J1373" s="184" t="s">
        <v>448</v>
      </c>
      <c r="K1373" s="185">
        <v>241</v>
      </c>
      <c r="L1373" s="186">
        <v>1101.6389999999999</v>
      </c>
      <c r="M1373" s="187">
        <v>1107.0719999999999</v>
      </c>
      <c r="N1373" s="188">
        <f t="shared" si="796"/>
        <v>20</v>
      </c>
      <c r="O1373" s="188">
        <f t="shared" si="797"/>
        <v>20</v>
      </c>
      <c r="P1373" s="189">
        <f t="shared" si="674"/>
        <v>532299.35</v>
      </c>
      <c r="Q1373" s="189">
        <f t="shared" si="675"/>
        <v>1309.3529999999982</v>
      </c>
      <c r="R1373" s="189">
        <v>96.63</v>
      </c>
      <c r="S1373" s="189">
        <f t="shared" si="697"/>
        <v>20.03</v>
      </c>
      <c r="T1373" s="189">
        <f t="shared" si="868"/>
        <v>66.7</v>
      </c>
      <c r="U1373" s="189">
        <f t="shared" si="851"/>
        <v>7.96</v>
      </c>
      <c r="V1373" s="189">
        <f t="shared" si="869"/>
        <v>14.64</v>
      </c>
      <c r="W1373" s="189">
        <f t="shared" si="758"/>
        <v>0.53</v>
      </c>
      <c r="X1373" s="189">
        <f t="shared" si="681"/>
        <v>206.49000000000004</v>
      </c>
      <c r="Y1373" s="190">
        <f t="shared" si="682"/>
        <v>1102.8599999999999</v>
      </c>
      <c r="Z1373" s="191">
        <v>1102.42</v>
      </c>
      <c r="AA1373" s="192">
        <f t="shared" si="837"/>
        <v>-0.4399999999998272</v>
      </c>
      <c r="AB1373" s="193">
        <f t="shared" si="684"/>
        <v>4.9317426125981313E-3</v>
      </c>
      <c r="AC1373" s="194">
        <f t="shared" si="685"/>
        <v>3.88E-4</v>
      </c>
      <c r="AD1373" s="189"/>
      <c r="AE1373" s="195" t="s">
        <v>403</v>
      </c>
      <c r="AF1373" s="119"/>
    </row>
    <row r="1374" spans="1:32" ht="12" hidden="1" customHeight="1">
      <c r="A1374" s="183">
        <v>44820</v>
      </c>
      <c r="B1374" s="184" t="s">
        <v>575</v>
      </c>
      <c r="C1374" s="184"/>
      <c r="D1374" s="184"/>
      <c r="E1374" s="184"/>
      <c r="F1374" s="184"/>
      <c r="G1374" s="184"/>
      <c r="H1374" s="184" t="s">
        <v>654</v>
      </c>
      <c r="I1374" s="184" t="s">
        <v>469</v>
      </c>
      <c r="J1374" s="184" t="s">
        <v>448</v>
      </c>
      <c r="K1374" s="185">
        <v>40</v>
      </c>
      <c r="L1374" s="186">
        <v>1060</v>
      </c>
      <c r="M1374" s="187">
        <v>1079.95</v>
      </c>
      <c r="N1374" s="188">
        <f t="shared" si="796"/>
        <v>12.72</v>
      </c>
      <c r="O1374" s="188">
        <f t="shared" si="797"/>
        <v>12.96</v>
      </c>
      <c r="P1374" s="189">
        <f t="shared" si="674"/>
        <v>85598</v>
      </c>
      <c r="Q1374" s="189">
        <f t="shared" si="675"/>
        <v>798.00000000000182</v>
      </c>
      <c r="R1374" s="189">
        <v>32.340000000000003</v>
      </c>
      <c r="S1374" s="189">
        <f t="shared" si="697"/>
        <v>6.24</v>
      </c>
      <c r="T1374" s="189">
        <f t="shared" si="868"/>
        <v>10.8</v>
      </c>
      <c r="U1374" s="189">
        <f t="shared" si="851"/>
        <v>1.27</v>
      </c>
      <c r="V1374" s="189">
        <f t="shared" si="869"/>
        <v>2.35</v>
      </c>
      <c r="W1374" s="189">
        <f t="shared" si="758"/>
        <v>0.09</v>
      </c>
      <c r="X1374" s="189">
        <f t="shared" si="681"/>
        <v>53.090000000000018</v>
      </c>
      <c r="Y1374" s="190">
        <f t="shared" si="682"/>
        <v>744.91</v>
      </c>
      <c r="Z1374" s="191">
        <v>745.64</v>
      </c>
      <c r="AA1374" s="192">
        <f t="shared" si="837"/>
        <v>0.73000000000001819</v>
      </c>
      <c r="AB1374" s="193">
        <f t="shared" si="684"/>
        <v>1.8820754716981174E-2</v>
      </c>
      <c r="AC1374" s="194">
        <f t="shared" si="685"/>
        <v>6.2E-4</v>
      </c>
      <c r="AD1374" s="189"/>
      <c r="AE1374" s="195" t="s">
        <v>403</v>
      </c>
      <c r="AF1374" s="119"/>
    </row>
    <row r="1375" spans="1:32" ht="12" hidden="1" customHeight="1">
      <c r="A1375" s="183">
        <v>44824</v>
      </c>
      <c r="B1375" s="184" t="s">
        <v>484</v>
      </c>
      <c r="C1375" s="184"/>
      <c r="D1375" s="184"/>
      <c r="E1375" s="184"/>
      <c r="F1375" s="184"/>
      <c r="G1375" s="184"/>
      <c r="H1375" s="184" t="s">
        <v>654</v>
      </c>
      <c r="I1375" s="184" t="s">
        <v>469</v>
      </c>
      <c r="J1375" s="184" t="s">
        <v>471</v>
      </c>
      <c r="K1375" s="185">
        <v>2</v>
      </c>
      <c r="L1375" s="186">
        <v>7650</v>
      </c>
      <c r="M1375" s="187">
        <v>7700</v>
      </c>
      <c r="N1375" s="188">
        <f t="shared" si="796"/>
        <v>4.59</v>
      </c>
      <c r="O1375" s="188">
        <f t="shared" si="797"/>
        <v>4.62</v>
      </c>
      <c r="P1375" s="189">
        <f t="shared" si="674"/>
        <v>30700</v>
      </c>
      <c r="Q1375" s="189">
        <f t="shared" si="675"/>
        <v>100</v>
      </c>
      <c r="R1375" s="189">
        <f t="shared" ref="R1375:R1379" si="871">ROUND(N1375+O1375,2)</f>
        <v>9.2100000000000009</v>
      </c>
      <c r="S1375" s="189">
        <f t="shared" si="697"/>
        <v>1.81</v>
      </c>
      <c r="T1375" s="189">
        <f t="shared" si="868"/>
        <v>3.85</v>
      </c>
      <c r="U1375" s="189">
        <f t="shared" si="851"/>
        <v>0.46</v>
      </c>
      <c r="V1375" s="189">
        <f t="shared" si="869"/>
        <v>0.84</v>
      </c>
      <c r="W1375" s="189">
        <f t="shared" si="758"/>
        <v>0.03</v>
      </c>
      <c r="X1375" s="189">
        <f t="shared" si="681"/>
        <v>16.200000000000003</v>
      </c>
      <c r="Y1375" s="190">
        <f t="shared" si="682"/>
        <v>83.8</v>
      </c>
      <c r="Z1375" s="191">
        <v>83.65</v>
      </c>
      <c r="AA1375" s="192">
        <f t="shared" si="837"/>
        <v>-0.14999999999999147</v>
      </c>
      <c r="AB1375" s="193">
        <f t="shared" si="684"/>
        <v>6.5359477124183009E-3</v>
      </c>
      <c r="AC1375" s="194">
        <f t="shared" si="685"/>
        <v>5.2800000000000004E-4</v>
      </c>
      <c r="AD1375" s="189"/>
      <c r="AE1375" s="195" t="s">
        <v>403</v>
      </c>
      <c r="AF1375" s="119"/>
    </row>
    <row r="1376" spans="1:32" ht="12" hidden="1" customHeight="1">
      <c r="A1376" s="183">
        <v>44825</v>
      </c>
      <c r="B1376" s="184" t="s">
        <v>484</v>
      </c>
      <c r="C1376" s="184"/>
      <c r="D1376" s="184"/>
      <c r="E1376" s="184"/>
      <c r="F1376" s="184"/>
      <c r="G1376" s="184"/>
      <c r="H1376" s="184" t="s">
        <v>654</v>
      </c>
      <c r="I1376" s="184" t="s">
        <v>469</v>
      </c>
      <c r="J1376" s="184" t="s">
        <v>471</v>
      </c>
      <c r="K1376" s="185">
        <v>2</v>
      </c>
      <c r="L1376" s="186">
        <v>7675</v>
      </c>
      <c r="M1376" s="187">
        <v>7705</v>
      </c>
      <c r="N1376" s="188">
        <f t="shared" si="796"/>
        <v>4.6100000000000003</v>
      </c>
      <c r="O1376" s="188">
        <f t="shared" si="797"/>
        <v>4.62</v>
      </c>
      <c r="P1376" s="189">
        <f t="shared" si="674"/>
        <v>30760</v>
      </c>
      <c r="Q1376" s="189">
        <f t="shared" si="675"/>
        <v>60</v>
      </c>
      <c r="R1376" s="189">
        <f t="shared" si="871"/>
        <v>9.23</v>
      </c>
      <c r="S1376" s="189">
        <f t="shared" si="697"/>
        <v>1.81</v>
      </c>
      <c r="T1376" s="189">
        <f t="shared" si="868"/>
        <v>3.85</v>
      </c>
      <c r="U1376" s="189">
        <f t="shared" si="851"/>
        <v>0.46</v>
      </c>
      <c r="V1376" s="189">
        <f t="shared" si="869"/>
        <v>0.85</v>
      </c>
      <c r="W1376" s="189">
        <f t="shared" si="758"/>
        <v>0.03</v>
      </c>
      <c r="X1376" s="189">
        <f t="shared" si="681"/>
        <v>16.230000000000004</v>
      </c>
      <c r="Y1376" s="190">
        <f t="shared" si="682"/>
        <v>43.77</v>
      </c>
      <c r="Z1376" s="191">
        <v>43.82</v>
      </c>
      <c r="AA1376" s="192">
        <f t="shared" si="837"/>
        <v>4.9999999999997158E-2</v>
      </c>
      <c r="AB1376" s="193">
        <f t="shared" si="684"/>
        <v>3.9087947882736158E-3</v>
      </c>
      <c r="AC1376" s="194">
        <f t="shared" si="685"/>
        <v>5.2800000000000004E-4</v>
      </c>
      <c r="AD1376" s="189"/>
      <c r="AE1376" s="195" t="s">
        <v>403</v>
      </c>
      <c r="AF1376" s="119"/>
    </row>
    <row r="1377" spans="1:32" ht="12" hidden="1" customHeight="1">
      <c r="A1377" s="183">
        <v>44826</v>
      </c>
      <c r="B1377" s="184" t="s">
        <v>484</v>
      </c>
      <c r="C1377" s="184"/>
      <c r="D1377" s="184"/>
      <c r="E1377" s="184"/>
      <c r="F1377" s="184"/>
      <c r="G1377" s="184"/>
      <c r="H1377" s="184" t="s">
        <v>654</v>
      </c>
      <c r="I1377" s="184" t="s">
        <v>469</v>
      </c>
      <c r="J1377" s="184" t="s">
        <v>471</v>
      </c>
      <c r="K1377" s="185">
        <v>2</v>
      </c>
      <c r="L1377" s="186">
        <v>7725</v>
      </c>
      <c r="M1377" s="187">
        <v>7760</v>
      </c>
      <c r="N1377" s="188">
        <f t="shared" si="796"/>
        <v>4.6399999999999997</v>
      </c>
      <c r="O1377" s="188">
        <f t="shared" si="797"/>
        <v>4.66</v>
      </c>
      <c r="P1377" s="189">
        <f t="shared" si="674"/>
        <v>30970</v>
      </c>
      <c r="Q1377" s="189">
        <f t="shared" si="675"/>
        <v>70</v>
      </c>
      <c r="R1377" s="189">
        <f t="shared" si="871"/>
        <v>9.3000000000000007</v>
      </c>
      <c r="S1377" s="189">
        <f t="shared" si="697"/>
        <v>1.83</v>
      </c>
      <c r="T1377" s="189">
        <f t="shared" si="868"/>
        <v>3.88</v>
      </c>
      <c r="U1377" s="189">
        <f t="shared" si="851"/>
        <v>0.46</v>
      </c>
      <c r="V1377" s="189">
        <f t="shared" si="869"/>
        <v>0.85</v>
      </c>
      <c r="W1377" s="189">
        <f t="shared" si="758"/>
        <v>0.03</v>
      </c>
      <c r="X1377" s="189">
        <f t="shared" si="681"/>
        <v>16.350000000000005</v>
      </c>
      <c r="Y1377" s="190">
        <f t="shared" si="682"/>
        <v>53.65</v>
      </c>
      <c r="Z1377" s="191">
        <v>53.74</v>
      </c>
      <c r="AA1377" s="192">
        <f t="shared" si="837"/>
        <v>9.0000000000003411E-2</v>
      </c>
      <c r="AB1377" s="193">
        <f t="shared" si="684"/>
        <v>4.5307443365695792E-3</v>
      </c>
      <c r="AC1377" s="194">
        <f t="shared" si="685"/>
        <v>5.2800000000000004E-4</v>
      </c>
      <c r="AD1377" s="189"/>
      <c r="AE1377" s="195" t="s">
        <v>403</v>
      </c>
      <c r="AF1377" s="119"/>
    </row>
    <row r="1378" spans="1:32" ht="12" hidden="1" customHeight="1">
      <c r="A1378" s="183">
        <v>44830</v>
      </c>
      <c r="B1378" s="184" t="s">
        <v>575</v>
      </c>
      <c r="C1378" s="184"/>
      <c r="D1378" s="184"/>
      <c r="E1378" s="184"/>
      <c r="F1378" s="184"/>
      <c r="G1378" s="184"/>
      <c r="H1378" s="184" t="s">
        <v>654</v>
      </c>
      <c r="I1378" s="184" t="s">
        <v>469</v>
      </c>
      <c r="J1378" s="184" t="s">
        <v>448</v>
      </c>
      <c r="K1378" s="185">
        <v>10</v>
      </c>
      <c r="L1378" s="186">
        <v>1013.7</v>
      </c>
      <c r="M1378" s="187">
        <v>1038.95</v>
      </c>
      <c r="N1378" s="188">
        <f t="shared" si="796"/>
        <v>3.04</v>
      </c>
      <c r="O1378" s="188">
        <f t="shared" si="797"/>
        <v>3.12</v>
      </c>
      <c r="P1378" s="189">
        <f t="shared" si="674"/>
        <v>20526.5</v>
      </c>
      <c r="Q1378" s="189">
        <f t="shared" si="675"/>
        <v>252.5</v>
      </c>
      <c r="R1378" s="189">
        <f t="shared" si="871"/>
        <v>6.16</v>
      </c>
      <c r="S1378" s="189">
        <f t="shared" si="697"/>
        <v>1.21</v>
      </c>
      <c r="T1378" s="189">
        <f t="shared" si="868"/>
        <v>2.6</v>
      </c>
      <c r="U1378" s="189">
        <f t="shared" si="851"/>
        <v>0.3</v>
      </c>
      <c r="V1378" s="189">
        <f t="shared" si="869"/>
        <v>0.56000000000000005</v>
      </c>
      <c r="W1378" s="189">
        <f t="shared" si="758"/>
        <v>0.02</v>
      </c>
      <c r="X1378" s="189">
        <f t="shared" si="681"/>
        <v>10.850000000000001</v>
      </c>
      <c r="Y1378" s="190">
        <f t="shared" si="682"/>
        <v>241.65</v>
      </c>
      <c r="Z1378" s="191">
        <v>241.54</v>
      </c>
      <c r="AA1378" s="192">
        <f t="shared" si="837"/>
        <v>-0.11000000000001364</v>
      </c>
      <c r="AB1378" s="193">
        <f t="shared" si="684"/>
        <v>2.4908750123310643E-2</v>
      </c>
      <c r="AC1378" s="194">
        <f t="shared" si="685"/>
        <v>5.2899999999999996E-4</v>
      </c>
      <c r="AD1378" s="189"/>
      <c r="AE1378" s="195" t="s">
        <v>403</v>
      </c>
      <c r="AF1378" s="119"/>
    </row>
    <row r="1379" spans="1:32" ht="12" hidden="1" customHeight="1">
      <c r="A1379" s="183">
        <v>44831</v>
      </c>
      <c r="B1379" s="184" t="s">
        <v>575</v>
      </c>
      <c r="C1379" s="184"/>
      <c r="D1379" s="184"/>
      <c r="E1379" s="184"/>
      <c r="F1379" s="184"/>
      <c r="G1379" s="184"/>
      <c r="H1379" s="184" t="s">
        <v>654</v>
      </c>
      <c r="I1379" s="184" t="s">
        <v>469</v>
      </c>
      <c r="J1379" s="184" t="s">
        <v>448</v>
      </c>
      <c r="K1379" s="185">
        <v>10</v>
      </c>
      <c r="L1379" s="186">
        <v>991.05</v>
      </c>
      <c r="M1379" s="187">
        <v>1000.01</v>
      </c>
      <c r="N1379" s="188">
        <f t="shared" si="796"/>
        <v>2.97</v>
      </c>
      <c r="O1379" s="188">
        <f t="shared" si="797"/>
        <v>3</v>
      </c>
      <c r="P1379" s="189">
        <f t="shared" si="674"/>
        <v>19910.599999999999</v>
      </c>
      <c r="Q1379" s="189">
        <f t="shared" si="675"/>
        <v>89.600000000000364</v>
      </c>
      <c r="R1379" s="189">
        <f t="shared" si="871"/>
        <v>5.97</v>
      </c>
      <c r="S1379" s="189">
        <f t="shared" si="697"/>
        <v>1.17</v>
      </c>
      <c r="T1379" s="189">
        <f t="shared" si="868"/>
        <v>2.5</v>
      </c>
      <c r="U1379" s="189">
        <f t="shared" si="851"/>
        <v>0.3</v>
      </c>
      <c r="V1379" s="189">
        <f t="shared" si="869"/>
        <v>0.55000000000000004</v>
      </c>
      <c r="W1379" s="189">
        <f t="shared" si="758"/>
        <v>0.02</v>
      </c>
      <c r="X1379" s="189">
        <f t="shared" si="681"/>
        <v>10.510000000000002</v>
      </c>
      <c r="Y1379" s="190">
        <f t="shared" si="682"/>
        <v>79.09</v>
      </c>
      <c r="Z1379" s="191">
        <v>79.319999999999993</v>
      </c>
      <c r="AA1379" s="192">
        <f t="shared" si="837"/>
        <v>0.22999999999998977</v>
      </c>
      <c r="AB1379" s="193">
        <f t="shared" si="684"/>
        <v>9.040916199989946E-3</v>
      </c>
      <c r="AC1379" s="194">
        <f t="shared" si="685"/>
        <v>5.2800000000000004E-4</v>
      </c>
      <c r="AD1379" s="189"/>
      <c r="AE1379" s="195" t="s">
        <v>403</v>
      </c>
      <c r="AF1379" s="119"/>
    </row>
    <row r="1380" spans="1:32" ht="12" hidden="1" customHeight="1">
      <c r="A1380" s="183">
        <v>44832</v>
      </c>
      <c r="B1380" s="184" t="s">
        <v>575</v>
      </c>
      <c r="C1380" s="184"/>
      <c r="D1380" s="184"/>
      <c r="E1380" s="184"/>
      <c r="F1380" s="184"/>
      <c r="G1380" s="184"/>
      <c r="H1380" s="184" t="s">
        <v>654</v>
      </c>
      <c r="I1380" s="184" t="s">
        <v>469</v>
      </c>
      <c r="J1380" s="184" t="s">
        <v>448</v>
      </c>
      <c r="K1380" s="185">
        <v>20</v>
      </c>
      <c r="L1380" s="186">
        <v>1005</v>
      </c>
      <c r="M1380" s="187">
        <v>1010</v>
      </c>
      <c r="N1380" s="188">
        <f t="shared" si="796"/>
        <v>6.03</v>
      </c>
      <c r="O1380" s="188">
        <f t="shared" si="797"/>
        <v>6.06</v>
      </c>
      <c r="P1380" s="189">
        <f t="shared" si="674"/>
        <v>40300</v>
      </c>
      <c r="Q1380" s="189">
        <f t="shared" si="675"/>
        <v>100</v>
      </c>
      <c r="R1380" s="189">
        <v>15.14</v>
      </c>
      <c r="S1380" s="189">
        <f t="shared" si="697"/>
        <v>2.93</v>
      </c>
      <c r="T1380" s="189">
        <f t="shared" si="868"/>
        <v>5.05</v>
      </c>
      <c r="U1380" s="189">
        <f t="shared" si="851"/>
        <v>0.6</v>
      </c>
      <c r="V1380" s="189">
        <f t="shared" si="869"/>
        <v>1.1100000000000001</v>
      </c>
      <c r="W1380" s="189">
        <f t="shared" si="758"/>
        <v>0.04</v>
      </c>
      <c r="X1380" s="189">
        <f t="shared" si="681"/>
        <v>24.87</v>
      </c>
      <c r="Y1380" s="190">
        <f t="shared" si="682"/>
        <v>75.13</v>
      </c>
      <c r="Z1380" s="191">
        <v>74.44</v>
      </c>
      <c r="AA1380" s="192">
        <f t="shared" si="837"/>
        <v>-0.68999999999999773</v>
      </c>
      <c r="AB1380" s="193">
        <f t="shared" si="684"/>
        <v>4.9751243781094526E-3</v>
      </c>
      <c r="AC1380" s="194">
        <f t="shared" si="685"/>
        <v>6.1700000000000004E-4</v>
      </c>
      <c r="AD1380" s="189"/>
      <c r="AE1380" s="195" t="s">
        <v>403</v>
      </c>
      <c r="AF1380" s="119"/>
    </row>
    <row r="1381" spans="1:32" ht="12" hidden="1" customHeight="1">
      <c r="A1381" s="183">
        <v>44833</v>
      </c>
      <c r="B1381" s="184" t="s">
        <v>575</v>
      </c>
      <c r="C1381" s="184"/>
      <c r="D1381" s="184"/>
      <c r="E1381" s="184"/>
      <c r="F1381" s="184"/>
      <c r="G1381" s="184"/>
      <c r="H1381" s="184" t="s">
        <v>654</v>
      </c>
      <c r="I1381" s="184" t="s">
        <v>469</v>
      </c>
      <c r="J1381" s="184" t="s">
        <v>448</v>
      </c>
      <c r="K1381" s="185">
        <v>20</v>
      </c>
      <c r="L1381" s="186">
        <v>999.95</v>
      </c>
      <c r="M1381" s="187">
        <v>1006</v>
      </c>
      <c r="N1381" s="188">
        <f t="shared" si="796"/>
        <v>6</v>
      </c>
      <c r="O1381" s="188">
        <f t="shared" si="797"/>
        <v>6.04</v>
      </c>
      <c r="P1381" s="189">
        <f t="shared" si="674"/>
        <v>40119</v>
      </c>
      <c r="Q1381" s="189">
        <f t="shared" si="675"/>
        <v>120.99999999999909</v>
      </c>
      <c r="R1381" s="189">
        <f t="shared" ref="R1381:R1383" si="872">ROUND(N1381+O1381,2)</f>
        <v>12.04</v>
      </c>
      <c r="S1381" s="189">
        <f t="shared" si="697"/>
        <v>2.37</v>
      </c>
      <c r="T1381" s="189">
        <f t="shared" si="868"/>
        <v>5.03</v>
      </c>
      <c r="U1381" s="189">
        <f t="shared" si="851"/>
        <v>0.6</v>
      </c>
      <c r="V1381" s="189">
        <f t="shared" si="869"/>
        <v>1.1000000000000001</v>
      </c>
      <c r="W1381" s="189">
        <f t="shared" si="758"/>
        <v>0.04</v>
      </c>
      <c r="X1381" s="189">
        <f t="shared" si="681"/>
        <v>21.180000000000003</v>
      </c>
      <c r="Y1381" s="190">
        <f t="shared" si="682"/>
        <v>99.82</v>
      </c>
      <c r="Z1381" s="191">
        <v>99.45</v>
      </c>
      <c r="AA1381" s="192">
        <f t="shared" si="837"/>
        <v>-0.36999999999999034</v>
      </c>
      <c r="AB1381" s="193">
        <f t="shared" si="684"/>
        <v>6.0503025151257108E-3</v>
      </c>
      <c r="AC1381" s="194">
        <f t="shared" si="685"/>
        <v>5.2800000000000004E-4</v>
      </c>
      <c r="AD1381" s="189"/>
      <c r="AE1381" s="195" t="s">
        <v>403</v>
      </c>
      <c r="AF1381" s="119"/>
    </row>
    <row r="1382" spans="1:32" ht="12" hidden="1" customHeight="1">
      <c r="A1382" s="183">
        <v>44834</v>
      </c>
      <c r="B1382" s="184" t="s">
        <v>575</v>
      </c>
      <c r="C1382" s="184"/>
      <c r="D1382" s="184"/>
      <c r="E1382" s="184"/>
      <c r="F1382" s="184"/>
      <c r="G1382" s="184"/>
      <c r="H1382" s="184" t="s">
        <v>654</v>
      </c>
      <c r="I1382" s="184" t="s">
        <v>469</v>
      </c>
      <c r="J1382" s="184" t="s">
        <v>448</v>
      </c>
      <c r="K1382" s="185">
        <v>40</v>
      </c>
      <c r="L1382" s="186">
        <v>998.75</v>
      </c>
      <c r="M1382" s="187">
        <v>1007.5</v>
      </c>
      <c r="N1382" s="188">
        <f t="shared" si="796"/>
        <v>11.99</v>
      </c>
      <c r="O1382" s="188">
        <f t="shared" si="797"/>
        <v>12.09</v>
      </c>
      <c r="P1382" s="189">
        <f t="shared" si="674"/>
        <v>80250</v>
      </c>
      <c r="Q1382" s="189">
        <f t="shared" si="675"/>
        <v>350</v>
      </c>
      <c r="R1382" s="189">
        <f t="shared" si="872"/>
        <v>24.08</v>
      </c>
      <c r="S1382" s="189">
        <f t="shared" si="697"/>
        <v>4.7300000000000004</v>
      </c>
      <c r="T1382" s="189">
        <f t="shared" si="868"/>
        <v>10.08</v>
      </c>
      <c r="U1382" s="189">
        <f t="shared" si="851"/>
        <v>1.2</v>
      </c>
      <c r="V1382" s="189">
        <f t="shared" si="869"/>
        <v>2.21</v>
      </c>
      <c r="W1382" s="189">
        <f t="shared" si="758"/>
        <v>0.08</v>
      </c>
      <c r="X1382" s="189">
        <f t="shared" si="681"/>
        <v>42.38</v>
      </c>
      <c r="Y1382" s="190">
        <f t="shared" si="682"/>
        <v>307.62</v>
      </c>
      <c r="Z1382" s="191">
        <v>307.89</v>
      </c>
      <c r="AA1382" s="192">
        <f t="shared" si="837"/>
        <v>0.26999999999998181</v>
      </c>
      <c r="AB1382" s="193">
        <f t="shared" si="684"/>
        <v>8.7609511889862324E-3</v>
      </c>
      <c r="AC1382" s="194">
        <f t="shared" si="685"/>
        <v>5.2800000000000004E-4</v>
      </c>
      <c r="AD1382" s="189"/>
      <c r="AE1382" s="195" t="s">
        <v>403</v>
      </c>
      <c r="AF1382" s="119"/>
    </row>
    <row r="1383" spans="1:32" ht="12" hidden="1" customHeight="1">
      <c r="A1383" s="183">
        <v>44837</v>
      </c>
      <c r="B1383" s="184" t="s">
        <v>575</v>
      </c>
      <c r="C1383" s="184"/>
      <c r="D1383" s="184"/>
      <c r="E1383" s="184"/>
      <c r="F1383" s="184"/>
      <c r="G1383" s="184"/>
      <c r="H1383" s="184" t="s">
        <v>654</v>
      </c>
      <c r="I1383" s="184" t="s">
        <v>469</v>
      </c>
      <c r="J1383" s="184" t="s">
        <v>448</v>
      </c>
      <c r="K1383" s="185">
        <v>60</v>
      </c>
      <c r="L1383" s="186">
        <v>1006.2533</v>
      </c>
      <c r="M1383" s="187">
        <v>1015.1833</v>
      </c>
      <c r="N1383" s="188">
        <f t="shared" si="796"/>
        <v>18.11</v>
      </c>
      <c r="O1383" s="188">
        <f t="shared" si="797"/>
        <v>18.27</v>
      </c>
      <c r="P1383" s="189">
        <f t="shared" si="674"/>
        <v>121286.2</v>
      </c>
      <c r="Q1383" s="189">
        <f t="shared" si="675"/>
        <v>535.80000000000382</v>
      </c>
      <c r="R1383" s="189">
        <f t="shared" si="872"/>
        <v>36.380000000000003</v>
      </c>
      <c r="S1383" s="189">
        <f t="shared" si="697"/>
        <v>7.15</v>
      </c>
      <c r="T1383" s="189">
        <f t="shared" si="868"/>
        <v>15.23</v>
      </c>
      <c r="U1383" s="189">
        <f t="shared" si="851"/>
        <v>1.81</v>
      </c>
      <c r="V1383" s="189">
        <f t="shared" si="869"/>
        <v>3.34</v>
      </c>
      <c r="W1383" s="189">
        <f t="shared" si="758"/>
        <v>0.12</v>
      </c>
      <c r="X1383" s="189">
        <f t="shared" si="681"/>
        <v>64.030000000000015</v>
      </c>
      <c r="Y1383" s="190">
        <f t="shared" si="682"/>
        <v>471.77</v>
      </c>
      <c r="Z1383" s="191">
        <v>471.7</v>
      </c>
      <c r="AA1383" s="192">
        <f t="shared" si="837"/>
        <v>-6.9999999999993179E-2</v>
      </c>
      <c r="AB1383" s="193">
        <f t="shared" si="684"/>
        <v>8.8745050575238498E-3</v>
      </c>
      <c r="AC1383" s="194">
        <f t="shared" si="685"/>
        <v>5.2800000000000004E-4</v>
      </c>
      <c r="AD1383" s="189"/>
      <c r="AE1383" s="195" t="s">
        <v>403</v>
      </c>
      <c r="AF1383" s="119"/>
    </row>
    <row r="1384" spans="1:32" ht="12" hidden="1" customHeight="1">
      <c r="A1384" s="183">
        <v>44838</v>
      </c>
      <c r="B1384" s="184" t="s">
        <v>575</v>
      </c>
      <c r="C1384" s="184"/>
      <c r="D1384" s="184"/>
      <c r="E1384" s="184"/>
      <c r="F1384" s="184"/>
      <c r="G1384" s="184"/>
      <c r="H1384" s="184" t="s">
        <v>654</v>
      </c>
      <c r="I1384" s="184" t="s">
        <v>469</v>
      </c>
      <c r="J1384" s="184" t="s">
        <v>448</v>
      </c>
      <c r="K1384" s="185">
        <v>60</v>
      </c>
      <c r="L1384" s="186">
        <v>1016</v>
      </c>
      <c r="M1384" s="187">
        <v>1020.6</v>
      </c>
      <c r="N1384" s="188">
        <f t="shared" si="796"/>
        <v>18.29</v>
      </c>
      <c r="O1384" s="188">
        <f t="shared" si="797"/>
        <v>18.37</v>
      </c>
      <c r="P1384" s="189">
        <f t="shared" si="674"/>
        <v>122196</v>
      </c>
      <c r="Q1384" s="189">
        <f t="shared" si="675"/>
        <v>276.00000000000136</v>
      </c>
      <c r="R1384" s="189">
        <v>39.72</v>
      </c>
      <c r="S1384" s="189">
        <f t="shared" si="697"/>
        <v>7.75</v>
      </c>
      <c r="T1384" s="189">
        <f t="shared" si="868"/>
        <v>15.31</v>
      </c>
      <c r="U1384" s="189">
        <f t="shared" si="851"/>
        <v>1.83</v>
      </c>
      <c r="V1384" s="189">
        <f t="shared" si="869"/>
        <v>3.36</v>
      </c>
      <c r="W1384" s="189">
        <f t="shared" si="758"/>
        <v>0.12</v>
      </c>
      <c r="X1384" s="189">
        <f t="shared" si="681"/>
        <v>68.09</v>
      </c>
      <c r="Y1384" s="190">
        <f t="shared" si="682"/>
        <v>207.91</v>
      </c>
      <c r="Z1384" s="191">
        <v>208.18</v>
      </c>
      <c r="AA1384" s="192">
        <f t="shared" si="837"/>
        <v>0.27000000000001023</v>
      </c>
      <c r="AB1384" s="193">
        <f t="shared" si="684"/>
        <v>4.5275590551181327E-3</v>
      </c>
      <c r="AC1384" s="194">
        <f t="shared" si="685"/>
        <v>5.5699999999999999E-4</v>
      </c>
      <c r="AD1384" s="189"/>
      <c r="AE1384" s="195" t="s">
        <v>403</v>
      </c>
      <c r="AF1384" s="119"/>
    </row>
    <row r="1385" spans="1:32" ht="12" hidden="1" customHeight="1">
      <c r="A1385" s="183">
        <v>44851</v>
      </c>
      <c r="B1385" s="184" t="s">
        <v>575</v>
      </c>
      <c r="C1385" s="184"/>
      <c r="D1385" s="184"/>
      <c r="E1385" s="184"/>
      <c r="F1385" s="184"/>
      <c r="G1385" s="184"/>
      <c r="H1385" s="184" t="s">
        <v>654</v>
      </c>
      <c r="I1385" s="184" t="s">
        <v>469</v>
      </c>
      <c r="J1385" s="184" t="s">
        <v>448</v>
      </c>
      <c r="K1385" s="185">
        <v>25</v>
      </c>
      <c r="L1385" s="186">
        <v>1075</v>
      </c>
      <c r="M1385" s="187">
        <v>1083</v>
      </c>
      <c r="N1385" s="188">
        <f t="shared" si="796"/>
        <v>8.06</v>
      </c>
      <c r="O1385" s="188">
        <f t="shared" si="797"/>
        <v>8.1199999999999992</v>
      </c>
      <c r="P1385" s="189">
        <f t="shared" si="674"/>
        <v>53950</v>
      </c>
      <c r="Q1385" s="189">
        <f t="shared" si="675"/>
        <v>200</v>
      </c>
      <c r="R1385" s="189">
        <v>20.73</v>
      </c>
      <c r="S1385" s="189">
        <f t="shared" si="697"/>
        <v>4</v>
      </c>
      <c r="T1385" s="189">
        <f t="shared" si="868"/>
        <v>6.77</v>
      </c>
      <c r="U1385" s="189">
        <f t="shared" si="851"/>
        <v>0.81</v>
      </c>
      <c r="V1385" s="189">
        <f t="shared" si="869"/>
        <v>1.48</v>
      </c>
      <c r="W1385" s="189">
        <f t="shared" si="758"/>
        <v>0.05</v>
      </c>
      <c r="X1385" s="189">
        <f t="shared" si="681"/>
        <v>33.839999999999996</v>
      </c>
      <c r="Y1385" s="190">
        <f t="shared" si="682"/>
        <v>166.16</v>
      </c>
      <c r="Z1385" s="191">
        <v>165.41</v>
      </c>
      <c r="AA1385" s="192">
        <f t="shared" si="837"/>
        <v>-0.75</v>
      </c>
      <c r="AB1385" s="193">
        <f t="shared" si="684"/>
        <v>7.4418604651162795E-3</v>
      </c>
      <c r="AC1385" s="194">
        <f t="shared" si="685"/>
        <v>6.2699999999999995E-4</v>
      </c>
      <c r="AD1385" s="189"/>
      <c r="AE1385" s="195" t="s">
        <v>403</v>
      </c>
      <c r="AF1385" s="119"/>
    </row>
    <row r="1386" spans="1:32" ht="12" hidden="1" customHeight="1">
      <c r="A1386" s="183">
        <v>44852</v>
      </c>
      <c r="B1386" s="184" t="s">
        <v>575</v>
      </c>
      <c r="C1386" s="184"/>
      <c r="D1386" s="184"/>
      <c r="E1386" s="184"/>
      <c r="F1386" s="184"/>
      <c r="G1386" s="184"/>
      <c r="H1386" s="184" t="s">
        <v>654</v>
      </c>
      <c r="I1386" s="184" t="s">
        <v>469</v>
      </c>
      <c r="J1386" s="184" t="s">
        <v>448</v>
      </c>
      <c r="K1386" s="185">
        <v>20</v>
      </c>
      <c r="L1386" s="186">
        <v>1083</v>
      </c>
      <c r="M1386" s="187">
        <v>1091</v>
      </c>
      <c r="N1386" s="188">
        <f t="shared" si="796"/>
        <v>6.5</v>
      </c>
      <c r="O1386" s="188">
        <f t="shared" si="797"/>
        <v>6.55</v>
      </c>
      <c r="P1386" s="189">
        <f t="shared" si="674"/>
        <v>43480</v>
      </c>
      <c r="Q1386" s="189">
        <f t="shared" si="675"/>
        <v>160</v>
      </c>
      <c r="R1386" s="189">
        <f>ROUND(N1386+O1386,2)</f>
        <v>13.05</v>
      </c>
      <c r="S1386" s="189">
        <f t="shared" si="697"/>
        <v>2.57</v>
      </c>
      <c r="T1386" s="189">
        <f t="shared" si="868"/>
        <v>5.46</v>
      </c>
      <c r="U1386" s="189">
        <f t="shared" si="851"/>
        <v>0.65</v>
      </c>
      <c r="V1386" s="189">
        <f t="shared" si="869"/>
        <v>1.2</v>
      </c>
      <c r="W1386" s="189">
        <f t="shared" si="758"/>
        <v>0.04</v>
      </c>
      <c r="X1386" s="189">
        <f t="shared" si="681"/>
        <v>22.97</v>
      </c>
      <c r="Y1386" s="190">
        <f t="shared" si="682"/>
        <v>137.03</v>
      </c>
      <c r="Z1386" s="191">
        <v>137.04</v>
      </c>
      <c r="AA1386" s="192">
        <f t="shared" si="837"/>
        <v>9.9999999999909051E-3</v>
      </c>
      <c r="AB1386" s="193">
        <f t="shared" si="684"/>
        <v>7.3868882733148658E-3</v>
      </c>
      <c r="AC1386" s="194">
        <f t="shared" si="685"/>
        <v>5.2800000000000004E-4</v>
      </c>
      <c r="AD1386" s="189"/>
      <c r="AE1386" s="195" t="s">
        <v>403</v>
      </c>
      <c r="AF1386" s="119"/>
    </row>
    <row r="1387" spans="1:32" ht="12" hidden="1" customHeight="1">
      <c r="A1387" s="183">
        <v>44853</v>
      </c>
      <c r="B1387" s="184" t="s">
        <v>575</v>
      </c>
      <c r="C1387" s="184"/>
      <c r="D1387" s="184"/>
      <c r="E1387" s="184"/>
      <c r="F1387" s="184"/>
      <c r="G1387" s="184"/>
      <c r="H1387" s="184" t="s">
        <v>654</v>
      </c>
      <c r="I1387" s="184" t="s">
        <v>469</v>
      </c>
      <c r="J1387" s="184" t="s">
        <v>448</v>
      </c>
      <c r="K1387" s="185">
        <v>40</v>
      </c>
      <c r="L1387" s="186">
        <v>1079.075</v>
      </c>
      <c r="M1387" s="187">
        <v>1090</v>
      </c>
      <c r="N1387" s="188">
        <f t="shared" si="796"/>
        <v>12.95</v>
      </c>
      <c r="O1387" s="188">
        <f t="shared" si="797"/>
        <v>13.08</v>
      </c>
      <c r="P1387" s="189">
        <f t="shared" si="674"/>
        <v>86763</v>
      </c>
      <c r="Q1387" s="189">
        <f t="shared" si="675"/>
        <v>436.99999999999818</v>
      </c>
      <c r="R1387" s="189">
        <v>35.81</v>
      </c>
      <c r="S1387" s="189">
        <f t="shared" si="697"/>
        <v>6.88</v>
      </c>
      <c r="T1387" s="189">
        <f t="shared" si="868"/>
        <v>10.9</v>
      </c>
      <c r="U1387" s="189">
        <f t="shared" si="851"/>
        <v>1.29</v>
      </c>
      <c r="V1387" s="189">
        <f t="shared" si="869"/>
        <v>2.39</v>
      </c>
      <c r="W1387" s="189">
        <f t="shared" si="758"/>
        <v>0.09</v>
      </c>
      <c r="X1387" s="189">
        <f t="shared" si="681"/>
        <v>57.360000000000007</v>
      </c>
      <c r="Y1387" s="190">
        <f t="shared" si="682"/>
        <v>379.64</v>
      </c>
      <c r="Z1387" s="191">
        <v>380.25</v>
      </c>
      <c r="AA1387" s="192">
        <f t="shared" si="837"/>
        <v>0.61000000000001364</v>
      </c>
      <c r="AB1387" s="193">
        <f t="shared" si="684"/>
        <v>1.0124412112225707E-2</v>
      </c>
      <c r="AC1387" s="194">
        <f t="shared" si="685"/>
        <v>6.6100000000000002E-4</v>
      </c>
      <c r="AD1387" s="189"/>
      <c r="AE1387" s="195" t="s">
        <v>403</v>
      </c>
      <c r="AF1387" s="119"/>
    </row>
    <row r="1388" spans="1:32" ht="12" hidden="1" customHeight="1">
      <c r="A1388" s="183">
        <v>44859</v>
      </c>
      <c r="B1388" s="184" t="s">
        <v>575</v>
      </c>
      <c r="C1388" s="184"/>
      <c r="D1388" s="184"/>
      <c r="E1388" s="184"/>
      <c r="F1388" s="184"/>
      <c r="G1388" s="184"/>
      <c r="H1388" s="184" t="s">
        <v>654</v>
      </c>
      <c r="I1388" s="184" t="s">
        <v>469</v>
      </c>
      <c r="J1388" s="184" t="s">
        <v>448</v>
      </c>
      <c r="K1388" s="185">
        <v>50</v>
      </c>
      <c r="L1388" s="186">
        <v>1059.8</v>
      </c>
      <c r="M1388" s="187">
        <v>1073.2</v>
      </c>
      <c r="N1388" s="188">
        <f t="shared" si="796"/>
        <v>15.9</v>
      </c>
      <c r="O1388" s="188">
        <f t="shared" si="797"/>
        <v>16.100000000000001</v>
      </c>
      <c r="P1388" s="189">
        <f t="shared" si="674"/>
        <v>106650</v>
      </c>
      <c r="Q1388" s="189">
        <f t="shared" si="675"/>
        <v>670.00000000000455</v>
      </c>
      <c r="R1388" s="189">
        <v>32</v>
      </c>
      <c r="S1388" s="189">
        <f t="shared" si="697"/>
        <v>6.29</v>
      </c>
      <c r="T1388" s="189">
        <f t="shared" si="868"/>
        <v>13.42</v>
      </c>
      <c r="U1388" s="189">
        <f t="shared" si="851"/>
        <v>1.59</v>
      </c>
      <c r="V1388" s="189">
        <f t="shared" si="869"/>
        <v>2.93</v>
      </c>
      <c r="W1388" s="189">
        <f t="shared" si="758"/>
        <v>0.11</v>
      </c>
      <c r="X1388" s="189">
        <f t="shared" si="681"/>
        <v>56.34</v>
      </c>
      <c r="Y1388" s="190">
        <f t="shared" si="682"/>
        <v>613.66</v>
      </c>
      <c r="Z1388" s="191">
        <v>613.66</v>
      </c>
      <c r="AA1388" s="192">
        <f t="shared" si="837"/>
        <v>0</v>
      </c>
      <c r="AB1388" s="193">
        <f t="shared" si="684"/>
        <v>1.2643895074542453E-2</v>
      </c>
      <c r="AC1388" s="194">
        <f t="shared" si="685"/>
        <v>5.2800000000000004E-4</v>
      </c>
      <c r="AD1388" s="189"/>
      <c r="AE1388" s="195" t="s">
        <v>403</v>
      </c>
      <c r="AF1388" s="119"/>
    </row>
    <row r="1389" spans="1:32" ht="12" hidden="1" customHeight="1">
      <c r="A1389" s="183">
        <v>44861</v>
      </c>
      <c r="B1389" s="184" t="s">
        <v>575</v>
      </c>
      <c r="C1389" s="184"/>
      <c r="D1389" s="184"/>
      <c r="E1389" s="184"/>
      <c r="F1389" s="184"/>
      <c r="G1389" s="184"/>
      <c r="H1389" s="184" t="s">
        <v>654</v>
      </c>
      <c r="I1389" s="184" t="s">
        <v>469</v>
      </c>
      <c r="J1389" s="184" t="s">
        <v>448</v>
      </c>
      <c r="K1389" s="185">
        <v>50</v>
      </c>
      <c r="L1389" s="186">
        <v>1059.5999999999999</v>
      </c>
      <c r="M1389" s="187">
        <v>1068.3800000000001</v>
      </c>
      <c r="N1389" s="188">
        <f t="shared" si="796"/>
        <v>15.89</v>
      </c>
      <c r="O1389" s="188">
        <f t="shared" si="797"/>
        <v>16.03</v>
      </c>
      <c r="P1389" s="189">
        <f t="shared" si="674"/>
        <v>106399</v>
      </c>
      <c r="Q1389" s="189">
        <f t="shared" si="675"/>
        <v>439.00000000001</v>
      </c>
      <c r="R1389" s="189">
        <v>32</v>
      </c>
      <c r="S1389" s="189">
        <f t="shared" si="697"/>
        <v>6.29</v>
      </c>
      <c r="T1389" s="189">
        <f t="shared" si="868"/>
        <v>13.35</v>
      </c>
      <c r="U1389" s="189">
        <f t="shared" si="851"/>
        <v>1.59</v>
      </c>
      <c r="V1389" s="189">
        <f t="shared" si="869"/>
        <v>2.93</v>
      </c>
      <c r="W1389" s="189">
        <f t="shared" si="758"/>
        <v>0.11</v>
      </c>
      <c r="X1389" s="189">
        <f t="shared" si="681"/>
        <v>56.27</v>
      </c>
      <c r="Y1389" s="190">
        <f t="shared" si="682"/>
        <v>382.73</v>
      </c>
      <c r="Z1389" s="191">
        <v>382.76</v>
      </c>
      <c r="AA1389" s="192">
        <f t="shared" si="837"/>
        <v>2.9999999999972715E-2</v>
      </c>
      <c r="AB1389" s="193">
        <f t="shared" si="684"/>
        <v>8.2861457153644777E-3</v>
      </c>
      <c r="AC1389" s="194">
        <f t="shared" si="685"/>
        <v>5.2899999999999996E-4</v>
      </c>
      <c r="AD1389" s="189"/>
      <c r="AE1389" s="195" t="s">
        <v>403</v>
      </c>
      <c r="AF1389" s="119"/>
    </row>
    <row r="1390" spans="1:32" ht="12" hidden="1" customHeight="1">
      <c r="A1390" s="183">
        <v>44862</v>
      </c>
      <c r="B1390" s="184" t="s">
        <v>575</v>
      </c>
      <c r="C1390" s="184"/>
      <c r="D1390" s="184"/>
      <c r="E1390" s="184"/>
      <c r="F1390" s="184"/>
      <c r="G1390" s="184"/>
      <c r="H1390" s="184" t="s">
        <v>654</v>
      </c>
      <c r="I1390" s="184" t="s">
        <v>469</v>
      </c>
      <c r="J1390" s="184" t="s">
        <v>448</v>
      </c>
      <c r="K1390" s="185">
        <v>20</v>
      </c>
      <c r="L1390" s="186">
        <v>1070</v>
      </c>
      <c r="M1390" s="187">
        <v>1075.0999999999999</v>
      </c>
      <c r="N1390" s="188">
        <f t="shared" si="796"/>
        <v>6.42</v>
      </c>
      <c r="O1390" s="188">
        <f t="shared" si="797"/>
        <v>6.45</v>
      </c>
      <c r="P1390" s="189">
        <f t="shared" si="674"/>
        <v>42902</v>
      </c>
      <c r="Q1390" s="189">
        <f t="shared" si="675"/>
        <v>101.99999999999818</v>
      </c>
      <c r="R1390" s="189">
        <v>12.87</v>
      </c>
      <c r="S1390" s="189">
        <f t="shared" si="697"/>
        <v>2.5299999999999998</v>
      </c>
      <c r="T1390" s="189">
        <f t="shared" si="868"/>
        <v>5.38</v>
      </c>
      <c r="U1390" s="189">
        <f t="shared" si="851"/>
        <v>0.64</v>
      </c>
      <c r="V1390" s="189">
        <f t="shared" si="869"/>
        <v>1.18</v>
      </c>
      <c r="W1390" s="189">
        <f t="shared" si="758"/>
        <v>0.04</v>
      </c>
      <c r="X1390" s="189">
        <f t="shared" si="681"/>
        <v>22.639999999999997</v>
      </c>
      <c r="Y1390" s="190">
        <f t="shared" si="682"/>
        <v>79.36</v>
      </c>
      <c r="Z1390" s="191">
        <v>79.37</v>
      </c>
      <c r="AA1390" s="192">
        <f t="shared" si="837"/>
        <v>1.0000000000005116E-2</v>
      </c>
      <c r="AB1390" s="193">
        <f t="shared" si="684"/>
        <v>4.7663551401868308E-3</v>
      </c>
      <c r="AC1390" s="194">
        <f t="shared" si="685"/>
        <v>5.2800000000000004E-4</v>
      </c>
      <c r="AD1390" s="189"/>
      <c r="AE1390" s="195" t="s">
        <v>403</v>
      </c>
      <c r="AF1390" s="119"/>
    </row>
    <row r="1391" spans="1:32" ht="12" hidden="1" customHeight="1">
      <c r="A1391" s="183">
        <v>44866</v>
      </c>
      <c r="B1391" s="184" t="s">
        <v>575</v>
      </c>
      <c r="C1391" s="184"/>
      <c r="D1391" s="184"/>
      <c r="E1391" s="184"/>
      <c r="F1391" s="184"/>
      <c r="G1391" s="184"/>
      <c r="H1391" s="184" t="s">
        <v>654</v>
      </c>
      <c r="I1391" s="184" t="s">
        <v>469</v>
      </c>
      <c r="J1391" s="184" t="s">
        <v>448</v>
      </c>
      <c r="K1391" s="185">
        <v>20</v>
      </c>
      <c r="L1391" s="186">
        <v>1034.0999999999999</v>
      </c>
      <c r="M1391" s="187">
        <v>1043</v>
      </c>
      <c r="N1391" s="188">
        <f t="shared" si="796"/>
        <v>6.2</v>
      </c>
      <c r="O1391" s="188">
        <f t="shared" si="797"/>
        <v>6.26</v>
      </c>
      <c r="P1391" s="189">
        <f t="shared" si="674"/>
        <v>41542</v>
      </c>
      <c r="Q1391" s="189">
        <f t="shared" si="675"/>
        <v>178.00000000000182</v>
      </c>
      <c r="R1391" s="189">
        <f t="shared" ref="R1391:R1409" si="873">ROUND(N1391+O1391,2)</f>
        <v>12.46</v>
      </c>
      <c r="S1391" s="189">
        <f t="shared" si="697"/>
        <v>2.4500000000000002</v>
      </c>
      <c r="T1391" s="189">
        <f t="shared" si="868"/>
        <v>5.22</v>
      </c>
      <c r="U1391" s="189">
        <f t="shared" si="851"/>
        <v>0.62</v>
      </c>
      <c r="V1391" s="189">
        <f t="shared" si="869"/>
        <v>1.1399999999999999</v>
      </c>
      <c r="W1391" s="189">
        <f t="shared" si="758"/>
        <v>0.04</v>
      </c>
      <c r="X1391" s="189">
        <f t="shared" si="681"/>
        <v>21.93</v>
      </c>
      <c r="Y1391" s="190">
        <f t="shared" si="682"/>
        <v>156.07</v>
      </c>
      <c r="Z1391" s="191">
        <v>156.12</v>
      </c>
      <c r="AA1391" s="192">
        <f t="shared" si="837"/>
        <v>5.0000000000011369E-2</v>
      </c>
      <c r="AB1391" s="193">
        <f t="shared" si="684"/>
        <v>8.6065177448990341E-3</v>
      </c>
      <c r="AC1391" s="194">
        <f t="shared" si="685"/>
        <v>5.2800000000000004E-4</v>
      </c>
      <c r="AD1391" s="189"/>
      <c r="AE1391" s="195" t="s">
        <v>403</v>
      </c>
      <c r="AF1391" s="119"/>
    </row>
    <row r="1392" spans="1:32" ht="12" hidden="1" customHeight="1">
      <c r="A1392" s="183">
        <v>44872</v>
      </c>
      <c r="B1392" s="184" t="s">
        <v>575</v>
      </c>
      <c r="C1392" s="184"/>
      <c r="D1392" s="184"/>
      <c r="E1392" s="184"/>
      <c r="F1392" s="184"/>
      <c r="G1392" s="184"/>
      <c r="H1392" s="184" t="s">
        <v>654</v>
      </c>
      <c r="I1392" s="184" t="s">
        <v>469</v>
      </c>
      <c r="J1392" s="184" t="s">
        <v>448</v>
      </c>
      <c r="K1392" s="185">
        <v>20</v>
      </c>
      <c r="L1392" s="186">
        <v>1040.5</v>
      </c>
      <c r="M1392" s="187">
        <v>1047</v>
      </c>
      <c r="N1392" s="188">
        <f t="shared" si="796"/>
        <v>6.24</v>
      </c>
      <c r="O1392" s="188">
        <f t="shared" si="797"/>
        <v>6.28</v>
      </c>
      <c r="P1392" s="189">
        <f t="shared" si="674"/>
        <v>41750</v>
      </c>
      <c r="Q1392" s="189">
        <f t="shared" si="675"/>
        <v>130</v>
      </c>
      <c r="R1392" s="189">
        <f t="shared" si="873"/>
        <v>12.52</v>
      </c>
      <c r="S1392" s="189">
        <f t="shared" si="697"/>
        <v>2.46</v>
      </c>
      <c r="T1392" s="189">
        <f t="shared" si="868"/>
        <v>5.24</v>
      </c>
      <c r="U1392" s="189">
        <f t="shared" si="851"/>
        <v>0.62</v>
      </c>
      <c r="V1392" s="189">
        <f t="shared" si="869"/>
        <v>1.1499999999999999</v>
      </c>
      <c r="W1392" s="189">
        <f t="shared" si="758"/>
        <v>0.04</v>
      </c>
      <c r="X1392" s="189">
        <f t="shared" si="681"/>
        <v>22.029999999999998</v>
      </c>
      <c r="Y1392" s="190">
        <f t="shared" si="682"/>
        <v>107.97</v>
      </c>
      <c r="Z1392" s="191">
        <v>107.82</v>
      </c>
      <c r="AA1392" s="192">
        <f t="shared" si="837"/>
        <v>-0.15000000000000568</v>
      </c>
      <c r="AB1392" s="193">
        <f t="shared" si="684"/>
        <v>6.2469966362325808E-3</v>
      </c>
      <c r="AC1392" s="194">
        <f t="shared" si="685"/>
        <v>5.2800000000000004E-4</v>
      </c>
      <c r="AD1392" s="189"/>
      <c r="AE1392" s="195" t="s">
        <v>403</v>
      </c>
      <c r="AF1392" s="119"/>
    </row>
    <row r="1393" spans="1:32" ht="12" hidden="1" customHeight="1">
      <c r="A1393" s="183">
        <v>44875</v>
      </c>
      <c r="B1393" s="184" t="s">
        <v>575</v>
      </c>
      <c r="C1393" s="184"/>
      <c r="D1393" s="184"/>
      <c r="E1393" s="184"/>
      <c r="F1393" s="184"/>
      <c r="G1393" s="184"/>
      <c r="H1393" s="184" t="s">
        <v>654</v>
      </c>
      <c r="I1393" s="184" t="s">
        <v>469</v>
      </c>
      <c r="J1393" s="184" t="s">
        <v>448</v>
      </c>
      <c r="K1393" s="185">
        <v>20</v>
      </c>
      <c r="L1393" s="186">
        <v>1047</v>
      </c>
      <c r="M1393" s="187">
        <v>1060.42</v>
      </c>
      <c r="N1393" s="188">
        <f t="shared" si="796"/>
        <v>6.28</v>
      </c>
      <c r="O1393" s="188">
        <f t="shared" si="797"/>
        <v>6.36</v>
      </c>
      <c r="P1393" s="189">
        <f t="shared" si="674"/>
        <v>42148.4</v>
      </c>
      <c r="Q1393" s="189">
        <f t="shared" si="675"/>
        <v>268.40000000000146</v>
      </c>
      <c r="R1393" s="189">
        <f t="shared" si="873"/>
        <v>12.64</v>
      </c>
      <c r="S1393" s="189">
        <f t="shared" si="697"/>
        <v>2.48</v>
      </c>
      <c r="T1393" s="189">
        <f t="shared" si="868"/>
        <v>5.3</v>
      </c>
      <c r="U1393" s="189">
        <f t="shared" si="851"/>
        <v>0.63</v>
      </c>
      <c r="V1393" s="189">
        <f t="shared" si="869"/>
        <v>1.1599999999999999</v>
      </c>
      <c r="W1393" s="189">
        <f t="shared" si="758"/>
        <v>0.04</v>
      </c>
      <c r="X1393" s="189">
        <f t="shared" si="681"/>
        <v>22.25</v>
      </c>
      <c r="Y1393" s="190">
        <f t="shared" si="682"/>
        <v>246.15</v>
      </c>
      <c r="Z1393" s="191">
        <v>246.06</v>
      </c>
      <c r="AA1393" s="192">
        <f t="shared" si="837"/>
        <v>-9.0000000000003411E-2</v>
      </c>
      <c r="AB1393" s="193">
        <f t="shared" si="684"/>
        <v>1.2817574021012485E-2</v>
      </c>
      <c r="AC1393" s="194">
        <f t="shared" si="685"/>
        <v>5.2800000000000004E-4</v>
      </c>
      <c r="AD1393" s="189"/>
      <c r="AE1393" s="195" t="s">
        <v>403</v>
      </c>
      <c r="AF1393" s="119"/>
    </row>
    <row r="1394" spans="1:32" ht="12" hidden="1" customHeight="1">
      <c r="A1394" s="183">
        <v>44879</v>
      </c>
      <c r="B1394" s="184" t="s">
        <v>575</v>
      </c>
      <c r="C1394" s="184"/>
      <c r="D1394" s="184"/>
      <c r="E1394" s="184"/>
      <c r="F1394" s="184"/>
      <c r="G1394" s="184"/>
      <c r="H1394" s="184" t="s">
        <v>654</v>
      </c>
      <c r="I1394" s="184" t="s">
        <v>469</v>
      </c>
      <c r="J1394" s="184" t="s">
        <v>448</v>
      </c>
      <c r="K1394" s="185">
        <v>23</v>
      </c>
      <c r="L1394" s="186">
        <v>941.26739999999995</v>
      </c>
      <c r="M1394" s="187">
        <v>957</v>
      </c>
      <c r="N1394" s="188">
        <f t="shared" si="796"/>
        <v>6.49</v>
      </c>
      <c r="O1394" s="188">
        <f t="shared" si="797"/>
        <v>6.6</v>
      </c>
      <c r="P1394" s="189">
        <f t="shared" si="674"/>
        <v>43660.15</v>
      </c>
      <c r="Q1394" s="189">
        <f t="shared" si="675"/>
        <v>361.8498000000011</v>
      </c>
      <c r="R1394" s="189">
        <f t="shared" si="873"/>
        <v>13.09</v>
      </c>
      <c r="S1394" s="189">
        <f t="shared" si="697"/>
        <v>2.57</v>
      </c>
      <c r="T1394" s="189">
        <f t="shared" si="868"/>
        <v>5.5</v>
      </c>
      <c r="U1394" s="189">
        <f t="shared" si="851"/>
        <v>0.65</v>
      </c>
      <c r="V1394" s="189">
        <f t="shared" si="869"/>
        <v>1.2</v>
      </c>
      <c r="W1394" s="189">
        <f t="shared" si="758"/>
        <v>0.04</v>
      </c>
      <c r="X1394" s="189">
        <f t="shared" si="681"/>
        <v>23.049999999999997</v>
      </c>
      <c r="Y1394" s="190">
        <f t="shared" si="682"/>
        <v>338.8</v>
      </c>
      <c r="Z1394" s="191">
        <v>339.63</v>
      </c>
      <c r="AA1394" s="192">
        <f t="shared" si="837"/>
        <v>0.82999999999998408</v>
      </c>
      <c r="AB1394" s="193">
        <f t="shared" si="684"/>
        <v>1.6714272692329564E-2</v>
      </c>
      <c r="AC1394" s="194">
        <f t="shared" si="685"/>
        <v>5.2800000000000004E-4</v>
      </c>
      <c r="AD1394" s="189"/>
      <c r="AE1394" s="195" t="s">
        <v>403</v>
      </c>
      <c r="AF1394" s="119"/>
    </row>
    <row r="1395" spans="1:32" ht="12" hidden="1" customHeight="1">
      <c r="A1395" s="183">
        <v>44881</v>
      </c>
      <c r="B1395" s="184" t="s">
        <v>575</v>
      </c>
      <c r="C1395" s="184"/>
      <c r="D1395" s="184"/>
      <c r="E1395" s="184"/>
      <c r="F1395" s="184"/>
      <c r="G1395" s="184"/>
      <c r="H1395" s="184" t="s">
        <v>654</v>
      </c>
      <c r="I1395" s="184" t="s">
        <v>469</v>
      </c>
      <c r="J1395" s="184" t="s">
        <v>448</v>
      </c>
      <c r="K1395" s="185">
        <v>30</v>
      </c>
      <c r="L1395" s="186">
        <v>884.78830000000005</v>
      </c>
      <c r="M1395" s="187">
        <v>899.17830000000004</v>
      </c>
      <c r="N1395" s="188">
        <f t="shared" si="796"/>
        <v>7.96</v>
      </c>
      <c r="O1395" s="188">
        <f t="shared" si="797"/>
        <v>8.09</v>
      </c>
      <c r="P1395" s="189">
        <f t="shared" si="674"/>
        <v>53519</v>
      </c>
      <c r="Q1395" s="189">
        <f t="shared" si="675"/>
        <v>431.69999999999959</v>
      </c>
      <c r="R1395" s="189">
        <f t="shared" si="873"/>
        <v>16.05</v>
      </c>
      <c r="S1395" s="189">
        <f t="shared" si="697"/>
        <v>3.15</v>
      </c>
      <c r="T1395" s="189">
        <f t="shared" si="868"/>
        <v>6.74</v>
      </c>
      <c r="U1395" s="189">
        <f t="shared" si="851"/>
        <v>0.8</v>
      </c>
      <c r="V1395" s="189">
        <f t="shared" si="869"/>
        <v>1.47</v>
      </c>
      <c r="W1395" s="189">
        <f t="shared" si="758"/>
        <v>0.05</v>
      </c>
      <c r="X1395" s="189">
        <f t="shared" si="681"/>
        <v>28.259999999999998</v>
      </c>
      <c r="Y1395" s="190">
        <f t="shared" si="682"/>
        <v>403.44</v>
      </c>
      <c r="Z1395" s="191">
        <v>402.73</v>
      </c>
      <c r="AA1395" s="192">
        <f t="shared" si="837"/>
        <v>-0.70999999999997954</v>
      </c>
      <c r="AB1395" s="193">
        <f t="shared" si="684"/>
        <v>1.6263777448232517E-2</v>
      </c>
      <c r="AC1395" s="194">
        <f t="shared" si="685"/>
        <v>5.2800000000000004E-4</v>
      </c>
      <c r="AD1395" s="189"/>
      <c r="AE1395" s="195" t="s">
        <v>403</v>
      </c>
      <c r="AF1395" s="119"/>
    </row>
    <row r="1396" spans="1:32" ht="12" hidden="1" customHeight="1">
      <c r="A1396" s="183">
        <v>44888</v>
      </c>
      <c r="B1396" s="184" t="s">
        <v>543</v>
      </c>
      <c r="C1396" s="184"/>
      <c r="D1396" s="184"/>
      <c r="E1396" s="184"/>
      <c r="F1396" s="184"/>
      <c r="G1396" s="184"/>
      <c r="H1396" s="184" t="s">
        <v>654</v>
      </c>
      <c r="I1396" s="184" t="s">
        <v>469</v>
      </c>
      <c r="J1396" s="184" t="s">
        <v>471</v>
      </c>
      <c r="K1396" s="185">
        <v>100</v>
      </c>
      <c r="L1396" s="186">
        <v>89</v>
      </c>
      <c r="M1396" s="187">
        <v>91.5</v>
      </c>
      <c r="N1396" s="188">
        <f t="shared" si="796"/>
        <v>2.67</v>
      </c>
      <c r="O1396" s="188">
        <f t="shared" si="797"/>
        <v>2.75</v>
      </c>
      <c r="P1396" s="189">
        <f t="shared" si="674"/>
        <v>18050</v>
      </c>
      <c r="Q1396" s="189">
        <f t="shared" si="675"/>
        <v>250</v>
      </c>
      <c r="R1396" s="189">
        <f t="shared" si="873"/>
        <v>5.42</v>
      </c>
      <c r="S1396" s="189">
        <f t="shared" si="697"/>
        <v>1.07</v>
      </c>
      <c r="T1396" s="189">
        <f t="shared" si="868"/>
        <v>2.29</v>
      </c>
      <c r="U1396" s="189">
        <f t="shared" si="851"/>
        <v>0.27</v>
      </c>
      <c r="V1396" s="189">
        <f t="shared" si="869"/>
        <v>0.5</v>
      </c>
      <c r="W1396" s="189">
        <f t="shared" si="758"/>
        <v>0.02</v>
      </c>
      <c r="X1396" s="189">
        <f t="shared" si="681"/>
        <v>9.57</v>
      </c>
      <c r="Y1396" s="190">
        <f t="shared" si="682"/>
        <v>240.43</v>
      </c>
      <c r="Z1396" s="191">
        <v>241</v>
      </c>
      <c r="AA1396" s="192">
        <f t="shared" si="837"/>
        <v>0.56999999999999318</v>
      </c>
      <c r="AB1396" s="193">
        <f t="shared" si="684"/>
        <v>2.8089887640449437E-2</v>
      </c>
      <c r="AC1396" s="194">
        <f t="shared" si="685"/>
        <v>5.2999999999999998E-4</v>
      </c>
      <c r="AD1396" s="189"/>
      <c r="AE1396" s="195" t="s">
        <v>403</v>
      </c>
      <c r="AF1396" s="119"/>
    </row>
    <row r="1397" spans="1:32" ht="12" hidden="1" customHeight="1">
      <c r="A1397" s="183">
        <v>44888</v>
      </c>
      <c r="B1397" s="184" t="s">
        <v>575</v>
      </c>
      <c r="C1397" s="184"/>
      <c r="D1397" s="184"/>
      <c r="E1397" s="184"/>
      <c r="F1397" s="184"/>
      <c r="G1397" s="184"/>
      <c r="H1397" s="184" t="s">
        <v>654</v>
      </c>
      <c r="I1397" s="184" t="s">
        <v>469</v>
      </c>
      <c r="J1397" s="184" t="s">
        <v>448</v>
      </c>
      <c r="K1397" s="185">
        <v>3</v>
      </c>
      <c r="L1397" s="186">
        <v>845</v>
      </c>
      <c r="M1397" s="187">
        <v>854.05</v>
      </c>
      <c r="N1397" s="188">
        <f t="shared" si="796"/>
        <v>0.76</v>
      </c>
      <c r="O1397" s="188">
        <f t="shared" si="797"/>
        <v>0.77</v>
      </c>
      <c r="P1397" s="189">
        <f t="shared" si="674"/>
        <v>5097.1499999999996</v>
      </c>
      <c r="Q1397" s="189">
        <f t="shared" si="675"/>
        <v>27.149999999999864</v>
      </c>
      <c r="R1397" s="189">
        <f t="shared" si="873"/>
        <v>1.53</v>
      </c>
      <c r="S1397" s="189">
        <f t="shared" si="697"/>
        <v>0.3</v>
      </c>
      <c r="T1397" s="189">
        <f t="shared" si="868"/>
        <v>0.64</v>
      </c>
      <c r="U1397" s="189">
        <f t="shared" si="851"/>
        <v>0.08</v>
      </c>
      <c r="V1397" s="189">
        <f t="shared" si="869"/>
        <v>0.14000000000000001</v>
      </c>
      <c r="W1397" s="189">
        <f t="shared" si="758"/>
        <v>0.01</v>
      </c>
      <c r="X1397" s="189">
        <f t="shared" si="681"/>
        <v>2.7</v>
      </c>
      <c r="Y1397" s="190">
        <f t="shared" si="682"/>
        <v>24.45</v>
      </c>
      <c r="Z1397" s="191">
        <v>22.73</v>
      </c>
      <c r="AA1397" s="192">
        <f t="shared" si="837"/>
        <v>-1.7199999999999989</v>
      </c>
      <c r="AB1397" s="193">
        <f t="shared" si="684"/>
        <v>1.0710059171597579E-2</v>
      </c>
      <c r="AC1397" s="194">
        <f t="shared" si="685"/>
        <v>5.2999999999999998E-4</v>
      </c>
      <c r="AD1397" s="189"/>
      <c r="AE1397" s="195" t="s">
        <v>403</v>
      </c>
      <c r="AF1397" s="119"/>
    </row>
    <row r="1398" spans="1:32" ht="12" hidden="1" customHeight="1">
      <c r="A1398" s="183">
        <v>44890</v>
      </c>
      <c r="B1398" s="184" t="s">
        <v>543</v>
      </c>
      <c r="C1398" s="184"/>
      <c r="D1398" s="184"/>
      <c r="E1398" s="184"/>
      <c r="F1398" s="184"/>
      <c r="G1398" s="184"/>
      <c r="H1398" s="184" t="s">
        <v>654</v>
      </c>
      <c r="I1398" s="184" t="s">
        <v>469</v>
      </c>
      <c r="J1398" s="184" t="s">
        <v>471</v>
      </c>
      <c r="K1398" s="185">
        <v>100</v>
      </c>
      <c r="L1398" s="186">
        <v>91.5</v>
      </c>
      <c r="M1398" s="187">
        <v>94</v>
      </c>
      <c r="N1398" s="188">
        <f t="shared" si="796"/>
        <v>2.75</v>
      </c>
      <c r="O1398" s="188">
        <f t="shared" si="797"/>
        <v>2.82</v>
      </c>
      <c r="P1398" s="189">
        <f t="shared" si="674"/>
        <v>18550</v>
      </c>
      <c r="Q1398" s="189">
        <f t="shared" si="675"/>
        <v>250</v>
      </c>
      <c r="R1398" s="189">
        <f t="shared" si="873"/>
        <v>5.57</v>
      </c>
      <c r="S1398" s="189">
        <f t="shared" si="697"/>
        <v>1.0900000000000001</v>
      </c>
      <c r="T1398" s="189">
        <f t="shared" si="868"/>
        <v>2.35</v>
      </c>
      <c r="U1398" s="189">
        <f t="shared" si="851"/>
        <v>0.27</v>
      </c>
      <c r="V1398" s="189">
        <f t="shared" si="869"/>
        <v>0.51</v>
      </c>
      <c r="W1398" s="189">
        <f t="shared" si="758"/>
        <v>0.02</v>
      </c>
      <c r="X1398" s="189">
        <f t="shared" si="681"/>
        <v>9.8099999999999987</v>
      </c>
      <c r="Y1398" s="190">
        <f t="shared" si="682"/>
        <v>240.19</v>
      </c>
      <c r="Z1398" s="191">
        <v>240.35</v>
      </c>
      <c r="AA1398" s="192">
        <f t="shared" si="837"/>
        <v>0.15999999999999659</v>
      </c>
      <c r="AB1398" s="193">
        <f t="shared" si="684"/>
        <v>2.7322404371584699E-2</v>
      </c>
      <c r="AC1398" s="194">
        <f t="shared" si="685"/>
        <v>5.2899999999999996E-4</v>
      </c>
      <c r="AD1398" s="189"/>
      <c r="AE1398" s="195" t="s">
        <v>403</v>
      </c>
      <c r="AF1398" s="119"/>
    </row>
    <row r="1399" spans="1:32" ht="12" hidden="1" customHeight="1">
      <c r="A1399" s="183">
        <v>44894</v>
      </c>
      <c r="B1399" s="184" t="s">
        <v>543</v>
      </c>
      <c r="C1399" s="184"/>
      <c r="D1399" s="184"/>
      <c r="E1399" s="184"/>
      <c r="F1399" s="184"/>
      <c r="G1399" s="184"/>
      <c r="H1399" s="184" t="s">
        <v>654</v>
      </c>
      <c r="I1399" s="184" t="s">
        <v>469</v>
      </c>
      <c r="J1399" s="184" t="s">
        <v>471</v>
      </c>
      <c r="K1399" s="185">
        <v>100</v>
      </c>
      <c r="L1399" s="186">
        <v>92</v>
      </c>
      <c r="M1399" s="187">
        <v>94</v>
      </c>
      <c r="N1399" s="188">
        <f t="shared" si="796"/>
        <v>2.76</v>
      </c>
      <c r="O1399" s="188">
        <f t="shared" si="797"/>
        <v>2.82</v>
      </c>
      <c r="P1399" s="189">
        <f t="shared" si="674"/>
        <v>18600</v>
      </c>
      <c r="Q1399" s="189">
        <f t="shared" si="675"/>
        <v>200</v>
      </c>
      <c r="R1399" s="189">
        <f t="shared" si="873"/>
        <v>5.58</v>
      </c>
      <c r="S1399" s="189">
        <f t="shared" si="697"/>
        <v>1.1000000000000001</v>
      </c>
      <c r="T1399" s="189">
        <f t="shared" si="868"/>
        <v>2.35</v>
      </c>
      <c r="U1399" s="189">
        <f t="shared" si="851"/>
        <v>0.28000000000000003</v>
      </c>
      <c r="V1399" s="189">
        <f t="shared" si="869"/>
        <v>0.51</v>
      </c>
      <c r="W1399" s="189">
        <f t="shared" si="758"/>
        <v>0.02</v>
      </c>
      <c r="X1399" s="189">
        <f t="shared" si="681"/>
        <v>9.8399999999999981</v>
      </c>
      <c r="Y1399" s="190">
        <f t="shared" si="682"/>
        <v>190.16</v>
      </c>
      <c r="Z1399" s="191">
        <v>190.79</v>
      </c>
      <c r="AA1399" s="192">
        <f t="shared" si="837"/>
        <v>0.62999999999999545</v>
      </c>
      <c r="AB1399" s="193">
        <f t="shared" si="684"/>
        <v>2.1739130434782608E-2</v>
      </c>
      <c r="AC1399" s="194">
        <f t="shared" si="685"/>
        <v>5.2899999999999996E-4</v>
      </c>
      <c r="AD1399" s="189"/>
      <c r="AE1399" s="195" t="s">
        <v>403</v>
      </c>
      <c r="AF1399" s="119"/>
    </row>
    <row r="1400" spans="1:32" ht="12" hidden="1" customHeight="1">
      <c r="A1400" s="183">
        <v>44915</v>
      </c>
      <c r="B1400" s="184" t="s">
        <v>589</v>
      </c>
      <c r="C1400" s="184"/>
      <c r="D1400" s="184"/>
      <c r="E1400" s="184"/>
      <c r="F1400" s="184"/>
      <c r="G1400" s="184"/>
      <c r="H1400" s="184" t="s">
        <v>654</v>
      </c>
      <c r="I1400" s="184" t="s">
        <v>469</v>
      </c>
      <c r="J1400" s="184" t="s">
        <v>471</v>
      </c>
      <c r="K1400" s="185">
        <v>20</v>
      </c>
      <c r="L1400" s="186">
        <v>1683.2750000000001</v>
      </c>
      <c r="M1400" s="187">
        <v>1686.5</v>
      </c>
      <c r="N1400" s="188">
        <f t="shared" si="796"/>
        <v>10.1</v>
      </c>
      <c r="O1400" s="188">
        <f t="shared" si="797"/>
        <v>10.119999999999999</v>
      </c>
      <c r="P1400" s="189">
        <f t="shared" si="674"/>
        <v>67395.5</v>
      </c>
      <c r="Q1400" s="189">
        <f t="shared" si="675"/>
        <v>64.499999999998181</v>
      </c>
      <c r="R1400" s="189">
        <f t="shared" si="873"/>
        <v>20.22</v>
      </c>
      <c r="S1400" s="189">
        <f t="shared" si="697"/>
        <v>3.97</v>
      </c>
      <c r="T1400" s="189">
        <f t="shared" si="868"/>
        <v>8.43</v>
      </c>
      <c r="U1400" s="189">
        <f t="shared" si="851"/>
        <v>1.01</v>
      </c>
      <c r="V1400" s="189">
        <f t="shared" si="869"/>
        <v>1.85</v>
      </c>
      <c r="W1400" s="189">
        <f t="shared" si="758"/>
        <v>7.0000000000000007E-2</v>
      </c>
      <c r="X1400" s="189">
        <f t="shared" si="681"/>
        <v>35.549999999999997</v>
      </c>
      <c r="Y1400" s="190">
        <f t="shared" si="682"/>
        <v>28.95</v>
      </c>
      <c r="Z1400" s="191">
        <v>29.38</v>
      </c>
      <c r="AA1400" s="192">
        <f t="shared" si="837"/>
        <v>0.42999999999999972</v>
      </c>
      <c r="AB1400" s="193">
        <f t="shared" si="684"/>
        <v>1.9159079770090502E-3</v>
      </c>
      <c r="AC1400" s="194">
        <f t="shared" si="685"/>
        <v>5.2700000000000002E-4</v>
      </c>
      <c r="AD1400" s="189"/>
      <c r="AE1400" s="195" t="s">
        <v>403</v>
      </c>
      <c r="AF1400" s="119"/>
    </row>
    <row r="1401" spans="1:32" ht="12" hidden="1" customHeight="1">
      <c r="A1401" s="183">
        <v>44928</v>
      </c>
      <c r="B1401" s="184" t="s">
        <v>481</v>
      </c>
      <c r="C1401" s="184"/>
      <c r="D1401" s="184"/>
      <c r="E1401" s="184"/>
      <c r="F1401" s="184"/>
      <c r="G1401" s="184"/>
      <c r="H1401" s="184" t="s">
        <v>654</v>
      </c>
      <c r="I1401" s="184" t="s">
        <v>469</v>
      </c>
      <c r="J1401" s="184" t="s">
        <v>471</v>
      </c>
      <c r="K1401" s="185">
        <v>25</v>
      </c>
      <c r="L1401" s="186">
        <v>87.9</v>
      </c>
      <c r="M1401" s="187">
        <v>89</v>
      </c>
      <c r="N1401" s="188">
        <f t="shared" si="796"/>
        <v>0.66</v>
      </c>
      <c r="O1401" s="188">
        <f t="shared" si="797"/>
        <v>0.67</v>
      </c>
      <c r="P1401" s="189">
        <f t="shared" si="674"/>
        <v>4422.5</v>
      </c>
      <c r="Q1401" s="189">
        <f t="shared" si="675"/>
        <v>27.499999999999858</v>
      </c>
      <c r="R1401" s="189">
        <f t="shared" si="873"/>
        <v>1.33</v>
      </c>
      <c r="S1401" s="189">
        <f t="shared" si="697"/>
        <v>0.26</v>
      </c>
      <c r="T1401" s="189">
        <f t="shared" si="868"/>
        <v>0.56000000000000005</v>
      </c>
      <c r="U1401" s="189">
        <f t="shared" si="851"/>
        <v>7.0000000000000007E-2</v>
      </c>
      <c r="V1401" s="189">
        <f t="shared" si="869"/>
        <v>0.12</v>
      </c>
      <c r="W1401" s="189">
        <f t="shared" si="758"/>
        <v>0</v>
      </c>
      <c r="X1401" s="189">
        <f t="shared" si="681"/>
        <v>2.3400000000000003</v>
      </c>
      <c r="Y1401" s="190">
        <f t="shared" si="682"/>
        <v>25.16</v>
      </c>
      <c r="Z1401" s="191">
        <v>24.72</v>
      </c>
      <c r="AA1401" s="192">
        <f t="shared" si="837"/>
        <v>-0.44000000000000128</v>
      </c>
      <c r="AB1401" s="193">
        <f t="shared" si="684"/>
        <v>1.2514220705346919E-2</v>
      </c>
      <c r="AC1401" s="194">
        <f t="shared" si="685"/>
        <v>5.2899999999999996E-4</v>
      </c>
      <c r="AD1401" s="189"/>
      <c r="AE1401" s="195" t="s">
        <v>403</v>
      </c>
      <c r="AF1401" s="119"/>
    </row>
    <row r="1402" spans="1:32" ht="12" hidden="1" customHeight="1">
      <c r="A1402" s="183">
        <v>44943</v>
      </c>
      <c r="B1402" s="184" t="s">
        <v>576</v>
      </c>
      <c r="C1402" s="184"/>
      <c r="D1402" s="184"/>
      <c r="E1402" s="184"/>
      <c r="F1402" s="184"/>
      <c r="G1402" s="184"/>
      <c r="H1402" s="184" t="s">
        <v>654</v>
      </c>
      <c r="I1402" s="184" t="s">
        <v>469</v>
      </c>
      <c r="J1402" s="184" t="s">
        <v>471</v>
      </c>
      <c r="K1402" s="185">
        <v>100</v>
      </c>
      <c r="L1402" s="186">
        <v>330.5</v>
      </c>
      <c r="M1402" s="187">
        <v>331.65</v>
      </c>
      <c r="N1402" s="188">
        <f t="shared" si="796"/>
        <v>9.92</v>
      </c>
      <c r="O1402" s="188">
        <f t="shared" si="797"/>
        <v>9.9499999999999993</v>
      </c>
      <c r="P1402" s="189">
        <f t="shared" si="674"/>
        <v>66215</v>
      </c>
      <c r="Q1402" s="189">
        <f t="shared" si="675"/>
        <v>114.99999999999773</v>
      </c>
      <c r="R1402" s="189">
        <f t="shared" si="873"/>
        <v>19.87</v>
      </c>
      <c r="S1402" s="189">
        <f t="shared" si="697"/>
        <v>3.9</v>
      </c>
      <c r="T1402" s="189">
        <f t="shared" si="868"/>
        <v>8.2899999999999991</v>
      </c>
      <c r="U1402" s="189">
        <f t="shared" si="851"/>
        <v>0.99</v>
      </c>
      <c r="V1402" s="189">
        <f t="shared" si="869"/>
        <v>1.82</v>
      </c>
      <c r="W1402" s="189">
        <f t="shared" si="758"/>
        <v>7.0000000000000007E-2</v>
      </c>
      <c r="X1402" s="189">
        <f t="shared" si="681"/>
        <v>34.940000000000005</v>
      </c>
      <c r="Y1402" s="190">
        <f t="shared" si="682"/>
        <v>80.06</v>
      </c>
      <c r="Z1402" s="191">
        <f>ROUND(Y1402,0)</f>
        <v>80</v>
      </c>
      <c r="AA1402" s="192">
        <f t="shared" si="837"/>
        <v>-6.0000000000002274E-2</v>
      </c>
      <c r="AB1402" s="193">
        <f t="shared" si="684"/>
        <v>3.4795763993947875E-3</v>
      </c>
      <c r="AC1402" s="194">
        <f t="shared" si="685"/>
        <v>5.2800000000000004E-4</v>
      </c>
      <c r="AD1402" s="189"/>
      <c r="AE1402" s="195" t="s">
        <v>403</v>
      </c>
      <c r="AF1402" s="119"/>
    </row>
    <row r="1403" spans="1:32" ht="12" hidden="1" customHeight="1">
      <c r="A1403" s="183">
        <v>44946</v>
      </c>
      <c r="B1403" s="184" t="s">
        <v>575</v>
      </c>
      <c r="C1403" s="184"/>
      <c r="D1403" s="184"/>
      <c r="E1403" s="184"/>
      <c r="F1403" s="184"/>
      <c r="G1403" s="184"/>
      <c r="H1403" s="184" t="s">
        <v>654</v>
      </c>
      <c r="I1403" s="184" t="s">
        <v>469</v>
      </c>
      <c r="J1403" s="184" t="s">
        <v>448</v>
      </c>
      <c r="K1403" s="185">
        <v>40</v>
      </c>
      <c r="L1403" s="186">
        <v>882.35500000000002</v>
      </c>
      <c r="M1403" s="187">
        <v>899</v>
      </c>
      <c r="N1403" s="188">
        <f t="shared" si="796"/>
        <v>10.59</v>
      </c>
      <c r="O1403" s="188">
        <f t="shared" si="797"/>
        <v>10.79</v>
      </c>
      <c r="P1403" s="189">
        <f t="shared" si="674"/>
        <v>71254.2</v>
      </c>
      <c r="Q1403" s="189">
        <f t="shared" si="675"/>
        <v>665.79999999999927</v>
      </c>
      <c r="R1403" s="189">
        <f t="shared" si="873"/>
        <v>21.38</v>
      </c>
      <c r="S1403" s="189">
        <f t="shared" si="697"/>
        <v>4.2</v>
      </c>
      <c r="T1403" s="189">
        <f t="shared" si="868"/>
        <v>8.99</v>
      </c>
      <c r="U1403" s="189">
        <f t="shared" si="851"/>
        <v>1.06</v>
      </c>
      <c r="V1403" s="189">
        <f t="shared" si="869"/>
        <v>1.96</v>
      </c>
      <c r="W1403" s="189">
        <f t="shared" si="758"/>
        <v>7.0000000000000007E-2</v>
      </c>
      <c r="X1403" s="189">
        <f t="shared" si="681"/>
        <v>37.660000000000004</v>
      </c>
      <c r="Y1403" s="190">
        <f t="shared" si="682"/>
        <v>628.14</v>
      </c>
      <c r="Z1403" s="191">
        <v>628.17999999999995</v>
      </c>
      <c r="AA1403" s="192">
        <f t="shared" si="837"/>
        <v>3.999999999996362E-2</v>
      </c>
      <c r="AB1403" s="193">
        <f t="shared" si="684"/>
        <v>1.8864289316658241E-2</v>
      </c>
      <c r="AC1403" s="194">
        <f t="shared" si="685"/>
        <v>5.2899999999999996E-4</v>
      </c>
      <c r="AD1403" s="189"/>
      <c r="AE1403" s="195" t="s">
        <v>403</v>
      </c>
      <c r="AF1403" s="119"/>
    </row>
    <row r="1404" spans="1:32" ht="12" hidden="1" customHeight="1">
      <c r="A1404" s="183">
        <v>44965</v>
      </c>
      <c r="B1404" s="184" t="s">
        <v>575</v>
      </c>
      <c r="C1404" s="184"/>
      <c r="D1404" s="184"/>
      <c r="E1404" s="184"/>
      <c r="F1404" s="184"/>
      <c r="G1404" s="184"/>
      <c r="H1404" s="184" t="s">
        <v>654</v>
      </c>
      <c r="I1404" s="184" t="s">
        <v>469</v>
      </c>
      <c r="J1404" s="184" t="s">
        <v>448</v>
      </c>
      <c r="K1404" s="185">
        <v>10</v>
      </c>
      <c r="L1404" s="186">
        <v>855.82500000000005</v>
      </c>
      <c r="M1404" s="187">
        <v>863</v>
      </c>
      <c r="N1404" s="188">
        <f t="shared" si="796"/>
        <v>2.57</v>
      </c>
      <c r="O1404" s="188">
        <f t="shared" si="797"/>
        <v>2.59</v>
      </c>
      <c r="P1404" s="189">
        <f t="shared" si="674"/>
        <v>17188.25</v>
      </c>
      <c r="Q1404" s="189">
        <f t="shared" si="675"/>
        <v>71.749999999999545</v>
      </c>
      <c r="R1404" s="189">
        <f t="shared" si="873"/>
        <v>5.16</v>
      </c>
      <c r="S1404" s="189">
        <f t="shared" si="697"/>
        <v>1.01</v>
      </c>
      <c r="T1404" s="189">
        <f t="shared" si="868"/>
        <v>2.16</v>
      </c>
      <c r="U1404" s="189">
        <f t="shared" si="851"/>
        <v>0.26</v>
      </c>
      <c r="V1404" s="189">
        <f t="shared" si="869"/>
        <v>0.47</v>
      </c>
      <c r="W1404" s="189">
        <f t="shared" si="758"/>
        <v>0.02</v>
      </c>
      <c r="X1404" s="189">
        <f t="shared" si="681"/>
        <v>9.08</v>
      </c>
      <c r="Y1404" s="190">
        <f t="shared" si="682"/>
        <v>62.67</v>
      </c>
      <c r="Z1404" s="191">
        <v>63.09</v>
      </c>
      <c r="AA1404" s="192">
        <f t="shared" si="837"/>
        <v>0.42000000000000171</v>
      </c>
      <c r="AB1404" s="193">
        <f t="shared" si="684"/>
        <v>8.3837233079192049E-3</v>
      </c>
      <c r="AC1404" s="194">
        <f t="shared" si="685"/>
        <v>5.2800000000000004E-4</v>
      </c>
      <c r="AD1404" s="189"/>
      <c r="AE1404" s="195" t="s">
        <v>403</v>
      </c>
      <c r="AF1404" s="119"/>
    </row>
    <row r="1405" spans="1:32" ht="12" customHeight="1">
      <c r="A1405" s="183">
        <v>44970</v>
      </c>
      <c r="B1405" s="184" t="s">
        <v>575</v>
      </c>
      <c r="C1405" s="184"/>
      <c r="D1405" s="184"/>
      <c r="E1405" s="184"/>
      <c r="F1405" s="184"/>
      <c r="G1405" s="184"/>
      <c r="H1405" s="184" t="s">
        <v>654</v>
      </c>
      <c r="I1405" s="184" t="s">
        <v>469</v>
      </c>
      <c r="J1405" s="184" t="s">
        <v>448</v>
      </c>
      <c r="K1405" s="185">
        <v>25</v>
      </c>
      <c r="L1405" s="186">
        <v>848.00199999999995</v>
      </c>
      <c r="M1405" s="187">
        <v>854.55</v>
      </c>
      <c r="N1405" s="188">
        <f t="shared" si="796"/>
        <v>6.36</v>
      </c>
      <c r="O1405" s="188">
        <f t="shared" si="797"/>
        <v>6.41</v>
      </c>
      <c r="P1405" s="189">
        <f t="shared" si="674"/>
        <v>42563.8</v>
      </c>
      <c r="Q1405" s="189">
        <f t="shared" si="675"/>
        <v>163.70000000000005</v>
      </c>
      <c r="R1405" s="189">
        <f t="shared" si="873"/>
        <v>12.77</v>
      </c>
      <c r="S1405" s="189">
        <f t="shared" si="697"/>
        <v>2.5099999999999998</v>
      </c>
      <c r="T1405" s="189">
        <f t="shared" si="868"/>
        <v>5.34</v>
      </c>
      <c r="U1405" s="189">
        <f t="shared" si="851"/>
        <v>0.64</v>
      </c>
      <c r="V1405" s="189">
        <f t="shared" si="869"/>
        <v>1.17</v>
      </c>
      <c r="W1405" s="189">
        <f t="shared" si="758"/>
        <v>0.04</v>
      </c>
      <c r="X1405" s="189">
        <f t="shared" si="681"/>
        <v>22.47</v>
      </c>
      <c r="Y1405" s="190">
        <f t="shared" si="682"/>
        <v>141.22999999999999</v>
      </c>
      <c r="Z1405" s="191">
        <v>141.19999999999999</v>
      </c>
      <c r="AA1405" s="192">
        <f t="shared" si="837"/>
        <v>-3.0000000000001137E-2</v>
      </c>
      <c r="AB1405" s="193">
        <f t="shared" si="684"/>
        <v>7.7216799016983475E-3</v>
      </c>
      <c r="AC1405" s="194">
        <f t="shared" si="685"/>
        <v>5.2800000000000004E-4</v>
      </c>
      <c r="AD1405" s="189"/>
      <c r="AE1405" s="195" t="s">
        <v>403</v>
      </c>
      <c r="AF1405" s="119"/>
    </row>
    <row r="1406" spans="1:32" ht="12" customHeight="1">
      <c r="A1406" s="183">
        <v>44971</v>
      </c>
      <c r="B1406" s="184" t="s">
        <v>575</v>
      </c>
      <c r="C1406" s="184"/>
      <c r="D1406" s="184"/>
      <c r="E1406" s="184"/>
      <c r="F1406" s="184"/>
      <c r="G1406" s="184"/>
      <c r="H1406" s="184" t="s">
        <v>654</v>
      </c>
      <c r="I1406" s="184" t="s">
        <v>469</v>
      </c>
      <c r="J1406" s="184" t="s">
        <v>448</v>
      </c>
      <c r="K1406" s="185">
        <v>19</v>
      </c>
      <c r="L1406" s="186">
        <v>849.42370000000005</v>
      </c>
      <c r="M1406" s="187">
        <v>857.03160000000003</v>
      </c>
      <c r="N1406" s="188">
        <f t="shared" si="796"/>
        <v>4.84</v>
      </c>
      <c r="O1406" s="188">
        <f t="shared" si="797"/>
        <v>4.8899999999999997</v>
      </c>
      <c r="P1406" s="189">
        <f t="shared" si="674"/>
        <v>32422.65</v>
      </c>
      <c r="Q1406" s="189">
        <f t="shared" si="675"/>
        <v>144.55009999999947</v>
      </c>
      <c r="R1406" s="189">
        <f t="shared" si="873"/>
        <v>9.73</v>
      </c>
      <c r="S1406" s="189">
        <f t="shared" si="697"/>
        <v>1.91</v>
      </c>
      <c r="T1406" s="189">
        <f t="shared" si="868"/>
        <v>4.07</v>
      </c>
      <c r="U1406" s="189">
        <f t="shared" si="851"/>
        <v>0.48</v>
      </c>
      <c r="V1406" s="189">
        <f t="shared" si="869"/>
        <v>0.89</v>
      </c>
      <c r="W1406" s="189">
        <f t="shared" si="758"/>
        <v>0.03</v>
      </c>
      <c r="X1406" s="189">
        <f t="shared" si="681"/>
        <v>17.110000000000003</v>
      </c>
      <c r="Y1406" s="190">
        <f t="shared" si="682"/>
        <v>127.44</v>
      </c>
      <c r="Z1406" s="191">
        <v>127.44</v>
      </c>
      <c r="AA1406" s="192">
        <f t="shared" si="837"/>
        <v>0</v>
      </c>
      <c r="AB1406" s="193">
        <f t="shared" si="684"/>
        <v>8.9565431244736544E-3</v>
      </c>
      <c r="AC1406" s="194">
        <f t="shared" si="685"/>
        <v>5.2800000000000004E-4</v>
      </c>
      <c r="AD1406" s="189"/>
      <c r="AE1406" s="195" t="s">
        <v>403</v>
      </c>
      <c r="AF1406" s="119"/>
    </row>
    <row r="1407" spans="1:32" ht="12" customHeight="1">
      <c r="A1407" s="183">
        <v>44973</v>
      </c>
      <c r="B1407" s="184" t="s">
        <v>575</v>
      </c>
      <c r="C1407" s="184"/>
      <c r="D1407" s="184"/>
      <c r="E1407" s="184"/>
      <c r="F1407" s="184"/>
      <c r="G1407" s="184"/>
      <c r="H1407" s="184" t="s">
        <v>654</v>
      </c>
      <c r="I1407" s="184" t="s">
        <v>469</v>
      </c>
      <c r="J1407" s="184" t="s">
        <v>448</v>
      </c>
      <c r="K1407" s="185">
        <v>20</v>
      </c>
      <c r="L1407" s="186">
        <v>865</v>
      </c>
      <c r="M1407" s="187">
        <v>870</v>
      </c>
      <c r="N1407" s="188">
        <f t="shared" si="796"/>
        <v>5.19</v>
      </c>
      <c r="O1407" s="188">
        <f t="shared" si="797"/>
        <v>5.22</v>
      </c>
      <c r="P1407" s="189">
        <f t="shared" si="674"/>
        <v>34700</v>
      </c>
      <c r="Q1407" s="189">
        <f t="shared" si="675"/>
        <v>100</v>
      </c>
      <c r="R1407" s="189">
        <f t="shared" si="873"/>
        <v>10.41</v>
      </c>
      <c r="S1407" s="189">
        <f t="shared" si="697"/>
        <v>2.04</v>
      </c>
      <c r="T1407" s="189">
        <f t="shared" si="868"/>
        <v>4.3499999999999996</v>
      </c>
      <c r="U1407" s="189">
        <f t="shared" si="851"/>
        <v>0.52</v>
      </c>
      <c r="V1407" s="189">
        <f t="shared" si="869"/>
        <v>0.95</v>
      </c>
      <c r="W1407" s="189">
        <f t="shared" si="758"/>
        <v>0.03</v>
      </c>
      <c r="X1407" s="189">
        <f t="shared" si="681"/>
        <v>18.299999999999997</v>
      </c>
      <c r="Y1407" s="190">
        <f t="shared" si="682"/>
        <v>81.7</v>
      </c>
      <c r="Z1407" s="191">
        <v>81.05</v>
      </c>
      <c r="AA1407" s="192">
        <f t="shared" si="837"/>
        <v>-0.65000000000000568</v>
      </c>
      <c r="AB1407" s="193">
        <f t="shared" si="684"/>
        <v>5.7803468208092483E-3</v>
      </c>
      <c r="AC1407" s="194">
        <f t="shared" si="685"/>
        <v>5.2700000000000002E-4</v>
      </c>
      <c r="AD1407" s="189"/>
      <c r="AE1407" s="195" t="s">
        <v>403</v>
      </c>
      <c r="AF1407" s="119"/>
    </row>
    <row r="1408" spans="1:32" ht="12" customHeight="1">
      <c r="A1408" s="183">
        <v>44993</v>
      </c>
      <c r="B1408" s="184" t="s">
        <v>575</v>
      </c>
      <c r="C1408" s="184"/>
      <c r="D1408" s="184"/>
      <c r="E1408" s="184"/>
      <c r="F1408" s="184"/>
      <c r="G1408" s="184"/>
      <c r="H1408" s="184" t="s">
        <v>654</v>
      </c>
      <c r="I1408" s="184" t="s">
        <v>469</v>
      </c>
      <c r="J1408" s="184" t="s">
        <v>448</v>
      </c>
      <c r="K1408" s="185">
        <v>40</v>
      </c>
      <c r="L1408" s="186">
        <v>862.03750000000002</v>
      </c>
      <c r="M1408" s="187">
        <v>868.52499999999998</v>
      </c>
      <c r="N1408" s="188">
        <f t="shared" si="796"/>
        <v>10.34</v>
      </c>
      <c r="O1408" s="188">
        <f t="shared" si="797"/>
        <v>10.42</v>
      </c>
      <c r="P1408" s="189">
        <f t="shared" si="674"/>
        <v>69222.5</v>
      </c>
      <c r="Q1408" s="189">
        <f t="shared" si="675"/>
        <v>259.49999999999818</v>
      </c>
      <c r="R1408" s="189">
        <f t="shared" si="873"/>
        <v>20.76</v>
      </c>
      <c r="S1408" s="189">
        <f t="shared" si="697"/>
        <v>4.08</v>
      </c>
      <c r="T1408" s="189">
        <f t="shared" si="868"/>
        <v>8.69</v>
      </c>
      <c r="U1408" s="189">
        <f t="shared" si="851"/>
        <v>1.03</v>
      </c>
      <c r="V1408" s="189">
        <f t="shared" si="869"/>
        <v>1.9</v>
      </c>
      <c r="W1408" s="189">
        <f t="shared" si="758"/>
        <v>7.0000000000000007E-2</v>
      </c>
      <c r="X1408" s="189">
        <f t="shared" si="681"/>
        <v>36.53</v>
      </c>
      <c r="Y1408" s="190">
        <f t="shared" si="682"/>
        <v>222.97</v>
      </c>
      <c r="Z1408" s="191">
        <v>222.67</v>
      </c>
      <c r="AA1408" s="192">
        <f t="shared" si="837"/>
        <v>-0.30000000000001137</v>
      </c>
      <c r="AB1408" s="193">
        <f t="shared" si="684"/>
        <v>7.5257746907761601E-3</v>
      </c>
      <c r="AC1408" s="194">
        <f t="shared" si="685"/>
        <v>5.2800000000000004E-4</v>
      </c>
      <c r="AD1408" s="189"/>
      <c r="AE1408" s="195" t="s">
        <v>403</v>
      </c>
      <c r="AF1408" s="119"/>
    </row>
    <row r="1409" spans="1:32" ht="12" customHeight="1">
      <c r="A1409" s="183">
        <v>44998</v>
      </c>
      <c r="B1409" s="184" t="s">
        <v>598</v>
      </c>
      <c r="C1409" s="184"/>
      <c r="D1409" s="184"/>
      <c r="E1409" s="184"/>
      <c r="F1409" s="184"/>
      <c r="G1409" s="184"/>
      <c r="H1409" s="184" t="s">
        <v>654</v>
      </c>
      <c r="I1409" s="184" t="s">
        <v>469</v>
      </c>
      <c r="J1409" s="184" t="s">
        <v>471</v>
      </c>
      <c r="K1409" s="185">
        <v>43</v>
      </c>
      <c r="L1409" s="186">
        <v>110.75</v>
      </c>
      <c r="M1409" s="187">
        <v>110.7</v>
      </c>
      <c r="N1409" s="188">
        <f t="shared" si="796"/>
        <v>1.43</v>
      </c>
      <c r="O1409" s="188">
        <f t="shared" si="797"/>
        <v>1.43</v>
      </c>
      <c r="P1409" s="189">
        <f t="shared" si="674"/>
        <v>9522.35</v>
      </c>
      <c r="Q1409" s="189">
        <f t="shared" si="675"/>
        <v>-2.1499999999998778</v>
      </c>
      <c r="R1409" s="189">
        <f t="shared" si="873"/>
        <v>2.86</v>
      </c>
      <c r="S1409" s="189">
        <f t="shared" si="697"/>
        <v>0.56000000000000005</v>
      </c>
      <c r="T1409" s="189">
        <f t="shared" si="868"/>
        <v>1.19</v>
      </c>
      <c r="U1409" s="189">
        <f t="shared" si="851"/>
        <v>0.14000000000000001</v>
      </c>
      <c r="V1409" s="189">
        <f t="shared" si="869"/>
        <v>0.26</v>
      </c>
      <c r="W1409" s="189">
        <f t="shared" si="758"/>
        <v>0.01</v>
      </c>
      <c r="X1409" s="189">
        <f t="shared" si="681"/>
        <v>5.0199999999999987</v>
      </c>
      <c r="Y1409" s="190">
        <f t="shared" si="682"/>
        <v>-7.17</v>
      </c>
      <c r="Z1409" s="191">
        <v>-6.92</v>
      </c>
      <c r="AA1409" s="192">
        <f t="shared" si="837"/>
        <v>0.25</v>
      </c>
      <c r="AB1409" s="193">
        <f t="shared" si="684"/>
        <v>-4.5146726862299916E-4</v>
      </c>
      <c r="AC1409" s="194">
        <f t="shared" si="685"/>
        <v>5.2700000000000002E-4</v>
      </c>
      <c r="AD1409" s="189"/>
      <c r="AE1409" s="195" t="s">
        <v>403</v>
      </c>
      <c r="AF1409" s="119"/>
    </row>
    <row r="1410" spans="1:32" ht="5.25" customHeight="1">
      <c r="A1410" s="196"/>
      <c r="B1410" s="43"/>
      <c r="C1410" s="43"/>
      <c r="D1410" s="43"/>
      <c r="E1410" s="43"/>
      <c r="F1410" s="43"/>
      <c r="G1410" s="43"/>
      <c r="H1410" s="43"/>
      <c r="I1410" s="43"/>
      <c r="J1410" s="43"/>
      <c r="K1410" s="197"/>
      <c r="L1410" s="198"/>
      <c r="M1410" s="199"/>
      <c r="N1410" s="200"/>
      <c r="O1410" s="200"/>
      <c r="P1410" s="201"/>
      <c r="Q1410" s="201"/>
      <c r="R1410" s="201"/>
      <c r="S1410" s="201"/>
      <c r="T1410" s="201"/>
      <c r="U1410" s="201"/>
      <c r="V1410" s="201"/>
      <c r="W1410" s="201"/>
      <c r="X1410" s="201"/>
      <c r="Y1410" s="202"/>
      <c r="Z1410" s="203"/>
      <c r="AA1410" s="204"/>
      <c r="AB1410" s="205"/>
      <c r="AC1410" s="206"/>
      <c r="AD1410" s="201"/>
      <c r="AE1410" s="207"/>
      <c r="AF1410" s="119"/>
    </row>
    <row r="1411" spans="1:32" ht="12" customHeight="1">
      <c r="A1411" s="100" t="s">
        <v>0</v>
      </c>
      <c r="B1411" s="101" t="s">
        <v>422</v>
      </c>
      <c r="C1411" s="101"/>
      <c r="D1411" s="101"/>
      <c r="E1411" s="101"/>
      <c r="F1411" s="101"/>
      <c r="G1411" s="101"/>
      <c r="H1411" s="102" t="s">
        <v>642</v>
      </c>
      <c r="I1411" s="102" t="s">
        <v>424</v>
      </c>
      <c r="J1411" s="102" t="s">
        <v>425</v>
      </c>
      <c r="K1411" s="103" t="s">
        <v>426</v>
      </c>
      <c r="L1411" s="100" t="s">
        <v>643</v>
      </c>
      <c r="M1411" s="100" t="s">
        <v>644</v>
      </c>
      <c r="N1411" s="100" t="s">
        <v>645</v>
      </c>
      <c r="O1411" s="100" t="s">
        <v>646</v>
      </c>
      <c r="P1411" s="100" t="s">
        <v>430</v>
      </c>
      <c r="Q1411" s="100" t="s">
        <v>647</v>
      </c>
      <c r="R1411" s="100" t="s">
        <v>648</v>
      </c>
      <c r="S1411" s="100" t="s">
        <v>432</v>
      </c>
      <c r="T1411" s="100" t="s">
        <v>433</v>
      </c>
      <c r="U1411" s="100" t="s">
        <v>434</v>
      </c>
      <c r="V1411" s="100" t="s">
        <v>435</v>
      </c>
      <c r="W1411" s="100" t="s">
        <v>436</v>
      </c>
      <c r="X1411" s="100" t="s">
        <v>437</v>
      </c>
      <c r="Y1411" s="100" t="s">
        <v>714</v>
      </c>
      <c r="Z1411" s="100" t="s">
        <v>715</v>
      </c>
      <c r="AA1411" s="104" t="s">
        <v>716</v>
      </c>
      <c r="AB1411" s="100" t="s">
        <v>652</v>
      </c>
      <c r="AC1411" s="100" t="s">
        <v>442</v>
      </c>
      <c r="AD1411" s="101" t="s">
        <v>653</v>
      </c>
      <c r="AE1411" s="100" t="s">
        <v>444</v>
      </c>
      <c r="AF1411" s="105"/>
    </row>
    <row r="1412" spans="1:32" ht="12" customHeight="1">
      <c r="A1412" s="183"/>
      <c r="B1412" s="184"/>
      <c r="C1412" s="184"/>
      <c r="D1412" s="184"/>
      <c r="E1412" s="184"/>
      <c r="F1412" s="184"/>
      <c r="G1412" s="184"/>
      <c r="H1412" s="184" t="s">
        <v>654</v>
      </c>
      <c r="I1412" s="184" t="s">
        <v>469</v>
      </c>
      <c r="J1412" s="184" t="s">
        <v>471</v>
      </c>
      <c r="K1412" s="185"/>
      <c r="L1412" s="186"/>
      <c r="M1412" s="187"/>
      <c r="N1412" s="188">
        <f>IF(L1412*K1412*L$1803&lt;20,ROUND(L1412*K1412*L$1803,2),20)</f>
        <v>0</v>
      </c>
      <c r="O1412" s="188">
        <f>IF(M1412*K1412*L$1803&lt;20,ROUND(M1412*K1412*L$1803,2),20)</f>
        <v>0</v>
      </c>
      <c r="P1412" s="189">
        <f>ROUND((L1412*K1412)+(M1412*K1412),2)</f>
        <v>0</v>
      </c>
      <c r="Q1412" s="189">
        <f>(M1412-L1412)*K1412</f>
        <v>0</v>
      </c>
      <c r="R1412" s="189">
        <f>ROUND(N1412+O1412,2)</f>
        <v>0</v>
      </c>
      <c r="S1412" s="189">
        <f>ROUND((R1412+V1412)*M$1805,2)</f>
        <v>0</v>
      </c>
      <c r="T1412" s="189">
        <f>ROUND((M1412*K1412)*K$1807,2)</f>
        <v>0</v>
      </c>
      <c r="U1412" s="189">
        <f>ROUND((L1412*K1412)*L$1813,2)</f>
        <v>0</v>
      </c>
      <c r="V1412" s="189">
        <f>ROUND(P1412*L$1809,2)</f>
        <v>0</v>
      </c>
      <c r="W1412" s="189">
        <f>ROUND(P1412*J$1815,2)</f>
        <v>0</v>
      </c>
      <c r="X1412" s="189">
        <f>SUM(R1412:W1412)</f>
        <v>0</v>
      </c>
      <c r="Y1412" s="190">
        <f>ROUND(Q1412-X1412,2)</f>
        <v>0</v>
      </c>
      <c r="Z1412" s="191">
        <f>ROUND(Y1412,0)</f>
        <v>0</v>
      </c>
      <c r="AA1412" s="192">
        <f>Z1412-Y1412</f>
        <v>0</v>
      </c>
      <c r="AB1412" s="193" t="e">
        <f>(M1412-L1412)/L1412</f>
        <v>#DIV/0!</v>
      </c>
      <c r="AC1412" s="194" t="e">
        <f>ROUND(X1412/P1412,6)</f>
        <v>#DIV/0!</v>
      </c>
      <c r="AD1412" s="189"/>
      <c r="AE1412" s="195" t="s">
        <v>403</v>
      </c>
      <c r="AF1412" s="119"/>
    </row>
    <row r="1413" spans="1:32" ht="5.25" customHeight="1">
      <c r="A1413" s="176"/>
      <c r="B1413" s="176"/>
      <c r="C1413" s="176"/>
      <c r="D1413" s="176"/>
      <c r="E1413" s="176"/>
      <c r="F1413" s="176"/>
      <c r="G1413" s="176"/>
      <c r="H1413" s="93"/>
      <c r="I1413" s="93"/>
      <c r="J1413" s="93"/>
      <c r="K1413" s="93"/>
      <c r="L1413" s="208"/>
      <c r="M1413" s="208"/>
      <c r="N1413" s="178"/>
      <c r="O1413" s="178"/>
      <c r="P1413" s="177"/>
      <c r="Q1413" s="177"/>
      <c r="R1413" s="93"/>
      <c r="S1413" s="93"/>
      <c r="T1413" s="93"/>
      <c r="U1413" s="93"/>
      <c r="V1413" s="93"/>
      <c r="W1413" s="93"/>
      <c r="X1413" s="93"/>
      <c r="Y1413" s="93"/>
      <c r="Z1413" s="93"/>
      <c r="AA1413" s="93"/>
      <c r="AB1413" s="93"/>
      <c r="AC1413" s="181"/>
      <c r="AD1413" s="176"/>
      <c r="AE1413" s="41"/>
      <c r="AF1413" s="119"/>
    </row>
    <row r="1414" spans="1:32">
      <c r="A1414" s="100" t="s">
        <v>0</v>
      </c>
      <c r="B1414" s="101" t="s">
        <v>717</v>
      </c>
      <c r="C1414" s="101" t="s">
        <v>718</v>
      </c>
      <c r="D1414" s="101" t="s">
        <v>422</v>
      </c>
      <c r="E1414" s="101" t="s">
        <v>719</v>
      </c>
      <c r="F1414" s="101" t="s">
        <v>720</v>
      </c>
      <c r="G1414" s="101" t="s">
        <v>721</v>
      </c>
      <c r="H1414" s="102" t="s">
        <v>722</v>
      </c>
      <c r="I1414" s="102" t="s">
        <v>723</v>
      </c>
      <c r="J1414" s="102" t="s">
        <v>724</v>
      </c>
      <c r="K1414" s="103" t="s">
        <v>426</v>
      </c>
      <c r="L1414" s="100" t="s">
        <v>643</v>
      </c>
      <c r="M1414" s="100" t="s">
        <v>644</v>
      </c>
      <c r="N1414" s="100" t="s">
        <v>725</v>
      </c>
      <c r="O1414" s="100" t="s">
        <v>726</v>
      </c>
      <c r="P1414" s="100" t="s">
        <v>430</v>
      </c>
      <c r="Q1414" s="100" t="s">
        <v>647</v>
      </c>
      <c r="R1414" s="100" t="s">
        <v>648</v>
      </c>
      <c r="S1414" s="100" t="s">
        <v>432</v>
      </c>
      <c r="T1414" s="100" t="s">
        <v>433</v>
      </c>
      <c r="U1414" s="100" t="s">
        <v>434</v>
      </c>
      <c r="V1414" s="100" t="s">
        <v>435</v>
      </c>
      <c r="W1414" s="100" t="s">
        <v>436</v>
      </c>
      <c r="X1414" s="100" t="s">
        <v>437</v>
      </c>
      <c r="Y1414" s="100" t="s">
        <v>727</v>
      </c>
      <c r="Z1414" s="100" t="s">
        <v>728</v>
      </c>
      <c r="AA1414" s="104" t="s">
        <v>729</v>
      </c>
      <c r="AB1414" s="100" t="s">
        <v>652</v>
      </c>
      <c r="AC1414" s="100" t="s">
        <v>442</v>
      </c>
      <c r="AD1414" s="101" t="s">
        <v>653</v>
      </c>
      <c r="AE1414" s="100" t="s">
        <v>444</v>
      </c>
      <c r="AF1414" s="105"/>
    </row>
    <row r="1415" spans="1:32" ht="12" hidden="1" customHeight="1">
      <c r="A1415" s="209">
        <v>44503</v>
      </c>
      <c r="B1415" s="152" t="s">
        <v>730</v>
      </c>
      <c r="C1415" s="152" t="str">
        <f t="shared" ref="C1415:C1776" ca="1" si="874">IF(OR(D1415="NIFTY",D1415="BANKNIFTY"),"Indices","Stocks")</f>
        <v>Indices</v>
      </c>
      <c r="D1415" s="152" t="str">
        <f ca="1">IFERROR(__xludf.DUMMYFUNCTION("split(B1415,"" "")"),"BANKNIFTY")</f>
        <v>BANKNIFTY</v>
      </c>
      <c r="E1415" s="210">
        <f ca="1">IFERROR(__xludf.DUMMYFUNCTION("""COMPUTED_VALUE"""),45233)</f>
        <v>45233</v>
      </c>
      <c r="F1415" s="152">
        <f ca="1">IFERROR(__xludf.DUMMYFUNCTION("""COMPUTED_VALUE"""),40100)</f>
        <v>40100</v>
      </c>
      <c r="G1415" s="152" t="str">
        <f ca="1">IFERROR(__xludf.DUMMYFUNCTION("""COMPUTED_VALUE"""),"CE")</f>
        <v>CE</v>
      </c>
      <c r="H1415" s="211">
        <v>25</v>
      </c>
      <c r="I1415" s="212">
        <v>1</v>
      </c>
      <c r="J1415" s="212">
        <v>2</v>
      </c>
      <c r="K1415" s="213">
        <f t="shared" ref="K1415:K1776" si="875">H1415*I1415*J1415</f>
        <v>50</v>
      </c>
      <c r="L1415" s="214">
        <v>56</v>
      </c>
      <c r="M1415" s="215">
        <v>16.774999999999999</v>
      </c>
      <c r="N1415" s="216">
        <f t="shared" ref="N1415:N1776" si="876">ROUND(K1415*L1415,2)</f>
        <v>2800</v>
      </c>
      <c r="O1415" s="216">
        <f t="shared" ref="O1415:O1776" si="877">ROUND(K1415*M1415,2)</f>
        <v>838.75</v>
      </c>
      <c r="P1415" s="217">
        <f t="shared" ref="P1415:P1776" si="878">SUM(N1415:O1415)</f>
        <v>3638.75</v>
      </c>
      <c r="Q1415" s="217">
        <f t="shared" ref="Q1415:Q1776" si="879">(M1415-L1415)*K1415</f>
        <v>-1961.25</v>
      </c>
      <c r="R1415" s="217">
        <f t="shared" ref="R1415:R1419" si="880">IF(AND(L1415="",M1415=""),0,IF(L1415=0,0,L$1804*J1415)+IF(M1415=0,0,L$1804*J1415))</f>
        <v>80</v>
      </c>
      <c r="S1415" s="217">
        <f t="shared" ref="S1415:S1776" si="881">ROUND((R1415+V1415)*M$1805,2)</f>
        <v>14.75</v>
      </c>
      <c r="T1415" s="217">
        <f t="shared" ref="T1415:T1776" si="882">ROUND(O1415*K$1808,2)</f>
        <v>0.42</v>
      </c>
      <c r="U1415" s="217">
        <f t="shared" ref="U1415:U1776" si="883">ROUND(N1415*L$1814,2)</f>
        <v>0.08</v>
      </c>
      <c r="V1415" s="217">
        <f t="shared" ref="V1415:V1776" si="884">ROUND(P1415*M$1811,2)</f>
        <v>1.93</v>
      </c>
      <c r="W1415" s="217">
        <f t="shared" ref="W1415:W1776" si="885">ROUND(P1415*J$1815,2)</f>
        <v>0</v>
      </c>
      <c r="X1415" s="217">
        <f t="shared" ref="X1415:X1776" si="886">SUM(R1415:W1415)</f>
        <v>97.18</v>
      </c>
      <c r="Y1415" s="218">
        <f t="shared" ref="Y1415:Y1776" si="887">ROUND(Q1415-X1415,2)</f>
        <v>-2058.4299999999998</v>
      </c>
      <c r="Z1415" s="219">
        <v>-2057.9299999999998</v>
      </c>
      <c r="AA1415" s="220">
        <f t="shared" ref="AA1415:AA1776" si="888">Z1415-Y1415</f>
        <v>0.5</v>
      </c>
      <c r="AB1415" s="221">
        <f t="shared" ref="AB1415:AB1776" si="889">IFERROR((M1415-L1415)/L1415,0)</f>
        <v>-0.70044642857142858</v>
      </c>
      <c r="AC1415" s="222">
        <f t="shared" ref="AC1415:AC1776" si="890">ROUND(X1415/P1415,6)</f>
        <v>2.6707000000000002E-2</v>
      </c>
      <c r="AD1415" s="217"/>
      <c r="AE1415" s="223" t="s">
        <v>403</v>
      </c>
      <c r="AF1415" s="119"/>
    </row>
    <row r="1416" spans="1:32" ht="12" hidden="1" customHeight="1">
      <c r="A1416" s="209">
        <v>44579</v>
      </c>
      <c r="B1416" s="152" t="s">
        <v>731</v>
      </c>
      <c r="C1416" s="152" t="str">
        <f t="shared" ca="1" si="874"/>
        <v>Indices</v>
      </c>
      <c r="D1416" s="152" t="str">
        <f ca="1">IFERROR(__xludf.DUMMYFUNCTION("split(B1416,"" "")"),"BANKNIFTY")</f>
        <v>BANKNIFTY</v>
      </c>
      <c r="E1416" s="224">
        <f ca="1">IFERROR(__xludf.DUMMYFUNCTION("""COMPUTED_VALUE"""),44946)</f>
        <v>44946</v>
      </c>
      <c r="F1416" s="152">
        <f ca="1">IFERROR(__xludf.DUMMYFUNCTION("""COMPUTED_VALUE"""),38700)</f>
        <v>38700</v>
      </c>
      <c r="G1416" s="152" t="str">
        <f ca="1">IFERROR(__xludf.DUMMYFUNCTION("""COMPUTED_VALUE"""),"CE")</f>
        <v>CE</v>
      </c>
      <c r="H1416" s="211">
        <v>25</v>
      </c>
      <c r="I1416" s="212">
        <v>1</v>
      </c>
      <c r="J1416" s="212">
        <v>1</v>
      </c>
      <c r="K1416" s="213">
        <f t="shared" si="875"/>
        <v>25</v>
      </c>
      <c r="L1416" s="214">
        <v>140</v>
      </c>
      <c r="M1416" s="215">
        <v>150</v>
      </c>
      <c r="N1416" s="216">
        <f t="shared" si="876"/>
        <v>3500</v>
      </c>
      <c r="O1416" s="216">
        <f t="shared" si="877"/>
        <v>3750</v>
      </c>
      <c r="P1416" s="217">
        <f t="shared" si="878"/>
        <v>7250</v>
      </c>
      <c r="Q1416" s="217">
        <f t="shared" si="879"/>
        <v>250</v>
      </c>
      <c r="R1416" s="217">
        <f t="shared" si="880"/>
        <v>40</v>
      </c>
      <c r="S1416" s="217">
        <f t="shared" si="881"/>
        <v>7.89</v>
      </c>
      <c r="T1416" s="217">
        <f t="shared" si="882"/>
        <v>1.88</v>
      </c>
      <c r="U1416" s="217">
        <f t="shared" si="883"/>
        <v>0.11</v>
      </c>
      <c r="V1416" s="217">
        <f t="shared" si="884"/>
        <v>3.84</v>
      </c>
      <c r="W1416" s="217">
        <f t="shared" si="885"/>
        <v>0.01</v>
      </c>
      <c r="X1416" s="217">
        <f t="shared" si="886"/>
        <v>53.73</v>
      </c>
      <c r="Y1416" s="218">
        <f t="shared" si="887"/>
        <v>196.27</v>
      </c>
      <c r="Z1416" s="219">
        <v>196.26</v>
      </c>
      <c r="AA1416" s="220">
        <f t="shared" si="888"/>
        <v>-1.0000000000019327E-2</v>
      </c>
      <c r="AB1416" s="221">
        <f t="shared" si="889"/>
        <v>7.1428571428571425E-2</v>
      </c>
      <c r="AC1416" s="222">
        <f t="shared" si="890"/>
        <v>7.4110000000000001E-3</v>
      </c>
      <c r="AD1416" s="217"/>
      <c r="AE1416" s="223" t="s">
        <v>403</v>
      </c>
      <c r="AF1416" s="119"/>
    </row>
    <row r="1417" spans="1:32" ht="12" hidden="1" customHeight="1">
      <c r="A1417" s="209">
        <v>44592</v>
      </c>
      <c r="B1417" s="152" t="s">
        <v>732</v>
      </c>
      <c r="C1417" s="152" t="str">
        <f t="shared" ca="1" si="874"/>
        <v>Indices</v>
      </c>
      <c r="D1417" s="152" t="str">
        <f ca="1">IFERROR(__xludf.DUMMYFUNCTION("split(B1417,"" "")"),"NIFTY")</f>
        <v>NIFTY</v>
      </c>
      <c r="E1417" s="210">
        <f ca="1">IFERROR(__xludf.DUMMYFUNCTION("""COMPUTED_VALUE"""),44960)</f>
        <v>44960</v>
      </c>
      <c r="F1417" s="152">
        <f ca="1">IFERROR(__xludf.DUMMYFUNCTION("""COMPUTED_VALUE"""),17600)</f>
        <v>17600</v>
      </c>
      <c r="G1417" s="152" t="str">
        <f ca="1">IFERROR(__xludf.DUMMYFUNCTION("""COMPUTED_VALUE"""),"CE")</f>
        <v>CE</v>
      </c>
      <c r="H1417" s="211">
        <v>50</v>
      </c>
      <c r="I1417" s="212">
        <v>1</v>
      </c>
      <c r="J1417" s="212">
        <v>1</v>
      </c>
      <c r="K1417" s="213">
        <f t="shared" si="875"/>
        <v>50</v>
      </c>
      <c r="L1417" s="214">
        <v>100</v>
      </c>
      <c r="M1417" s="215">
        <v>115</v>
      </c>
      <c r="N1417" s="216">
        <f t="shared" si="876"/>
        <v>5000</v>
      </c>
      <c r="O1417" s="216">
        <f t="shared" si="877"/>
        <v>5750</v>
      </c>
      <c r="P1417" s="217">
        <f t="shared" si="878"/>
        <v>10750</v>
      </c>
      <c r="Q1417" s="217">
        <f t="shared" si="879"/>
        <v>750</v>
      </c>
      <c r="R1417" s="217">
        <f t="shared" si="880"/>
        <v>40</v>
      </c>
      <c r="S1417" s="217">
        <f t="shared" si="881"/>
        <v>8.23</v>
      </c>
      <c r="T1417" s="217">
        <f t="shared" si="882"/>
        <v>2.88</v>
      </c>
      <c r="U1417" s="217">
        <f t="shared" si="883"/>
        <v>0.15</v>
      </c>
      <c r="V1417" s="217">
        <f t="shared" si="884"/>
        <v>5.7</v>
      </c>
      <c r="W1417" s="217">
        <f t="shared" si="885"/>
        <v>0.01</v>
      </c>
      <c r="X1417" s="217">
        <f t="shared" si="886"/>
        <v>56.970000000000006</v>
      </c>
      <c r="Y1417" s="218">
        <f t="shared" si="887"/>
        <v>693.03</v>
      </c>
      <c r="Z1417" s="219">
        <v>693.07</v>
      </c>
      <c r="AA1417" s="220">
        <f t="shared" si="888"/>
        <v>4.0000000000077307E-2</v>
      </c>
      <c r="AB1417" s="221">
        <f t="shared" si="889"/>
        <v>0.15</v>
      </c>
      <c r="AC1417" s="222">
        <f t="shared" si="890"/>
        <v>5.3E-3</v>
      </c>
      <c r="AD1417" s="217"/>
      <c r="AE1417" s="223" t="s">
        <v>403</v>
      </c>
      <c r="AF1417" s="119"/>
    </row>
    <row r="1418" spans="1:32" ht="12" hidden="1" customHeight="1">
      <c r="A1418" s="209">
        <v>44600</v>
      </c>
      <c r="B1418" s="152" t="s">
        <v>50</v>
      </c>
      <c r="C1418" s="152" t="str">
        <f t="shared" ca="1" si="874"/>
        <v>Stocks</v>
      </c>
      <c r="D1418" s="152" t="str">
        <f ca="1">IFERROR(__xludf.DUMMYFUNCTION("split(B1418,"" "")"),"SUNPHARMA")</f>
        <v>SUNPHARMA</v>
      </c>
      <c r="E1418" s="210" t="str">
        <f ca="1">IFERROR(__xludf.DUMMYFUNCTION("""COMPUTED_VALUE"""),"FEB")</f>
        <v>FEB</v>
      </c>
      <c r="F1418" s="152">
        <f ca="1">IFERROR(__xludf.DUMMYFUNCTION("""COMPUTED_VALUE"""),900)</f>
        <v>900</v>
      </c>
      <c r="G1418" s="152" t="str">
        <f ca="1">IFERROR(__xludf.DUMMYFUNCTION("""COMPUTED_VALUE"""),"CE")</f>
        <v>CE</v>
      </c>
      <c r="H1418" s="211">
        <v>700</v>
      </c>
      <c r="I1418" s="212">
        <v>1</v>
      </c>
      <c r="J1418" s="212">
        <v>1</v>
      </c>
      <c r="K1418" s="213">
        <f t="shared" si="875"/>
        <v>700</v>
      </c>
      <c r="L1418" s="214">
        <v>11.25</v>
      </c>
      <c r="M1418" s="215">
        <v>13.25</v>
      </c>
      <c r="N1418" s="216">
        <f t="shared" si="876"/>
        <v>7875</v>
      </c>
      <c r="O1418" s="216">
        <f t="shared" si="877"/>
        <v>9275</v>
      </c>
      <c r="P1418" s="217">
        <f t="shared" si="878"/>
        <v>17150</v>
      </c>
      <c r="Q1418" s="217">
        <f t="shared" si="879"/>
        <v>1400</v>
      </c>
      <c r="R1418" s="217">
        <f t="shared" si="880"/>
        <v>40</v>
      </c>
      <c r="S1418" s="217">
        <f t="shared" si="881"/>
        <v>8.84</v>
      </c>
      <c r="T1418" s="217">
        <f t="shared" si="882"/>
        <v>4.6399999999999997</v>
      </c>
      <c r="U1418" s="217">
        <f t="shared" si="883"/>
        <v>0.24</v>
      </c>
      <c r="V1418" s="217">
        <f t="shared" si="884"/>
        <v>9.09</v>
      </c>
      <c r="W1418" s="217">
        <f t="shared" si="885"/>
        <v>0.02</v>
      </c>
      <c r="X1418" s="217">
        <f t="shared" si="886"/>
        <v>62.830000000000005</v>
      </c>
      <c r="Y1418" s="218">
        <f t="shared" si="887"/>
        <v>1337.17</v>
      </c>
      <c r="Z1418" s="219">
        <v>1337.5</v>
      </c>
      <c r="AA1418" s="220">
        <f t="shared" si="888"/>
        <v>0.32999999999992724</v>
      </c>
      <c r="AB1418" s="221">
        <f t="shared" si="889"/>
        <v>0.17777777777777778</v>
      </c>
      <c r="AC1418" s="222">
        <f t="shared" si="890"/>
        <v>3.6640000000000002E-3</v>
      </c>
      <c r="AD1418" s="217"/>
      <c r="AE1418" s="223" t="s">
        <v>403</v>
      </c>
      <c r="AF1418" s="119"/>
    </row>
    <row r="1419" spans="1:32" ht="12" hidden="1" customHeight="1">
      <c r="A1419" s="209">
        <v>44600</v>
      </c>
      <c r="B1419" s="152" t="s">
        <v>50</v>
      </c>
      <c r="C1419" s="152" t="str">
        <f t="shared" ca="1" si="874"/>
        <v>Stocks</v>
      </c>
      <c r="D1419" s="152" t="str">
        <f ca="1">IFERROR(__xludf.DUMMYFUNCTION("split(B1419,"" "")"),"SUNPHARMA")</f>
        <v>SUNPHARMA</v>
      </c>
      <c r="E1419" s="152" t="str">
        <f ca="1">IFERROR(__xludf.DUMMYFUNCTION("""COMPUTED_VALUE"""),"FEB")</f>
        <v>FEB</v>
      </c>
      <c r="F1419" s="152">
        <f ca="1">IFERROR(__xludf.DUMMYFUNCTION("""COMPUTED_VALUE"""),900)</f>
        <v>900</v>
      </c>
      <c r="G1419" s="152" t="str">
        <f ca="1">IFERROR(__xludf.DUMMYFUNCTION("""COMPUTED_VALUE"""),"CE")</f>
        <v>CE</v>
      </c>
      <c r="H1419" s="211">
        <v>700</v>
      </c>
      <c r="I1419" s="212">
        <v>1</v>
      </c>
      <c r="J1419" s="212">
        <v>2</v>
      </c>
      <c r="K1419" s="213">
        <f t="shared" si="875"/>
        <v>1400</v>
      </c>
      <c r="L1419" s="214">
        <v>9.8000000000000007</v>
      </c>
      <c r="M1419" s="215">
        <v>10.55</v>
      </c>
      <c r="N1419" s="216">
        <f t="shared" si="876"/>
        <v>13720</v>
      </c>
      <c r="O1419" s="216">
        <f t="shared" si="877"/>
        <v>14770</v>
      </c>
      <c r="P1419" s="217">
        <f t="shared" si="878"/>
        <v>28490</v>
      </c>
      <c r="Q1419" s="217">
        <f t="shared" si="879"/>
        <v>1050</v>
      </c>
      <c r="R1419" s="217">
        <f t="shared" si="880"/>
        <v>80</v>
      </c>
      <c r="S1419" s="217">
        <f t="shared" si="881"/>
        <v>17.12</v>
      </c>
      <c r="T1419" s="217">
        <f t="shared" si="882"/>
        <v>7.39</v>
      </c>
      <c r="U1419" s="217">
        <f t="shared" si="883"/>
        <v>0.41</v>
      </c>
      <c r="V1419" s="217">
        <f t="shared" si="884"/>
        <v>15.1</v>
      </c>
      <c r="W1419" s="217">
        <f t="shared" si="885"/>
        <v>0.03</v>
      </c>
      <c r="X1419" s="217">
        <f t="shared" si="886"/>
        <v>120.05</v>
      </c>
      <c r="Y1419" s="218">
        <f t="shared" si="887"/>
        <v>929.95</v>
      </c>
      <c r="Z1419" s="219">
        <f>929.95+0.36</f>
        <v>930.31000000000006</v>
      </c>
      <c r="AA1419" s="220">
        <f t="shared" si="888"/>
        <v>0.36000000000001364</v>
      </c>
      <c r="AB1419" s="221">
        <f t="shared" si="889"/>
        <v>7.6530612244897947E-2</v>
      </c>
      <c r="AC1419" s="222">
        <f t="shared" si="890"/>
        <v>4.2139999999999999E-3</v>
      </c>
      <c r="AD1419" s="217"/>
      <c r="AE1419" s="223" t="s">
        <v>403</v>
      </c>
      <c r="AF1419" s="119"/>
    </row>
    <row r="1420" spans="1:32" ht="12" hidden="1" customHeight="1">
      <c r="A1420" s="209">
        <v>44601</v>
      </c>
      <c r="B1420" s="152" t="s">
        <v>51</v>
      </c>
      <c r="C1420" s="152" t="str">
        <f t="shared" ca="1" si="874"/>
        <v>Stocks</v>
      </c>
      <c r="D1420" s="152" t="str">
        <f ca="1">IFERROR(__xludf.DUMMYFUNCTION("split(B1420,"" "")"),"SAIL")</f>
        <v>SAIL</v>
      </c>
      <c r="E1420" s="152" t="str">
        <f ca="1">IFERROR(__xludf.DUMMYFUNCTION("""COMPUTED_VALUE"""),"FEB")</f>
        <v>FEB</v>
      </c>
      <c r="F1420" s="152">
        <f ca="1">IFERROR(__xludf.DUMMYFUNCTION("""COMPUTED_VALUE"""),107.5)</f>
        <v>107.5</v>
      </c>
      <c r="G1420" s="152" t="str">
        <f ca="1">IFERROR(__xludf.DUMMYFUNCTION("""COMPUTED_VALUE"""),"CE")</f>
        <v>CE</v>
      </c>
      <c r="H1420" s="211">
        <v>4750</v>
      </c>
      <c r="I1420" s="212">
        <v>1</v>
      </c>
      <c r="J1420" s="212">
        <v>3</v>
      </c>
      <c r="K1420" s="213">
        <f t="shared" si="875"/>
        <v>14250</v>
      </c>
      <c r="L1420" s="214">
        <v>2.2667000000000002</v>
      </c>
      <c r="M1420" s="215">
        <v>2.4167000000000001</v>
      </c>
      <c r="N1420" s="216">
        <f t="shared" si="876"/>
        <v>32300.48</v>
      </c>
      <c r="O1420" s="216">
        <f t="shared" si="877"/>
        <v>34437.980000000003</v>
      </c>
      <c r="P1420" s="217">
        <f t="shared" si="878"/>
        <v>66738.460000000006</v>
      </c>
      <c r="Q1420" s="217">
        <f t="shared" si="879"/>
        <v>2137.4999999999986</v>
      </c>
      <c r="R1420" s="217">
        <v>100</v>
      </c>
      <c r="S1420" s="217">
        <f t="shared" si="881"/>
        <v>24.37</v>
      </c>
      <c r="T1420" s="217">
        <f t="shared" si="882"/>
        <v>17.22</v>
      </c>
      <c r="U1420" s="217">
        <f t="shared" si="883"/>
        <v>0.97</v>
      </c>
      <c r="V1420" s="217">
        <f t="shared" si="884"/>
        <v>35.369999999999997</v>
      </c>
      <c r="W1420" s="217">
        <f t="shared" si="885"/>
        <v>7.0000000000000007E-2</v>
      </c>
      <c r="X1420" s="217">
        <f t="shared" si="886"/>
        <v>178</v>
      </c>
      <c r="Y1420" s="218">
        <f t="shared" si="887"/>
        <v>1959.5</v>
      </c>
      <c r="Z1420" s="219">
        <v>1959.5</v>
      </c>
      <c r="AA1420" s="220">
        <f t="shared" si="888"/>
        <v>0</v>
      </c>
      <c r="AB1420" s="221">
        <f t="shared" si="889"/>
        <v>6.6175497419155557E-2</v>
      </c>
      <c r="AC1420" s="222">
        <f t="shared" si="890"/>
        <v>2.6670000000000001E-3</v>
      </c>
      <c r="AD1420" s="217"/>
      <c r="AE1420" s="223" t="s">
        <v>403</v>
      </c>
      <c r="AF1420" s="119"/>
    </row>
    <row r="1421" spans="1:32" ht="12" hidden="1" customHeight="1">
      <c r="A1421" s="209">
        <v>44601</v>
      </c>
      <c r="B1421" s="152" t="s">
        <v>50</v>
      </c>
      <c r="C1421" s="152" t="str">
        <f t="shared" ca="1" si="874"/>
        <v>Stocks</v>
      </c>
      <c r="D1421" s="152" t="str">
        <f ca="1">IFERROR(__xludf.DUMMYFUNCTION("split(B1421,"" "")"),"SUNPHARMA")</f>
        <v>SUNPHARMA</v>
      </c>
      <c r="E1421" s="152" t="str">
        <f ca="1">IFERROR(__xludf.DUMMYFUNCTION("""COMPUTED_VALUE"""),"FEB")</f>
        <v>FEB</v>
      </c>
      <c r="F1421" s="152">
        <f ca="1">IFERROR(__xludf.DUMMYFUNCTION("""COMPUTED_VALUE"""),900)</f>
        <v>900</v>
      </c>
      <c r="G1421" s="152" t="str">
        <f ca="1">IFERROR(__xludf.DUMMYFUNCTION("""COMPUTED_VALUE"""),"CE")</f>
        <v>CE</v>
      </c>
      <c r="H1421" s="211">
        <v>700</v>
      </c>
      <c r="I1421" s="212">
        <v>1</v>
      </c>
      <c r="J1421" s="212">
        <v>1</v>
      </c>
      <c r="K1421" s="213">
        <f t="shared" si="875"/>
        <v>700</v>
      </c>
      <c r="L1421" s="214">
        <v>12</v>
      </c>
      <c r="M1421" s="215">
        <v>13</v>
      </c>
      <c r="N1421" s="216">
        <f t="shared" si="876"/>
        <v>8400</v>
      </c>
      <c r="O1421" s="216">
        <f t="shared" si="877"/>
        <v>9100</v>
      </c>
      <c r="P1421" s="217">
        <f t="shared" si="878"/>
        <v>17500</v>
      </c>
      <c r="Q1421" s="217">
        <f t="shared" si="879"/>
        <v>700</v>
      </c>
      <c r="R1421" s="217">
        <f t="shared" ref="R1421:R1690" si="891">IF(AND(L1421="",M1421=""),0,IF(L1421=0,0,L$1804*J1421)+IF(M1421=0,0,L$1804*J1421))</f>
        <v>40</v>
      </c>
      <c r="S1421" s="217">
        <f t="shared" si="881"/>
        <v>8.8699999999999992</v>
      </c>
      <c r="T1421" s="217">
        <f t="shared" si="882"/>
        <v>4.55</v>
      </c>
      <c r="U1421" s="217">
        <f t="shared" si="883"/>
        <v>0.25</v>
      </c>
      <c r="V1421" s="217">
        <f t="shared" si="884"/>
        <v>9.2799999999999994</v>
      </c>
      <c r="W1421" s="217">
        <f t="shared" si="885"/>
        <v>0.02</v>
      </c>
      <c r="X1421" s="217">
        <f t="shared" si="886"/>
        <v>62.97</v>
      </c>
      <c r="Y1421" s="218">
        <f t="shared" si="887"/>
        <v>637.03</v>
      </c>
      <c r="Z1421" s="219">
        <v>637.03</v>
      </c>
      <c r="AA1421" s="220">
        <f t="shared" si="888"/>
        <v>0</v>
      </c>
      <c r="AB1421" s="221">
        <f t="shared" si="889"/>
        <v>8.3333333333333329E-2</v>
      </c>
      <c r="AC1421" s="222">
        <f t="shared" si="890"/>
        <v>3.5980000000000001E-3</v>
      </c>
      <c r="AD1421" s="217"/>
      <c r="AE1421" s="223" t="s">
        <v>403</v>
      </c>
      <c r="AF1421" s="119"/>
    </row>
    <row r="1422" spans="1:32" ht="12" hidden="1" customHeight="1">
      <c r="A1422" s="209">
        <v>44602</v>
      </c>
      <c r="B1422" s="152" t="s">
        <v>50</v>
      </c>
      <c r="C1422" s="152" t="str">
        <f t="shared" ca="1" si="874"/>
        <v>Stocks</v>
      </c>
      <c r="D1422" s="152" t="str">
        <f ca="1">IFERROR(__xludf.DUMMYFUNCTION("split(B1422,"" "")"),"SUNPHARMA")</f>
        <v>SUNPHARMA</v>
      </c>
      <c r="E1422" s="152" t="str">
        <f ca="1">IFERROR(__xludf.DUMMYFUNCTION("""COMPUTED_VALUE"""),"FEB")</f>
        <v>FEB</v>
      </c>
      <c r="F1422" s="152">
        <f ca="1">IFERROR(__xludf.DUMMYFUNCTION("""COMPUTED_VALUE"""),900)</f>
        <v>900</v>
      </c>
      <c r="G1422" s="152" t="str">
        <f ca="1">IFERROR(__xludf.DUMMYFUNCTION("""COMPUTED_VALUE"""),"CE")</f>
        <v>CE</v>
      </c>
      <c r="H1422" s="211">
        <v>700</v>
      </c>
      <c r="I1422" s="212">
        <v>1</v>
      </c>
      <c r="J1422" s="212">
        <v>1</v>
      </c>
      <c r="K1422" s="213">
        <f t="shared" si="875"/>
        <v>700</v>
      </c>
      <c r="L1422" s="214">
        <v>11.2</v>
      </c>
      <c r="M1422" s="215">
        <v>10.6</v>
      </c>
      <c r="N1422" s="216">
        <f t="shared" si="876"/>
        <v>7840</v>
      </c>
      <c r="O1422" s="216">
        <f t="shared" si="877"/>
        <v>7420</v>
      </c>
      <c r="P1422" s="217">
        <f t="shared" si="878"/>
        <v>15260</v>
      </c>
      <c r="Q1422" s="217">
        <f t="shared" si="879"/>
        <v>-419.99999999999977</v>
      </c>
      <c r="R1422" s="217">
        <f t="shared" si="891"/>
        <v>40</v>
      </c>
      <c r="S1422" s="217">
        <f t="shared" si="881"/>
        <v>8.66</v>
      </c>
      <c r="T1422" s="217">
        <f t="shared" si="882"/>
        <v>3.71</v>
      </c>
      <c r="U1422" s="217">
        <f t="shared" si="883"/>
        <v>0.24</v>
      </c>
      <c r="V1422" s="217">
        <f t="shared" si="884"/>
        <v>8.09</v>
      </c>
      <c r="W1422" s="217">
        <f t="shared" si="885"/>
        <v>0.02</v>
      </c>
      <c r="X1422" s="217">
        <f t="shared" si="886"/>
        <v>60.720000000000006</v>
      </c>
      <c r="Y1422" s="218">
        <f t="shared" si="887"/>
        <v>-480.72</v>
      </c>
      <c r="Z1422" s="219">
        <v>-480.72</v>
      </c>
      <c r="AA1422" s="220">
        <f t="shared" si="888"/>
        <v>0</v>
      </c>
      <c r="AB1422" s="221">
        <f t="shared" si="889"/>
        <v>-5.3571428571428541E-2</v>
      </c>
      <c r="AC1422" s="222">
        <f t="shared" si="890"/>
        <v>3.9789999999999999E-3</v>
      </c>
      <c r="AD1422" s="217"/>
      <c r="AE1422" s="223" t="s">
        <v>403</v>
      </c>
      <c r="AF1422" s="119"/>
    </row>
    <row r="1423" spans="1:32" ht="12" hidden="1" customHeight="1">
      <c r="A1423" s="209">
        <v>44602</v>
      </c>
      <c r="B1423" s="152" t="s">
        <v>51</v>
      </c>
      <c r="C1423" s="152" t="str">
        <f t="shared" ca="1" si="874"/>
        <v>Stocks</v>
      </c>
      <c r="D1423" s="152" t="str">
        <f ca="1">IFERROR(__xludf.DUMMYFUNCTION("split(B1423,"" "")"),"SAIL")</f>
        <v>SAIL</v>
      </c>
      <c r="E1423" s="152" t="str">
        <f ca="1">IFERROR(__xludf.DUMMYFUNCTION("""COMPUTED_VALUE"""),"FEB")</f>
        <v>FEB</v>
      </c>
      <c r="F1423" s="152">
        <f ca="1">IFERROR(__xludf.DUMMYFUNCTION("""COMPUTED_VALUE"""),107.5)</f>
        <v>107.5</v>
      </c>
      <c r="G1423" s="152" t="str">
        <f ca="1">IFERROR(__xludf.DUMMYFUNCTION("""COMPUTED_VALUE"""),"CE")</f>
        <v>CE</v>
      </c>
      <c r="H1423" s="211">
        <v>4750</v>
      </c>
      <c r="I1423" s="212">
        <v>1</v>
      </c>
      <c r="J1423" s="212">
        <v>1</v>
      </c>
      <c r="K1423" s="213">
        <f t="shared" si="875"/>
        <v>4750</v>
      </c>
      <c r="L1423" s="214">
        <v>2.2000000000000002</v>
      </c>
      <c r="M1423" s="215">
        <v>2.7</v>
      </c>
      <c r="N1423" s="216">
        <f t="shared" si="876"/>
        <v>10450</v>
      </c>
      <c r="O1423" s="216">
        <f t="shared" si="877"/>
        <v>12825</v>
      </c>
      <c r="P1423" s="217">
        <f t="shared" si="878"/>
        <v>23275</v>
      </c>
      <c r="Q1423" s="217">
        <f t="shared" si="879"/>
        <v>2375</v>
      </c>
      <c r="R1423" s="217">
        <f t="shared" si="891"/>
        <v>40</v>
      </c>
      <c r="S1423" s="217">
        <f t="shared" si="881"/>
        <v>9.42</v>
      </c>
      <c r="T1423" s="217">
        <f t="shared" si="882"/>
        <v>6.41</v>
      </c>
      <c r="U1423" s="217">
        <f t="shared" si="883"/>
        <v>0.31</v>
      </c>
      <c r="V1423" s="217">
        <f t="shared" si="884"/>
        <v>12.34</v>
      </c>
      <c r="W1423" s="217">
        <f t="shared" si="885"/>
        <v>0.02</v>
      </c>
      <c r="X1423" s="217">
        <f t="shared" si="886"/>
        <v>68.5</v>
      </c>
      <c r="Y1423" s="218">
        <f t="shared" si="887"/>
        <v>2306.5</v>
      </c>
      <c r="Z1423" s="219">
        <v>2306.5</v>
      </c>
      <c r="AA1423" s="220">
        <f t="shared" si="888"/>
        <v>0</v>
      </c>
      <c r="AB1423" s="221">
        <f t="shared" si="889"/>
        <v>0.22727272727272727</v>
      </c>
      <c r="AC1423" s="222">
        <f t="shared" si="890"/>
        <v>2.9429999999999999E-3</v>
      </c>
      <c r="AD1423" s="217"/>
      <c r="AE1423" s="223" t="s">
        <v>403</v>
      </c>
      <c r="AF1423" s="119"/>
    </row>
    <row r="1424" spans="1:32" ht="12" hidden="1" customHeight="1">
      <c r="A1424" s="148">
        <v>44602</v>
      </c>
      <c r="B1424" s="152" t="s">
        <v>51</v>
      </c>
      <c r="C1424" s="152" t="str">
        <f t="shared" ca="1" si="874"/>
        <v>Stocks</v>
      </c>
      <c r="D1424" s="152" t="str">
        <f ca="1">IFERROR(__xludf.DUMMYFUNCTION("split(B1424,"" "")"),"SAIL")</f>
        <v>SAIL</v>
      </c>
      <c r="E1424" s="152" t="str">
        <f ca="1">IFERROR(__xludf.DUMMYFUNCTION("""COMPUTED_VALUE"""),"FEB")</f>
        <v>FEB</v>
      </c>
      <c r="F1424" s="152">
        <f ca="1">IFERROR(__xludf.DUMMYFUNCTION("""COMPUTED_VALUE"""),107.5)</f>
        <v>107.5</v>
      </c>
      <c r="G1424" s="152" t="str">
        <f ca="1">IFERROR(__xludf.DUMMYFUNCTION("""COMPUTED_VALUE"""),"CE")</f>
        <v>CE</v>
      </c>
      <c r="H1424" s="211">
        <v>4750</v>
      </c>
      <c r="I1424" s="212">
        <v>1</v>
      </c>
      <c r="J1424" s="212">
        <v>2</v>
      </c>
      <c r="K1424" s="213">
        <f t="shared" si="875"/>
        <v>9500</v>
      </c>
      <c r="L1424" s="214">
        <v>2.5750000000000002</v>
      </c>
      <c r="M1424" s="215">
        <v>0</v>
      </c>
      <c r="N1424" s="216">
        <f t="shared" si="876"/>
        <v>24462.5</v>
      </c>
      <c r="O1424" s="216">
        <f t="shared" si="877"/>
        <v>0</v>
      </c>
      <c r="P1424" s="217">
        <f t="shared" si="878"/>
        <v>24462.5</v>
      </c>
      <c r="Q1424" s="217">
        <f t="shared" si="879"/>
        <v>-24462.5</v>
      </c>
      <c r="R1424" s="217">
        <f t="shared" si="891"/>
        <v>40</v>
      </c>
      <c r="S1424" s="217">
        <f t="shared" si="881"/>
        <v>9.5299999999999994</v>
      </c>
      <c r="T1424" s="217">
        <f t="shared" si="882"/>
        <v>0</v>
      </c>
      <c r="U1424" s="217">
        <f t="shared" si="883"/>
        <v>0.73</v>
      </c>
      <c r="V1424" s="217">
        <f t="shared" si="884"/>
        <v>12.97</v>
      </c>
      <c r="W1424" s="217">
        <f t="shared" si="885"/>
        <v>0.02</v>
      </c>
      <c r="X1424" s="217">
        <f t="shared" si="886"/>
        <v>63.25</v>
      </c>
      <c r="Y1424" s="218">
        <f t="shared" si="887"/>
        <v>-24525.75</v>
      </c>
      <c r="Z1424" s="219">
        <v>-24525.75</v>
      </c>
      <c r="AA1424" s="220">
        <f t="shared" si="888"/>
        <v>0</v>
      </c>
      <c r="AB1424" s="221">
        <f t="shared" si="889"/>
        <v>-1</v>
      </c>
      <c r="AC1424" s="222">
        <f t="shared" si="890"/>
        <v>2.5860000000000002E-3</v>
      </c>
      <c r="AD1424" s="217"/>
      <c r="AE1424" s="223" t="s">
        <v>403</v>
      </c>
      <c r="AF1424" s="119"/>
    </row>
    <row r="1425" spans="1:32" ht="12" hidden="1" customHeight="1">
      <c r="A1425" s="150">
        <v>44614</v>
      </c>
      <c r="B1425" s="152" t="s">
        <v>51</v>
      </c>
      <c r="C1425" s="152" t="str">
        <f t="shared" ca="1" si="874"/>
        <v>Stocks</v>
      </c>
      <c r="D1425" s="152" t="str">
        <f ca="1">IFERROR(__xludf.DUMMYFUNCTION("split(B1425,"" "")"),"SAIL")</f>
        <v>SAIL</v>
      </c>
      <c r="E1425" s="152" t="str">
        <f ca="1">IFERROR(__xludf.DUMMYFUNCTION("""COMPUTED_VALUE"""),"FEB")</f>
        <v>FEB</v>
      </c>
      <c r="F1425" s="152">
        <f ca="1">IFERROR(__xludf.DUMMYFUNCTION("""COMPUTED_VALUE"""),107.5)</f>
        <v>107.5</v>
      </c>
      <c r="G1425" s="152" t="str">
        <f ca="1">IFERROR(__xludf.DUMMYFUNCTION("""COMPUTED_VALUE"""),"CE")</f>
        <v>CE</v>
      </c>
      <c r="H1425" s="211">
        <v>4750</v>
      </c>
      <c r="I1425" s="212">
        <v>2</v>
      </c>
      <c r="J1425" s="212">
        <v>1</v>
      </c>
      <c r="K1425" s="213">
        <f t="shared" si="875"/>
        <v>9500</v>
      </c>
      <c r="L1425" s="214">
        <v>0</v>
      </c>
      <c r="M1425" s="215">
        <v>0.1</v>
      </c>
      <c r="N1425" s="216">
        <f t="shared" si="876"/>
        <v>0</v>
      </c>
      <c r="O1425" s="216">
        <f t="shared" si="877"/>
        <v>950</v>
      </c>
      <c r="P1425" s="217">
        <f t="shared" si="878"/>
        <v>950</v>
      </c>
      <c r="Q1425" s="217">
        <f t="shared" si="879"/>
        <v>950</v>
      </c>
      <c r="R1425" s="217">
        <f t="shared" si="891"/>
        <v>20</v>
      </c>
      <c r="S1425" s="217">
        <f t="shared" si="881"/>
        <v>3.69</v>
      </c>
      <c r="T1425" s="217">
        <f t="shared" si="882"/>
        <v>0.48</v>
      </c>
      <c r="U1425" s="217">
        <f t="shared" si="883"/>
        <v>0</v>
      </c>
      <c r="V1425" s="217">
        <f t="shared" si="884"/>
        <v>0.5</v>
      </c>
      <c r="W1425" s="217">
        <f t="shared" si="885"/>
        <v>0</v>
      </c>
      <c r="X1425" s="217">
        <f t="shared" si="886"/>
        <v>24.67</v>
      </c>
      <c r="Y1425" s="218">
        <f t="shared" si="887"/>
        <v>925.33</v>
      </c>
      <c r="Z1425" s="219">
        <v>925.09</v>
      </c>
      <c r="AA1425" s="220">
        <f t="shared" si="888"/>
        <v>-0.24000000000000909</v>
      </c>
      <c r="AB1425" s="221">
        <f t="shared" si="889"/>
        <v>0</v>
      </c>
      <c r="AC1425" s="222">
        <f t="shared" si="890"/>
        <v>2.5968000000000001E-2</v>
      </c>
      <c r="AD1425" s="217"/>
      <c r="AE1425" s="223" t="s">
        <v>403</v>
      </c>
      <c r="AF1425" s="119"/>
    </row>
    <row r="1426" spans="1:32" ht="12" hidden="1" customHeight="1">
      <c r="A1426" s="148">
        <v>44606</v>
      </c>
      <c r="B1426" s="152" t="s">
        <v>50</v>
      </c>
      <c r="C1426" s="152" t="str">
        <f t="shared" ca="1" si="874"/>
        <v>Stocks</v>
      </c>
      <c r="D1426" s="152" t="str">
        <f ca="1">IFERROR(__xludf.DUMMYFUNCTION("split(B1426,"" "")"),"SUNPHARMA")</f>
        <v>SUNPHARMA</v>
      </c>
      <c r="E1426" s="152" t="str">
        <f ca="1">IFERROR(__xludf.DUMMYFUNCTION("""COMPUTED_VALUE"""),"FEB")</f>
        <v>FEB</v>
      </c>
      <c r="F1426" s="152">
        <f ca="1">IFERROR(__xludf.DUMMYFUNCTION("""COMPUTED_VALUE"""),900)</f>
        <v>900</v>
      </c>
      <c r="G1426" s="152" t="str">
        <f ca="1">IFERROR(__xludf.DUMMYFUNCTION("""COMPUTED_VALUE"""),"CE")</f>
        <v>CE</v>
      </c>
      <c r="H1426" s="211">
        <v>700</v>
      </c>
      <c r="I1426" s="212">
        <v>1</v>
      </c>
      <c r="J1426" s="212">
        <v>1</v>
      </c>
      <c r="K1426" s="213">
        <f t="shared" si="875"/>
        <v>700</v>
      </c>
      <c r="L1426" s="214">
        <v>8.9499999999999993</v>
      </c>
      <c r="M1426" s="215">
        <v>0</v>
      </c>
      <c r="N1426" s="216">
        <f t="shared" si="876"/>
        <v>6265</v>
      </c>
      <c r="O1426" s="216">
        <f t="shared" si="877"/>
        <v>0</v>
      </c>
      <c r="P1426" s="217">
        <f t="shared" si="878"/>
        <v>6265</v>
      </c>
      <c r="Q1426" s="217">
        <f t="shared" si="879"/>
        <v>-6264.9999999999991</v>
      </c>
      <c r="R1426" s="217">
        <f t="shared" si="891"/>
        <v>20</v>
      </c>
      <c r="S1426" s="217">
        <f t="shared" si="881"/>
        <v>4.2</v>
      </c>
      <c r="T1426" s="217">
        <f t="shared" si="882"/>
        <v>0</v>
      </c>
      <c r="U1426" s="217">
        <f t="shared" si="883"/>
        <v>0.19</v>
      </c>
      <c r="V1426" s="217">
        <f t="shared" si="884"/>
        <v>3.32</v>
      </c>
      <c r="W1426" s="217">
        <f t="shared" si="885"/>
        <v>0.01</v>
      </c>
      <c r="X1426" s="217">
        <f t="shared" si="886"/>
        <v>27.720000000000002</v>
      </c>
      <c r="Y1426" s="218">
        <f t="shared" si="887"/>
        <v>-6292.72</v>
      </c>
      <c r="Z1426" s="219">
        <v>-6292.52</v>
      </c>
      <c r="AA1426" s="220">
        <f t="shared" si="888"/>
        <v>0.1999999999998181</v>
      </c>
      <c r="AB1426" s="221">
        <f t="shared" si="889"/>
        <v>-1</v>
      </c>
      <c r="AC1426" s="222">
        <f t="shared" si="890"/>
        <v>4.4250000000000001E-3</v>
      </c>
      <c r="AD1426" s="217"/>
      <c r="AE1426" s="223" t="s">
        <v>403</v>
      </c>
      <c r="AF1426" s="119"/>
    </row>
    <row r="1427" spans="1:32" ht="12" hidden="1" customHeight="1">
      <c r="A1427" s="148">
        <v>44608</v>
      </c>
      <c r="B1427" s="152" t="s">
        <v>50</v>
      </c>
      <c r="C1427" s="152" t="str">
        <f t="shared" ca="1" si="874"/>
        <v>Stocks</v>
      </c>
      <c r="D1427" s="152" t="str">
        <f ca="1">IFERROR(__xludf.DUMMYFUNCTION("split(B1427,"" "")"),"SUNPHARMA")</f>
        <v>SUNPHARMA</v>
      </c>
      <c r="E1427" s="152" t="str">
        <f ca="1">IFERROR(__xludf.DUMMYFUNCTION("""COMPUTED_VALUE"""),"FEB")</f>
        <v>FEB</v>
      </c>
      <c r="F1427" s="152">
        <f ca="1">IFERROR(__xludf.DUMMYFUNCTION("""COMPUTED_VALUE"""),900)</f>
        <v>900</v>
      </c>
      <c r="G1427" s="152" t="str">
        <f ca="1">IFERROR(__xludf.DUMMYFUNCTION("""COMPUTED_VALUE"""),"CE")</f>
        <v>CE</v>
      </c>
      <c r="H1427" s="211">
        <v>700</v>
      </c>
      <c r="I1427" s="212">
        <v>1</v>
      </c>
      <c r="J1427" s="212">
        <v>1</v>
      </c>
      <c r="K1427" s="213">
        <f t="shared" si="875"/>
        <v>700</v>
      </c>
      <c r="L1427" s="214">
        <v>3.5</v>
      </c>
      <c r="M1427" s="215">
        <v>0</v>
      </c>
      <c r="N1427" s="216">
        <f t="shared" si="876"/>
        <v>2450</v>
      </c>
      <c r="O1427" s="216">
        <f t="shared" si="877"/>
        <v>0</v>
      </c>
      <c r="P1427" s="217">
        <f t="shared" si="878"/>
        <v>2450</v>
      </c>
      <c r="Q1427" s="217">
        <f t="shared" si="879"/>
        <v>-2450</v>
      </c>
      <c r="R1427" s="217">
        <f t="shared" si="891"/>
        <v>20</v>
      </c>
      <c r="S1427" s="217">
        <f t="shared" si="881"/>
        <v>3.83</v>
      </c>
      <c r="T1427" s="217">
        <f t="shared" si="882"/>
        <v>0</v>
      </c>
      <c r="U1427" s="217">
        <f t="shared" si="883"/>
        <v>7.0000000000000007E-2</v>
      </c>
      <c r="V1427" s="217">
        <f t="shared" si="884"/>
        <v>1.3</v>
      </c>
      <c r="W1427" s="217">
        <f t="shared" si="885"/>
        <v>0</v>
      </c>
      <c r="X1427" s="217">
        <f t="shared" si="886"/>
        <v>25.2</v>
      </c>
      <c r="Y1427" s="218">
        <f t="shared" si="887"/>
        <v>-2475.1999999999998</v>
      </c>
      <c r="Z1427" s="219">
        <v>-2475.13</v>
      </c>
      <c r="AA1427" s="220">
        <f t="shared" si="888"/>
        <v>6.9999999999708962E-2</v>
      </c>
      <c r="AB1427" s="221">
        <f t="shared" si="889"/>
        <v>-1</v>
      </c>
      <c r="AC1427" s="222">
        <f t="shared" si="890"/>
        <v>1.0286E-2</v>
      </c>
      <c r="AD1427" s="217"/>
      <c r="AE1427" s="223" t="s">
        <v>403</v>
      </c>
      <c r="AF1427" s="119"/>
    </row>
    <row r="1428" spans="1:32" ht="12" hidden="1" customHeight="1">
      <c r="A1428" s="150">
        <v>44616</v>
      </c>
      <c r="B1428" s="152" t="s">
        <v>50</v>
      </c>
      <c r="C1428" s="152" t="str">
        <f t="shared" ca="1" si="874"/>
        <v>Stocks</v>
      </c>
      <c r="D1428" s="152" t="str">
        <f ca="1">IFERROR(__xludf.DUMMYFUNCTION("split(B1428,"" "")"),"SUNPHARMA")</f>
        <v>SUNPHARMA</v>
      </c>
      <c r="E1428" s="152" t="str">
        <f ca="1">IFERROR(__xludf.DUMMYFUNCTION("""COMPUTED_VALUE"""),"FEB")</f>
        <v>FEB</v>
      </c>
      <c r="F1428" s="152">
        <f ca="1">IFERROR(__xludf.DUMMYFUNCTION("""COMPUTED_VALUE"""),900)</f>
        <v>900</v>
      </c>
      <c r="G1428" s="152" t="str">
        <f ca="1">IFERROR(__xludf.DUMMYFUNCTION("""COMPUTED_VALUE"""),"CE")</f>
        <v>CE</v>
      </c>
      <c r="H1428" s="211">
        <v>700</v>
      </c>
      <c r="I1428" s="212">
        <v>2</v>
      </c>
      <c r="J1428" s="212">
        <v>1</v>
      </c>
      <c r="K1428" s="213">
        <f t="shared" si="875"/>
        <v>1400</v>
      </c>
      <c r="L1428" s="214">
        <v>0</v>
      </c>
      <c r="M1428" s="215">
        <v>0.05</v>
      </c>
      <c r="N1428" s="216">
        <f t="shared" si="876"/>
        <v>0</v>
      </c>
      <c r="O1428" s="216">
        <f t="shared" si="877"/>
        <v>70</v>
      </c>
      <c r="P1428" s="217">
        <f t="shared" si="878"/>
        <v>70</v>
      </c>
      <c r="Q1428" s="217">
        <f t="shared" si="879"/>
        <v>70</v>
      </c>
      <c r="R1428" s="217">
        <f t="shared" si="891"/>
        <v>20</v>
      </c>
      <c r="S1428" s="217">
        <f t="shared" si="881"/>
        <v>3.61</v>
      </c>
      <c r="T1428" s="217">
        <f t="shared" si="882"/>
        <v>0.04</v>
      </c>
      <c r="U1428" s="217">
        <f t="shared" si="883"/>
        <v>0</v>
      </c>
      <c r="V1428" s="217">
        <f t="shared" si="884"/>
        <v>0.04</v>
      </c>
      <c r="W1428" s="217">
        <f t="shared" si="885"/>
        <v>0</v>
      </c>
      <c r="X1428" s="217">
        <f t="shared" si="886"/>
        <v>23.689999999999998</v>
      </c>
      <c r="Y1428" s="218">
        <f t="shared" si="887"/>
        <v>46.31</v>
      </c>
      <c r="Z1428" s="219">
        <v>46.36</v>
      </c>
      <c r="AA1428" s="220">
        <f t="shared" si="888"/>
        <v>4.9999999999997158E-2</v>
      </c>
      <c r="AB1428" s="221">
        <f t="shared" si="889"/>
        <v>0</v>
      </c>
      <c r="AC1428" s="222">
        <f t="shared" si="890"/>
        <v>0.33842899999999998</v>
      </c>
      <c r="AD1428" s="217"/>
      <c r="AE1428" s="223" t="s">
        <v>403</v>
      </c>
      <c r="AF1428" s="119"/>
    </row>
    <row r="1429" spans="1:32" ht="12" hidden="1" customHeight="1">
      <c r="A1429" s="209">
        <v>44614</v>
      </c>
      <c r="B1429" s="152" t="s">
        <v>52</v>
      </c>
      <c r="C1429" s="152" t="str">
        <f t="shared" ca="1" si="874"/>
        <v>Indices</v>
      </c>
      <c r="D1429" s="152" t="str">
        <f ca="1">IFERROR(__xludf.DUMMYFUNCTION("split(B1429,"" "")"),"BANKNIFTY")</f>
        <v>BANKNIFTY</v>
      </c>
      <c r="E1429" s="152" t="str">
        <f ca="1">IFERROR(__xludf.DUMMYFUNCTION("""COMPUTED_VALUE"""),"FEB")</f>
        <v>FEB</v>
      </c>
      <c r="F1429" s="152">
        <f ca="1">IFERROR(__xludf.DUMMYFUNCTION("""COMPUTED_VALUE"""),37600)</f>
        <v>37600</v>
      </c>
      <c r="G1429" s="152" t="str">
        <f ca="1">IFERROR(__xludf.DUMMYFUNCTION("""COMPUTED_VALUE"""),"CE")</f>
        <v>CE</v>
      </c>
      <c r="H1429" s="211">
        <v>25</v>
      </c>
      <c r="I1429" s="212">
        <v>1</v>
      </c>
      <c r="J1429" s="212">
        <v>1</v>
      </c>
      <c r="K1429" s="213">
        <f t="shared" si="875"/>
        <v>25</v>
      </c>
      <c r="L1429" s="214">
        <v>345</v>
      </c>
      <c r="M1429" s="215">
        <v>380</v>
      </c>
      <c r="N1429" s="216">
        <f t="shared" si="876"/>
        <v>8625</v>
      </c>
      <c r="O1429" s="216">
        <f t="shared" si="877"/>
        <v>9500</v>
      </c>
      <c r="P1429" s="217">
        <f t="shared" si="878"/>
        <v>18125</v>
      </c>
      <c r="Q1429" s="217">
        <f t="shared" si="879"/>
        <v>875</v>
      </c>
      <c r="R1429" s="217">
        <f t="shared" si="891"/>
        <v>40</v>
      </c>
      <c r="S1429" s="217">
        <f t="shared" si="881"/>
        <v>8.93</v>
      </c>
      <c r="T1429" s="217">
        <f t="shared" si="882"/>
        <v>4.75</v>
      </c>
      <c r="U1429" s="217">
        <f t="shared" si="883"/>
        <v>0.26</v>
      </c>
      <c r="V1429" s="217">
        <f t="shared" si="884"/>
        <v>9.61</v>
      </c>
      <c r="W1429" s="217">
        <f t="shared" si="885"/>
        <v>0.02</v>
      </c>
      <c r="X1429" s="217">
        <f t="shared" si="886"/>
        <v>63.57</v>
      </c>
      <c r="Y1429" s="218">
        <f t="shared" si="887"/>
        <v>811.43</v>
      </c>
      <c r="Z1429" s="219">
        <v>811.43</v>
      </c>
      <c r="AA1429" s="220">
        <f t="shared" si="888"/>
        <v>0</v>
      </c>
      <c r="AB1429" s="221">
        <f t="shared" si="889"/>
        <v>0.10144927536231885</v>
      </c>
      <c r="AC1429" s="222">
        <f t="shared" si="890"/>
        <v>3.5070000000000001E-3</v>
      </c>
      <c r="AD1429" s="217"/>
      <c r="AE1429" s="223" t="s">
        <v>403</v>
      </c>
      <c r="AF1429" s="119"/>
    </row>
    <row r="1430" spans="1:32" ht="12" hidden="1" customHeight="1">
      <c r="A1430" s="148">
        <v>44614</v>
      </c>
      <c r="B1430" s="152" t="s">
        <v>52</v>
      </c>
      <c r="C1430" s="152" t="str">
        <f t="shared" ca="1" si="874"/>
        <v>Indices</v>
      </c>
      <c r="D1430" s="152" t="str">
        <f ca="1">IFERROR(__xludf.DUMMYFUNCTION("split(B1430,"" "")"),"BANKNIFTY")</f>
        <v>BANKNIFTY</v>
      </c>
      <c r="E1430" s="152" t="str">
        <f ca="1">IFERROR(__xludf.DUMMYFUNCTION("""COMPUTED_VALUE"""),"FEB")</f>
        <v>FEB</v>
      </c>
      <c r="F1430" s="152">
        <f ca="1">IFERROR(__xludf.DUMMYFUNCTION("""COMPUTED_VALUE"""),37600)</f>
        <v>37600</v>
      </c>
      <c r="G1430" s="152" t="str">
        <f ca="1">IFERROR(__xludf.DUMMYFUNCTION("""COMPUTED_VALUE"""),"CE")</f>
        <v>CE</v>
      </c>
      <c r="H1430" s="211">
        <v>25</v>
      </c>
      <c r="I1430" s="212">
        <v>1</v>
      </c>
      <c r="J1430" s="212">
        <v>1</v>
      </c>
      <c r="K1430" s="213">
        <f t="shared" si="875"/>
        <v>25</v>
      </c>
      <c r="L1430" s="214">
        <v>350</v>
      </c>
      <c r="M1430" s="215">
        <v>0</v>
      </c>
      <c r="N1430" s="216">
        <f t="shared" si="876"/>
        <v>8750</v>
      </c>
      <c r="O1430" s="216">
        <f t="shared" si="877"/>
        <v>0</v>
      </c>
      <c r="P1430" s="217">
        <f t="shared" si="878"/>
        <v>8750</v>
      </c>
      <c r="Q1430" s="217">
        <f t="shared" si="879"/>
        <v>-8750</v>
      </c>
      <c r="R1430" s="217">
        <f t="shared" si="891"/>
        <v>20</v>
      </c>
      <c r="S1430" s="217">
        <f t="shared" si="881"/>
        <v>4.4400000000000004</v>
      </c>
      <c r="T1430" s="217">
        <f t="shared" si="882"/>
        <v>0</v>
      </c>
      <c r="U1430" s="217">
        <f t="shared" si="883"/>
        <v>0.26</v>
      </c>
      <c r="V1430" s="217">
        <f t="shared" si="884"/>
        <v>4.6399999999999997</v>
      </c>
      <c r="W1430" s="217">
        <f t="shared" si="885"/>
        <v>0.01</v>
      </c>
      <c r="X1430" s="217">
        <f t="shared" si="886"/>
        <v>29.350000000000005</v>
      </c>
      <c r="Y1430" s="218">
        <f t="shared" si="887"/>
        <v>-8779.35</v>
      </c>
      <c r="Z1430" s="219">
        <v>-8779.35</v>
      </c>
      <c r="AA1430" s="220">
        <f t="shared" si="888"/>
        <v>0</v>
      </c>
      <c r="AB1430" s="221">
        <f t="shared" si="889"/>
        <v>-1</v>
      </c>
      <c r="AC1430" s="222">
        <f t="shared" si="890"/>
        <v>3.3540000000000002E-3</v>
      </c>
      <c r="AD1430" s="217"/>
      <c r="AE1430" s="223" t="s">
        <v>403</v>
      </c>
      <c r="AF1430" s="119"/>
    </row>
    <row r="1431" spans="1:32" ht="12" hidden="1" customHeight="1">
      <c r="A1431" s="150">
        <v>44615</v>
      </c>
      <c r="B1431" s="152" t="s">
        <v>52</v>
      </c>
      <c r="C1431" s="152" t="str">
        <f t="shared" ca="1" si="874"/>
        <v>Indices</v>
      </c>
      <c r="D1431" s="152" t="str">
        <f ca="1">IFERROR(__xludf.DUMMYFUNCTION("split(B1431,"" "")"),"BANKNIFTY")</f>
        <v>BANKNIFTY</v>
      </c>
      <c r="E1431" s="152" t="str">
        <f ca="1">IFERROR(__xludf.DUMMYFUNCTION("""COMPUTED_VALUE"""),"FEB")</f>
        <v>FEB</v>
      </c>
      <c r="F1431" s="152">
        <f ca="1">IFERROR(__xludf.DUMMYFUNCTION("""COMPUTED_VALUE"""),37600)</f>
        <v>37600</v>
      </c>
      <c r="G1431" s="152" t="str">
        <f ca="1">IFERROR(__xludf.DUMMYFUNCTION("""COMPUTED_VALUE"""),"CE")</f>
        <v>CE</v>
      </c>
      <c r="H1431" s="211">
        <v>25</v>
      </c>
      <c r="I1431" s="212">
        <v>1</v>
      </c>
      <c r="J1431" s="212">
        <v>1</v>
      </c>
      <c r="K1431" s="213">
        <f t="shared" si="875"/>
        <v>25</v>
      </c>
      <c r="L1431" s="214">
        <v>0</v>
      </c>
      <c r="M1431" s="215">
        <v>224.6</v>
      </c>
      <c r="N1431" s="216">
        <f t="shared" si="876"/>
        <v>0</v>
      </c>
      <c r="O1431" s="216">
        <f t="shared" si="877"/>
        <v>5615</v>
      </c>
      <c r="P1431" s="217">
        <f t="shared" si="878"/>
        <v>5615</v>
      </c>
      <c r="Q1431" s="217">
        <f t="shared" si="879"/>
        <v>5615</v>
      </c>
      <c r="R1431" s="217">
        <f t="shared" si="891"/>
        <v>20</v>
      </c>
      <c r="S1431" s="217">
        <f t="shared" si="881"/>
        <v>4.1399999999999997</v>
      </c>
      <c r="T1431" s="217">
        <f t="shared" si="882"/>
        <v>2.81</v>
      </c>
      <c r="U1431" s="217">
        <f t="shared" si="883"/>
        <v>0</v>
      </c>
      <c r="V1431" s="217">
        <f t="shared" si="884"/>
        <v>2.98</v>
      </c>
      <c r="W1431" s="217">
        <f t="shared" si="885"/>
        <v>0.01</v>
      </c>
      <c r="X1431" s="217">
        <f t="shared" si="886"/>
        <v>29.94</v>
      </c>
      <c r="Y1431" s="218">
        <f t="shared" si="887"/>
        <v>5585.06</v>
      </c>
      <c r="Z1431" s="219">
        <v>5584.88</v>
      </c>
      <c r="AA1431" s="220">
        <f t="shared" si="888"/>
        <v>-0.18000000000029104</v>
      </c>
      <c r="AB1431" s="221">
        <f t="shared" si="889"/>
        <v>0</v>
      </c>
      <c r="AC1431" s="222">
        <f t="shared" si="890"/>
        <v>5.3319999999999999E-3</v>
      </c>
      <c r="AD1431" s="217"/>
      <c r="AE1431" s="223" t="s">
        <v>403</v>
      </c>
      <c r="AF1431" s="119"/>
    </row>
    <row r="1432" spans="1:32" ht="12" hidden="1" customHeight="1">
      <c r="A1432" s="148">
        <v>44622</v>
      </c>
      <c r="B1432" s="152" t="s">
        <v>53</v>
      </c>
      <c r="C1432" s="152" t="str">
        <f t="shared" ca="1" si="874"/>
        <v>Stocks</v>
      </c>
      <c r="D1432" s="152" t="str">
        <f ca="1">IFERROR(__xludf.DUMMYFUNCTION("split(B1432,"" "")"),"SAIL")</f>
        <v>SAIL</v>
      </c>
      <c r="E1432" s="152" t="str">
        <f ca="1">IFERROR(__xludf.DUMMYFUNCTION("""COMPUTED_VALUE"""),"MAR")</f>
        <v>MAR</v>
      </c>
      <c r="F1432" s="152">
        <f ca="1">IFERROR(__xludf.DUMMYFUNCTION("""COMPUTED_VALUE"""),107.5)</f>
        <v>107.5</v>
      </c>
      <c r="G1432" s="152" t="str">
        <f ca="1">IFERROR(__xludf.DUMMYFUNCTION("""COMPUTED_VALUE"""),"CE")</f>
        <v>CE</v>
      </c>
      <c r="H1432" s="211">
        <v>4750</v>
      </c>
      <c r="I1432" s="212">
        <v>1</v>
      </c>
      <c r="J1432" s="212">
        <v>1</v>
      </c>
      <c r="K1432" s="213">
        <f t="shared" si="875"/>
        <v>4750</v>
      </c>
      <c r="L1432" s="214">
        <v>2.5</v>
      </c>
      <c r="M1432" s="215">
        <v>0</v>
      </c>
      <c r="N1432" s="216">
        <f t="shared" si="876"/>
        <v>11875</v>
      </c>
      <c r="O1432" s="216">
        <f t="shared" si="877"/>
        <v>0</v>
      </c>
      <c r="P1432" s="217">
        <f t="shared" si="878"/>
        <v>11875</v>
      </c>
      <c r="Q1432" s="217">
        <f t="shared" si="879"/>
        <v>-11875</v>
      </c>
      <c r="R1432" s="217">
        <f t="shared" si="891"/>
        <v>20</v>
      </c>
      <c r="S1432" s="217">
        <f t="shared" si="881"/>
        <v>4.7300000000000004</v>
      </c>
      <c r="T1432" s="217">
        <f t="shared" si="882"/>
        <v>0</v>
      </c>
      <c r="U1432" s="217">
        <f t="shared" si="883"/>
        <v>0.36</v>
      </c>
      <c r="V1432" s="217">
        <f t="shared" si="884"/>
        <v>6.29</v>
      </c>
      <c r="W1432" s="217">
        <f t="shared" si="885"/>
        <v>0.01</v>
      </c>
      <c r="X1432" s="217">
        <f t="shared" si="886"/>
        <v>31.39</v>
      </c>
      <c r="Y1432" s="218">
        <f t="shared" si="887"/>
        <v>-11906.39</v>
      </c>
      <c r="Z1432" s="219">
        <v>-11906.03</v>
      </c>
      <c r="AA1432" s="220">
        <f t="shared" si="888"/>
        <v>0.35999999999876309</v>
      </c>
      <c r="AB1432" s="221">
        <f t="shared" si="889"/>
        <v>-1</v>
      </c>
      <c r="AC1432" s="222">
        <f t="shared" si="890"/>
        <v>2.643E-3</v>
      </c>
      <c r="AD1432" s="217"/>
      <c r="AE1432" s="223" t="s">
        <v>403</v>
      </c>
      <c r="AF1432" s="119"/>
    </row>
    <row r="1433" spans="1:32" ht="12" hidden="1" customHeight="1">
      <c r="A1433" s="150">
        <v>44623</v>
      </c>
      <c r="B1433" s="152" t="s">
        <v>53</v>
      </c>
      <c r="C1433" s="152" t="str">
        <f t="shared" ca="1" si="874"/>
        <v>Stocks</v>
      </c>
      <c r="D1433" s="152" t="str">
        <f ca="1">IFERROR(__xludf.DUMMYFUNCTION("split(B1433,"" "")"),"SAIL")</f>
        <v>SAIL</v>
      </c>
      <c r="E1433" s="152" t="str">
        <f ca="1">IFERROR(__xludf.DUMMYFUNCTION("""COMPUTED_VALUE"""),"MAR")</f>
        <v>MAR</v>
      </c>
      <c r="F1433" s="152">
        <f ca="1">IFERROR(__xludf.DUMMYFUNCTION("""COMPUTED_VALUE"""),107.5)</f>
        <v>107.5</v>
      </c>
      <c r="G1433" s="152" t="str">
        <f ca="1">IFERROR(__xludf.DUMMYFUNCTION("""COMPUTED_VALUE"""),"CE")</f>
        <v>CE</v>
      </c>
      <c r="H1433" s="211">
        <v>4750</v>
      </c>
      <c r="I1433" s="212">
        <v>1</v>
      </c>
      <c r="J1433" s="212">
        <v>1</v>
      </c>
      <c r="K1433" s="213">
        <f t="shared" si="875"/>
        <v>4750</v>
      </c>
      <c r="L1433" s="214">
        <v>0</v>
      </c>
      <c r="M1433" s="215">
        <v>2.6</v>
      </c>
      <c r="N1433" s="216">
        <f t="shared" si="876"/>
        <v>0</v>
      </c>
      <c r="O1433" s="216">
        <f t="shared" si="877"/>
        <v>12350</v>
      </c>
      <c r="P1433" s="217">
        <f t="shared" si="878"/>
        <v>12350</v>
      </c>
      <c r="Q1433" s="217">
        <f t="shared" si="879"/>
        <v>12350</v>
      </c>
      <c r="R1433" s="217">
        <f t="shared" si="891"/>
        <v>20</v>
      </c>
      <c r="S1433" s="217">
        <f t="shared" si="881"/>
        <v>4.78</v>
      </c>
      <c r="T1433" s="217">
        <f t="shared" si="882"/>
        <v>6.18</v>
      </c>
      <c r="U1433" s="217">
        <f t="shared" si="883"/>
        <v>0</v>
      </c>
      <c r="V1433" s="217">
        <f t="shared" si="884"/>
        <v>6.55</v>
      </c>
      <c r="W1433" s="217">
        <f t="shared" si="885"/>
        <v>0.01</v>
      </c>
      <c r="X1433" s="217">
        <f t="shared" si="886"/>
        <v>37.519999999999996</v>
      </c>
      <c r="Y1433" s="218">
        <f t="shared" si="887"/>
        <v>12312.48</v>
      </c>
      <c r="Z1433" s="219">
        <v>12312.48</v>
      </c>
      <c r="AA1433" s="220">
        <f t="shared" si="888"/>
        <v>0</v>
      </c>
      <c r="AB1433" s="221">
        <f t="shared" si="889"/>
        <v>0</v>
      </c>
      <c r="AC1433" s="222">
        <f t="shared" si="890"/>
        <v>3.0379999999999999E-3</v>
      </c>
      <c r="AD1433" s="217"/>
      <c r="AE1433" s="223" t="s">
        <v>403</v>
      </c>
      <c r="AF1433" s="119"/>
    </row>
    <row r="1434" spans="1:32" ht="12" hidden="1" customHeight="1">
      <c r="A1434" s="209">
        <v>44623</v>
      </c>
      <c r="B1434" s="152" t="s">
        <v>54</v>
      </c>
      <c r="C1434" s="152" t="str">
        <f t="shared" ca="1" si="874"/>
        <v>Stocks</v>
      </c>
      <c r="D1434" s="152" t="str">
        <f ca="1">IFERROR(__xludf.DUMMYFUNCTION("split(B1434,"" "")"),"SAIL")</f>
        <v>SAIL</v>
      </c>
      <c r="E1434" s="152" t="str">
        <f ca="1">IFERROR(__xludf.DUMMYFUNCTION("""COMPUTED_VALUE"""),"MAR")</f>
        <v>MAR</v>
      </c>
      <c r="F1434" s="152">
        <f ca="1">IFERROR(__xludf.DUMMYFUNCTION("""COMPUTED_VALUE"""),110)</f>
        <v>110</v>
      </c>
      <c r="G1434" s="152" t="str">
        <f ca="1">IFERROR(__xludf.DUMMYFUNCTION("""COMPUTED_VALUE"""),"CE")</f>
        <v>CE</v>
      </c>
      <c r="H1434" s="211">
        <v>4750</v>
      </c>
      <c r="I1434" s="212">
        <v>1</v>
      </c>
      <c r="J1434" s="212">
        <v>1</v>
      </c>
      <c r="K1434" s="213">
        <f t="shared" si="875"/>
        <v>4750</v>
      </c>
      <c r="L1434" s="214">
        <v>1.85</v>
      </c>
      <c r="M1434" s="215">
        <v>1.9</v>
      </c>
      <c r="N1434" s="216">
        <f t="shared" si="876"/>
        <v>8787.5</v>
      </c>
      <c r="O1434" s="216">
        <f t="shared" si="877"/>
        <v>9025</v>
      </c>
      <c r="P1434" s="217">
        <f t="shared" si="878"/>
        <v>17812.5</v>
      </c>
      <c r="Q1434" s="217">
        <f t="shared" si="879"/>
        <v>237.49999999999915</v>
      </c>
      <c r="R1434" s="217">
        <f t="shared" si="891"/>
        <v>40</v>
      </c>
      <c r="S1434" s="217">
        <f t="shared" si="881"/>
        <v>8.9</v>
      </c>
      <c r="T1434" s="217">
        <f t="shared" si="882"/>
        <v>4.51</v>
      </c>
      <c r="U1434" s="217">
        <f t="shared" si="883"/>
        <v>0.26</v>
      </c>
      <c r="V1434" s="217">
        <f t="shared" si="884"/>
        <v>9.44</v>
      </c>
      <c r="W1434" s="217">
        <f t="shared" si="885"/>
        <v>0.02</v>
      </c>
      <c r="X1434" s="217">
        <f t="shared" si="886"/>
        <v>63.129999999999995</v>
      </c>
      <c r="Y1434" s="218">
        <f t="shared" si="887"/>
        <v>174.37</v>
      </c>
      <c r="Z1434" s="219">
        <v>174.32</v>
      </c>
      <c r="AA1434" s="220">
        <f t="shared" si="888"/>
        <v>-5.0000000000011369E-2</v>
      </c>
      <c r="AB1434" s="221">
        <f t="shared" si="889"/>
        <v>2.7027027027026931E-2</v>
      </c>
      <c r="AC1434" s="222">
        <f t="shared" si="890"/>
        <v>3.5439999999999998E-3</v>
      </c>
      <c r="AD1434" s="217"/>
      <c r="AE1434" s="223" t="s">
        <v>403</v>
      </c>
      <c r="AF1434" s="119"/>
    </row>
    <row r="1435" spans="1:32" ht="12" hidden="1" customHeight="1">
      <c r="A1435" s="148">
        <v>44624</v>
      </c>
      <c r="B1435" s="152" t="s">
        <v>54</v>
      </c>
      <c r="C1435" s="152" t="str">
        <f t="shared" ca="1" si="874"/>
        <v>Stocks</v>
      </c>
      <c r="D1435" s="152" t="str">
        <f ca="1">IFERROR(__xludf.DUMMYFUNCTION("split(B1435,"" "")"),"SAIL")</f>
        <v>SAIL</v>
      </c>
      <c r="E1435" s="152" t="str">
        <f ca="1">IFERROR(__xludf.DUMMYFUNCTION("""COMPUTED_VALUE"""),"MAR")</f>
        <v>MAR</v>
      </c>
      <c r="F1435" s="152">
        <f ca="1">IFERROR(__xludf.DUMMYFUNCTION("""COMPUTED_VALUE"""),110)</f>
        <v>110</v>
      </c>
      <c r="G1435" s="152" t="str">
        <f ca="1">IFERROR(__xludf.DUMMYFUNCTION("""COMPUTED_VALUE"""),"CE")</f>
        <v>CE</v>
      </c>
      <c r="H1435" s="211">
        <v>4750</v>
      </c>
      <c r="I1435" s="212">
        <v>1</v>
      </c>
      <c r="J1435" s="212">
        <v>1</v>
      </c>
      <c r="K1435" s="213">
        <f t="shared" si="875"/>
        <v>4750</v>
      </c>
      <c r="L1435" s="214">
        <v>1.8</v>
      </c>
      <c r="M1435" s="215">
        <v>0</v>
      </c>
      <c r="N1435" s="216">
        <f t="shared" si="876"/>
        <v>8550</v>
      </c>
      <c r="O1435" s="216">
        <f t="shared" si="877"/>
        <v>0</v>
      </c>
      <c r="P1435" s="217">
        <f t="shared" si="878"/>
        <v>8550</v>
      </c>
      <c r="Q1435" s="217">
        <f t="shared" si="879"/>
        <v>-8550</v>
      </c>
      <c r="R1435" s="217">
        <f t="shared" si="891"/>
        <v>20</v>
      </c>
      <c r="S1435" s="217">
        <f t="shared" si="881"/>
        <v>4.42</v>
      </c>
      <c r="T1435" s="217">
        <f t="shared" si="882"/>
        <v>0</v>
      </c>
      <c r="U1435" s="217">
        <f t="shared" si="883"/>
        <v>0.26</v>
      </c>
      <c r="V1435" s="217">
        <f t="shared" si="884"/>
        <v>4.53</v>
      </c>
      <c r="W1435" s="217">
        <f t="shared" si="885"/>
        <v>0.01</v>
      </c>
      <c r="X1435" s="217">
        <f t="shared" si="886"/>
        <v>29.220000000000006</v>
      </c>
      <c r="Y1435" s="218">
        <f t="shared" si="887"/>
        <v>-8579.2199999999993</v>
      </c>
      <c r="Z1435" s="219">
        <v>-8579.2199999999993</v>
      </c>
      <c r="AA1435" s="220">
        <f t="shared" si="888"/>
        <v>0</v>
      </c>
      <c r="AB1435" s="221">
        <f t="shared" si="889"/>
        <v>-1</v>
      </c>
      <c r="AC1435" s="222">
        <f t="shared" si="890"/>
        <v>3.418E-3</v>
      </c>
      <c r="AD1435" s="217"/>
      <c r="AE1435" s="223" t="s">
        <v>403</v>
      </c>
      <c r="AF1435" s="119"/>
    </row>
    <row r="1436" spans="1:32" ht="12" hidden="1" customHeight="1">
      <c r="A1436" s="150">
        <v>44643</v>
      </c>
      <c r="B1436" s="152" t="s">
        <v>54</v>
      </c>
      <c r="C1436" s="152" t="str">
        <f t="shared" ca="1" si="874"/>
        <v>Stocks</v>
      </c>
      <c r="D1436" s="152" t="str">
        <f ca="1">IFERROR(__xludf.DUMMYFUNCTION("split(B1436,"" "")"),"SAIL")</f>
        <v>SAIL</v>
      </c>
      <c r="E1436" s="152" t="str">
        <f ca="1">IFERROR(__xludf.DUMMYFUNCTION("""COMPUTED_VALUE"""),"MAR")</f>
        <v>MAR</v>
      </c>
      <c r="F1436" s="152">
        <f ca="1">IFERROR(__xludf.DUMMYFUNCTION("""COMPUTED_VALUE"""),110)</f>
        <v>110</v>
      </c>
      <c r="G1436" s="152" t="str">
        <f ca="1">IFERROR(__xludf.DUMMYFUNCTION("""COMPUTED_VALUE"""),"CE")</f>
        <v>CE</v>
      </c>
      <c r="H1436" s="211">
        <v>4750</v>
      </c>
      <c r="I1436" s="212">
        <v>1</v>
      </c>
      <c r="J1436" s="212">
        <v>1</v>
      </c>
      <c r="K1436" s="213">
        <f t="shared" si="875"/>
        <v>4750</v>
      </c>
      <c r="L1436" s="214">
        <v>0</v>
      </c>
      <c r="M1436" s="215">
        <v>1</v>
      </c>
      <c r="N1436" s="216">
        <f t="shared" si="876"/>
        <v>0</v>
      </c>
      <c r="O1436" s="216">
        <f t="shared" si="877"/>
        <v>4750</v>
      </c>
      <c r="P1436" s="217">
        <f t="shared" si="878"/>
        <v>4750</v>
      </c>
      <c r="Q1436" s="217">
        <f t="shared" si="879"/>
        <v>4750</v>
      </c>
      <c r="R1436" s="217">
        <f t="shared" si="891"/>
        <v>20</v>
      </c>
      <c r="S1436" s="217">
        <f t="shared" si="881"/>
        <v>4.05</v>
      </c>
      <c r="T1436" s="217">
        <f t="shared" si="882"/>
        <v>2.38</v>
      </c>
      <c r="U1436" s="217">
        <f t="shared" si="883"/>
        <v>0</v>
      </c>
      <c r="V1436" s="217">
        <f t="shared" si="884"/>
        <v>2.52</v>
      </c>
      <c r="W1436" s="217">
        <f t="shared" si="885"/>
        <v>0</v>
      </c>
      <c r="X1436" s="217">
        <f t="shared" si="886"/>
        <v>28.95</v>
      </c>
      <c r="Y1436" s="218">
        <f t="shared" si="887"/>
        <v>4721.05</v>
      </c>
      <c r="Z1436" s="219">
        <v>4721.05</v>
      </c>
      <c r="AA1436" s="220">
        <f t="shared" si="888"/>
        <v>0</v>
      </c>
      <c r="AB1436" s="221">
        <f t="shared" si="889"/>
        <v>0</v>
      </c>
      <c r="AC1436" s="222">
        <f t="shared" si="890"/>
        <v>6.0949999999999997E-3</v>
      </c>
      <c r="AD1436" s="217"/>
      <c r="AE1436" s="223" t="s">
        <v>403</v>
      </c>
      <c r="AF1436" s="119"/>
    </row>
    <row r="1437" spans="1:32" ht="12" hidden="1" customHeight="1">
      <c r="A1437" s="209">
        <v>44624</v>
      </c>
      <c r="B1437" s="152" t="s">
        <v>733</v>
      </c>
      <c r="C1437" s="152" t="str">
        <f t="shared" ca="1" si="874"/>
        <v>Stocks</v>
      </c>
      <c r="D1437" s="152" t="str">
        <f ca="1">IFERROR(__xludf.DUMMYFUNCTION("split(B1437,"" "")"),"SAIL")</f>
        <v>SAIL</v>
      </c>
      <c r="E1437" s="152" t="str">
        <f ca="1">IFERROR(__xludf.DUMMYFUNCTION("""COMPUTED_VALUE"""),"MAR")</f>
        <v>MAR</v>
      </c>
      <c r="F1437" s="152">
        <f ca="1">IFERROR(__xludf.DUMMYFUNCTION("""COMPUTED_VALUE"""),105)</f>
        <v>105</v>
      </c>
      <c r="G1437" s="152" t="str">
        <f ca="1">IFERROR(__xludf.DUMMYFUNCTION("""COMPUTED_VALUE"""),"CE")</f>
        <v>CE</v>
      </c>
      <c r="H1437" s="211">
        <v>4750</v>
      </c>
      <c r="I1437" s="212">
        <v>1</v>
      </c>
      <c r="J1437" s="212">
        <v>1</v>
      </c>
      <c r="K1437" s="213">
        <f t="shared" si="875"/>
        <v>4750</v>
      </c>
      <c r="L1437" s="214">
        <v>2</v>
      </c>
      <c r="M1437" s="215">
        <v>2.1</v>
      </c>
      <c r="N1437" s="216">
        <f t="shared" si="876"/>
        <v>9500</v>
      </c>
      <c r="O1437" s="216">
        <f t="shared" si="877"/>
        <v>9975</v>
      </c>
      <c r="P1437" s="217">
        <f t="shared" si="878"/>
        <v>19475</v>
      </c>
      <c r="Q1437" s="217">
        <f t="shared" si="879"/>
        <v>475.0000000000004</v>
      </c>
      <c r="R1437" s="217">
        <f t="shared" si="891"/>
        <v>40</v>
      </c>
      <c r="S1437" s="217">
        <f t="shared" si="881"/>
        <v>9.06</v>
      </c>
      <c r="T1437" s="217">
        <f t="shared" si="882"/>
        <v>4.99</v>
      </c>
      <c r="U1437" s="217">
        <f t="shared" si="883"/>
        <v>0.28999999999999998</v>
      </c>
      <c r="V1437" s="217">
        <f t="shared" si="884"/>
        <v>10.32</v>
      </c>
      <c r="W1437" s="217">
        <f t="shared" si="885"/>
        <v>0.02</v>
      </c>
      <c r="X1437" s="217">
        <f t="shared" si="886"/>
        <v>64.679999999999993</v>
      </c>
      <c r="Y1437" s="218">
        <f t="shared" si="887"/>
        <v>410.32</v>
      </c>
      <c r="Z1437" s="219">
        <v>409.87</v>
      </c>
      <c r="AA1437" s="220">
        <f t="shared" si="888"/>
        <v>-0.44999999999998863</v>
      </c>
      <c r="AB1437" s="221">
        <f t="shared" si="889"/>
        <v>5.0000000000000044E-2</v>
      </c>
      <c r="AC1437" s="222">
        <f t="shared" si="890"/>
        <v>3.3210000000000002E-3</v>
      </c>
      <c r="AD1437" s="217"/>
      <c r="AE1437" s="223" t="s">
        <v>403</v>
      </c>
      <c r="AF1437" s="119"/>
    </row>
    <row r="1438" spans="1:32" ht="12" hidden="1" customHeight="1">
      <c r="A1438" s="148">
        <v>44635</v>
      </c>
      <c r="B1438" s="152" t="s">
        <v>55</v>
      </c>
      <c r="C1438" s="152" t="str">
        <f t="shared" ca="1" si="874"/>
        <v>Stocks</v>
      </c>
      <c r="D1438" s="152" t="str">
        <f ca="1">IFERROR(__xludf.DUMMYFUNCTION("split(B1438,"" "")"),"AMBUJACEM")</f>
        <v>AMBUJACEM</v>
      </c>
      <c r="E1438" s="152" t="str">
        <f ca="1">IFERROR(__xludf.DUMMYFUNCTION("""COMPUTED_VALUE"""),"MAR")</f>
        <v>MAR</v>
      </c>
      <c r="F1438" s="152">
        <f ca="1">IFERROR(__xludf.DUMMYFUNCTION("""COMPUTED_VALUE"""),305)</f>
        <v>305</v>
      </c>
      <c r="G1438" s="152" t="str">
        <f ca="1">IFERROR(__xludf.DUMMYFUNCTION("""COMPUTED_VALUE"""),"CE")</f>
        <v>CE</v>
      </c>
      <c r="H1438" s="211">
        <v>1500</v>
      </c>
      <c r="I1438" s="212">
        <v>1</v>
      </c>
      <c r="J1438" s="212">
        <v>1</v>
      </c>
      <c r="K1438" s="213">
        <f t="shared" si="875"/>
        <v>1500</v>
      </c>
      <c r="L1438" s="214">
        <v>6.45</v>
      </c>
      <c r="M1438" s="215">
        <v>0</v>
      </c>
      <c r="N1438" s="216">
        <f t="shared" si="876"/>
        <v>9675</v>
      </c>
      <c r="O1438" s="216">
        <f t="shared" si="877"/>
        <v>0</v>
      </c>
      <c r="P1438" s="217">
        <f t="shared" si="878"/>
        <v>9675</v>
      </c>
      <c r="Q1438" s="217">
        <f t="shared" si="879"/>
        <v>-9675</v>
      </c>
      <c r="R1438" s="217">
        <f t="shared" si="891"/>
        <v>20</v>
      </c>
      <c r="S1438" s="217">
        <f t="shared" si="881"/>
        <v>4.5199999999999996</v>
      </c>
      <c r="T1438" s="217">
        <f t="shared" si="882"/>
        <v>0</v>
      </c>
      <c r="U1438" s="217">
        <f t="shared" si="883"/>
        <v>0.28999999999999998</v>
      </c>
      <c r="V1438" s="217">
        <f t="shared" si="884"/>
        <v>5.13</v>
      </c>
      <c r="W1438" s="217">
        <f t="shared" si="885"/>
        <v>0.01</v>
      </c>
      <c r="X1438" s="217">
        <f t="shared" si="886"/>
        <v>29.95</v>
      </c>
      <c r="Y1438" s="218">
        <f t="shared" si="887"/>
        <v>-9704.9500000000007</v>
      </c>
      <c r="Z1438" s="219">
        <v>-9704.66</v>
      </c>
      <c r="AA1438" s="220">
        <f t="shared" si="888"/>
        <v>0.29000000000087311</v>
      </c>
      <c r="AB1438" s="221">
        <f t="shared" si="889"/>
        <v>-1</v>
      </c>
      <c r="AC1438" s="222">
        <f t="shared" si="890"/>
        <v>3.0959999999999998E-3</v>
      </c>
      <c r="AD1438" s="217"/>
      <c r="AE1438" s="223" t="s">
        <v>403</v>
      </c>
      <c r="AF1438" s="119"/>
    </row>
    <row r="1439" spans="1:32" ht="12" hidden="1" customHeight="1">
      <c r="A1439" s="150">
        <v>44636</v>
      </c>
      <c r="B1439" s="152" t="s">
        <v>55</v>
      </c>
      <c r="C1439" s="152" t="str">
        <f t="shared" ca="1" si="874"/>
        <v>Stocks</v>
      </c>
      <c r="D1439" s="152" t="str">
        <f ca="1">IFERROR(__xludf.DUMMYFUNCTION("split(B1439,"" "")"),"AMBUJACEM")</f>
        <v>AMBUJACEM</v>
      </c>
      <c r="E1439" s="152" t="str">
        <f ca="1">IFERROR(__xludf.DUMMYFUNCTION("""COMPUTED_VALUE"""),"MAR")</f>
        <v>MAR</v>
      </c>
      <c r="F1439" s="152">
        <f ca="1">IFERROR(__xludf.DUMMYFUNCTION("""COMPUTED_VALUE"""),305)</f>
        <v>305</v>
      </c>
      <c r="G1439" s="152" t="str">
        <f ca="1">IFERROR(__xludf.DUMMYFUNCTION("""COMPUTED_VALUE"""),"CE")</f>
        <v>CE</v>
      </c>
      <c r="H1439" s="211">
        <v>1500</v>
      </c>
      <c r="I1439" s="212">
        <v>1</v>
      </c>
      <c r="J1439" s="212">
        <v>1</v>
      </c>
      <c r="K1439" s="213">
        <f t="shared" si="875"/>
        <v>1500</v>
      </c>
      <c r="L1439" s="214">
        <v>0</v>
      </c>
      <c r="M1439" s="215">
        <v>6.95</v>
      </c>
      <c r="N1439" s="216">
        <f t="shared" si="876"/>
        <v>0</v>
      </c>
      <c r="O1439" s="216">
        <f t="shared" si="877"/>
        <v>10425</v>
      </c>
      <c r="P1439" s="217">
        <f t="shared" si="878"/>
        <v>10425</v>
      </c>
      <c r="Q1439" s="217">
        <f t="shared" si="879"/>
        <v>10425</v>
      </c>
      <c r="R1439" s="217">
        <f t="shared" si="891"/>
        <v>20</v>
      </c>
      <c r="S1439" s="217">
        <f t="shared" si="881"/>
        <v>4.5999999999999996</v>
      </c>
      <c r="T1439" s="217">
        <f t="shared" si="882"/>
        <v>5.21</v>
      </c>
      <c r="U1439" s="217">
        <f t="shared" si="883"/>
        <v>0</v>
      </c>
      <c r="V1439" s="217">
        <f t="shared" si="884"/>
        <v>5.53</v>
      </c>
      <c r="W1439" s="217">
        <f t="shared" si="885"/>
        <v>0.01</v>
      </c>
      <c r="X1439" s="217">
        <f t="shared" si="886"/>
        <v>35.35</v>
      </c>
      <c r="Y1439" s="218">
        <f t="shared" si="887"/>
        <v>10389.65</v>
      </c>
      <c r="Z1439" s="219">
        <v>10389.870000000001</v>
      </c>
      <c r="AA1439" s="220">
        <f t="shared" si="888"/>
        <v>0.22000000000116415</v>
      </c>
      <c r="AB1439" s="221">
        <f t="shared" si="889"/>
        <v>0</v>
      </c>
      <c r="AC1439" s="222">
        <f t="shared" si="890"/>
        <v>3.3909999999999999E-3</v>
      </c>
      <c r="AD1439" s="217"/>
      <c r="AE1439" s="223" t="s">
        <v>403</v>
      </c>
      <c r="AF1439" s="119"/>
    </row>
    <row r="1440" spans="1:32" ht="12" hidden="1" customHeight="1">
      <c r="A1440" s="209">
        <v>44637</v>
      </c>
      <c r="B1440" s="152" t="s">
        <v>734</v>
      </c>
      <c r="C1440" s="152" t="str">
        <f t="shared" ca="1" si="874"/>
        <v>Stocks</v>
      </c>
      <c r="D1440" s="152" t="str">
        <f ca="1">IFERROR(__xludf.DUMMYFUNCTION("split(B1440,"" "")"),"LICHSGFIN")</f>
        <v>LICHSGFIN</v>
      </c>
      <c r="E1440" s="152" t="str">
        <f ca="1">IFERROR(__xludf.DUMMYFUNCTION("""COMPUTED_VALUE"""),"MAR")</f>
        <v>MAR</v>
      </c>
      <c r="F1440" s="152">
        <f ca="1">IFERROR(__xludf.DUMMYFUNCTION("""COMPUTED_VALUE"""),365)</f>
        <v>365</v>
      </c>
      <c r="G1440" s="152" t="str">
        <f ca="1">IFERROR(__xludf.DUMMYFUNCTION("""COMPUTED_VALUE"""),"CE")</f>
        <v>CE</v>
      </c>
      <c r="H1440" s="211">
        <v>2000</v>
      </c>
      <c r="I1440" s="212">
        <v>1</v>
      </c>
      <c r="J1440" s="212">
        <v>1</v>
      </c>
      <c r="K1440" s="213">
        <f t="shared" si="875"/>
        <v>2000</v>
      </c>
      <c r="L1440" s="214">
        <v>12.4</v>
      </c>
      <c r="M1440" s="215">
        <v>12.6</v>
      </c>
      <c r="N1440" s="216">
        <f t="shared" si="876"/>
        <v>24800</v>
      </c>
      <c r="O1440" s="216">
        <f t="shared" si="877"/>
        <v>25200</v>
      </c>
      <c r="P1440" s="217">
        <f t="shared" si="878"/>
        <v>50000</v>
      </c>
      <c r="Q1440" s="217">
        <f t="shared" si="879"/>
        <v>399.99999999999858</v>
      </c>
      <c r="R1440" s="217">
        <f t="shared" si="891"/>
        <v>40</v>
      </c>
      <c r="S1440" s="217">
        <f t="shared" si="881"/>
        <v>11.97</v>
      </c>
      <c r="T1440" s="217">
        <f t="shared" si="882"/>
        <v>12.6</v>
      </c>
      <c r="U1440" s="217">
        <f t="shared" si="883"/>
        <v>0.74</v>
      </c>
      <c r="V1440" s="217">
        <f t="shared" si="884"/>
        <v>26.5</v>
      </c>
      <c r="W1440" s="217">
        <f t="shared" si="885"/>
        <v>0.05</v>
      </c>
      <c r="X1440" s="217">
        <f t="shared" si="886"/>
        <v>91.859999999999985</v>
      </c>
      <c r="Y1440" s="218">
        <f t="shared" si="887"/>
        <v>308.14</v>
      </c>
      <c r="Z1440" s="219">
        <v>308.5</v>
      </c>
      <c r="AA1440" s="220">
        <f t="shared" si="888"/>
        <v>0.36000000000001364</v>
      </c>
      <c r="AB1440" s="221">
        <f t="shared" si="889"/>
        <v>1.6129032258064457E-2</v>
      </c>
      <c r="AC1440" s="222">
        <f t="shared" si="890"/>
        <v>1.8370000000000001E-3</v>
      </c>
      <c r="AD1440" s="217"/>
      <c r="AE1440" s="223" t="s">
        <v>403</v>
      </c>
      <c r="AF1440" s="119"/>
    </row>
    <row r="1441" spans="1:32" ht="12" hidden="1" customHeight="1">
      <c r="A1441" s="209">
        <v>44637</v>
      </c>
      <c r="B1441" s="152" t="s">
        <v>734</v>
      </c>
      <c r="C1441" s="152" t="str">
        <f t="shared" ca="1" si="874"/>
        <v>Stocks</v>
      </c>
      <c r="D1441" s="152" t="str">
        <f ca="1">IFERROR(__xludf.DUMMYFUNCTION("split(B1441,"" "")"),"LICHSGFIN")</f>
        <v>LICHSGFIN</v>
      </c>
      <c r="E1441" s="152" t="str">
        <f ca="1">IFERROR(__xludf.DUMMYFUNCTION("""COMPUTED_VALUE"""),"MAR")</f>
        <v>MAR</v>
      </c>
      <c r="F1441" s="152">
        <f ca="1">IFERROR(__xludf.DUMMYFUNCTION("""COMPUTED_VALUE"""),365)</f>
        <v>365</v>
      </c>
      <c r="G1441" s="152" t="str">
        <f ca="1">IFERROR(__xludf.DUMMYFUNCTION("""COMPUTED_VALUE"""),"CE")</f>
        <v>CE</v>
      </c>
      <c r="H1441" s="211">
        <v>2000</v>
      </c>
      <c r="I1441" s="212">
        <v>1</v>
      </c>
      <c r="J1441" s="212">
        <v>1</v>
      </c>
      <c r="K1441" s="213">
        <f t="shared" si="875"/>
        <v>2000</v>
      </c>
      <c r="L1441" s="214">
        <v>12.3</v>
      </c>
      <c r="M1441" s="215">
        <v>12.6</v>
      </c>
      <c r="N1441" s="216">
        <f t="shared" si="876"/>
        <v>24600</v>
      </c>
      <c r="O1441" s="216">
        <f t="shared" si="877"/>
        <v>25200</v>
      </c>
      <c r="P1441" s="217">
        <f t="shared" si="878"/>
        <v>49800</v>
      </c>
      <c r="Q1441" s="217">
        <f t="shared" si="879"/>
        <v>599.99999999999784</v>
      </c>
      <c r="R1441" s="217">
        <f t="shared" si="891"/>
        <v>40</v>
      </c>
      <c r="S1441" s="217">
        <f t="shared" si="881"/>
        <v>11.95</v>
      </c>
      <c r="T1441" s="217">
        <f t="shared" si="882"/>
        <v>12.6</v>
      </c>
      <c r="U1441" s="217">
        <f t="shared" si="883"/>
        <v>0.74</v>
      </c>
      <c r="V1441" s="217">
        <f t="shared" si="884"/>
        <v>26.39</v>
      </c>
      <c r="W1441" s="217">
        <f t="shared" si="885"/>
        <v>0.05</v>
      </c>
      <c r="X1441" s="217">
        <f t="shared" si="886"/>
        <v>91.72999999999999</v>
      </c>
      <c r="Y1441" s="218">
        <f t="shared" si="887"/>
        <v>508.27</v>
      </c>
      <c r="Z1441" s="219">
        <v>508.59</v>
      </c>
      <c r="AA1441" s="220">
        <f t="shared" si="888"/>
        <v>0.31999999999999318</v>
      </c>
      <c r="AB1441" s="221">
        <f t="shared" si="889"/>
        <v>2.4390243902438935E-2</v>
      </c>
      <c r="AC1441" s="222">
        <f t="shared" si="890"/>
        <v>1.8420000000000001E-3</v>
      </c>
      <c r="AD1441" s="217"/>
      <c r="AE1441" s="223" t="s">
        <v>403</v>
      </c>
      <c r="AF1441" s="119"/>
    </row>
    <row r="1442" spans="1:32" ht="12" hidden="1" customHeight="1">
      <c r="A1442" s="148">
        <v>44641</v>
      </c>
      <c r="B1442" s="152" t="s">
        <v>56</v>
      </c>
      <c r="C1442" s="152" t="str">
        <f t="shared" ca="1" si="874"/>
        <v>Stocks</v>
      </c>
      <c r="D1442" s="152" t="str">
        <f ca="1">IFERROR(__xludf.DUMMYFUNCTION("split(B1442,"" "")"),"LICHSGFIN")</f>
        <v>LICHSGFIN</v>
      </c>
      <c r="E1442" s="152" t="str">
        <f ca="1">IFERROR(__xludf.DUMMYFUNCTION("""COMPUTED_VALUE"""),"MAR")</f>
        <v>MAR</v>
      </c>
      <c r="F1442" s="152">
        <f ca="1">IFERROR(__xludf.DUMMYFUNCTION("""COMPUTED_VALUE"""),370)</f>
        <v>370</v>
      </c>
      <c r="G1442" s="152" t="str">
        <f ca="1">IFERROR(__xludf.DUMMYFUNCTION("""COMPUTED_VALUE"""),"CE")</f>
        <v>CE</v>
      </c>
      <c r="H1442" s="211">
        <v>2000</v>
      </c>
      <c r="I1442" s="212">
        <v>1</v>
      </c>
      <c r="J1442" s="212">
        <v>1</v>
      </c>
      <c r="K1442" s="213">
        <f t="shared" si="875"/>
        <v>2000</v>
      </c>
      <c r="L1442" s="214">
        <v>8</v>
      </c>
      <c r="M1442" s="215">
        <v>0</v>
      </c>
      <c r="N1442" s="216">
        <f t="shared" si="876"/>
        <v>16000</v>
      </c>
      <c r="O1442" s="216">
        <f t="shared" si="877"/>
        <v>0</v>
      </c>
      <c r="P1442" s="217">
        <f t="shared" si="878"/>
        <v>16000</v>
      </c>
      <c r="Q1442" s="217">
        <f t="shared" si="879"/>
        <v>-16000</v>
      </c>
      <c r="R1442" s="217">
        <f t="shared" si="891"/>
        <v>20</v>
      </c>
      <c r="S1442" s="217">
        <f t="shared" si="881"/>
        <v>5.13</v>
      </c>
      <c r="T1442" s="217">
        <f t="shared" si="882"/>
        <v>0</v>
      </c>
      <c r="U1442" s="217">
        <f t="shared" si="883"/>
        <v>0.48</v>
      </c>
      <c r="V1442" s="217">
        <f t="shared" si="884"/>
        <v>8.48</v>
      </c>
      <c r="W1442" s="217">
        <f t="shared" si="885"/>
        <v>0.02</v>
      </c>
      <c r="X1442" s="217">
        <f t="shared" si="886"/>
        <v>34.110000000000007</v>
      </c>
      <c r="Y1442" s="218">
        <f t="shared" si="887"/>
        <v>-16034.11</v>
      </c>
      <c r="Z1442" s="219">
        <v>-16033.63</v>
      </c>
      <c r="AA1442" s="220">
        <f t="shared" si="888"/>
        <v>0.48000000000138243</v>
      </c>
      <c r="AB1442" s="221">
        <f t="shared" si="889"/>
        <v>-1</v>
      </c>
      <c r="AC1442" s="222">
        <f t="shared" si="890"/>
        <v>2.1320000000000002E-3</v>
      </c>
      <c r="AD1442" s="217"/>
      <c r="AE1442" s="223" t="s">
        <v>403</v>
      </c>
      <c r="AF1442" s="119"/>
    </row>
    <row r="1443" spans="1:32" ht="12" hidden="1" customHeight="1">
      <c r="A1443" s="150">
        <v>44642</v>
      </c>
      <c r="B1443" s="152" t="s">
        <v>56</v>
      </c>
      <c r="C1443" s="152" t="str">
        <f t="shared" ca="1" si="874"/>
        <v>Stocks</v>
      </c>
      <c r="D1443" s="152" t="str">
        <f ca="1">IFERROR(__xludf.DUMMYFUNCTION("split(B1443,"" "")"),"LICHSGFIN")</f>
        <v>LICHSGFIN</v>
      </c>
      <c r="E1443" s="152" t="str">
        <f ca="1">IFERROR(__xludf.DUMMYFUNCTION("""COMPUTED_VALUE"""),"MAR")</f>
        <v>MAR</v>
      </c>
      <c r="F1443" s="152">
        <f ca="1">IFERROR(__xludf.DUMMYFUNCTION("""COMPUTED_VALUE"""),370)</f>
        <v>370</v>
      </c>
      <c r="G1443" s="152" t="str">
        <f ca="1">IFERROR(__xludf.DUMMYFUNCTION("""COMPUTED_VALUE"""),"CE")</f>
        <v>CE</v>
      </c>
      <c r="H1443" s="211">
        <v>2000</v>
      </c>
      <c r="I1443" s="212">
        <v>1</v>
      </c>
      <c r="J1443" s="212">
        <v>1</v>
      </c>
      <c r="K1443" s="213">
        <f t="shared" si="875"/>
        <v>2000</v>
      </c>
      <c r="L1443" s="214">
        <v>0</v>
      </c>
      <c r="M1443" s="215">
        <v>8.1</v>
      </c>
      <c r="N1443" s="216">
        <f t="shared" si="876"/>
        <v>0</v>
      </c>
      <c r="O1443" s="216">
        <f t="shared" si="877"/>
        <v>16200</v>
      </c>
      <c r="P1443" s="217">
        <f t="shared" si="878"/>
        <v>16200</v>
      </c>
      <c r="Q1443" s="217">
        <f t="shared" si="879"/>
        <v>16200</v>
      </c>
      <c r="R1443" s="217">
        <f t="shared" si="891"/>
        <v>20</v>
      </c>
      <c r="S1443" s="217">
        <f t="shared" si="881"/>
        <v>5.15</v>
      </c>
      <c r="T1443" s="217">
        <f t="shared" si="882"/>
        <v>8.1</v>
      </c>
      <c r="U1443" s="217">
        <f t="shared" si="883"/>
        <v>0</v>
      </c>
      <c r="V1443" s="217">
        <f t="shared" si="884"/>
        <v>8.59</v>
      </c>
      <c r="W1443" s="217">
        <f t="shared" si="885"/>
        <v>0.02</v>
      </c>
      <c r="X1443" s="217">
        <f t="shared" si="886"/>
        <v>41.860000000000007</v>
      </c>
      <c r="Y1443" s="218">
        <f t="shared" si="887"/>
        <v>16158.14</v>
      </c>
      <c r="Z1443" s="219">
        <v>16158.24</v>
      </c>
      <c r="AA1443" s="220">
        <f t="shared" si="888"/>
        <v>0.1000000000003638</v>
      </c>
      <c r="AB1443" s="221">
        <f t="shared" si="889"/>
        <v>0</v>
      </c>
      <c r="AC1443" s="222">
        <f t="shared" si="890"/>
        <v>2.5839999999999999E-3</v>
      </c>
      <c r="AD1443" s="217"/>
      <c r="AE1443" s="223" t="s">
        <v>403</v>
      </c>
      <c r="AF1443" s="119"/>
    </row>
    <row r="1444" spans="1:32" ht="12" hidden="1" customHeight="1">
      <c r="A1444" s="209">
        <v>44643</v>
      </c>
      <c r="B1444" s="152" t="s">
        <v>57</v>
      </c>
      <c r="C1444" s="152" t="str">
        <f t="shared" ca="1" si="874"/>
        <v>Stocks</v>
      </c>
      <c r="D1444" s="152" t="str">
        <f ca="1">IFERROR(__xludf.DUMMYFUNCTION("split(B1444,"" "")"),"LICHSGFIN")</f>
        <v>LICHSGFIN</v>
      </c>
      <c r="E1444" s="152" t="str">
        <f ca="1">IFERROR(__xludf.DUMMYFUNCTION("""COMPUTED_VALUE"""),"MAR")</f>
        <v>MAR</v>
      </c>
      <c r="F1444" s="152">
        <f ca="1">IFERROR(__xludf.DUMMYFUNCTION("""COMPUTED_VALUE"""),380)</f>
        <v>380</v>
      </c>
      <c r="G1444" s="152" t="str">
        <f ca="1">IFERROR(__xludf.DUMMYFUNCTION("""COMPUTED_VALUE"""),"CE")</f>
        <v>CE</v>
      </c>
      <c r="H1444" s="211">
        <v>2000</v>
      </c>
      <c r="I1444" s="212">
        <v>1</v>
      </c>
      <c r="J1444" s="212">
        <v>1</v>
      </c>
      <c r="K1444" s="213">
        <f t="shared" si="875"/>
        <v>2000</v>
      </c>
      <c r="L1444" s="214">
        <v>6.1</v>
      </c>
      <c r="M1444" s="215">
        <v>6.3</v>
      </c>
      <c r="N1444" s="216">
        <f t="shared" si="876"/>
        <v>12200</v>
      </c>
      <c r="O1444" s="216">
        <f t="shared" si="877"/>
        <v>12600</v>
      </c>
      <c r="P1444" s="217">
        <f t="shared" si="878"/>
        <v>24800</v>
      </c>
      <c r="Q1444" s="217">
        <f t="shared" si="879"/>
        <v>400.00000000000034</v>
      </c>
      <c r="R1444" s="217">
        <f t="shared" si="891"/>
        <v>40</v>
      </c>
      <c r="S1444" s="217">
        <f t="shared" si="881"/>
        <v>9.57</v>
      </c>
      <c r="T1444" s="217">
        <f t="shared" si="882"/>
        <v>6.3</v>
      </c>
      <c r="U1444" s="217">
        <f t="shared" si="883"/>
        <v>0.37</v>
      </c>
      <c r="V1444" s="217">
        <f t="shared" si="884"/>
        <v>13.14</v>
      </c>
      <c r="W1444" s="217">
        <f t="shared" si="885"/>
        <v>0.02</v>
      </c>
      <c r="X1444" s="217">
        <f t="shared" si="886"/>
        <v>69.399999999999991</v>
      </c>
      <c r="Y1444" s="218">
        <f t="shared" si="887"/>
        <v>330.6</v>
      </c>
      <c r="Z1444" s="219">
        <v>330.6</v>
      </c>
      <c r="AA1444" s="220">
        <f t="shared" si="888"/>
        <v>0</v>
      </c>
      <c r="AB1444" s="221">
        <f t="shared" si="889"/>
        <v>3.2786885245901669E-2</v>
      </c>
      <c r="AC1444" s="222">
        <f t="shared" si="890"/>
        <v>2.7980000000000001E-3</v>
      </c>
      <c r="AD1444" s="217"/>
      <c r="AE1444" s="223" t="s">
        <v>403</v>
      </c>
      <c r="AF1444" s="119"/>
    </row>
    <row r="1445" spans="1:32" ht="12" hidden="1" customHeight="1">
      <c r="A1445" s="148">
        <v>44643</v>
      </c>
      <c r="B1445" s="152" t="s">
        <v>57</v>
      </c>
      <c r="C1445" s="152" t="str">
        <f t="shared" ca="1" si="874"/>
        <v>Stocks</v>
      </c>
      <c r="D1445" s="152" t="str">
        <f ca="1">IFERROR(__xludf.DUMMYFUNCTION("split(B1445,"" "")"),"LICHSGFIN")</f>
        <v>LICHSGFIN</v>
      </c>
      <c r="E1445" s="152" t="str">
        <f ca="1">IFERROR(__xludf.DUMMYFUNCTION("""COMPUTED_VALUE"""),"MAR")</f>
        <v>MAR</v>
      </c>
      <c r="F1445" s="152">
        <f ca="1">IFERROR(__xludf.DUMMYFUNCTION("""COMPUTED_VALUE"""),380)</f>
        <v>380</v>
      </c>
      <c r="G1445" s="152" t="str">
        <f ca="1">IFERROR(__xludf.DUMMYFUNCTION("""COMPUTED_VALUE"""),"CE")</f>
        <v>CE</v>
      </c>
      <c r="H1445" s="211">
        <v>2000</v>
      </c>
      <c r="I1445" s="212">
        <v>1</v>
      </c>
      <c r="J1445" s="212">
        <v>1</v>
      </c>
      <c r="K1445" s="213">
        <f t="shared" si="875"/>
        <v>2000</v>
      </c>
      <c r="L1445" s="214">
        <v>5.85</v>
      </c>
      <c r="M1445" s="215">
        <v>0</v>
      </c>
      <c r="N1445" s="216">
        <f t="shared" si="876"/>
        <v>11700</v>
      </c>
      <c r="O1445" s="216">
        <f t="shared" si="877"/>
        <v>0</v>
      </c>
      <c r="P1445" s="217">
        <f t="shared" si="878"/>
        <v>11700</v>
      </c>
      <c r="Q1445" s="217">
        <f t="shared" si="879"/>
        <v>-11700</v>
      </c>
      <c r="R1445" s="217">
        <f t="shared" si="891"/>
        <v>20</v>
      </c>
      <c r="S1445" s="217">
        <f t="shared" si="881"/>
        <v>4.72</v>
      </c>
      <c r="T1445" s="217">
        <f t="shared" si="882"/>
        <v>0</v>
      </c>
      <c r="U1445" s="217">
        <f t="shared" si="883"/>
        <v>0.35</v>
      </c>
      <c r="V1445" s="217">
        <f t="shared" si="884"/>
        <v>6.2</v>
      </c>
      <c r="W1445" s="217">
        <f t="shared" si="885"/>
        <v>0.01</v>
      </c>
      <c r="X1445" s="217">
        <f t="shared" si="886"/>
        <v>31.28</v>
      </c>
      <c r="Y1445" s="218">
        <f t="shared" si="887"/>
        <v>-11731.28</v>
      </c>
      <c r="Z1445" s="219">
        <v>-11731.28</v>
      </c>
      <c r="AA1445" s="220">
        <f t="shared" si="888"/>
        <v>0</v>
      </c>
      <c r="AB1445" s="221">
        <f t="shared" si="889"/>
        <v>-1</v>
      </c>
      <c r="AC1445" s="222">
        <f t="shared" si="890"/>
        <v>2.6740000000000002E-3</v>
      </c>
      <c r="AD1445" s="217"/>
      <c r="AE1445" s="223" t="s">
        <v>403</v>
      </c>
      <c r="AF1445" s="119"/>
    </row>
    <row r="1446" spans="1:32" ht="12" hidden="1" customHeight="1">
      <c r="A1446" s="150">
        <v>44648</v>
      </c>
      <c r="B1446" s="152" t="s">
        <v>57</v>
      </c>
      <c r="C1446" s="152" t="str">
        <f t="shared" ca="1" si="874"/>
        <v>Stocks</v>
      </c>
      <c r="D1446" s="152" t="str">
        <f ca="1">IFERROR(__xludf.DUMMYFUNCTION("split(B1446,"" "")"),"LICHSGFIN")</f>
        <v>LICHSGFIN</v>
      </c>
      <c r="E1446" s="152" t="str">
        <f ca="1">IFERROR(__xludf.DUMMYFUNCTION("""COMPUTED_VALUE"""),"MAR")</f>
        <v>MAR</v>
      </c>
      <c r="F1446" s="152">
        <f ca="1">IFERROR(__xludf.DUMMYFUNCTION("""COMPUTED_VALUE"""),380)</f>
        <v>380</v>
      </c>
      <c r="G1446" s="152" t="str">
        <f ca="1">IFERROR(__xludf.DUMMYFUNCTION("""COMPUTED_VALUE"""),"CE")</f>
        <v>CE</v>
      </c>
      <c r="H1446" s="211">
        <v>2000</v>
      </c>
      <c r="I1446" s="212">
        <v>1</v>
      </c>
      <c r="J1446" s="212">
        <v>1</v>
      </c>
      <c r="K1446" s="213">
        <f t="shared" si="875"/>
        <v>2000</v>
      </c>
      <c r="L1446" s="214">
        <v>0</v>
      </c>
      <c r="M1446" s="215">
        <v>1.4</v>
      </c>
      <c r="N1446" s="216">
        <f t="shared" si="876"/>
        <v>0</v>
      </c>
      <c r="O1446" s="216">
        <f t="shared" si="877"/>
        <v>2800</v>
      </c>
      <c r="P1446" s="217">
        <f t="shared" si="878"/>
        <v>2800</v>
      </c>
      <c r="Q1446" s="217">
        <f t="shared" si="879"/>
        <v>2800</v>
      </c>
      <c r="R1446" s="217">
        <f t="shared" si="891"/>
        <v>20</v>
      </c>
      <c r="S1446" s="217">
        <f t="shared" si="881"/>
        <v>3.87</v>
      </c>
      <c r="T1446" s="217">
        <f t="shared" si="882"/>
        <v>1.4</v>
      </c>
      <c r="U1446" s="217">
        <f t="shared" si="883"/>
        <v>0</v>
      </c>
      <c r="V1446" s="217">
        <f t="shared" si="884"/>
        <v>1.48</v>
      </c>
      <c r="W1446" s="217">
        <f t="shared" si="885"/>
        <v>0</v>
      </c>
      <c r="X1446" s="217">
        <f t="shared" si="886"/>
        <v>26.75</v>
      </c>
      <c r="Y1446" s="218">
        <f t="shared" si="887"/>
        <v>2773.25</v>
      </c>
      <c r="Z1446" s="219">
        <v>2773.65</v>
      </c>
      <c r="AA1446" s="220">
        <f t="shared" si="888"/>
        <v>0.40000000000009095</v>
      </c>
      <c r="AB1446" s="221">
        <f t="shared" si="889"/>
        <v>0</v>
      </c>
      <c r="AC1446" s="222">
        <f t="shared" si="890"/>
        <v>9.554E-3</v>
      </c>
      <c r="AD1446" s="217"/>
      <c r="AE1446" s="223" t="s">
        <v>403</v>
      </c>
      <c r="AF1446" s="119"/>
    </row>
    <row r="1447" spans="1:32" ht="12" hidden="1" customHeight="1">
      <c r="A1447" s="209">
        <v>44643</v>
      </c>
      <c r="B1447" s="152" t="s">
        <v>54</v>
      </c>
      <c r="C1447" s="152" t="str">
        <f t="shared" ca="1" si="874"/>
        <v>Stocks</v>
      </c>
      <c r="D1447" s="152" t="str">
        <f ca="1">IFERROR(__xludf.DUMMYFUNCTION("split(B1447,"" "")"),"SAIL")</f>
        <v>SAIL</v>
      </c>
      <c r="E1447" s="152" t="str">
        <f ca="1">IFERROR(__xludf.DUMMYFUNCTION("""COMPUTED_VALUE"""),"MAR")</f>
        <v>MAR</v>
      </c>
      <c r="F1447" s="152">
        <f ca="1">IFERROR(__xludf.DUMMYFUNCTION("""COMPUTED_VALUE"""),110)</f>
        <v>110</v>
      </c>
      <c r="G1447" s="152" t="str">
        <f ca="1">IFERROR(__xludf.DUMMYFUNCTION("""COMPUTED_VALUE"""),"CE")</f>
        <v>CE</v>
      </c>
      <c r="H1447" s="211">
        <v>4750</v>
      </c>
      <c r="I1447" s="212">
        <v>1</v>
      </c>
      <c r="J1447" s="212">
        <v>1</v>
      </c>
      <c r="K1447" s="213">
        <f t="shared" si="875"/>
        <v>4750</v>
      </c>
      <c r="L1447" s="214">
        <v>0.85</v>
      </c>
      <c r="M1447" s="215">
        <v>0.9</v>
      </c>
      <c r="N1447" s="216">
        <f t="shared" si="876"/>
        <v>4037.5</v>
      </c>
      <c r="O1447" s="216">
        <f t="shared" si="877"/>
        <v>4275</v>
      </c>
      <c r="P1447" s="217">
        <f t="shared" si="878"/>
        <v>8312.5</v>
      </c>
      <c r="Q1447" s="217">
        <f t="shared" si="879"/>
        <v>237.5000000000002</v>
      </c>
      <c r="R1447" s="217">
        <f t="shared" si="891"/>
        <v>40</v>
      </c>
      <c r="S1447" s="217">
        <f t="shared" si="881"/>
        <v>7.99</v>
      </c>
      <c r="T1447" s="217">
        <f t="shared" si="882"/>
        <v>2.14</v>
      </c>
      <c r="U1447" s="217">
        <f t="shared" si="883"/>
        <v>0.12</v>
      </c>
      <c r="V1447" s="217">
        <f t="shared" si="884"/>
        <v>4.41</v>
      </c>
      <c r="W1447" s="217">
        <f t="shared" si="885"/>
        <v>0.01</v>
      </c>
      <c r="X1447" s="217">
        <f t="shared" si="886"/>
        <v>54.669999999999995</v>
      </c>
      <c r="Y1447" s="218">
        <f t="shared" si="887"/>
        <v>182.83</v>
      </c>
      <c r="Z1447" s="219">
        <v>182.48</v>
      </c>
      <c r="AA1447" s="220">
        <f t="shared" si="888"/>
        <v>-0.35000000000002274</v>
      </c>
      <c r="AB1447" s="221">
        <f t="shared" si="889"/>
        <v>5.8823529411764761E-2</v>
      </c>
      <c r="AC1447" s="222">
        <f t="shared" si="890"/>
        <v>6.5770000000000004E-3</v>
      </c>
      <c r="AD1447" s="217"/>
      <c r="AE1447" s="223" t="s">
        <v>403</v>
      </c>
      <c r="AF1447" s="119"/>
    </row>
    <row r="1448" spans="1:32" ht="12" hidden="1" customHeight="1">
      <c r="A1448" s="209">
        <v>44644</v>
      </c>
      <c r="B1448" s="152" t="s">
        <v>56</v>
      </c>
      <c r="C1448" s="152" t="str">
        <f t="shared" ca="1" si="874"/>
        <v>Stocks</v>
      </c>
      <c r="D1448" s="152" t="str">
        <f ca="1">IFERROR(__xludf.DUMMYFUNCTION("split(B1448,"" "")"),"LICHSGFIN")</f>
        <v>LICHSGFIN</v>
      </c>
      <c r="E1448" s="152" t="str">
        <f ca="1">IFERROR(__xludf.DUMMYFUNCTION("""COMPUTED_VALUE"""),"MAR")</f>
        <v>MAR</v>
      </c>
      <c r="F1448" s="152">
        <f ca="1">IFERROR(__xludf.DUMMYFUNCTION("""COMPUTED_VALUE"""),370)</f>
        <v>370</v>
      </c>
      <c r="G1448" s="152" t="str">
        <f ca="1">IFERROR(__xludf.DUMMYFUNCTION("""COMPUTED_VALUE"""),"CE")</f>
        <v>CE</v>
      </c>
      <c r="H1448" s="211">
        <v>2000</v>
      </c>
      <c r="I1448" s="212">
        <v>1</v>
      </c>
      <c r="J1448" s="212">
        <v>1</v>
      </c>
      <c r="K1448" s="213">
        <f t="shared" si="875"/>
        <v>2000</v>
      </c>
      <c r="L1448" s="214">
        <v>8</v>
      </c>
      <c r="M1448" s="215">
        <v>8.25</v>
      </c>
      <c r="N1448" s="216">
        <f t="shared" si="876"/>
        <v>16000</v>
      </c>
      <c r="O1448" s="216">
        <f t="shared" si="877"/>
        <v>16500</v>
      </c>
      <c r="P1448" s="217">
        <f t="shared" si="878"/>
        <v>32500</v>
      </c>
      <c r="Q1448" s="217">
        <f t="shared" si="879"/>
        <v>500</v>
      </c>
      <c r="R1448" s="217">
        <f t="shared" si="891"/>
        <v>40</v>
      </c>
      <c r="S1448" s="217">
        <f t="shared" si="881"/>
        <v>10.3</v>
      </c>
      <c r="T1448" s="217">
        <f t="shared" si="882"/>
        <v>8.25</v>
      </c>
      <c r="U1448" s="217">
        <f t="shared" si="883"/>
        <v>0.48</v>
      </c>
      <c r="V1448" s="217">
        <f t="shared" si="884"/>
        <v>17.23</v>
      </c>
      <c r="W1448" s="217">
        <f t="shared" si="885"/>
        <v>0.03</v>
      </c>
      <c r="X1448" s="217">
        <f t="shared" si="886"/>
        <v>76.289999999999992</v>
      </c>
      <c r="Y1448" s="218">
        <f t="shared" si="887"/>
        <v>423.71</v>
      </c>
      <c r="Z1448" s="219">
        <v>424</v>
      </c>
      <c r="AA1448" s="220">
        <f t="shared" si="888"/>
        <v>0.29000000000002046</v>
      </c>
      <c r="AB1448" s="221">
        <f t="shared" si="889"/>
        <v>3.125E-2</v>
      </c>
      <c r="AC1448" s="222">
        <f t="shared" si="890"/>
        <v>2.3470000000000001E-3</v>
      </c>
      <c r="AD1448" s="217"/>
      <c r="AE1448" s="223" t="s">
        <v>403</v>
      </c>
      <c r="AF1448" s="119"/>
    </row>
    <row r="1449" spans="1:32" ht="12" hidden="1" customHeight="1">
      <c r="A1449" s="209">
        <v>44644</v>
      </c>
      <c r="B1449" s="152" t="s">
        <v>56</v>
      </c>
      <c r="C1449" s="152" t="str">
        <f t="shared" ca="1" si="874"/>
        <v>Stocks</v>
      </c>
      <c r="D1449" s="152" t="str">
        <f ca="1">IFERROR(__xludf.DUMMYFUNCTION("split(B1449,"" "")"),"LICHSGFIN")</f>
        <v>LICHSGFIN</v>
      </c>
      <c r="E1449" s="152" t="str">
        <f ca="1">IFERROR(__xludf.DUMMYFUNCTION("""COMPUTED_VALUE"""),"MAR")</f>
        <v>MAR</v>
      </c>
      <c r="F1449" s="152">
        <f ca="1">IFERROR(__xludf.DUMMYFUNCTION("""COMPUTED_VALUE"""),370)</f>
        <v>370</v>
      </c>
      <c r="G1449" s="152" t="str">
        <f ca="1">IFERROR(__xludf.DUMMYFUNCTION("""COMPUTED_VALUE"""),"CE")</f>
        <v>CE</v>
      </c>
      <c r="H1449" s="211">
        <v>2000</v>
      </c>
      <c r="I1449" s="212">
        <v>1</v>
      </c>
      <c r="J1449" s="212">
        <v>1</v>
      </c>
      <c r="K1449" s="213">
        <f t="shared" si="875"/>
        <v>2000</v>
      </c>
      <c r="L1449" s="214">
        <v>7.9</v>
      </c>
      <c r="M1449" s="215">
        <v>8.1999999999999993</v>
      </c>
      <c r="N1449" s="216">
        <f t="shared" si="876"/>
        <v>15800</v>
      </c>
      <c r="O1449" s="216">
        <f t="shared" si="877"/>
        <v>16400</v>
      </c>
      <c r="P1449" s="217">
        <f t="shared" si="878"/>
        <v>32200</v>
      </c>
      <c r="Q1449" s="217">
        <f t="shared" si="879"/>
        <v>599.99999999999784</v>
      </c>
      <c r="R1449" s="217">
        <f t="shared" si="891"/>
        <v>40</v>
      </c>
      <c r="S1449" s="217">
        <f t="shared" si="881"/>
        <v>10.27</v>
      </c>
      <c r="T1449" s="217">
        <f t="shared" si="882"/>
        <v>8.1999999999999993</v>
      </c>
      <c r="U1449" s="217">
        <f t="shared" si="883"/>
        <v>0.47</v>
      </c>
      <c r="V1449" s="217">
        <f t="shared" si="884"/>
        <v>17.07</v>
      </c>
      <c r="W1449" s="217">
        <f t="shared" si="885"/>
        <v>0.03</v>
      </c>
      <c r="X1449" s="217">
        <f t="shared" si="886"/>
        <v>76.039999999999992</v>
      </c>
      <c r="Y1449" s="218">
        <f t="shared" si="887"/>
        <v>523.96</v>
      </c>
      <c r="Z1449" s="219">
        <v>524</v>
      </c>
      <c r="AA1449" s="220">
        <f t="shared" si="888"/>
        <v>3.999999999996362E-2</v>
      </c>
      <c r="AB1449" s="221">
        <f t="shared" si="889"/>
        <v>3.797468354430366E-2</v>
      </c>
      <c r="AC1449" s="222">
        <f t="shared" si="890"/>
        <v>2.3609999999999998E-3</v>
      </c>
      <c r="AD1449" s="217"/>
      <c r="AE1449" s="223" t="s">
        <v>403</v>
      </c>
      <c r="AF1449" s="119"/>
    </row>
    <row r="1450" spans="1:32" ht="12" hidden="1" customHeight="1">
      <c r="A1450" s="209">
        <v>44644</v>
      </c>
      <c r="B1450" s="152" t="s">
        <v>56</v>
      </c>
      <c r="C1450" s="152" t="str">
        <f t="shared" ca="1" si="874"/>
        <v>Stocks</v>
      </c>
      <c r="D1450" s="152" t="str">
        <f ca="1">IFERROR(__xludf.DUMMYFUNCTION("split(B1450,"" "")"),"LICHSGFIN")</f>
        <v>LICHSGFIN</v>
      </c>
      <c r="E1450" s="152" t="str">
        <f ca="1">IFERROR(__xludf.DUMMYFUNCTION("""COMPUTED_VALUE"""),"MAR")</f>
        <v>MAR</v>
      </c>
      <c r="F1450" s="152">
        <f ca="1">IFERROR(__xludf.DUMMYFUNCTION("""COMPUTED_VALUE"""),370)</f>
        <v>370</v>
      </c>
      <c r="G1450" s="152" t="str">
        <f ca="1">IFERROR(__xludf.DUMMYFUNCTION("""COMPUTED_VALUE"""),"CE")</f>
        <v>CE</v>
      </c>
      <c r="H1450" s="211">
        <v>2000</v>
      </c>
      <c r="I1450" s="212">
        <v>1</v>
      </c>
      <c r="J1450" s="212">
        <v>1</v>
      </c>
      <c r="K1450" s="213">
        <f t="shared" si="875"/>
        <v>2000</v>
      </c>
      <c r="L1450" s="214">
        <v>7.9</v>
      </c>
      <c r="M1450" s="215">
        <v>8.0500000000000007</v>
      </c>
      <c r="N1450" s="216">
        <f t="shared" si="876"/>
        <v>15800</v>
      </c>
      <c r="O1450" s="216">
        <f t="shared" si="877"/>
        <v>16100</v>
      </c>
      <c r="P1450" s="217">
        <f t="shared" si="878"/>
        <v>31900</v>
      </c>
      <c r="Q1450" s="217">
        <f t="shared" si="879"/>
        <v>300.00000000000068</v>
      </c>
      <c r="R1450" s="217">
        <f t="shared" si="891"/>
        <v>40</v>
      </c>
      <c r="S1450" s="217">
        <f t="shared" si="881"/>
        <v>10.24</v>
      </c>
      <c r="T1450" s="217">
        <f t="shared" si="882"/>
        <v>8.0500000000000007</v>
      </c>
      <c r="U1450" s="217">
        <f t="shared" si="883"/>
        <v>0.47</v>
      </c>
      <c r="V1450" s="217">
        <f t="shared" si="884"/>
        <v>16.91</v>
      </c>
      <c r="W1450" s="217">
        <f t="shared" si="885"/>
        <v>0.03</v>
      </c>
      <c r="X1450" s="217">
        <f t="shared" si="886"/>
        <v>75.7</v>
      </c>
      <c r="Y1450" s="218">
        <f t="shared" si="887"/>
        <v>224.3</v>
      </c>
      <c r="Z1450" s="219">
        <v>223.89</v>
      </c>
      <c r="AA1450" s="220">
        <f t="shared" si="888"/>
        <v>-0.41000000000002501</v>
      </c>
      <c r="AB1450" s="221">
        <f t="shared" si="889"/>
        <v>1.8987341772151944E-2</v>
      </c>
      <c r="AC1450" s="222">
        <f t="shared" si="890"/>
        <v>2.3730000000000001E-3</v>
      </c>
      <c r="AD1450" s="217"/>
      <c r="AE1450" s="223" t="s">
        <v>403</v>
      </c>
      <c r="AF1450" s="119"/>
    </row>
    <row r="1451" spans="1:32" ht="12" hidden="1" customHeight="1">
      <c r="A1451" s="209">
        <v>44652</v>
      </c>
      <c r="B1451" s="152" t="s">
        <v>735</v>
      </c>
      <c r="C1451" s="152" t="str">
        <f t="shared" ca="1" si="874"/>
        <v>Stocks</v>
      </c>
      <c r="D1451" s="152" t="str">
        <f ca="1">IFERROR(__xludf.DUMMYFUNCTION("split(B1451,"" "")"),"POWERGRID")</f>
        <v>POWERGRID</v>
      </c>
      <c r="E1451" s="152" t="str">
        <f ca="1">IFERROR(__xludf.DUMMYFUNCTION("""COMPUTED_VALUE"""),"APR")</f>
        <v>APR</v>
      </c>
      <c r="F1451" s="152">
        <f ca="1">IFERROR(__xludf.DUMMYFUNCTION("""COMPUTED_VALUE"""),230)</f>
        <v>230</v>
      </c>
      <c r="G1451" s="152" t="str">
        <f ca="1">IFERROR(__xludf.DUMMYFUNCTION("""COMPUTED_VALUE"""),"CE")</f>
        <v>CE</v>
      </c>
      <c r="H1451" s="211">
        <v>5333</v>
      </c>
      <c r="I1451" s="212">
        <v>1</v>
      </c>
      <c r="J1451" s="212">
        <v>1</v>
      </c>
      <c r="K1451" s="213">
        <f t="shared" si="875"/>
        <v>5333</v>
      </c>
      <c r="L1451" s="214">
        <v>4</v>
      </c>
      <c r="M1451" s="215">
        <v>4.2</v>
      </c>
      <c r="N1451" s="216">
        <f t="shared" si="876"/>
        <v>21332</v>
      </c>
      <c r="O1451" s="216">
        <f t="shared" si="877"/>
        <v>22398.6</v>
      </c>
      <c r="P1451" s="217">
        <f t="shared" si="878"/>
        <v>43730.6</v>
      </c>
      <c r="Q1451" s="217">
        <f t="shared" si="879"/>
        <v>1066.600000000001</v>
      </c>
      <c r="R1451" s="217">
        <f t="shared" si="891"/>
        <v>40</v>
      </c>
      <c r="S1451" s="217">
        <f t="shared" si="881"/>
        <v>11.37</v>
      </c>
      <c r="T1451" s="217">
        <f t="shared" si="882"/>
        <v>11.2</v>
      </c>
      <c r="U1451" s="217">
        <f t="shared" si="883"/>
        <v>0.64</v>
      </c>
      <c r="V1451" s="217">
        <f t="shared" si="884"/>
        <v>23.18</v>
      </c>
      <c r="W1451" s="217">
        <f t="shared" si="885"/>
        <v>0.04</v>
      </c>
      <c r="X1451" s="217">
        <f t="shared" si="886"/>
        <v>86.429999999999993</v>
      </c>
      <c r="Y1451" s="218">
        <f t="shared" si="887"/>
        <v>980.17</v>
      </c>
      <c r="Z1451" s="219">
        <v>980.01</v>
      </c>
      <c r="AA1451" s="220">
        <f t="shared" si="888"/>
        <v>-0.15999999999996817</v>
      </c>
      <c r="AB1451" s="221">
        <f t="shared" si="889"/>
        <v>5.0000000000000044E-2</v>
      </c>
      <c r="AC1451" s="222">
        <f t="shared" si="890"/>
        <v>1.9759999999999999E-3</v>
      </c>
      <c r="AD1451" s="217"/>
      <c r="AE1451" s="223" t="s">
        <v>403</v>
      </c>
      <c r="AF1451" s="119"/>
    </row>
    <row r="1452" spans="1:32" ht="12" hidden="1" customHeight="1">
      <c r="A1452" s="209">
        <v>44656</v>
      </c>
      <c r="B1452" s="152" t="s">
        <v>735</v>
      </c>
      <c r="C1452" s="152" t="str">
        <f t="shared" ca="1" si="874"/>
        <v>Stocks</v>
      </c>
      <c r="D1452" s="152" t="str">
        <f ca="1">IFERROR(__xludf.DUMMYFUNCTION("split(B1452,"" "")"),"POWERGRID")</f>
        <v>POWERGRID</v>
      </c>
      <c r="E1452" s="152" t="str">
        <f ca="1">IFERROR(__xludf.DUMMYFUNCTION("""COMPUTED_VALUE"""),"APR")</f>
        <v>APR</v>
      </c>
      <c r="F1452" s="152">
        <f ca="1">IFERROR(__xludf.DUMMYFUNCTION("""COMPUTED_VALUE"""),230)</f>
        <v>230</v>
      </c>
      <c r="G1452" s="152" t="str">
        <f ca="1">IFERROR(__xludf.DUMMYFUNCTION("""COMPUTED_VALUE"""),"CE")</f>
        <v>CE</v>
      </c>
      <c r="H1452" s="211">
        <v>5333</v>
      </c>
      <c r="I1452" s="212">
        <v>1</v>
      </c>
      <c r="J1452" s="212">
        <v>1</v>
      </c>
      <c r="K1452" s="213">
        <f t="shared" si="875"/>
        <v>5333</v>
      </c>
      <c r="L1452" s="214">
        <v>5.4</v>
      </c>
      <c r="M1452" s="215">
        <v>5.8</v>
      </c>
      <c r="N1452" s="216">
        <f t="shared" si="876"/>
        <v>28798.2</v>
      </c>
      <c r="O1452" s="216">
        <f t="shared" si="877"/>
        <v>30931.4</v>
      </c>
      <c r="P1452" s="217">
        <f t="shared" si="878"/>
        <v>59729.600000000006</v>
      </c>
      <c r="Q1452" s="217">
        <f t="shared" si="879"/>
        <v>2133.1999999999971</v>
      </c>
      <c r="R1452" s="217">
        <f t="shared" si="891"/>
        <v>40</v>
      </c>
      <c r="S1452" s="217">
        <f t="shared" si="881"/>
        <v>12.9</v>
      </c>
      <c r="T1452" s="217">
        <f t="shared" si="882"/>
        <v>15.47</v>
      </c>
      <c r="U1452" s="217">
        <f t="shared" si="883"/>
        <v>0.86</v>
      </c>
      <c r="V1452" s="217">
        <f t="shared" si="884"/>
        <v>31.66</v>
      </c>
      <c r="W1452" s="217">
        <f t="shared" si="885"/>
        <v>0.06</v>
      </c>
      <c r="X1452" s="217">
        <f t="shared" si="886"/>
        <v>100.95</v>
      </c>
      <c r="Y1452" s="218">
        <f t="shared" si="887"/>
        <v>2032.25</v>
      </c>
      <c r="Z1452" s="219">
        <v>2032</v>
      </c>
      <c r="AA1452" s="220">
        <f t="shared" si="888"/>
        <v>-0.25</v>
      </c>
      <c r="AB1452" s="221">
        <f t="shared" si="889"/>
        <v>7.4074074074073973E-2</v>
      </c>
      <c r="AC1452" s="222">
        <f t="shared" si="890"/>
        <v>1.6900000000000001E-3</v>
      </c>
      <c r="AD1452" s="217"/>
      <c r="AE1452" s="223" t="s">
        <v>403</v>
      </c>
      <c r="AF1452" s="119"/>
    </row>
    <row r="1453" spans="1:32" ht="12" hidden="1" customHeight="1">
      <c r="A1453" s="209">
        <v>44656</v>
      </c>
      <c r="B1453" s="152" t="s">
        <v>735</v>
      </c>
      <c r="C1453" s="152" t="str">
        <f t="shared" ca="1" si="874"/>
        <v>Stocks</v>
      </c>
      <c r="D1453" s="152" t="str">
        <f ca="1">IFERROR(__xludf.DUMMYFUNCTION("split(B1453,"" "")"),"POWERGRID")</f>
        <v>POWERGRID</v>
      </c>
      <c r="E1453" s="152" t="str">
        <f ca="1">IFERROR(__xludf.DUMMYFUNCTION("""COMPUTED_VALUE"""),"APR")</f>
        <v>APR</v>
      </c>
      <c r="F1453" s="152">
        <f ca="1">IFERROR(__xludf.DUMMYFUNCTION("""COMPUTED_VALUE"""),230)</f>
        <v>230</v>
      </c>
      <c r="G1453" s="152" t="str">
        <f ca="1">IFERROR(__xludf.DUMMYFUNCTION("""COMPUTED_VALUE"""),"CE")</f>
        <v>CE</v>
      </c>
      <c r="H1453" s="211">
        <v>5333</v>
      </c>
      <c r="I1453" s="212">
        <v>1</v>
      </c>
      <c r="J1453" s="212">
        <v>1</v>
      </c>
      <c r="K1453" s="213">
        <f t="shared" si="875"/>
        <v>5333</v>
      </c>
      <c r="L1453" s="214">
        <v>5.15</v>
      </c>
      <c r="M1453" s="215">
        <v>5.15</v>
      </c>
      <c r="N1453" s="216">
        <f t="shared" si="876"/>
        <v>27464.95</v>
      </c>
      <c r="O1453" s="216">
        <f t="shared" si="877"/>
        <v>27464.95</v>
      </c>
      <c r="P1453" s="217">
        <f t="shared" si="878"/>
        <v>54929.9</v>
      </c>
      <c r="Q1453" s="217">
        <f t="shared" si="879"/>
        <v>0</v>
      </c>
      <c r="R1453" s="217">
        <f t="shared" si="891"/>
        <v>40</v>
      </c>
      <c r="S1453" s="217">
        <f t="shared" si="881"/>
        <v>12.44</v>
      </c>
      <c r="T1453" s="217">
        <f t="shared" si="882"/>
        <v>13.73</v>
      </c>
      <c r="U1453" s="217">
        <f t="shared" si="883"/>
        <v>0.82</v>
      </c>
      <c r="V1453" s="217">
        <f t="shared" si="884"/>
        <v>29.11</v>
      </c>
      <c r="W1453" s="217">
        <f t="shared" si="885"/>
        <v>0.05</v>
      </c>
      <c r="X1453" s="217">
        <f t="shared" si="886"/>
        <v>96.149999999999991</v>
      </c>
      <c r="Y1453" s="218">
        <f t="shared" si="887"/>
        <v>-96.15</v>
      </c>
      <c r="Z1453" s="219">
        <v>-96.02</v>
      </c>
      <c r="AA1453" s="220">
        <f t="shared" si="888"/>
        <v>0.13000000000000966</v>
      </c>
      <c r="AB1453" s="221">
        <f t="shared" si="889"/>
        <v>0</v>
      </c>
      <c r="AC1453" s="222">
        <f t="shared" si="890"/>
        <v>1.75E-3</v>
      </c>
      <c r="AD1453" s="217"/>
      <c r="AE1453" s="223" t="s">
        <v>403</v>
      </c>
      <c r="AF1453" s="119"/>
    </row>
    <row r="1454" spans="1:32" ht="12" hidden="1" customHeight="1">
      <c r="A1454" s="209">
        <v>44657</v>
      </c>
      <c r="B1454" s="152" t="s">
        <v>736</v>
      </c>
      <c r="C1454" s="152" t="str">
        <f t="shared" ca="1" si="874"/>
        <v>Stocks</v>
      </c>
      <c r="D1454" s="152" t="str">
        <f ca="1">IFERROR(__xludf.DUMMYFUNCTION("split(B1454,"" "")"),"POWERGRID")</f>
        <v>POWERGRID</v>
      </c>
      <c r="E1454" s="152" t="str">
        <f ca="1">IFERROR(__xludf.DUMMYFUNCTION("""COMPUTED_VALUE"""),"APR")</f>
        <v>APR</v>
      </c>
      <c r="F1454" s="152">
        <f ca="1">IFERROR(__xludf.DUMMYFUNCTION("""COMPUTED_VALUE"""),237.5)</f>
        <v>237.5</v>
      </c>
      <c r="G1454" s="152" t="str">
        <f ca="1">IFERROR(__xludf.DUMMYFUNCTION("""COMPUTED_VALUE"""),"CE")</f>
        <v>CE</v>
      </c>
      <c r="H1454" s="211">
        <v>5333</v>
      </c>
      <c r="I1454" s="212">
        <v>1</v>
      </c>
      <c r="J1454" s="212">
        <v>1</v>
      </c>
      <c r="K1454" s="213">
        <f t="shared" si="875"/>
        <v>5333</v>
      </c>
      <c r="L1454" s="214">
        <v>5.0999999999999996</v>
      </c>
      <c r="M1454" s="215">
        <v>5.5</v>
      </c>
      <c r="N1454" s="216">
        <f t="shared" si="876"/>
        <v>27198.3</v>
      </c>
      <c r="O1454" s="216">
        <f t="shared" si="877"/>
        <v>29331.5</v>
      </c>
      <c r="P1454" s="217">
        <f t="shared" si="878"/>
        <v>56529.8</v>
      </c>
      <c r="Q1454" s="217">
        <f t="shared" si="879"/>
        <v>2133.2000000000021</v>
      </c>
      <c r="R1454" s="217">
        <f t="shared" si="891"/>
        <v>40</v>
      </c>
      <c r="S1454" s="217">
        <f t="shared" si="881"/>
        <v>12.59</v>
      </c>
      <c r="T1454" s="217">
        <f t="shared" si="882"/>
        <v>14.67</v>
      </c>
      <c r="U1454" s="217">
        <f t="shared" si="883"/>
        <v>0.82</v>
      </c>
      <c r="V1454" s="217">
        <f t="shared" si="884"/>
        <v>29.96</v>
      </c>
      <c r="W1454" s="217">
        <f t="shared" si="885"/>
        <v>0.06</v>
      </c>
      <c r="X1454" s="217">
        <f t="shared" si="886"/>
        <v>98.1</v>
      </c>
      <c r="Y1454" s="218">
        <f t="shared" si="887"/>
        <v>2035.1</v>
      </c>
      <c r="Z1454" s="219">
        <v>2035.1</v>
      </c>
      <c r="AA1454" s="220">
        <f t="shared" si="888"/>
        <v>0</v>
      </c>
      <c r="AB1454" s="221">
        <f t="shared" si="889"/>
        <v>7.8431372549019676E-2</v>
      </c>
      <c r="AC1454" s="222">
        <f t="shared" si="890"/>
        <v>1.735E-3</v>
      </c>
      <c r="AD1454" s="217"/>
      <c r="AE1454" s="223" t="s">
        <v>403</v>
      </c>
      <c r="AF1454" s="119"/>
    </row>
    <row r="1455" spans="1:32" ht="12" hidden="1" customHeight="1">
      <c r="A1455" s="209">
        <v>44657</v>
      </c>
      <c r="B1455" s="152" t="s">
        <v>736</v>
      </c>
      <c r="C1455" s="152" t="str">
        <f t="shared" ca="1" si="874"/>
        <v>Stocks</v>
      </c>
      <c r="D1455" s="152" t="str">
        <f ca="1">IFERROR(__xludf.DUMMYFUNCTION("split(B1455,"" "")"),"POWERGRID")</f>
        <v>POWERGRID</v>
      </c>
      <c r="E1455" s="152" t="str">
        <f ca="1">IFERROR(__xludf.DUMMYFUNCTION("""COMPUTED_VALUE"""),"APR")</f>
        <v>APR</v>
      </c>
      <c r="F1455" s="152">
        <f ca="1">IFERROR(__xludf.DUMMYFUNCTION("""COMPUTED_VALUE"""),237.5)</f>
        <v>237.5</v>
      </c>
      <c r="G1455" s="152" t="str">
        <f ca="1">IFERROR(__xludf.DUMMYFUNCTION("""COMPUTED_VALUE"""),"CE")</f>
        <v>CE</v>
      </c>
      <c r="H1455" s="211">
        <v>5333</v>
      </c>
      <c r="I1455" s="212">
        <v>1</v>
      </c>
      <c r="J1455" s="212">
        <v>1</v>
      </c>
      <c r="K1455" s="213">
        <f t="shared" si="875"/>
        <v>5333</v>
      </c>
      <c r="L1455" s="214">
        <v>4.7</v>
      </c>
      <c r="M1455" s="215">
        <v>5.0999999999999996</v>
      </c>
      <c r="N1455" s="216">
        <f t="shared" si="876"/>
        <v>25065.1</v>
      </c>
      <c r="O1455" s="216">
        <f t="shared" si="877"/>
        <v>27198.3</v>
      </c>
      <c r="P1455" s="217">
        <f t="shared" si="878"/>
        <v>52263.399999999994</v>
      </c>
      <c r="Q1455" s="217">
        <f t="shared" si="879"/>
        <v>2133.1999999999971</v>
      </c>
      <c r="R1455" s="217">
        <f t="shared" si="891"/>
        <v>40</v>
      </c>
      <c r="S1455" s="217">
        <f t="shared" si="881"/>
        <v>12.19</v>
      </c>
      <c r="T1455" s="217">
        <f t="shared" si="882"/>
        <v>13.6</v>
      </c>
      <c r="U1455" s="217">
        <f t="shared" si="883"/>
        <v>0.75</v>
      </c>
      <c r="V1455" s="217">
        <f t="shared" si="884"/>
        <v>27.7</v>
      </c>
      <c r="W1455" s="217">
        <f t="shared" si="885"/>
        <v>0.05</v>
      </c>
      <c r="X1455" s="217">
        <f t="shared" si="886"/>
        <v>94.289999999999992</v>
      </c>
      <c r="Y1455" s="218">
        <f t="shared" si="887"/>
        <v>2038.91</v>
      </c>
      <c r="Z1455" s="219">
        <v>2039.04</v>
      </c>
      <c r="AA1455" s="220">
        <f t="shared" si="888"/>
        <v>0.12999999999988177</v>
      </c>
      <c r="AB1455" s="221">
        <f t="shared" si="889"/>
        <v>8.5106382978723291E-2</v>
      </c>
      <c r="AC1455" s="222">
        <f t="shared" si="890"/>
        <v>1.804E-3</v>
      </c>
      <c r="AD1455" s="217"/>
      <c r="AE1455" s="223" t="s">
        <v>403</v>
      </c>
      <c r="AF1455" s="119"/>
    </row>
    <row r="1456" spans="1:32" ht="12" hidden="1" customHeight="1">
      <c r="A1456" s="209">
        <v>44657</v>
      </c>
      <c r="B1456" s="152" t="s">
        <v>736</v>
      </c>
      <c r="C1456" s="152" t="str">
        <f t="shared" ca="1" si="874"/>
        <v>Stocks</v>
      </c>
      <c r="D1456" s="152" t="str">
        <f ca="1">IFERROR(__xludf.DUMMYFUNCTION("split(B1456,"" "")"),"POWERGRID")</f>
        <v>POWERGRID</v>
      </c>
      <c r="E1456" s="152" t="str">
        <f ca="1">IFERROR(__xludf.DUMMYFUNCTION("""COMPUTED_VALUE"""),"APR")</f>
        <v>APR</v>
      </c>
      <c r="F1456" s="152">
        <f ca="1">IFERROR(__xludf.DUMMYFUNCTION("""COMPUTED_VALUE"""),237.5)</f>
        <v>237.5</v>
      </c>
      <c r="G1456" s="152" t="str">
        <f ca="1">IFERROR(__xludf.DUMMYFUNCTION("""COMPUTED_VALUE"""),"CE")</f>
        <v>CE</v>
      </c>
      <c r="H1456" s="211">
        <v>5333</v>
      </c>
      <c r="I1456" s="212">
        <v>1</v>
      </c>
      <c r="J1456" s="212">
        <v>1</v>
      </c>
      <c r="K1456" s="213">
        <f t="shared" si="875"/>
        <v>5333</v>
      </c>
      <c r="L1456" s="214">
        <v>4.7</v>
      </c>
      <c r="M1456" s="215">
        <v>5.0999999999999996</v>
      </c>
      <c r="N1456" s="216">
        <f t="shared" si="876"/>
        <v>25065.1</v>
      </c>
      <c r="O1456" s="216">
        <f t="shared" si="877"/>
        <v>27198.3</v>
      </c>
      <c r="P1456" s="217">
        <f t="shared" si="878"/>
        <v>52263.399999999994</v>
      </c>
      <c r="Q1456" s="217">
        <f t="shared" si="879"/>
        <v>2133.1999999999971</v>
      </c>
      <c r="R1456" s="217">
        <f t="shared" si="891"/>
        <v>40</v>
      </c>
      <c r="S1456" s="217">
        <f t="shared" si="881"/>
        <v>12.19</v>
      </c>
      <c r="T1456" s="217">
        <f t="shared" si="882"/>
        <v>13.6</v>
      </c>
      <c r="U1456" s="217">
        <f t="shared" si="883"/>
        <v>0.75</v>
      </c>
      <c r="V1456" s="217">
        <f t="shared" si="884"/>
        <v>27.7</v>
      </c>
      <c r="W1456" s="217">
        <f t="shared" si="885"/>
        <v>0.05</v>
      </c>
      <c r="X1456" s="217">
        <f t="shared" si="886"/>
        <v>94.289999999999992</v>
      </c>
      <c r="Y1456" s="218">
        <f t="shared" si="887"/>
        <v>2038.91</v>
      </c>
      <c r="Z1456" s="219">
        <v>2039.09</v>
      </c>
      <c r="AA1456" s="220">
        <f t="shared" si="888"/>
        <v>0.17999999999983629</v>
      </c>
      <c r="AB1456" s="221">
        <f t="shared" si="889"/>
        <v>8.5106382978723291E-2</v>
      </c>
      <c r="AC1456" s="222">
        <f t="shared" si="890"/>
        <v>1.804E-3</v>
      </c>
      <c r="AD1456" s="217"/>
      <c r="AE1456" s="223" t="s">
        <v>403</v>
      </c>
      <c r="AF1456" s="119"/>
    </row>
    <row r="1457" spans="1:32" ht="12" hidden="1" customHeight="1">
      <c r="A1457" s="209">
        <v>44657</v>
      </c>
      <c r="B1457" s="152" t="s">
        <v>736</v>
      </c>
      <c r="C1457" s="152" t="str">
        <f t="shared" ca="1" si="874"/>
        <v>Stocks</v>
      </c>
      <c r="D1457" s="152" t="str">
        <f ca="1">IFERROR(__xludf.DUMMYFUNCTION("split(B1457,"" "")"),"POWERGRID")</f>
        <v>POWERGRID</v>
      </c>
      <c r="E1457" s="152" t="str">
        <f ca="1">IFERROR(__xludf.DUMMYFUNCTION("""COMPUTED_VALUE"""),"APR")</f>
        <v>APR</v>
      </c>
      <c r="F1457" s="152">
        <f ca="1">IFERROR(__xludf.DUMMYFUNCTION("""COMPUTED_VALUE"""),237.5)</f>
        <v>237.5</v>
      </c>
      <c r="G1457" s="152" t="str">
        <f ca="1">IFERROR(__xludf.DUMMYFUNCTION("""COMPUTED_VALUE"""),"CE")</f>
        <v>CE</v>
      </c>
      <c r="H1457" s="211">
        <v>5333</v>
      </c>
      <c r="I1457" s="212">
        <v>1</v>
      </c>
      <c r="J1457" s="212">
        <v>1</v>
      </c>
      <c r="K1457" s="213">
        <f t="shared" si="875"/>
        <v>5333</v>
      </c>
      <c r="L1457" s="214">
        <v>4.95</v>
      </c>
      <c r="M1457" s="215">
        <v>5.05</v>
      </c>
      <c r="N1457" s="216">
        <f t="shared" si="876"/>
        <v>26398.35</v>
      </c>
      <c r="O1457" s="216">
        <f t="shared" si="877"/>
        <v>26931.65</v>
      </c>
      <c r="P1457" s="217">
        <f t="shared" si="878"/>
        <v>53330</v>
      </c>
      <c r="Q1457" s="217">
        <f t="shared" si="879"/>
        <v>533.29999999999814</v>
      </c>
      <c r="R1457" s="217">
        <f t="shared" si="891"/>
        <v>40</v>
      </c>
      <c r="S1457" s="217">
        <f t="shared" si="881"/>
        <v>12.29</v>
      </c>
      <c r="T1457" s="217">
        <f t="shared" si="882"/>
        <v>13.47</v>
      </c>
      <c r="U1457" s="217">
        <f t="shared" si="883"/>
        <v>0.79</v>
      </c>
      <c r="V1457" s="217">
        <f t="shared" si="884"/>
        <v>28.26</v>
      </c>
      <c r="W1457" s="217">
        <f t="shared" si="885"/>
        <v>0.05</v>
      </c>
      <c r="X1457" s="217">
        <f t="shared" si="886"/>
        <v>94.860000000000014</v>
      </c>
      <c r="Y1457" s="218">
        <f t="shared" si="887"/>
        <v>438.44</v>
      </c>
      <c r="Z1457" s="219">
        <v>438.44</v>
      </c>
      <c r="AA1457" s="220">
        <f t="shared" si="888"/>
        <v>0</v>
      </c>
      <c r="AB1457" s="221">
        <f t="shared" si="889"/>
        <v>2.0202020202020131E-2</v>
      </c>
      <c r="AC1457" s="222">
        <f t="shared" si="890"/>
        <v>1.779E-3</v>
      </c>
      <c r="AD1457" s="217"/>
      <c r="AE1457" s="223" t="s">
        <v>403</v>
      </c>
      <c r="AF1457" s="119"/>
    </row>
    <row r="1458" spans="1:32" ht="12" hidden="1" customHeight="1">
      <c r="A1458" s="209">
        <v>44657</v>
      </c>
      <c r="B1458" s="152" t="s">
        <v>736</v>
      </c>
      <c r="C1458" s="152" t="str">
        <f t="shared" ca="1" si="874"/>
        <v>Stocks</v>
      </c>
      <c r="D1458" s="152" t="str">
        <f ca="1">IFERROR(__xludf.DUMMYFUNCTION("split(B1458,"" "")"),"POWERGRID")</f>
        <v>POWERGRID</v>
      </c>
      <c r="E1458" s="152" t="str">
        <f ca="1">IFERROR(__xludf.DUMMYFUNCTION("""COMPUTED_VALUE"""),"APR")</f>
        <v>APR</v>
      </c>
      <c r="F1458" s="152">
        <f ca="1">IFERROR(__xludf.DUMMYFUNCTION("""COMPUTED_VALUE"""),237.5)</f>
        <v>237.5</v>
      </c>
      <c r="G1458" s="152" t="str">
        <f ca="1">IFERROR(__xludf.DUMMYFUNCTION("""COMPUTED_VALUE"""),"CE")</f>
        <v>CE</v>
      </c>
      <c r="H1458" s="211">
        <v>5333</v>
      </c>
      <c r="I1458" s="212">
        <v>1</v>
      </c>
      <c r="J1458" s="212">
        <v>1</v>
      </c>
      <c r="K1458" s="213">
        <f t="shared" si="875"/>
        <v>5333</v>
      </c>
      <c r="L1458" s="214">
        <v>4.4000000000000004</v>
      </c>
      <c r="M1458" s="215">
        <v>4.7</v>
      </c>
      <c r="N1458" s="216">
        <f t="shared" si="876"/>
        <v>23465.200000000001</v>
      </c>
      <c r="O1458" s="216">
        <f t="shared" si="877"/>
        <v>25065.1</v>
      </c>
      <c r="P1458" s="217">
        <f t="shared" si="878"/>
        <v>48530.3</v>
      </c>
      <c r="Q1458" s="217">
        <f t="shared" si="879"/>
        <v>1599.899999999999</v>
      </c>
      <c r="R1458" s="217">
        <f t="shared" si="891"/>
        <v>40</v>
      </c>
      <c r="S1458" s="217">
        <f t="shared" si="881"/>
        <v>11.83</v>
      </c>
      <c r="T1458" s="217">
        <f t="shared" si="882"/>
        <v>12.53</v>
      </c>
      <c r="U1458" s="217">
        <f t="shared" si="883"/>
        <v>0.7</v>
      </c>
      <c r="V1458" s="217">
        <f t="shared" si="884"/>
        <v>25.72</v>
      </c>
      <c r="W1458" s="217">
        <f t="shared" si="885"/>
        <v>0.05</v>
      </c>
      <c r="X1458" s="217">
        <f t="shared" si="886"/>
        <v>90.83</v>
      </c>
      <c r="Y1458" s="218">
        <f t="shared" si="887"/>
        <v>1509.07</v>
      </c>
      <c r="Z1458" s="219">
        <v>1509.07</v>
      </c>
      <c r="AA1458" s="220">
        <f t="shared" si="888"/>
        <v>0</v>
      </c>
      <c r="AB1458" s="221">
        <f t="shared" si="889"/>
        <v>6.8181818181818135E-2</v>
      </c>
      <c r="AC1458" s="222">
        <f t="shared" si="890"/>
        <v>1.872E-3</v>
      </c>
      <c r="AD1458" s="217"/>
      <c r="AE1458" s="223" t="s">
        <v>403</v>
      </c>
      <c r="AF1458" s="119"/>
    </row>
    <row r="1459" spans="1:32" ht="12" hidden="1" customHeight="1">
      <c r="A1459" s="209">
        <v>44657</v>
      </c>
      <c r="B1459" s="152" t="s">
        <v>736</v>
      </c>
      <c r="C1459" s="152" t="str">
        <f t="shared" ca="1" si="874"/>
        <v>Stocks</v>
      </c>
      <c r="D1459" s="152" t="str">
        <f ca="1">IFERROR(__xludf.DUMMYFUNCTION("split(B1459,"" "")"),"POWERGRID")</f>
        <v>POWERGRID</v>
      </c>
      <c r="E1459" s="152" t="str">
        <f ca="1">IFERROR(__xludf.DUMMYFUNCTION("""COMPUTED_VALUE"""),"APR")</f>
        <v>APR</v>
      </c>
      <c r="F1459" s="152">
        <f ca="1">IFERROR(__xludf.DUMMYFUNCTION("""COMPUTED_VALUE"""),237.5)</f>
        <v>237.5</v>
      </c>
      <c r="G1459" s="152" t="str">
        <f ca="1">IFERROR(__xludf.DUMMYFUNCTION("""COMPUTED_VALUE"""),"CE")</f>
        <v>CE</v>
      </c>
      <c r="H1459" s="211">
        <v>5333</v>
      </c>
      <c r="I1459" s="212">
        <v>1</v>
      </c>
      <c r="J1459" s="212">
        <v>1</v>
      </c>
      <c r="K1459" s="213">
        <f t="shared" si="875"/>
        <v>5333</v>
      </c>
      <c r="L1459" s="214">
        <v>4.9000000000000004</v>
      </c>
      <c r="M1459" s="215">
        <v>5</v>
      </c>
      <c r="N1459" s="216">
        <f t="shared" si="876"/>
        <v>26131.7</v>
      </c>
      <c r="O1459" s="216">
        <f t="shared" si="877"/>
        <v>26665</v>
      </c>
      <c r="P1459" s="217">
        <f t="shared" si="878"/>
        <v>52796.7</v>
      </c>
      <c r="Q1459" s="217">
        <f t="shared" si="879"/>
        <v>533.29999999999814</v>
      </c>
      <c r="R1459" s="217">
        <f t="shared" si="891"/>
        <v>40</v>
      </c>
      <c r="S1459" s="217">
        <f t="shared" si="881"/>
        <v>12.24</v>
      </c>
      <c r="T1459" s="217">
        <f t="shared" si="882"/>
        <v>13.33</v>
      </c>
      <c r="U1459" s="217">
        <f t="shared" si="883"/>
        <v>0.78</v>
      </c>
      <c r="V1459" s="217">
        <f t="shared" si="884"/>
        <v>27.98</v>
      </c>
      <c r="W1459" s="217">
        <f t="shared" si="885"/>
        <v>0.05</v>
      </c>
      <c r="X1459" s="217">
        <f t="shared" si="886"/>
        <v>94.38000000000001</v>
      </c>
      <c r="Y1459" s="218">
        <f t="shared" si="887"/>
        <v>438.92</v>
      </c>
      <c r="Z1459" s="219">
        <v>439.08</v>
      </c>
      <c r="AA1459" s="220">
        <f t="shared" si="888"/>
        <v>0.15999999999996817</v>
      </c>
      <c r="AB1459" s="221">
        <f t="shared" si="889"/>
        <v>2.0408163265306048E-2</v>
      </c>
      <c r="AC1459" s="222">
        <f t="shared" si="890"/>
        <v>1.7880000000000001E-3</v>
      </c>
      <c r="AD1459" s="217"/>
      <c r="AE1459" s="223" t="s">
        <v>403</v>
      </c>
      <c r="AF1459" s="119"/>
    </row>
    <row r="1460" spans="1:32" ht="12" hidden="1" customHeight="1">
      <c r="A1460" s="209">
        <v>44657</v>
      </c>
      <c r="B1460" s="152" t="s">
        <v>736</v>
      </c>
      <c r="C1460" s="152" t="str">
        <f t="shared" ca="1" si="874"/>
        <v>Stocks</v>
      </c>
      <c r="D1460" s="152" t="str">
        <f ca="1">IFERROR(__xludf.DUMMYFUNCTION("split(B1460,"" "")"),"POWERGRID")</f>
        <v>POWERGRID</v>
      </c>
      <c r="E1460" s="152" t="str">
        <f ca="1">IFERROR(__xludf.DUMMYFUNCTION("""COMPUTED_VALUE"""),"APR")</f>
        <v>APR</v>
      </c>
      <c r="F1460" s="152">
        <f ca="1">IFERROR(__xludf.DUMMYFUNCTION("""COMPUTED_VALUE"""),237.5)</f>
        <v>237.5</v>
      </c>
      <c r="G1460" s="152" t="str">
        <f ca="1">IFERROR(__xludf.DUMMYFUNCTION("""COMPUTED_VALUE"""),"CE")</f>
        <v>CE</v>
      </c>
      <c r="H1460" s="211">
        <v>5333</v>
      </c>
      <c r="I1460" s="212">
        <v>1</v>
      </c>
      <c r="J1460" s="212">
        <v>1</v>
      </c>
      <c r="K1460" s="213">
        <f t="shared" si="875"/>
        <v>5333</v>
      </c>
      <c r="L1460" s="214">
        <v>4.75</v>
      </c>
      <c r="M1460" s="215">
        <v>4.8499999999999996</v>
      </c>
      <c r="N1460" s="216">
        <f t="shared" si="876"/>
        <v>25331.75</v>
      </c>
      <c r="O1460" s="216">
        <f t="shared" si="877"/>
        <v>25865.05</v>
      </c>
      <c r="P1460" s="217">
        <f t="shared" si="878"/>
        <v>51196.800000000003</v>
      </c>
      <c r="Q1460" s="217">
        <f t="shared" si="879"/>
        <v>533.29999999999814</v>
      </c>
      <c r="R1460" s="217">
        <f t="shared" si="891"/>
        <v>40</v>
      </c>
      <c r="S1460" s="217">
        <f t="shared" si="881"/>
        <v>12.08</v>
      </c>
      <c r="T1460" s="217">
        <f t="shared" si="882"/>
        <v>12.93</v>
      </c>
      <c r="U1460" s="217">
        <f t="shared" si="883"/>
        <v>0.76</v>
      </c>
      <c r="V1460" s="217">
        <f t="shared" si="884"/>
        <v>27.13</v>
      </c>
      <c r="W1460" s="217">
        <f t="shared" si="885"/>
        <v>0.05</v>
      </c>
      <c r="X1460" s="217">
        <f t="shared" si="886"/>
        <v>92.949999999999989</v>
      </c>
      <c r="Y1460" s="218">
        <f t="shared" si="887"/>
        <v>440.35</v>
      </c>
      <c r="Z1460" s="219">
        <v>440.35</v>
      </c>
      <c r="AA1460" s="220">
        <f t="shared" si="888"/>
        <v>0</v>
      </c>
      <c r="AB1460" s="221">
        <f t="shared" si="889"/>
        <v>2.1052631578947295E-2</v>
      </c>
      <c r="AC1460" s="222">
        <f t="shared" si="890"/>
        <v>1.8159999999999999E-3</v>
      </c>
      <c r="AD1460" s="217"/>
      <c r="AE1460" s="223" t="s">
        <v>403</v>
      </c>
      <c r="AF1460" s="119"/>
    </row>
    <row r="1461" spans="1:32" ht="12" hidden="1" customHeight="1">
      <c r="A1461" s="148">
        <v>44658</v>
      </c>
      <c r="B1461" s="152" t="s">
        <v>60</v>
      </c>
      <c r="C1461" s="152" t="str">
        <f t="shared" ca="1" si="874"/>
        <v>Stocks</v>
      </c>
      <c r="D1461" s="152" t="str">
        <f ca="1">IFERROR(__xludf.DUMMYFUNCTION("split(B1461,"" "")"),"POWERGRID")</f>
        <v>POWERGRID</v>
      </c>
      <c r="E1461" s="152" t="str">
        <f ca="1">IFERROR(__xludf.DUMMYFUNCTION("""COMPUTED_VALUE"""),"APR")</f>
        <v>APR</v>
      </c>
      <c r="F1461" s="152">
        <f ca="1">IFERROR(__xludf.DUMMYFUNCTION("""COMPUTED_VALUE"""),240)</f>
        <v>240</v>
      </c>
      <c r="G1461" s="152" t="str">
        <f ca="1">IFERROR(__xludf.DUMMYFUNCTION("""COMPUTED_VALUE"""),"CE")</f>
        <v>CE</v>
      </c>
      <c r="H1461" s="211">
        <v>5333</v>
      </c>
      <c r="I1461" s="212">
        <v>1</v>
      </c>
      <c r="J1461" s="212">
        <v>1</v>
      </c>
      <c r="K1461" s="213">
        <f t="shared" si="875"/>
        <v>5333</v>
      </c>
      <c r="L1461" s="214">
        <v>5.7</v>
      </c>
      <c r="M1461" s="215">
        <v>0</v>
      </c>
      <c r="N1461" s="216">
        <f t="shared" si="876"/>
        <v>30398.1</v>
      </c>
      <c r="O1461" s="216">
        <f t="shared" si="877"/>
        <v>0</v>
      </c>
      <c r="P1461" s="217">
        <f t="shared" si="878"/>
        <v>30398.1</v>
      </c>
      <c r="Q1461" s="217">
        <f t="shared" si="879"/>
        <v>-30398.100000000002</v>
      </c>
      <c r="R1461" s="217">
        <f t="shared" si="891"/>
        <v>20</v>
      </c>
      <c r="S1461" s="217">
        <f t="shared" si="881"/>
        <v>6.5</v>
      </c>
      <c r="T1461" s="217">
        <f t="shared" si="882"/>
        <v>0</v>
      </c>
      <c r="U1461" s="217">
        <f t="shared" si="883"/>
        <v>0.91</v>
      </c>
      <c r="V1461" s="217">
        <f t="shared" si="884"/>
        <v>16.11</v>
      </c>
      <c r="W1461" s="217">
        <f t="shared" si="885"/>
        <v>0.03</v>
      </c>
      <c r="X1461" s="217">
        <f t="shared" si="886"/>
        <v>43.55</v>
      </c>
      <c r="Y1461" s="218">
        <f t="shared" si="887"/>
        <v>-30441.65</v>
      </c>
      <c r="Z1461" s="219">
        <v>-30441.73</v>
      </c>
      <c r="AA1461" s="220">
        <f t="shared" si="888"/>
        <v>-7.9999999998108251E-2</v>
      </c>
      <c r="AB1461" s="221">
        <f t="shared" si="889"/>
        <v>-1</v>
      </c>
      <c r="AC1461" s="222">
        <f t="shared" si="890"/>
        <v>1.433E-3</v>
      </c>
      <c r="AD1461" s="217"/>
      <c r="AE1461" s="223" t="s">
        <v>403</v>
      </c>
      <c r="AF1461" s="119"/>
    </row>
    <row r="1462" spans="1:32" ht="12" hidden="1" customHeight="1">
      <c r="A1462" s="148">
        <v>44658</v>
      </c>
      <c r="B1462" s="152" t="s">
        <v>60</v>
      </c>
      <c r="C1462" s="152" t="str">
        <f t="shared" ca="1" si="874"/>
        <v>Stocks</v>
      </c>
      <c r="D1462" s="152" t="str">
        <f ca="1">IFERROR(__xludf.DUMMYFUNCTION("split(B1462,"" "")"),"POWERGRID")</f>
        <v>POWERGRID</v>
      </c>
      <c r="E1462" s="152" t="str">
        <f ca="1">IFERROR(__xludf.DUMMYFUNCTION("""COMPUTED_VALUE"""),"APR")</f>
        <v>APR</v>
      </c>
      <c r="F1462" s="152">
        <f ca="1">IFERROR(__xludf.DUMMYFUNCTION("""COMPUTED_VALUE"""),240)</f>
        <v>240</v>
      </c>
      <c r="G1462" s="152" t="str">
        <f ca="1">IFERROR(__xludf.DUMMYFUNCTION("""COMPUTED_VALUE"""),"CE")</f>
        <v>CE</v>
      </c>
      <c r="H1462" s="211">
        <v>5333</v>
      </c>
      <c r="I1462" s="212">
        <v>1</v>
      </c>
      <c r="J1462" s="212">
        <v>1</v>
      </c>
      <c r="K1462" s="213">
        <f t="shared" si="875"/>
        <v>5333</v>
      </c>
      <c r="L1462" s="214">
        <v>5</v>
      </c>
      <c r="M1462" s="215">
        <v>0</v>
      </c>
      <c r="N1462" s="216">
        <f t="shared" si="876"/>
        <v>26665</v>
      </c>
      <c r="O1462" s="216">
        <f t="shared" si="877"/>
        <v>0</v>
      </c>
      <c r="P1462" s="217">
        <f t="shared" si="878"/>
        <v>26665</v>
      </c>
      <c r="Q1462" s="217">
        <f t="shared" si="879"/>
        <v>-26665</v>
      </c>
      <c r="R1462" s="217">
        <f t="shared" si="891"/>
        <v>20</v>
      </c>
      <c r="S1462" s="217">
        <f t="shared" si="881"/>
        <v>6.14</v>
      </c>
      <c r="T1462" s="217">
        <f t="shared" si="882"/>
        <v>0</v>
      </c>
      <c r="U1462" s="217">
        <f t="shared" si="883"/>
        <v>0.8</v>
      </c>
      <c r="V1462" s="217">
        <f t="shared" si="884"/>
        <v>14.13</v>
      </c>
      <c r="W1462" s="217">
        <f t="shared" si="885"/>
        <v>0.03</v>
      </c>
      <c r="X1462" s="217">
        <f t="shared" si="886"/>
        <v>41.1</v>
      </c>
      <c r="Y1462" s="218">
        <f t="shared" si="887"/>
        <v>-26706.1</v>
      </c>
      <c r="Z1462" s="219">
        <v>-26706</v>
      </c>
      <c r="AA1462" s="220">
        <f t="shared" si="888"/>
        <v>9.9999999998544808E-2</v>
      </c>
      <c r="AB1462" s="221">
        <f t="shared" si="889"/>
        <v>-1</v>
      </c>
      <c r="AC1462" s="222">
        <f t="shared" si="890"/>
        <v>1.5410000000000001E-3</v>
      </c>
      <c r="AD1462" s="217"/>
      <c r="AE1462" s="223" t="s">
        <v>403</v>
      </c>
      <c r="AF1462" s="119"/>
    </row>
    <row r="1463" spans="1:32" ht="12" hidden="1" customHeight="1">
      <c r="A1463" s="150">
        <v>44663</v>
      </c>
      <c r="B1463" s="152" t="s">
        <v>60</v>
      </c>
      <c r="C1463" s="152" t="str">
        <f t="shared" ca="1" si="874"/>
        <v>Stocks</v>
      </c>
      <c r="D1463" s="152" t="str">
        <f ca="1">IFERROR(__xludf.DUMMYFUNCTION("split(B1463,"" "")"),"POWERGRID")</f>
        <v>POWERGRID</v>
      </c>
      <c r="E1463" s="152" t="str">
        <f ca="1">IFERROR(__xludf.DUMMYFUNCTION("""COMPUTED_VALUE"""),"APR")</f>
        <v>APR</v>
      </c>
      <c r="F1463" s="152">
        <f ca="1">IFERROR(__xludf.DUMMYFUNCTION("""COMPUTED_VALUE"""),240)</f>
        <v>240</v>
      </c>
      <c r="G1463" s="152" t="str">
        <f ca="1">IFERROR(__xludf.DUMMYFUNCTION("""COMPUTED_VALUE"""),"CE")</f>
        <v>CE</v>
      </c>
      <c r="H1463" s="211">
        <v>5333</v>
      </c>
      <c r="I1463" s="212">
        <v>2</v>
      </c>
      <c r="J1463" s="212">
        <v>1</v>
      </c>
      <c r="K1463" s="213">
        <f t="shared" si="875"/>
        <v>10666</v>
      </c>
      <c r="L1463" s="214">
        <v>0</v>
      </c>
      <c r="M1463" s="215">
        <v>2</v>
      </c>
      <c r="N1463" s="216">
        <f t="shared" si="876"/>
        <v>0</v>
      </c>
      <c r="O1463" s="216">
        <f t="shared" si="877"/>
        <v>21332</v>
      </c>
      <c r="P1463" s="217">
        <f t="shared" si="878"/>
        <v>21332</v>
      </c>
      <c r="Q1463" s="217">
        <f t="shared" si="879"/>
        <v>21332</v>
      </c>
      <c r="R1463" s="217">
        <f t="shared" si="891"/>
        <v>20</v>
      </c>
      <c r="S1463" s="217">
        <f t="shared" si="881"/>
        <v>5.64</v>
      </c>
      <c r="T1463" s="217">
        <f t="shared" si="882"/>
        <v>10.67</v>
      </c>
      <c r="U1463" s="217">
        <f t="shared" si="883"/>
        <v>0</v>
      </c>
      <c r="V1463" s="217">
        <f t="shared" si="884"/>
        <v>11.31</v>
      </c>
      <c r="W1463" s="217">
        <f t="shared" si="885"/>
        <v>0.02</v>
      </c>
      <c r="X1463" s="217">
        <f t="shared" si="886"/>
        <v>47.640000000000008</v>
      </c>
      <c r="Y1463" s="218">
        <f t="shared" si="887"/>
        <v>21284.36</v>
      </c>
      <c r="Z1463" s="219">
        <v>21284.03</v>
      </c>
      <c r="AA1463" s="220">
        <f t="shared" si="888"/>
        <v>-0.33000000000174623</v>
      </c>
      <c r="AB1463" s="221">
        <f t="shared" si="889"/>
        <v>0</v>
      </c>
      <c r="AC1463" s="222">
        <f t="shared" si="890"/>
        <v>2.2330000000000002E-3</v>
      </c>
      <c r="AD1463" s="217"/>
      <c r="AE1463" s="223" t="s">
        <v>403</v>
      </c>
      <c r="AF1463" s="119"/>
    </row>
    <row r="1464" spans="1:32" ht="12" hidden="1" customHeight="1">
      <c r="A1464" s="148">
        <v>44658</v>
      </c>
      <c r="B1464" s="152" t="s">
        <v>61</v>
      </c>
      <c r="C1464" s="152" t="str">
        <f t="shared" ca="1" si="874"/>
        <v>Stocks</v>
      </c>
      <c r="D1464" s="152" t="str">
        <f ca="1">IFERROR(__xludf.DUMMYFUNCTION("split(B1464,"" "")"),"SAIL")</f>
        <v>SAIL</v>
      </c>
      <c r="E1464" s="152" t="str">
        <f ca="1">IFERROR(__xludf.DUMMYFUNCTION("""COMPUTED_VALUE"""),"APR")</f>
        <v>APR</v>
      </c>
      <c r="F1464" s="152">
        <f ca="1">IFERROR(__xludf.DUMMYFUNCTION("""COMPUTED_VALUE"""),113)</f>
        <v>113</v>
      </c>
      <c r="G1464" s="152" t="str">
        <f ca="1">IFERROR(__xludf.DUMMYFUNCTION("""COMPUTED_VALUE"""),"CE")</f>
        <v>CE</v>
      </c>
      <c r="H1464" s="211">
        <v>4750</v>
      </c>
      <c r="I1464" s="212">
        <v>1</v>
      </c>
      <c r="J1464" s="212">
        <v>1</v>
      </c>
      <c r="K1464" s="213">
        <f t="shared" si="875"/>
        <v>4750</v>
      </c>
      <c r="L1464" s="214">
        <v>4.9000000000000004</v>
      </c>
      <c r="M1464" s="215">
        <v>0</v>
      </c>
      <c r="N1464" s="216">
        <f t="shared" si="876"/>
        <v>23275</v>
      </c>
      <c r="O1464" s="216">
        <f t="shared" si="877"/>
        <v>0</v>
      </c>
      <c r="P1464" s="217">
        <f t="shared" si="878"/>
        <v>23275</v>
      </c>
      <c r="Q1464" s="217">
        <f t="shared" si="879"/>
        <v>-23275</v>
      </c>
      <c r="R1464" s="217">
        <f t="shared" si="891"/>
        <v>20</v>
      </c>
      <c r="S1464" s="217">
        <f t="shared" si="881"/>
        <v>5.82</v>
      </c>
      <c r="T1464" s="217">
        <f t="shared" si="882"/>
        <v>0</v>
      </c>
      <c r="U1464" s="217">
        <f t="shared" si="883"/>
        <v>0.7</v>
      </c>
      <c r="V1464" s="217">
        <f t="shared" si="884"/>
        <v>12.34</v>
      </c>
      <c r="W1464" s="217">
        <f t="shared" si="885"/>
        <v>0.02</v>
      </c>
      <c r="X1464" s="217">
        <f t="shared" si="886"/>
        <v>38.880000000000003</v>
      </c>
      <c r="Y1464" s="218">
        <f t="shared" si="887"/>
        <v>-23313.88</v>
      </c>
      <c r="Z1464" s="219">
        <v>-23314</v>
      </c>
      <c r="AA1464" s="220">
        <f t="shared" si="888"/>
        <v>-0.11999999999898137</v>
      </c>
      <c r="AB1464" s="221">
        <f t="shared" si="889"/>
        <v>-1</v>
      </c>
      <c r="AC1464" s="222">
        <f t="shared" si="890"/>
        <v>1.67E-3</v>
      </c>
      <c r="AD1464" s="217"/>
      <c r="AE1464" s="223" t="s">
        <v>403</v>
      </c>
      <c r="AF1464" s="119"/>
    </row>
    <row r="1465" spans="1:32" ht="12" hidden="1" customHeight="1">
      <c r="A1465" s="150">
        <v>44659</v>
      </c>
      <c r="B1465" s="152" t="s">
        <v>61</v>
      </c>
      <c r="C1465" s="152" t="str">
        <f t="shared" ca="1" si="874"/>
        <v>Stocks</v>
      </c>
      <c r="D1465" s="152" t="str">
        <f ca="1">IFERROR(__xludf.DUMMYFUNCTION("split(B1465,"" "")"),"SAIL")</f>
        <v>SAIL</v>
      </c>
      <c r="E1465" s="152" t="str">
        <f ca="1">IFERROR(__xludf.DUMMYFUNCTION("""COMPUTED_VALUE"""),"APR")</f>
        <v>APR</v>
      </c>
      <c r="F1465" s="152">
        <f ca="1">IFERROR(__xludf.DUMMYFUNCTION("""COMPUTED_VALUE"""),113)</f>
        <v>113</v>
      </c>
      <c r="G1465" s="152" t="str">
        <f ca="1">IFERROR(__xludf.DUMMYFUNCTION("""COMPUTED_VALUE"""),"CE")</f>
        <v>CE</v>
      </c>
      <c r="H1465" s="211">
        <v>4750</v>
      </c>
      <c r="I1465" s="212">
        <v>1</v>
      </c>
      <c r="J1465" s="212">
        <v>1</v>
      </c>
      <c r="K1465" s="213">
        <f t="shared" si="875"/>
        <v>4750</v>
      </c>
      <c r="L1465" s="214">
        <v>0</v>
      </c>
      <c r="M1465" s="215">
        <v>4.4000000000000004</v>
      </c>
      <c r="N1465" s="216">
        <f t="shared" si="876"/>
        <v>0</v>
      </c>
      <c r="O1465" s="216">
        <f t="shared" si="877"/>
        <v>20900</v>
      </c>
      <c r="P1465" s="217">
        <f t="shared" si="878"/>
        <v>20900</v>
      </c>
      <c r="Q1465" s="217">
        <f t="shared" si="879"/>
        <v>20900</v>
      </c>
      <c r="R1465" s="217">
        <f t="shared" si="891"/>
        <v>20</v>
      </c>
      <c r="S1465" s="217">
        <f t="shared" si="881"/>
        <v>5.59</v>
      </c>
      <c r="T1465" s="217">
        <f t="shared" si="882"/>
        <v>10.45</v>
      </c>
      <c r="U1465" s="217">
        <f t="shared" si="883"/>
        <v>0</v>
      </c>
      <c r="V1465" s="217">
        <f t="shared" si="884"/>
        <v>11.08</v>
      </c>
      <c r="W1465" s="217">
        <f t="shared" si="885"/>
        <v>0.02</v>
      </c>
      <c r="X1465" s="217">
        <f t="shared" si="886"/>
        <v>47.14</v>
      </c>
      <c r="Y1465" s="218">
        <f t="shared" si="887"/>
        <v>20852.86</v>
      </c>
      <c r="Z1465" s="219">
        <v>20852.8</v>
      </c>
      <c r="AA1465" s="220">
        <f t="shared" si="888"/>
        <v>-6.0000000001309672E-2</v>
      </c>
      <c r="AB1465" s="221">
        <f t="shared" si="889"/>
        <v>0</v>
      </c>
      <c r="AC1465" s="222">
        <f t="shared" si="890"/>
        <v>2.2560000000000002E-3</v>
      </c>
      <c r="AD1465" s="217"/>
      <c r="AE1465" s="223" t="s">
        <v>403</v>
      </c>
      <c r="AF1465" s="119"/>
    </row>
    <row r="1466" spans="1:32" ht="12" hidden="1" customHeight="1">
      <c r="A1466" s="148">
        <v>44658</v>
      </c>
      <c r="B1466" s="152" t="s">
        <v>61</v>
      </c>
      <c r="C1466" s="152" t="str">
        <f t="shared" ca="1" si="874"/>
        <v>Stocks</v>
      </c>
      <c r="D1466" s="152" t="str">
        <f ca="1">IFERROR(__xludf.DUMMYFUNCTION("split(B1466,"" "")"),"SAIL")</f>
        <v>SAIL</v>
      </c>
      <c r="E1466" s="152" t="str">
        <f ca="1">IFERROR(__xludf.DUMMYFUNCTION("""COMPUTED_VALUE"""),"APR")</f>
        <v>APR</v>
      </c>
      <c r="F1466" s="152">
        <f ca="1">IFERROR(__xludf.DUMMYFUNCTION("""COMPUTED_VALUE"""),113)</f>
        <v>113</v>
      </c>
      <c r="G1466" s="152" t="str">
        <f ca="1">IFERROR(__xludf.DUMMYFUNCTION("""COMPUTED_VALUE"""),"CE")</f>
        <v>CE</v>
      </c>
      <c r="H1466" s="211">
        <v>4750</v>
      </c>
      <c r="I1466" s="212">
        <v>1</v>
      </c>
      <c r="J1466" s="212">
        <v>1</v>
      </c>
      <c r="K1466" s="213">
        <f t="shared" si="875"/>
        <v>4750</v>
      </c>
      <c r="L1466" s="214">
        <v>4</v>
      </c>
      <c r="M1466" s="215">
        <v>0</v>
      </c>
      <c r="N1466" s="216">
        <f t="shared" si="876"/>
        <v>19000</v>
      </c>
      <c r="O1466" s="216">
        <f t="shared" si="877"/>
        <v>0</v>
      </c>
      <c r="P1466" s="217">
        <f t="shared" si="878"/>
        <v>19000</v>
      </c>
      <c r="Q1466" s="217">
        <f t="shared" si="879"/>
        <v>-19000</v>
      </c>
      <c r="R1466" s="217">
        <f t="shared" si="891"/>
        <v>20</v>
      </c>
      <c r="S1466" s="217">
        <f t="shared" si="881"/>
        <v>5.41</v>
      </c>
      <c r="T1466" s="217">
        <f t="shared" si="882"/>
        <v>0</v>
      </c>
      <c r="U1466" s="217">
        <f t="shared" si="883"/>
        <v>0.56999999999999995</v>
      </c>
      <c r="V1466" s="217">
        <f t="shared" si="884"/>
        <v>10.07</v>
      </c>
      <c r="W1466" s="217">
        <f t="shared" si="885"/>
        <v>0.02</v>
      </c>
      <c r="X1466" s="217">
        <f t="shared" si="886"/>
        <v>36.07</v>
      </c>
      <c r="Y1466" s="218">
        <f t="shared" si="887"/>
        <v>-19036.07</v>
      </c>
      <c r="Z1466" s="219">
        <v>-19036</v>
      </c>
      <c r="AA1466" s="220">
        <f t="shared" si="888"/>
        <v>6.9999999999708962E-2</v>
      </c>
      <c r="AB1466" s="221">
        <f t="shared" si="889"/>
        <v>-1</v>
      </c>
      <c r="AC1466" s="222">
        <f t="shared" si="890"/>
        <v>1.8979999999999999E-3</v>
      </c>
      <c r="AD1466" s="217"/>
      <c r="AE1466" s="223" t="s">
        <v>403</v>
      </c>
      <c r="AF1466" s="119"/>
    </row>
    <row r="1467" spans="1:32" ht="12" hidden="1" customHeight="1">
      <c r="A1467" s="150">
        <v>44659</v>
      </c>
      <c r="B1467" s="152" t="s">
        <v>61</v>
      </c>
      <c r="C1467" s="152" t="str">
        <f t="shared" ca="1" si="874"/>
        <v>Stocks</v>
      </c>
      <c r="D1467" s="152" t="str">
        <f ca="1">IFERROR(__xludf.DUMMYFUNCTION("split(B1467,"" "")"),"SAIL")</f>
        <v>SAIL</v>
      </c>
      <c r="E1467" s="152" t="str">
        <f ca="1">IFERROR(__xludf.DUMMYFUNCTION("""COMPUTED_VALUE"""),"APR")</f>
        <v>APR</v>
      </c>
      <c r="F1467" s="152">
        <f ca="1">IFERROR(__xludf.DUMMYFUNCTION("""COMPUTED_VALUE"""),113)</f>
        <v>113</v>
      </c>
      <c r="G1467" s="152" t="str">
        <f ca="1">IFERROR(__xludf.DUMMYFUNCTION("""COMPUTED_VALUE"""),"CE")</f>
        <v>CE</v>
      </c>
      <c r="H1467" s="211">
        <v>4750</v>
      </c>
      <c r="I1467" s="212">
        <v>1</v>
      </c>
      <c r="J1467" s="212">
        <v>1</v>
      </c>
      <c r="K1467" s="213">
        <f t="shared" si="875"/>
        <v>4750</v>
      </c>
      <c r="L1467" s="214">
        <v>0</v>
      </c>
      <c r="M1467" s="215">
        <v>4</v>
      </c>
      <c r="N1467" s="216">
        <f t="shared" si="876"/>
        <v>0</v>
      </c>
      <c r="O1467" s="216">
        <f t="shared" si="877"/>
        <v>19000</v>
      </c>
      <c r="P1467" s="217">
        <f t="shared" si="878"/>
        <v>19000</v>
      </c>
      <c r="Q1467" s="217">
        <f t="shared" si="879"/>
        <v>19000</v>
      </c>
      <c r="R1467" s="217">
        <f t="shared" si="891"/>
        <v>20</v>
      </c>
      <c r="S1467" s="217">
        <f t="shared" si="881"/>
        <v>5.41</v>
      </c>
      <c r="T1467" s="217">
        <f t="shared" si="882"/>
        <v>9.5</v>
      </c>
      <c r="U1467" s="217">
        <f t="shared" si="883"/>
        <v>0</v>
      </c>
      <c r="V1467" s="217">
        <f t="shared" si="884"/>
        <v>10.07</v>
      </c>
      <c r="W1467" s="217">
        <f t="shared" si="885"/>
        <v>0.02</v>
      </c>
      <c r="X1467" s="217">
        <f t="shared" si="886"/>
        <v>45</v>
      </c>
      <c r="Y1467" s="218">
        <f t="shared" si="887"/>
        <v>18955</v>
      </c>
      <c r="Z1467" s="219">
        <v>18955</v>
      </c>
      <c r="AA1467" s="220">
        <f t="shared" si="888"/>
        <v>0</v>
      </c>
      <c r="AB1467" s="221">
        <f t="shared" si="889"/>
        <v>0</v>
      </c>
      <c r="AC1467" s="222">
        <f t="shared" si="890"/>
        <v>2.3679999999999999E-3</v>
      </c>
      <c r="AD1467" s="217"/>
      <c r="AE1467" s="223" t="s">
        <v>403</v>
      </c>
      <c r="AF1467" s="119"/>
    </row>
    <row r="1468" spans="1:32" ht="12" hidden="1" customHeight="1">
      <c r="A1468" s="148">
        <v>44662</v>
      </c>
      <c r="B1468" s="152" t="s">
        <v>61</v>
      </c>
      <c r="C1468" s="152" t="str">
        <f t="shared" ca="1" si="874"/>
        <v>Stocks</v>
      </c>
      <c r="D1468" s="152" t="str">
        <f ca="1">IFERROR(__xludf.DUMMYFUNCTION("split(B1468,"" "")"),"SAIL")</f>
        <v>SAIL</v>
      </c>
      <c r="E1468" s="152" t="str">
        <f ca="1">IFERROR(__xludf.DUMMYFUNCTION("""COMPUTED_VALUE"""),"APR")</f>
        <v>APR</v>
      </c>
      <c r="F1468" s="152">
        <f ca="1">IFERROR(__xludf.DUMMYFUNCTION("""COMPUTED_VALUE"""),113)</f>
        <v>113</v>
      </c>
      <c r="G1468" s="152" t="str">
        <f ca="1">IFERROR(__xludf.DUMMYFUNCTION("""COMPUTED_VALUE"""),"CE")</f>
        <v>CE</v>
      </c>
      <c r="H1468" s="211">
        <v>4750</v>
      </c>
      <c r="I1468" s="212">
        <v>1</v>
      </c>
      <c r="J1468" s="212">
        <v>1</v>
      </c>
      <c r="K1468" s="213">
        <f t="shared" si="875"/>
        <v>4750</v>
      </c>
      <c r="L1468" s="214">
        <v>4.1500000000000004</v>
      </c>
      <c r="M1468" s="215">
        <v>0</v>
      </c>
      <c r="N1468" s="216">
        <f t="shared" si="876"/>
        <v>19712.5</v>
      </c>
      <c r="O1468" s="216">
        <f t="shared" si="877"/>
        <v>0</v>
      </c>
      <c r="P1468" s="217">
        <f t="shared" si="878"/>
        <v>19712.5</v>
      </c>
      <c r="Q1468" s="217">
        <f t="shared" si="879"/>
        <v>-19712.5</v>
      </c>
      <c r="R1468" s="217">
        <f t="shared" si="891"/>
        <v>20</v>
      </c>
      <c r="S1468" s="217">
        <f t="shared" si="881"/>
        <v>5.48</v>
      </c>
      <c r="T1468" s="217">
        <f t="shared" si="882"/>
        <v>0</v>
      </c>
      <c r="U1468" s="217">
        <f t="shared" si="883"/>
        <v>0.59</v>
      </c>
      <c r="V1468" s="217">
        <f t="shared" si="884"/>
        <v>10.45</v>
      </c>
      <c r="W1468" s="217">
        <f t="shared" si="885"/>
        <v>0.02</v>
      </c>
      <c r="X1468" s="217">
        <f t="shared" si="886"/>
        <v>36.54</v>
      </c>
      <c r="Y1468" s="218">
        <f t="shared" si="887"/>
        <v>-19749.04</v>
      </c>
      <c r="Z1468" s="219">
        <v>-19749.45</v>
      </c>
      <c r="AA1468" s="220">
        <f t="shared" si="888"/>
        <v>-0.40999999999985448</v>
      </c>
      <c r="AB1468" s="221">
        <f t="shared" si="889"/>
        <v>-1</v>
      </c>
      <c r="AC1468" s="222">
        <f t="shared" si="890"/>
        <v>1.854E-3</v>
      </c>
      <c r="AD1468" s="217"/>
      <c r="AE1468" s="223" t="s">
        <v>403</v>
      </c>
      <c r="AF1468" s="119"/>
    </row>
    <row r="1469" spans="1:32" ht="12" hidden="1" customHeight="1">
      <c r="A1469" s="150">
        <v>44670</v>
      </c>
      <c r="B1469" s="152" t="s">
        <v>61</v>
      </c>
      <c r="C1469" s="152" t="str">
        <f t="shared" ca="1" si="874"/>
        <v>Stocks</v>
      </c>
      <c r="D1469" s="152" t="str">
        <f ca="1">IFERROR(__xludf.DUMMYFUNCTION("split(B1469,"" "")"),"SAIL")</f>
        <v>SAIL</v>
      </c>
      <c r="E1469" s="152" t="str">
        <f ca="1">IFERROR(__xludf.DUMMYFUNCTION("""COMPUTED_VALUE"""),"APR")</f>
        <v>APR</v>
      </c>
      <c r="F1469" s="152">
        <f ca="1">IFERROR(__xludf.DUMMYFUNCTION("""COMPUTED_VALUE"""),113)</f>
        <v>113</v>
      </c>
      <c r="G1469" s="152" t="str">
        <f ca="1">IFERROR(__xludf.DUMMYFUNCTION("""COMPUTED_VALUE"""),"CE")</f>
        <v>CE</v>
      </c>
      <c r="H1469" s="211">
        <v>4750</v>
      </c>
      <c r="I1469" s="212">
        <v>1</v>
      </c>
      <c r="J1469" s="212">
        <v>1</v>
      </c>
      <c r="K1469" s="213">
        <f t="shared" si="875"/>
        <v>4750</v>
      </c>
      <c r="L1469" s="214">
        <v>0</v>
      </c>
      <c r="M1469" s="215">
        <v>1.8</v>
      </c>
      <c r="N1469" s="216">
        <f t="shared" si="876"/>
        <v>0</v>
      </c>
      <c r="O1469" s="216">
        <f t="shared" si="877"/>
        <v>8550</v>
      </c>
      <c r="P1469" s="217">
        <f t="shared" si="878"/>
        <v>8550</v>
      </c>
      <c r="Q1469" s="217">
        <f t="shared" si="879"/>
        <v>8550</v>
      </c>
      <c r="R1469" s="217">
        <f t="shared" si="891"/>
        <v>20</v>
      </c>
      <c r="S1469" s="217">
        <f t="shared" si="881"/>
        <v>4.42</v>
      </c>
      <c r="T1469" s="217">
        <f t="shared" si="882"/>
        <v>4.28</v>
      </c>
      <c r="U1469" s="217">
        <f t="shared" si="883"/>
        <v>0</v>
      </c>
      <c r="V1469" s="217">
        <f t="shared" si="884"/>
        <v>4.53</v>
      </c>
      <c r="W1469" s="217">
        <f t="shared" si="885"/>
        <v>0.01</v>
      </c>
      <c r="X1469" s="217">
        <f t="shared" si="886"/>
        <v>33.24</v>
      </c>
      <c r="Y1469" s="218">
        <f t="shared" si="887"/>
        <v>8516.76</v>
      </c>
      <c r="Z1469" s="219">
        <v>8517.0400000000009</v>
      </c>
      <c r="AA1469" s="220">
        <f t="shared" si="888"/>
        <v>0.28000000000065484</v>
      </c>
      <c r="AB1469" s="221">
        <f t="shared" si="889"/>
        <v>0</v>
      </c>
      <c r="AC1469" s="222">
        <f t="shared" si="890"/>
        <v>3.888E-3</v>
      </c>
      <c r="AD1469" s="217"/>
      <c r="AE1469" s="223" t="s">
        <v>403</v>
      </c>
      <c r="AF1469" s="119"/>
    </row>
    <row r="1470" spans="1:32" ht="12" hidden="1" customHeight="1">
      <c r="A1470" s="209">
        <v>44664</v>
      </c>
      <c r="B1470" s="152" t="s">
        <v>62</v>
      </c>
      <c r="C1470" s="152" t="str">
        <f t="shared" ca="1" si="874"/>
        <v>Stocks</v>
      </c>
      <c r="D1470" s="152" t="str">
        <f ca="1">IFERROR(__xludf.DUMMYFUNCTION("split(B1470,"" "")"),"FSL")</f>
        <v>FSL</v>
      </c>
      <c r="E1470" s="152" t="str">
        <f ca="1">IFERROR(__xludf.DUMMYFUNCTION("""COMPUTED_VALUE"""),"APR")</f>
        <v>APR</v>
      </c>
      <c r="F1470" s="152">
        <f ca="1">IFERROR(__xludf.DUMMYFUNCTION("""COMPUTED_VALUE"""),140)</f>
        <v>140</v>
      </c>
      <c r="G1470" s="152" t="str">
        <f ca="1">IFERROR(__xludf.DUMMYFUNCTION("""COMPUTED_VALUE"""),"CE")</f>
        <v>CE</v>
      </c>
      <c r="H1470" s="211">
        <v>2600</v>
      </c>
      <c r="I1470" s="212">
        <v>1</v>
      </c>
      <c r="J1470" s="212">
        <v>1</v>
      </c>
      <c r="K1470" s="213">
        <f t="shared" si="875"/>
        <v>2600</v>
      </c>
      <c r="L1470" s="214">
        <v>3.3</v>
      </c>
      <c r="M1470" s="215">
        <v>3.2</v>
      </c>
      <c r="N1470" s="216">
        <f t="shared" si="876"/>
        <v>8580</v>
      </c>
      <c r="O1470" s="216">
        <f t="shared" si="877"/>
        <v>8320</v>
      </c>
      <c r="P1470" s="217">
        <f t="shared" si="878"/>
        <v>16900</v>
      </c>
      <c r="Q1470" s="217">
        <f t="shared" si="879"/>
        <v>-259.99999999999909</v>
      </c>
      <c r="R1470" s="217">
        <f t="shared" si="891"/>
        <v>40</v>
      </c>
      <c r="S1470" s="217">
        <f t="shared" si="881"/>
        <v>8.81</v>
      </c>
      <c r="T1470" s="217">
        <f t="shared" si="882"/>
        <v>4.16</v>
      </c>
      <c r="U1470" s="217">
        <f t="shared" si="883"/>
        <v>0.26</v>
      </c>
      <c r="V1470" s="217">
        <f t="shared" si="884"/>
        <v>8.9600000000000009</v>
      </c>
      <c r="W1470" s="217">
        <f t="shared" si="885"/>
        <v>0.02</v>
      </c>
      <c r="X1470" s="217">
        <f t="shared" si="886"/>
        <v>62.21</v>
      </c>
      <c r="Y1470" s="218">
        <f t="shared" si="887"/>
        <v>-322.20999999999998</v>
      </c>
      <c r="Z1470" s="219">
        <v>-322</v>
      </c>
      <c r="AA1470" s="220">
        <f t="shared" si="888"/>
        <v>0.20999999999997954</v>
      </c>
      <c r="AB1470" s="221">
        <f t="shared" si="889"/>
        <v>-3.0303030303030196E-2</v>
      </c>
      <c r="AC1470" s="222">
        <f t="shared" si="890"/>
        <v>3.6809999999999998E-3</v>
      </c>
      <c r="AD1470" s="217"/>
      <c r="AE1470" s="223" t="s">
        <v>403</v>
      </c>
      <c r="AF1470" s="119"/>
    </row>
    <row r="1471" spans="1:32" ht="12" hidden="1" customHeight="1">
      <c r="A1471" s="148">
        <v>44664</v>
      </c>
      <c r="B1471" s="152" t="s">
        <v>62</v>
      </c>
      <c r="C1471" s="152" t="str">
        <f t="shared" ca="1" si="874"/>
        <v>Stocks</v>
      </c>
      <c r="D1471" s="152" t="str">
        <f ca="1">IFERROR(__xludf.DUMMYFUNCTION("split(B1471,"" "")"),"FSL")</f>
        <v>FSL</v>
      </c>
      <c r="E1471" s="152" t="str">
        <f ca="1">IFERROR(__xludf.DUMMYFUNCTION("""COMPUTED_VALUE"""),"APR")</f>
        <v>APR</v>
      </c>
      <c r="F1471" s="152">
        <f ca="1">IFERROR(__xludf.DUMMYFUNCTION("""COMPUTED_VALUE"""),140)</f>
        <v>140</v>
      </c>
      <c r="G1471" s="152" t="str">
        <f ca="1">IFERROR(__xludf.DUMMYFUNCTION("""COMPUTED_VALUE"""),"CE")</f>
        <v>CE</v>
      </c>
      <c r="H1471" s="211">
        <v>2600</v>
      </c>
      <c r="I1471" s="212">
        <v>1</v>
      </c>
      <c r="J1471" s="212">
        <v>1</v>
      </c>
      <c r="K1471" s="213">
        <f t="shared" si="875"/>
        <v>2600</v>
      </c>
      <c r="L1471" s="214">
        <v>3.25</v>
      </c>
      <c r="M1471" s="215">
        <v>0</v>
      </c>
      <c r="N1471" s="216">
        <f t="shared" si="876"/>
        <v>8450</v>
      </c>
      <c r="O1471" s="216">
        <f t="shared" si="877"/>
        <v>0</v>
      </c>
      <c r="P1471" s="217">
        <f t="shared" si="878"/>
        <v>8450</v>
      </c>
      <c r="Q1471" s="217">
        <f t="shared" si="879"/>
        <v>-8450</v>
      </c>
      <c r="R1471" s="217">
        <f t="shared" si="891"/>
        <v>20</v>
      </c>
      <c r="S1471" s="217">
        <f t="shared" si="881"/>
        <v>4.41</v>
      </c>
      <c r="T1471" s="217">
        <f t="shared" si="882"/>
        <v>0</v>
      </c>
      <c r="U1471" s="217">
        <f t="shared" si="883"/>
        <v>0.25</v>
      </c>
      <c r="V1471" s="217">
        <f t="shared" si="884"/>
        <v>4.4800000000000004</v>
      </c>
      <c r="W1471" s="217">
        <f t="shared" si="885"/>
        <v>0.01</v>
      </c>
      <c r="X1471" s="217">
        <f t="shared" si="886"/>
        <v>29.150000000000002</v>
      </c>
      <c r="Y1471" s="218">
        <f t="shared" si="887"/>
        <v>-8479.15</v>
      </c>
      <c r="Z1471" s="219">
        <v>-8479.2999999999993</v>
      </c>
      <c r="AA1471" s="220">
        <f t="shared" si="888"/>
        <v>-0.1499999999996362</v>
      </c>
      <c r="AB1471" s="221">
        <f t="shared" si="889"/>
        <v>-1</v>
      </c>
      <c r="AC1471" s="222">
        <f t="shared" si="890"/>
        <v>3.4499999999999999E-3</v>
      </c>
      <c r="AD1471" s="217"/>
      <c r="AE1471" s="223" t="s">
        <v>403</v>
      </c>
      <c r="AF1471" s="119"/>
    </row>
    <row r="1472" spans="1:32" ht="12" hidden="1" customHeight="1">
      <c r="A1472" s="150">
        <v>44671</v>
      </c>
      <c r="B1472" s="152" t="s">
        <v>62</v>
      </c>
      <c r="C1472" s="152" t="str">
        <f t="shared" ca="1" si="874"/>
        <v>Stocks</v>
      </c>
      <c r="D1472" s="152" t="str">
        <f ca="1">IFERROR(__xludf.DUMMYFUNCTION("split(B1472,"" "")"),"FSL")</f>
        <v>FSL</v>
      </c>
      <c r="E1472" s="152" t="str">
        <f ca="1">IFERROR(__xludf.DUMMYFUNCTION("""COMPUTED_VALUE"""),"APR")</f>
        <v>APR</v>
      </c>
      <c r="F1472" s="152">
        <f ca="1">IFERROR(__xludf.DUMMYFUNCTION("""COMPUTED_VALUE"""),140)</f>
        <v>140</v>
      </c>
      <c r="G1472" s="152" t="str">
        <f ca="1">IFERROR(__xludf.DUMMYFUNCTION("""COMPUTED_VALUE"""),"CE")</f>
        <v>CE</v>
      </c>
      <c r="H1472" s="211">
        <v>2600</v>
      </c>
      <c r="I1472" s="212">
        <v>1</v>
      </c>
      <c r="J1472" s="212">
        <v>1</v>
      </c>
      <c r="K1472" s="213">
        <f t="shared" si="875"/>
        <v>2600</v>
      </c>
      <c r="L1472" s="214">
        <v>0</v>
      </c>
      <c r="M1472" s="215">
        <v>0.8</v>
      </c>
      <c r="N1472" s="216">
        <f t="shared" si="876"/>
        <v>0</v>
      </c>
      <c r="O1472" s="216">
        <f t="shared" si="877"/>
        <v>2080</v>
      </c>
      <c r="P1472" s="217">
        <f t="shared" si="878"/>
        <v>2080</v>
      </c>
      <c r="Q1472" s="217">
        <f t="shared" si="879"/>
        <v>2080</v>
      </c>
      <c r="R1472" s="217">
        <f t="shared" si="891"/>
        <v>20</v>
      </c>
      <c r="S1472" s="217">
        <f t="shared" si="881"/>
        <v>3.8</v>
      </c>
      <c r="T1472" s="217">
        <f t="shared" si="882"/>
        <v>1.04</v>
      </c>
      <c r="U1472" s="217">
        <f t="shared" si="883"/>
        <v>0</v>
      </c>
      <c r="V1472" s="217">
        <f t="shared" si="884"/>
        <v>1.1000000000000001</v>
      </c>
      <c r="W1472" s="217">
        <f t="shared" si="885"/>
        <v>0</v>
      </c>
      <c r="X1472" s="217">
        <f t="shared" si="886"/>
        <v>25.94</v>
      </c>
      <c r="Y1472" s="218">
        <f t="shared" si="887"/>
        <v>2054.06</v>
      </c>
      <c r="Z1472" s="219">
        <v>2054</v>
      </c>
      <c r="AA1472" s="220">
        <f t="shared" si="888"/>
        <v>-5.999999999994543E-2</v>
      </c>
      <c r="AB1472" s="221">
        <f t="shared" si="889"/>
        <v>0</v>
      </c>
      <c r="AC1472" s="222">
        <f t="shared" si="890"/>
        <v>1.2470999999999999E-2</v>
      </c>
      <c r="AD1472" s="217"/>
      <c r="AE1472" s="223" t="s">
        <v>403</v>
      </c>
      <c r="AF1472" s="119"/>
    </row>
    <row r="1473" spans="1:32" ht="12" hidden="1" customHeight="1">
      <c r="A1473" s="148">
        <v>44664</v>
      </c>
      <c r="B1473" s="152" t="s">
        <v>62</v>
      </c>
      <c r="C1473" s="152" t="str">
        <f t="shared" ca="1" si="874"/>
        <v>Stocks</v>
      </c>
      <c r="D1473" s="152" t="str">
        <f ca="1">IFERROR(__xludf.DUMMYFUNCTION("split(B1473,"" "")"),"FSL")</f>
        <v>FSL</v>
      </c>
      <c r="E1473" s="152" t="str">
        <f ca="1">IFERROR(__xludf.DUMMYFUNCTION("""COMPUTED_VALUE"""),"APR")</f>
        <v>APR</v>
      </c>
      <c r="F1473" s="152">
        <f ca="1">IFERROR(__xludf.DUMMYFUNCTION("""COMPUTED_VALUE"""),140)</f>
        <v>140</v>
      </c>
      <c r="G1473" s="152" t="str">
        <f ca="1">IFERROR(__xludf.DUMMYFUNCTION("""COMPUTED_VALUE"""),"CE")</f>
        <v>CE</v>
      </c>
      <c r="H1473" s="211">
        <v>2600</v>
      </c>
      <c r="I1473" s="212">
        <v>1</v>
      </c>
      <c r="J1473" s="212">
        <v>1</v>
      </c>
      <c r="K1473" s="213">
        <f t="shared" si="875"/>
        <v>2600</v>
      </c>
      <c r="L1473" s="214">
        <v>2.5</v>
      </c>
      <c r="M1473" s="215">
        <v>0</v>
      </c>
      <c r="N1473" s="216">
        <f t="shared" si="876"/>
        <v>6500</v>
      </c>
      <c r="O1473" s="216">
        <f t="shared" si="877"/>
        <v>0</v>
      </c>
      <c r="P1473" s="217">
        <f t="shared" si="878"/>
        <v>6500</v>
      </c>
      <c r="Q1473" s="217">
        <f t="shared" si="879"/>
        <v>-6500</v>
      </c>
      <c r="R1473" s="217">
        <f t="shared" si="891"/>
        <v>20</v>
      </c>
      <c r="S1473" s="217">
        <f t="shared" si="881"/>
        <v>4.22</v>
      </c>
      <c r="T1473" s="217">
        <f t="shared" si="882"/>
        <v>0</v>
      </c>
      <c r="U1473" s="217">
        <f t="shared" si="883"/>
        <v>0.2</v>
      </c>
      <c r="V1473" s="217">
        <f t="shared" si="884"/>
        <v>3.45</v>
      </c>
      <c r="W1473" s="217">
        <f t="shared" si="885"/>
        <v>0.01</v>
      </c>
      <c r="X1473" s="217">
        <f t="shared" si="886"/>
        <v>27.88</v>
      </c>
      <c r="Y1473" s="218">
        <f t="shared" si="887"/>
        <v>-6527.88</v>
      </c>
      <c r="Z1473" s="219">
        <v>-6528.05</v>
      </c>
      <c r="AA1473" s="220">
        <f t="shared" si="888"/>
        <v>-0.17000000000007276</v>
      </c>
      <c r="AB1473" s="221">
        <f t="shared" si="889"/>
        <v>-1</v>
      </c>
      <c r="AC1473" s="222">
        <f t="shared" si="890"/>
        <v>4.2890000000000003E-3</v>
      </c>
      <c r="AD1473" s="217"/>
      <c r="AE1473" s="223" t="s">
        <v>403</v>
      </c>
      <c r="AF1473" s="119"/>
    </row>
    <row r="1474" spans="1:32" ht="12" hidden="1" customHeight="1">
      <c r="A1474" s="150">
        <v>44672</v>
      </c>
      <c r="B1474" s="152" t="s">
        <v>62</v>
      </c>
      <c r="C1474" s="152" t="str">
        <f t="shared" ca="1" si="874"/>
        <v>Stocks</v>
      </c>
      <c r="D1474" s="152" t="str">
        <f ca="1">IFERROR(__xludf.DUMMYFUNCTION("split(B1474,"" "")"),"FSL")</f>
        <v>FSL</v>
      </c>
      <c r="E1474" s="152" t="str">
        <f ca="1">IFERROR(__xludf.DUMMYFUNCTION("""COMPUTED_VALUE"""),"APR")</f>
        <v>APR</v>
      </c>
      <c r="F1474" s="152">
        <f ca="1">IFERROR(__xludf.DUMMYFUNCTION("""COMPUTED_VALUE"""),140)</f>
        <v>140</v>
      </c>
      <c r="G1474" s="152" t="str">
        <f ca="1">IFERROR(__xludf.DUMMYFUNCTION("""COMPUTED_VALUE"""),"CE")</f>
        <v>CE</v>
      </c>
      <c r="H1474" s="211">
        <v>2600</v>
      </c>
      <c r="I1474" s="212">
        <v>1</v>
      </c>
      <c r="J1474" s="212">
        <v>1</v>
      </c>
      <c r="K1474" s="213">
        <f t="shared" si="875"/>
        <v>2600</v>
      </c>
      <c r="L1474" s="214">
        <v>0</v>
      </c>
      <c r="M1474" s="215">
        <v>0.8</v>
      </c>
      <c r="N1474" s="216">
        <f t="shared" si="876"/>
        <v>0</v>
      </c>
      <c r="O1474" s="216">
        <f t="shared" si="877"/>
        <v>2080</v>
      </c>
      <c r="P1474" s="217">
        <f t="shared" si="878"/>
        <v>2080</v>
      </c>
      <c r="Q1474" s="217">
        <f t="shared" si="879"/>
        <v>2080</v>
      </c>
      <c r="R1474" s="217">
        <f t="shared" si="891"/>
        <v>20</v>
      </c>
      <c r="S1474" s="217">
        <f t="shared" si="881"/>
        <v>3.8</v>
      </c>
      <c r="T1474" s="217">
        <f t="shared" si="882"/>
        <v>1.04</v>
      </c>
      <c r="U1474" s="217">
        <f t="shared" si="883"/>
        <v>0</v>
      </c>
      <c r="V1474" s="217">
        <f t="shared" si="884"/>
        <v>1.1000000000000001</v>
      </c>
      <c r="W1474" s="217">
        <f t="shared" si="885"/>
        <v>0</v>
      </c>
      <c r="X1474" s="217">
        <f t="shared" si="886"/>
        <v>25.94</v>
      </c>
      <c r="Y1474" s="218">
        <f t="shared" si="887"/>
        <v>2054.06</v>
      </c>
      <c r="Z1474" s="219">
        <v>2054</v>
      </c>
      <c r="AA1474" s="220">
        <f t="shared" si="888"/>
        <v>-5.999999999994543E-2</v>
      </c>
      <c r="AB1474" s="221">
        <f t="shared" si="889"/>
        <v>0</v>
      </c>
      <c r="AC1474" s="222">
        <f t="shared" si="890"/>
        <v>1.2470999999999999E-2</v>
      </c>
      <c r="AD1474" s="217"/>
      <c r="AE1474" s="223" t="s">
        <v>403</v>
      </c>
      <c r="AF1474" s="119"/>
    </row>
    <row r="1475" spans="1:32" ht="12" hidden="1" customHeight="1">
      <c r="A1475" s="209">
        <v>44671</v>
      </c>
      <c r="B1475" s="152" t="s">
        <v>737</v>
      </c>
      <c r="C1475" s="152" t="str">
        <f t="shared" ca="1" si="874"/>
        <v>Indices</v>
      </c>
      <c r="D1475" s="152" t="str">
        <f ca="1">IFERROR(__xludf.DUMMYFUNCTION("split(B1475,"" "")"),"NIFTY")</f>
        <v>NIFTY</v>
      </c>
      <c r="E1475" s="224">
        <f ca="1">IFERROR(__xludf.DUMMYFUNCTION("""COMPUTED_VALUE"""),45037)</f>
        <v>45037</v>
      </c>
      <c r="F1475" s="152">
        <f ca="1">IFERROR(__xludf.DUMMYFUNCTION("""COMPUTED_VALUE"""),17100)</f>
        <v>17100</v>
      </c>
      <c r="G1475" s="152" t="str">
        <f ca="1">IFERROR(__xludf.DUMMYFUNCTION("""COMPUTED_VALUE"""),"PE")</f>
        <v>PE</v>
      </c>
      <c r="H1475" s="211">
        <v>50</v>
      </c>
      <c r="I1475" s="212">
        <v>1</v>
      </c>
      <c r="J1475" s="212">
        <v>1</v>
      </c>
      <c r="K1475" s="213">
        <f t="shared" si="875"/>
        <v>50</v>
      </c>
      <c r="L1475" s="214">
        <v>57.8</v>
      </c>
      <c r="M1475" s="215">
        <v>95</v>
      </c>
      <c r="N1475" s="216">
        <f t="shared" si="876"/>
        <v>2890</v>
      </c>
      <c r="O1475" s="216">
        <f t="shared" si="877"/>
        <v>4750</v>
      </c>
      <c r="P1475" s="217">
        <f t="shared" si="878"/>
        <v>7640</v>
      </c>
      <c r="Q1475" s="217">
        <f t="shared" si="879"/>
        <v>1860.0000000000002</v>
      </c>
      <c r="R1475" s="217">
        <f t="shared" si="891"/>
        <v>40</v>
      </c>
      <c r="S1475" s="217">
        <f t="shared" si="881"/>
        <v>7.93</v>
      </c>
      <c r="T1475" s="217">
        <f t="shared" si="882"/>
        <v>2.38</v>
      </c>
      <c r="U1475" s="217">
        <f t="shared" si="883"/>
        <v>0.09</v>
      </c>
      <c r="V1475" s="217">
        <f t="shared" si="884"/>
        <v>4.05</v>
      </c>
      <c r="W1475" s="217">
        <f t="shared" si="885"/>
        <v>0.01</v>
      </c>
      <c r="X1475" s="217">
        <f t="shared" si="886"/>
        <v>54.46</v>
      </c>
      <c r="Y1475" s="218">
        <f t="shared" si="887"/>
        <v>1805.54</v>
      </c>
      <c r="Z1475" s="219">
        <v>1805.56</v>
      </c>
      <c r="AA1475" s="220">
        <f t="shared" si="888"/>
        <v>1.999999999998181E-2</v>
      </c>
      <c r="AB1475" s="221">
        <f t="shared" si="889"/>
        <v>0.64359861591695511</v>
      </c>
      <c r="AC1475" s="222">
        <f t="shared" si="890"/>
        <v>7.1279999999999998E-3</v>
      </c>
      <c r="AD1475" s="217"/>
      <c r="AE1475" s="223" t="s">
        <v>403</v>
      </c>
      <c r="AF1475" s="119"/>
    </row>
    <row r="1476" spans="1:32" ht="12" hidden="1" customHeight="1">
      <c r="A1476" s="209">
        <v>44671</v>
      </c>
      <c r="B1476" s="152" t="s">
        <v>738</v>
      </c>
      <c r="C1476" s="152" t="str">
        <f t="shared" ca="1" si="874"/>
        <v>Indices</v>
      </c>
      <c r="D1476" s="152" t="str">
        <f ca="1">IFERROR(__xludf.DUMMYFUNCTION("split(B1476,"" "")"),"BANKNIFTY")</f>
        <v>BANKNIFTY</v>
      </c>
      <c r="E1476" s="224">
        <f ca="1">IFERROR(__xludf.DUMMYFUNCTION("""COMPUTED_VALUE"""),45037)</f>
        <v>45037</v>
      </c>
      <c r="F1476" s="152">
        <f ca="1">IFERROR(__xludf.DUMMYFUNCTION("""COMPUTED_VALUE"""),36200)</f>
        <v>36200</v>
      </c>
      <c r="G1476" s="152" t="str">
        <f ca="1">IFERROR(__xludf.DUMMYFUNCTION("""COMPUTED_VALUE"""),"PE")</f>
        <v>PE</v>
      </c>
      <c r="H1476" s="211">
        <v>25</v>
      </c>
      <c r="I1476" s="212">
        <v>1</v>
      </c>
      <c r="J1476" s="212">
        <v>1</v>
      </c>
      <c r="K1476" s="213">
        <f t="shared" si="875"/>
        <v>25</v>
      </c>
      <c r="L1476" s="214">
        <v>140</v>
      </c>
      <c r="M1476" s="215">
        <v>101.7</v>
      </c>
      <c r="N1476" s="216">
        <f t="shared" si="876"/>
        <v>3500</v>
      </c>
      <c r="O1476" s="216">
        <f t="shared" si="877"/>
        <v>2542.5</v>
      </c>
      <c r="P1476" s="217">
        <f t="shared" si="878"/>
        <v>6042.5</v>
      </c>
      <c r="Q1476" s="217">
        <f t="shared" si="879"/>
        <v>-957.49999999999989</v>
      </c>
      <c r="R1476" s="217">
        <f t="shared" si="891"/>
        <v>40</v>
      </c>
      <c r="S1476" s="217">
        <f t="shared" si="881"/>
        <v>7.78</v>
      </c>
      <c r="T1476" s="217">
        <f t="shared" si="882"/>
        <v>1.27</v>
      </c>
      <c r="U1476" s="217">
        <f t="shared" si="883"/>
        <v>0.11</v>
      </c>
      <c r="V1476" s="217">
        <f t="shared" si="884"/>
        <v>3.2</v>
      </c>
      <c r="W1476" s="217">
        <f t="shared" si="885"/>
        <v>0.01</v>
      </c>
      <c r="X1476" s="217">
        <f t="shared" si="886"/>
        <v>52.370000000000005</v>
      </c>
      <c r="Y1476" s="218">
        <f t="shared" si="887"/>
        <v>-1009.87</v>
      </c>
      <c r="Z1476" s="219">
        <v>-1010</v>
      </c>
      <c r="AA1476" s="220">
        <f t="shared" si="888"/>
        <v>-0.12999999999999545</v>
      </c>
      <c r="AB1476" s="221">
        <f t="shared" si="889"/>
        <v>-0.27357142857142858</v>
      </c>
      <c r="AC1476" s="222">
        <f t="shared" si="890"/>
        <v>8.6669999999999994E-3</v>
      </c>
      <c r="AD1476" s="217"/>
      <c r="AE1476" s="223" t="s">
        <v>403</v>
      </c>
      <c r="AF1476" s="119"/>
    </row>
    <row r="1477" spans="1:32" ht="12" hidden="1" customHeight="1">
      <c r="A1477" s="209">
        <v>44671</v>
      </c>
      <c r="B1477" s="152" t="s">
        <v>738</v>
      </c>
      <c r="C1477" s="152" t="str">
        <f t="shared" ca="1" si="874"/>
        <v>Indices</v>
      </c>
      <c r="D1477" s="152" t="str">
        <f ca="1">IFERROR(__xludf.DUMMYFUNCTION("split(B1477,"" "")"),"BANKNIFTY")</f>
        <v>BANKNIFTY</v>
      </c>
      <c r="E1477" s="224">
        <f ca="1">IFERROR(__xludf.DUMMYFUNCTION("""COMPUTED_VALUE"""),45037)</f>
        <v>45037</v>
      </c>
      <c r="F1477" s="152">
        <f ca="1">IFERROR(__xludf.DUMMYFUNCTION("""COMPUTED_VALUE"""),36200)</f>
        <v>36200</v>
      </c>
      <c r="G1477" s="152" t="str">
        <f ca="1">IFERROR(__xludf.DUMMYFUNCTION("""COMPUTED_VALUE"""),"PE")</f>
        <v>PE</v>
      </c>
      <c r="H1477" s="211">
        <v>25</v>
      </c>
      <c r="I1477" s="212">
        <v>1</v>
      </c>
      <c r="J1477" s="212">
        <v>1</v>
      </c>
      <c r="K1477" s="213">
        <f t="shared" si="875"/>
        <v>25</v>
      </c>
      <c r="L1477" s="214">
        <v>170</v>
      </c>
      <c r="M1477" s="215">
        <v>200</v>
      </c>
      <c r="N1477" s="216">
        <f t="shared" si="876"/>
        <v>4250</v>
      </c>
      <c r="O1477" s="216">
        <f t="shared" si="877"/>
        <v>5000</v>
      </c>
      <c r="P1477" s="217">
        <f t="shared" si="878"/>
        <v>9250</v>
      </c>
      <c r="Q1477" s="217">
        <f t="shared" si="879"/>
        <v>750</v>
      </c>
      <c r="R1477" s="217">
        <f t="shared" si="891"/>
        <v>40</v>
      </c>
      <c r="S1477" s="217">
        <f t="shared" si="881"/>
        <v>8.08</v>
      </c>
      <c r="T1477" s="217">
        <f t="shared" si="882"/>
        <v>2.5</v>
      </c>
      <c r="U1477" s="217">
        <f t="shared" si="883"/>
        <v>0.13</v>
      </c>
      <c r="V1477" s="217">
        <f t="shared" si="884"/>
        <v>4.9000000000000004</v>
      </c>
      <c r="W1477" s="217">
        <f t="shared" si="885"/>
        <v>0.01</v>
      </c>
      <c r="X1477" s="217">
        <f t="shared" si="886"/>
        <v>55.62</v>
      </c>
      <c r="Y1477" s="218">
        <f t="shared" si="887"/>
        <v>694.38</v>
      </c>
      <c r="Z1477" s="219">
        <v>694</v>
      </c>
      <c r="AA1477" s="220">
        <f t="shared" si="888"/>
        <v>-0.37999999999999545</v>
      </c>
      <c r="AB1477" s="221">
        <f t="shared" si="889"/>
        <v>0.17647058823529413</v>
      </c>
      <c r="AC1477" s="222">
        <f t="shared" si="890"/>
        <v>6.0130000000000001E-3</v>
      </c>
      <c r="AD1477" s="217"/>
      <c r="AE1477" s="223" t="s">
        <v>403</v>
      </c>
      <c r="AF1477" s="119"/>
    </row>
    <row r="1478" spans="1:32" ht="12" hidden="1" customHeight="1">
      <c r="A1478" s="148">
        <v>44671</v>
      </c>
      <c r="B1478" s="152" t="s">
        <v>738</v>
      </c>
      <c r="C1478" s="152" t="str">
        <f t="shared" ca="1" si="874"/>
        <v>Indices</v>
      </c>
      <c r="D1478" s="152" t="str">
        <f ca="1">IFERROR(__xludf.DUMMYFUNCTION("split(B1478,"" "")"),"BANKNIFTY")</f>
        <v>BANKNIFTY</v>
      </c>
      <c r="E1478" s="224">
        <f ca="1">IFERROR(__xludf.DUMMYFUNCTION("""COMPUTED_VALUE"""),45037)</f>
        <v>45037</v>
      </c>
      <c r="F1478" s="152">
        <f ca="1">IFERROR(__xludf.DUMMYFUNCTION("""COMPUTED_VALUE"""),36200)</f>
        <v>36200</v>
      </c>
      <c r="G1478" s="152" t="str">
        <f ca="1">IFERROR(__xludf.DUMMYFUNCTION("""COMPUTED_VALUE"""),"PE")</f>
        <v>PE</v>
      </c>
      <c r="H1478" s="211">
        <v>25</v>
      </c>
      <c r="I1478" s="212">
        <v>1</v>
      </c>
      <c r="J1478" s="212">
        <v>1</v>
      </c>
      <c r="K1478" s="213">
        <f t="shared" si="875"/>
        <v>25</v>
      </c>
      <c r="L1478" s="214">
        <v>150</v>
      </c>
      <c r="M1478" s="215">
        <v>0</v>
      </c>
      <c r="N1478" s="216">
        <f t="shared" si="876"/>
        <v>3750</v>
      </c>
      <c r="O1478" s="216">
        <f t="shared" si="877"/>
        <v>0</v>
      </c>
      <c r="P1478" s="217">
        <f t="shared" si="878"/>
        <v>3750</v>
      </c>
      <c r="Q1478" s="217">
        <f t="shared" si="879"/>
        <v>-3750</v>
      </c>
      <c r="R1478" s="217">
        <f t="shared" si="891"/>
        <v>20</v>
      </c>
      <c r="S1478" s="217">
        <f t="shared" si="881"/>
        <v>3.96</v>
      </c>
      <c r="T1478" s="217">
        <f t="shared" si="882"/>
        <v>0</v>
      </c>
      <c r="U1478" s="217">
        <f t="shared" si="883"/>
        <v>0.11</v>
      </c>
      <c r="V1478" s="217">
        <f t="shared" si="884"/>
        <v>1.99</v>
      </c>
      <c r="W1478" s="217">
        <f t="shared" si="885"/>
        <v>0</v>
      </c>
      <c r="X1478" s="217">
        <f t="shared" si="886"/>
        <v>26.06</v>
      </c>
      <c r="Y1478" s="218">
        <f t="shared" si="887"/>
        <v>-3776.06</v>
      </c>
      <c r="Z1478" s="219">
        <v>-3776</v>
      </c>
      <c r="AA1478" s="220">
        <f t="shared" si="888"/>
        <v>5.999999999994543E-2</v>
      </c>
      <c r="AB1478" s="221">
        <f t="shared" si="889"/>
        <v>-1</v>
      </c>
      <c r="AC1478" s="222">
        <f t="shared" si="890"/>
        <v>6.9490000000000003E-3</v>
      </c>
      <c r="AD1478" s="217"/>
      <c r="AE1478" s="223" t="s">
        <v>403</v>
      </c>
      <c r="AF1478" s="119"/>
    </row>
    <row r="1479" spans="1:32" ht="12" hidden="1" customHeight="1">
      <c r="A1479" s="148">
        <v>44671</v>
      </c>
      <c r="B1479" s="152" t="s">
        <v>738</v>
      </c>
      <c r="C1479" s="152" t="str">
        <f t="shared" ca="1" si="874"/>
        <v>Indices</v>
      </c>
      <c r="D1479" s="152" t="str">
        <f ca="1">IFERROR(__xludf.DUMMYFUNCTION("split(B1479,"" "")"),"BANKNIFTY")</f>
        <v>BANKNIFTY</v>
      </c>
      <c r="E1479" s="224">
        <f ca="1">IFERROR(__xludf.DUMMYFUNCTION("""COMPUTED_VALUE"""),45037)</f>
        <v>45037</v>
      </c>
      <c r="F1479" s="152">
        <f ca="1">IFERROR(__xludf.DUMMYFUNCTION("""COMPUTED_VALUE"""),36200)</f>
        <v>36200</v>
      </c>
      <c r="G1479" s="152" t="str">
        <f ca="1">IFERROR(__xludf.DUMMYFUNCTION("""COMPUTED_VALUE"""),"PE")</f>
        <v>PE</v>
      </c>
      <c r="H1479" s="211">
        <v>25</v>
      </c>
      <c r="I1479" s="212">
        <v>1</v>
      </c>
      <c r="J1479" s="212">
        <v>1</v>
      </c>
      <c r="K1479" s="213">
        <f t="shared" si="875"/>
        <v>25</v>
      </c>
      <c r="L1479" s="214">
        <v>97</v>
      </c>
      <c r="M1479" s="215">
        <v>0</v>
      </c>
      <c r="N1479" s="216">
        <f t="shared" si="876"/>
        <v>2425</v>
      </c>
      <c r="O1479" s="216">
        <f t="shared" si="877"/>
        <v>0</v>
      </c>
      <c r="P1479" s="217">
        <f t="shared" si="878"/>
        <v>2425</v>
      </c>
      <c r="Q1479" s="217">
        <f t="shared" si="879"/>
        <v>-2425</v>
      </c>
      <c r="R1479" s="217">
        <f t="shared" si="891"/>
        <v>20</v>
      </c>
      <c r="S1479" s="217">
        <f t="shared" si="881"/>
        <v>3.83</v>
      </c>
      <c r="T1479" s="217">
        <f t="shared" si="882"/>
        <v>0</v>
      </c>
      <c r="U1479" s="217">
        <f t="shared" si="883"/>
        <v>7.0000000000000007E-2</v>
      </c>
      <c r="V1479" s="217">
        <f t="shared" si="884"/>
        <v>1.29</v>
      </c>
      <c r="W1479" s="217">
        <f t="shared" si="885"/>
        <v>0</v>
      </c>
      <c r="X1479" s="217">
        <f t="shared" si="886"/>
        <v>25.189999999999998</v>
      </c>
      <c r="Y1479" s="218">
        <f t="shared" si="887"/>
        <v>-2450.19</v>
      </c>
      <c r="Z1479" s="219">
        <v>-2450</v>
      </c>
      <c r="AA1479" s="220">
        <f t="shared" si="888"/>
        <v>0.19000000000005457</v>
      </c>
      <c r="AB1479" s="221">
        <f t="shared" si="889"/>
        <v>-1</v>
      </c>
      <c r="AC1479" s="222">
        <f t="shared" si="890"/>
        <v>1.0388E-2</v>
      </c>
      <c r="AD1479" s="217"/>
      <c r="AE1479" s="223" t="s">
        <v>403</v>
      </c>
      <c r="AF1479" s="119"/>
    </row>
    <row r="1480" spans="1:32" ht="12" hidden="1" customHeight="1">
      <c r="A1480" s="150">
        <v>44672</v>
      </c>
      <c r="B1480" s="152" t="s">
        <v>738</v>
      </c>
      <c r="C1480" s="152" t="str">
        <f t="shared" ca="1" si="874"/>
        <v>Indices</v>
      </c>
      <c r="D1480" s="152" t="str">
        <f ca="1">IFERROR(__xludf.DUMMYFUNCTION("split(B1480,"" "")"),"BANKNIFTY")</f>
        <v>BANKNIFTY</v>
      </c>
      <c r="E1480" s="224">
        <f ca="1">IFERROR(__xludf.DUMMYFUNCTION("""COMPUTED_VALUE"""),45037)</f>
        <v>45037</v>
      </c>
      <c r="F1480" s="152">
        <f ca="1">IFERROR(__xludf.DUMMYFUNCTION("""COMPUTED_VALUE"""),36200)</f>
        <v>36200</v>
      </c>
      <c r="G1480" s="152" t="str">
        <f ca="1">IFERROR(__xludf.DUMMYFUNCTION("""COMPUTED_VALUE"""),"PE")</f>
        <v>PE</v>
      </c>
      <c r="H1480" s="211">
        <v>25</v>
      </c>
      <c r="I1480" s="212">
        <v>2</v>
      </c>
      <c r="J1480" s="212">
        <v>1</v>
      </c>
      <c r="K1480" s="213">
        <f t="shared" si="875"/>
        <v>50</v>
      </c>
      <c r="L1480" s="214">
        <v>0</v>
      </c>
      <c r="M1480" s="215">
        <v>7.15</v>
      </c>
      <c r="N1480" s="216">
        <f t="shared" si="876"/>
        <v>0</v>
      </c>
      <c r="O1480" s="216">
        <f t="shared" si="877"/>
        <v>357.5</v>
      </c>
      <c r="P1480" s="217">
        <f t="shared" si="878"/>
        <v>357.5</v>
      </c>
      <c r="Q1480" s="217">
        <f t="shared" si="879"/>
        <v>357.5</v>
      </c>
      <c r="R1480" s="217">
        <f t="shared" si="891"/>
        <v>20</v>
      </c>
      <c r="S1480" s="217">
        <f t="shared" si="881"/>
        <v>3.63</v>
      </c>
      <c r="T1480" s="217">
        <f t="shared" si="882"/>
        <v>0.18</v>
      </c>
      <c r="U1480" s="217">
        <f t="shared" si="883"/>
        <v>0</v>
      </c>
      <c r="V1480" s="217">
        <f t="shared" si="884"/>
        <v>0.19</v>
      </c>
      <c r="W1480" s="217">
        <f t="shared" si="885"/>
        <v>0</v>
      </c>
      <c r="X1480" s="217">
        <f t="shared" si="886"/>
        <v>24</v>
      </c>
      <c r="Y1480" s="218">
        <f t="shared" si="887"/>
        <v>333.5</v>
      </c>
      <c r="Z1480" s="219">
        <v>334</v>
      </c>
      <c r="AA1480" s="220">
        <f t="shared" si="888"/>
        <v>0.5</v>
      </c>
      <c r="AB1480" s="221">
        <f t="shared" si="889"/>
        <v>0</v>
      </c>
      <c r="AC1480" s="222">
        <f t="shared" si="890"/>
        <v>6.7132999999999998E-2</v>
      </c>
      <c r="AD1480" s="217"/>
      <c r="AE1480" s="223" t="s">
        <v>403</v>
      </c>
      <c r="AF1480" s="119"/>
    </row>
    <row r="1481" spans="1:32" ht="12" hidden="1" customHeight="1">
      <c r="A1481" s="209">
        <v>44672</v>
      </c>
      <c r="B1481" s="152" t="s">
        <v>739</v>
      </c>
      <c r="C1481" s="152" t="str">
        <f t="shared" ca="1" si="874"/>
        <v>Stocks</v>
      </c>
      <c r="D1481" s="152" t="str">
        <f ca="1">IFERROR(__xludf.DUMMYFUNCTION("split(B1481,"" "")"),"BANDHANBNK")</f>
        <v>BANDHANBNK</v>
      </c>
      <c r="E1481" s="224" t="str">
        <f ca="1">IFERROR(__xludf.DUMMYFUNCTION("""COMPUTED_VALUE"""),"APR")</f>
        <v>APR</v>
      </c>
      <c r="F1481" s="152">
        <f ca="1">IFERROR(__xludf.DUMMYFUNCTION("""COMPUTED_VALUE"""),335)</f>
        <v>335</v>
      </c>
      <c r="G1481" s="152" t="str">
        <f ca="1">IFERROR(__xludf.DUMMYFUNCTION("""COMPUTED_VALUE"""),"CE")</f>
        <v>CE</v>
      </c>
      <c r="H1481" s="211">
        <v>1800</v>
      </c>
      <c r="I1481" s="212">
        <v>1</v>
      </c>
      <c r="J1481" s="212">
        <v>1</v>
      </c>
      <c r="K1481" s="213">
        <f t="shared" si="875"/>
        <v>1800</v>
      </c>
      <c r="L1481" s="214">
        <v>8</v>
      </c>
      <c r="M1481" s="215">
        <v>9</v>
      </c>
      <c r="N1481" s="216">
        <f t="shared" si="876"/>
        <v>14400</v>
      </c>
      <c r="O1481" s="216">
        <f t="shared" si="877"/>
        <v>16200</v>
      </c>
      <c r="P1481" s="217">
        <f t="shared" si="878"/>
        <v>30600</v>
      </c>
      <c r="Q1481" s="217">
        <f t="shared" si="879"/>
        <v>1800</v>
      </c>
      <c r="R1481" s="217">
        <f t="shared" si="891"/>
        <v>40</v>
      </c>
      <c r="S1481" s="217">
        <f t="shared" si="881"/>
        <v>10.119999999999999</v>
      </c>
      <c r="T1481" s="217">
        <f t="shared" si="882"/>
        <v>8.1</v>
      </c>
      <c r="U1481" s="217">
        <f t="shared" si="883"/>
        <v>0.43</v>
      </c>
      <c r="V1481" s="217">
        <f t="shared" si="884"/>
        <v>16.22</v>
      </c>
      <c r="W1481" s="217">
        <f t="shared" si="885"/>
        <v>0.03</v>
      </c>
      <c r="X1481" s="217">
        <f t="shared" si="886"/>
        <v>74.900000000000006</v>
      </c>
      <c r="Y1481" s="218">
        <f t="shared" si="887"/>
        <v>1725.1</v>
      </c>
      <c r="Z1481" s="219">
        <v>1725.41</v>
      </c>
      <c r="AA1481" s="220">
        <f t="shared" si="888"/>
        <v>0.3100000000001728</v>
      </c>
      <c r="AB1481" s="221">
        <f t="shared" si="889"/>
        <v>0.125</v>
      </c>
      <c r="AC1481" s="222">
        <f t="shared" si="890"/>
        <v>2.4480000000000001E-3</v>
      </c>
      <c r="AD1481" s="217"/>
      <c r="AE1481" s="223" t="s">
        <v>403</v>
      </c>
      <c r="AF1481" s="119"/>
    </row>
    <row r="1482" spans="1:32" ht="12" hidden="1" customHeight="1">
      <c r="A1482" s="148">
        <v>44679</v>
      </c>
      <c r="B1482" s="152" t="s">
        <v>65</v>
      </c>
      <c r="C1482" s="152" t="str">
        <f t="shared" ca="1" si="874"/>
        <v>Stocks</v>
      </c>
      <c r="D1482" s="152" t="str">
        <f ca="1">IFERROR(__xludf.DUMMYFUNCTION("split(B1482,"" "")"),"HINDALCO")</f>
        <v>HINDALCO</v>
      </c>
      <c r="E1482" s="152" t="str">
        <f ca="1">IFERROR(__xludf.DUMMYFUNCTION("""COMPUTED_VALUE"""),"MAY")</f>
        <v>MAY</v>
      </c>
      <c r="F1482" s="152">
        <f ca="1">IFERROR(__xludf.DUMMYFUNCTION("""COMPUTED_VALUE"""),510)</f>
        <v>510</v>
      </c>
      <c r="G1482" s="152" t="str">
        <f ca="1">IFERROR(__xludf.DUMMYFUNCTION("""COMPUTED_VALUE"""),"CE")</f>
        <v>CE</v>
      </c>
      <c r="H1482" s="211">
        <v>1075</v>
      </c>
      <c r="I1482" s="212">
        <v>1</v>
      </c>
      <c r="J1482" s="212">
        <v>1</v>
      </c>
      <c r="K1482" s="213">
        <f t="shared" si="875"/>
        <v>1075</v>
      </c>
      <c r="L1482" s="214">
        <v>10</v>
      </c>
      <c r="M1482" s="215">
        <v>0</v>
      </c>
      <c r="N1482" s="216">
        <f t="shared" si="876"/>
        <v>10750</v>
      </c>
      <c r="O1482" s="216">
        <f t="shared" si="877"/>
        <v>0</v>
      </c>
      <c r="P1482" s="217">
        <f t="shared" si="878"/>
        <v>10750</v>
      </c>
      <c r="Q1482" s="217">
        <f t="shared" si="879"/>
        <v>-10750</v>
      </c>
      <c r="R1482" s="217">
        <f t="shared" si="891"/>
        <v>20</v>
      </c>
      <c r="S1482" s="217">
        <f t="shared" si="881"/>
        <v>4.63</v>
      </c>
      <c r="T1482" s="217">
        <f t="shared" si="882"/>
        <v>0</v>
      </c>
      <c r="U1482" s="217">
        <f t="shared" si="883"/>
        <v>0.32</v>
      </c>
      <c r="V1482" s="217">
        <f t="shared" si="884"/>
        <v>5.7</v>
      </c>
      <c r="W1482" s="217">
        <f t="shared" si="885"/>
        <v>0.01</v>
      </c>
      <c r="X1482" s="217">
        <f t="shared" si="886"/>
        <v>30.66</v>
      </c>
      <c r="Y1482" s="218">
        <f t="shared" si="887"/>
        <v>-10780.66</v>
      </c>
      <c r="Z1482" s="219">
        <v>-10780.34</v>
      </c>
      <c r="AA1482" s="220">
        <f t="shared" si="888"/>
        <v>0.31999999999970896</v>
      </c>
      <c r="AB1482" s="221">
        <f t="shared" si="889"/>
        <v>-1</v>
      </c>
      <c r="AC1482" s="222">
        <f t="shared" si="890"/>
        <v>2.8519999999999999E-3</v>
      </c>
      <c r="AD1482" s="217"/>
      <c r="AE1482" s="223" t="s">
        <v>403</v>
      </c>
      <c r="AF1482" s="119"/>
    </row>
    <row r="1483" spans="1:32" ht="12" hidden="1" customHeight="1">
      <c r="A1483" s="150">
        <v>44680</v>
      </c>
      <c r="B1483" s="152" t="s">
        <v>65</v>
      </c>
      <c r="C1483" s="152" t="str">
        <f t="shared" ca="1" si="874"/>
        <v>Stocks</v>
      </c>
      <c r="D1483" s="152" t="str">
        <f ca="1">IFERROR(__xludf.DUMMYFUNCTION("split(B1483,"" "")"),"HINDALCO")</f>
        <v>HINDALCO</v>
      </c>
      <c r="E1483" s="152" t="str">
        <f ca="1">IFERROR(__xludf.DUMMYFUNCTION("""COMPUTED_VALUE"""),"MAY")</f>
        <v>MAY</v>
      </c>
      <c r="F1483" s="152">
        <f ca="1">IFERROR(__xludf.DUMMYFUNCTION("""COMPUTED_VALUE"""),510)</f>
        <v>510</v>
      </c>
      <c r="G1483" s="152" t="str">
        <f ca="1">IFERROR(__xludf.DUMMYFUNCTION("""COMPUTED_VALUE"""),"CE")</f>
        <v>CE</v>
      </c>
      <c r="H1483" s="211">
        <v>1075</v>
      </c>
      <c r="I1483" s="212">
        <v>1</v>
      </c>
      <c r="J1483" s="212">
        <v>1</v>
      </c>
      <c r="K1483" s="213">
        <f t="shared" si="875"/>
        <v>1075</v>
      </c>
      <c r="L1483" s="214">
        <v>0</v>
      </c>
      <c r="M1483" s="215">
        <v>11</v>
      </c>
      <c r="N1483" s="216">
        <f t="shared" si="876"/>
        <v>0</v>
      </c>
      <c r="O1483" s="216">
        <f t="shared" si="877"/>
        <v>11825</v>
      </c>
      <c r="P1483" s="217">
        <f t="shared" si="878"/>
        <v>11825</v>
      </c>
      <c r="Q1483" s="217">
        <f t="shared" si="879"/>
        <v>11825</v>
      </c>
      <c r="R1483" s="217">
        <f t="shared" si="891"/>
        <v>20</v>
      </c>
      <c r="S1483" s="217">
        <f t="shared" si="881"/>
        <v>4.7300000000000004</v>
      </c>
      <c r="T1483" s="217">
        <f t="shared" si="882"/>
        <v>5.91</v>
      </c>
      <c r="U1483" s="217">
        <f t="shared" si="883"/>
        <v>0</v>
      </c>
      <c r="V1483" s="217">
        <f t="shared" si="884"/>
        <v>6.27</v>
      </c>
      <c r="W1483" s="217">
        <f t="shared" si="885"/>
        <v>0.01</v>
      </c>
      <c r="X1483" s="217">
        <f t="shared" si="886"/>
        <v>36.919999999999995</v>
      </c>
      <c r="Y1483" s="218">
        <f t="shared" si="887"/>
        <v>11788.08</v>
      </c>
      <c r="Z1483" s="219">
        <v>11788.05</v>
      </c>
      <c r="AA1483" s="220">
        <f t="shared" si="888"/>
        <v>-3.0000000000654836E-2</v>
      </c>
      <c r="AB1483" s="221">
        <f t="shared" si="889"/>
        <v>0</v>
      </c>
      <c r="AC1483" s="222">
        <f t="shared" si="890"/>
        <v>3.1220000000000002E-3</v>
      </c>
      <c r="AD1483" s="217"/>
      <c r="AE1483" s="223" t="s">
        <v>403</v>
      </c>
      <c r="AF1483" s="119"/>
    </row>
    <row r="1484" spans="1:32" ht="12" hidden="1" customHeight="1">
      <c r="A1484" s="148">
        <v>44680</v>
      </c>
      <c r="B1484" s="152" t="s">
        <v>65</v>
      </c>
      <c r="C1484" s="152" t="str">
        <f t="shared" ca="1" si="874"/>
        <v>Stocks</v>
      </c>
      <c r="D1484" s="152" t="str">
        <f ca="1">IFERROR(__xludf.DUMMYFUNCTION("split(B1484,"" "")"),"HINDALCO")</f>
        <v>HINDALCO</v>
      </c>
      <c r="E1484" s="152" t="str">
        <f ca="1">IFERROR(__xludf.DUMMYFUNCTION("""COMPUTED_VALUE"""),"MAY")</f>
        <v>MAY</v>
      </c>
      <c r="F1484" s="152">
        <f ca="1">IFERROR(__xludf.DUMMYFUNCTION("""COMPUTED_VALUE"""),510)</f>
        <v>510</v>
      </c>
      <c r="G1484" s="152" t="str">
        <f ca="1">IFERROR(__xludf.DUMMYFUNCTION("""COMPUTED_VALUE"""),"CE")</f>
        <v>CE</v>
      </c>
      <c r="H1484" s="211">
        <v>1075</v>
      </c>
      <c r="I1484" s="212">
        <v>1</v>
      </c>
      <c r="J1484" s="212">
        <v>1</v>
      </c>
      <c r="K1484" s="213">
        <f t="shared" si="875"/>
        <v>1075</v>
      </c>
      <c r="L1484" s="214">
        <v>9.75</v>
      </c>
      <c r="M1484" s="215">
        <v>0</v>
      </c>
      <c r="N1484" s="216">
        <f t="shared" si="876"/>
        <v>10481.25</v>
      </c>
      <c r="O1484" s="216">
        <f t="shared" si="877"/>
        <v>0</v>
      </c>
      <c r="P1484" s="217">
        <f t="shared" si="878"/>
        <v>10481.25</v>
      </c>
      <c r="Q1484" s="217">
        <f t="shared" si="879"/>
        <v>-10481.25</v>
      </c>
      <c r="R1484" s="217">
        <f t="shared" si="891"/>
        <v>20</v>
      </c>
      <c r="S1484" s="217">
        <f t="shared" si="881"/>
        <v>4.5999999999999996</v>
      </c>
      <c r="T1484" s="217">
        <f t="shared" si="882"/>
        <v>0</v>
      </c>
      <c r="U1484" s="217">
        <f t="shared" si="883"/>
        <v>0.31</v>
      </c>
      <c r="V1484" s="217">
        <f t="shared" si="884"/>
        <v>5.56</v>
      </c>
      <c r="W1484" s="217">
        <f t="shared" si="885"/>
        <v>0.01</v>
      </c>
      <c r="X1484" s="217">
        <f t="shared" si="886"/>
        <v>30.48</v>
      </c>
      <c r="Y1484" s="218">
        <f t="shared" si="887"/>
        <v>-10511.73</v>
      </c>
      <c r="Z1484" s="219">
        <v>-10512</v>
      </c>
      <c r="AA1484" s="220">
        <f t="shared" si="888"/>
        <v>-0.27000000000043656</v>
      </c>
      <c r="AB1484" s="221">
        <f t="shared" si="889"/>
        <v>-1</v>
      </c>
      <c r="AC1484" s="222">
        <f t="shared" si="890"/>
        <v>2.908E-3</v>
      </c>
      <c r="AD1484" s="217"/>
      <c r="AE1484" s="223" t="s">
        <v>403</v>
      </c>
      <c r="AF1484" s="119"/>
    </row>
    <row r="1485" spans="1:32" ht="12" hidden="1" customHeight="1">
      <c r="A1485" s="148">
        <v>44680</v>
      </c>
      <c r="B1485" s="152" t="s">
        <v>65</v>
      </c>
      <c r="C1485" s="152" t="str">
        <f t="shared" ca="1" si="874"/>
        <v>Stocks</v>
      </c>
      <c r="D1485" s="152" t="str">
        <f ca="1">IFERROR(__xludf.DUMMYFUNCTION("split(B1485,"" "")"),"HINDALCO")</f>
        <v>HINDALCO</v>
      </c>
      <c r="E1485" s="152" t="str">
        <f ca="1">IFERROR(__xludf.DUMMYFUNCTION("""COMPUTED_VALUE"""),"MAY")</f>
        <v>MAY</v>
      </c>
      <c r="F1485" s="152">
        <f ca="1">IFERROR(__xludf.DUMMYFUNCTION("""COMPUTED_VALUE"""),510)</f>
        <v>510</v>
      </c>
      <c r="G1485" s="152" t="str">
        <f ca="1">IFERROR(__xludf.DUMMYFUNCTION("""COMPUTED_VALUE"""),"CE")</f>
        <v>CE</v>
      </c>
      <c r="H1485" s="211">
        <v>1075</v>
      </c>
      <c r="I1485" s="212">
        <v>1</v>
      </c>
      <c r="J1485" s="212">
        <v>1</v>
      </c>
      <c r="K1485" s="213">
        <f t="shared" si="875"/>
        <v>1075</v>
      </c>
      <c r="L1485" s="214">
        <v>8.8000000000000007</v>
      </c>
      <c r="M1485" s="215">
        <v>0</v>
      </c>
      <c r="N1485" s="216">
        <f t="shared" si="876"/>
        <v>9460</v>
      </c>
      <c r="O1485" s="216">
        <f t="shared" si="877"/>
        <v>0</v>
      </c>
      <c r="P1485" s="217">
        <f t="shared" si="878"/>
        <v>9460</v>
      </c>
      <c r="Q1485" s="217">
        <f t="shared" si="879"/>
        <v>-9460</v>
      </c>
      <c r="R1485" s="217">
        <f t="shared" si="891"/>
        <v>20</v>
      </c>
      <c r="S1485" s="217">
        <f t="shared" si="881"/>
        <v>4.5</v>
      </c>
      <c r="T1485" s="217">
        <f t="shared" si="882"/>
        <v>0</v>
      </c>
      <c r="U1485" s="217">
        <f t="shared" si="883"/>
        <v>0.28000000000000003</v>
      </c>
      <c r="V1485" s="217">
        <f t="shared" si="884"/>
        <v>5.01</v>
      </c>
      <c r="W1485" s="217">
        <f t="shared" si="885"/>
        <v>0.01</v>
      </c>
      <c r="X1485" s="217">
        <f t="shared" si="886"/>
        <v>29.8</v>
      </c>
      <c r="Y1485" s="218">
        <f t="shared" si="887"/>
        <v>-9489.7999999999993</v>
      </c>
      <c r="Z1485" s="219">
        <v>-9490</v>
      </c>
      <c r="AA1485" s="220">
        <f t="shared" si="888"/>
        <v>-0.2000000000007276</v>
      </c>
      <c r="AB1485" s="221">
        <f t="shared" si="889"/>
        <v>-1</v>
      </c>
      <c r="AC1485" s="222">
        <f t="shared" si="890"/>
        <v>3.15E-3</v>
      </c>
      <c r="AD1485" s="217"/>
      <c r="AE1485" s="223" t="s">
        <v>403</v>
      </c>
      <c r="AF1485" s="119"/>
    </row>
    <row r="1486" spans="1:32" ht="12" hidden="1" customHeight="1">
      <c r="A1486" s="150">
        <v>44683</v>
      </c>
      <c r="B1486" s="152" t="s">
        <v>65</v>
      </c>
      <c r="C1486" s="152" t="str">
        <f t="shared" ca="1" si="874"/>
        <v>Stocks</v>
      </c>
      <c r="D1486" s="152" t="str">
        <f ca="1">IFERROR(__xludf.DUMMYFUNCTION("split(B1486,"" "")"),"HINDALCO")</f>
        <v>HINDALCO</v>
      </c>
      <c r="E1486" s="152" t="str">
        <f ca="1">IFERROR(__xludf.DUMMYFUNCTION("""COMPUTED_VALUE"""),"MAY")</f>
        <v>MAY</v>
      </c>
      <c r="F1486" s="152">
        <f ca="1">IFERROR(__xludf.DUMMYFUNCTION("""COMPUTED_VALUE"""),510)</f>
        <v>510</v>
      </c>
      <c r="G1486" s="152" t="str">
        <f ca="1">IFERROR(__xludf.DUMMYFUNCTION("""COMPUTED_VALUE"""),"CE")</f>
        <v>CE</v>
      </c>
      <c r="H1486" s="211">
        <v>1075</v>
      </c>
      <c r="I1486" s="212">
        <v>2</v>
      </c>
      <c r="J1486" s="212">
        <v>1</v>
      </c>
      <c r="K1486" s="213">
        <f t="shared" si="875"/>
        <v>2150</v>
      </c>
      <c r="L1486" s="214">
        <v>0</v>
      </c>
      <c r="M1486" s="215">
        <v>7.3250000000000002</v>
      </c>
      <c r="N1486" s="216">
        <f t="shared" si="876"/>
        <v>0</v>
      </c>
      <c r="O1486" s="216">
        <f t="shared" si="877"/>
        <v>15748.75</v>
      </c>
      <c r="P1486" s="217">
        <f t="shared" si="878"/>
        <v>15748.75</v>
      </c>
      <c r="Q1486" s="217">
        <f t="shared" si="879"/>
        <v>15748.75</v>
      </c>
      <c r="R1486" s="217">
        <f t="shared" si="891"/>
        <v>20</v>
      </c>
      <c r="S1486" s="217">
        <f t="shared" si="881"/>
        <v>5.0999999999999996</v>
      </c>
      <c r="T1486" s="217">
        <f t="shared" si="882"/>
        <v>7.87</v>
      </c>
      <c r="U1486" s="217">
        <f t="shared" si="883"/>
        <v>0</v>
      </c>
      <c r="V1486" s="217">
        <f t="shared" si="884"/>
        <v>8.35</v>
      </c>
      <c r="W1486" s="217">
        <f t="shared" si="885"/>
        <v>0.02</v>
      </c>
      <c r="X1486" s="217">
        <f t="shared" si="886"/>
        <v>41.34</v>
      </c>
      <c r="Y1486" s="218">
        <f t="shared" si="887"/>
        <v>15707.41</v>
      </c>
      <c r="Z1486" s="219">
        <v>15707.75</v>
      </c>
      <c r="AA1486" s="220">
        <f t="shared" si="888"/>
        <v>0.34000000000014552</v>
      </c>
      <c r="AB1486" s="221">
        <f t="shared" si="889"/>
        <v>0</v>
      </c>
      <c r="AC1486" s="222">
        <f t="shared" si="890"/>
        <v>2.6250000000000002E-3</v>
      </c>
      <c r="AD1486" s="217"/>
      <c r="AE1486" s="223" t="s">
        <v>403</v>
      </c>
      <c r="AF1486" s="119"/>
    </row>
    <row r="1487" spans="1:32" ht="12" hidden="1" customHeight="1">
      <c r="A1487" s="209">
        <v>44683</v>
      </c>
      <c r="B1487" s="152" t="s">
        <v>65</v>
      </c>
      <c r="C1487" s="152" t="str">
        <f t="shared" ca="1" si="874"/>
        <v>Stocks</v>
      </c>
      <c r="D1487" s="152" t="str">
        <f ca="1">IFERROR(__xludf.DUMMYFUNCTION("split(B1487,"" "")"),"HINDALCO")</f>
        <v>HINDALCO</v>
      </c>
      <c r="E1487" s="152" t="str">
        <f ca="1">IFERROR(__xludf.DUMMYFUNCTION("""COMPUTED_VALUE"""),"MAY")</f>
        <v>MAY</v>
      </c>
      <c r="F1487" s="152">
        <f ca="1">IFERROR(__xludf.DUMMYFUNCTION("""COMPUTED_VALUE"""),510)</f>
        <v>510</v>
      </c>
      <c r="G1487" s="152" t="str">
        <f ca="1">IFERROR(__xludf.DUMMYFUNCTION("""COMPUTED_VALUE"""),"CE")</f>
        <v>CE</v>
      </c>
      <c r="H1487" s="211">
        <v>1075</v>
      </c>
      <c r="I1487" s="212">
        <v>1</v>
      </c>
      <c r="J1487" s="212">
        <v>1</v>
      </c>
      <c r="K1487" s="213">
        <f t="shared" si="875"/>
        <v>1075</v>
      </c>
      <c r="L1487" s="214">
        <v>5.65</v>
      </c>
      <c r="M1487" s="215">
        <v>6.65</v>
      </c>
      <c r="N1487" s="216">
        <f t="shared" si="876"/>
        <v>6073.75</v>
      </c>
      <c r="O1487" s="216">
        <f t="shared" si="877"/>
        <v>7148.75</v>
      </c>
      <c r="P1487" s="217">
        <f t="shared" si="878"/>
        <v>13222.5</v>
      </c>
      <c r="Q1487" s="217">
        <f t="shared" si="879"/>
        <v>1075</v>
      </c>
      <c r="R1487" s="217">
        <f t="shared" si="891"/>
        <v>40</v>
      </c>
      <c r="S1487" s="217">
        <f t="shared" si="881"/>
        <v>8.4600000000000009</v>
      </c>
      <c r="T1487" s="217">
        <f t="shared" si="882"/>
        <v>3.57</v>
      </c>
      <c r="U1487" s="217">
        <f t="shared" si="883"/>
        <v>0.18</v>
      </c>
      <c r="V1487" s="217">
        <f t="shared" si="884"/>
        <v>7.01</v>
      </c>
      <c r="W1487" s="217">
        <f t="shared" si="885"/>
        <v>0.01</v>
      </c>
      <c r="X1487" s="217">
        <f t="shared" si="886"/>
        <v>59.23</v>
      </c>
      <c r="Y1487" s="218">
        <f t="shared" si="887"/>
        <v>1015.77</v>
      </c>
      <c r="Z1487" s="219">
        <v>1016</v>
      </c>
      <c r="AA1487" s="220">
        <f t="shared" si="888"/>
        <v>0.23000000000001819</v>
      </c>
      <c r="AB1487" s="221">
        <f t="shared" si="889"/>
        <v>0.17699115044247787</v>
      </c>
      <c r="AC1487" s="222">
        <f t="shared" si="890"/>
        <v>4.4790000000000003E-3</v>
      </c>
      <c r="AD1487" s="217"/>
      <c r="AE1487" s="223" t="s">
        <v>403</v>
      </c>
      <c r="AF1487" s="119"/>
    </row>
    <row r="1488" spans="1:32" ht="12" hidden="1" customHeight="1">
      <c r="A1488" s="148">
        <v>44685</v>
      </c>
      <c r="B1488" s="152" t="s">
        <v>65</v>
      </c>
      <c r="C1488" s="152" t="str">
        <f t="shared" ca="1" si="874"/>
        <v>Stocks</v>
      </c>
      <c r="D1488" s="152" t="str">
        <f ca="1">IFERROR(__xludf.DUMMYFUNCTION("split(B1488,"" "")"),"HINDALCO")</f>
        <v>HINDALCO</v>
      </c>
      <c r="E1488" s="152" t="str">
        <f ca="1">IFERROR(__xludf.DUMMYFUNCTION("""COMPUTED_VALUE"""),"MAY")</f>
        <v>MAY</v>
      </c>
      <c r="F1488" s="152">
        <f ca="1">IFERROR(__xludf.DUMMYFUNCTION("""COMPUTED_VALUE"""),510)</f>
        <v>510</v>
      </c>
      <c r="G1488" s="152" t="str">
        <f ca="1">IFERROR(__xludf.DUMMYFUNCTION("""COMPUTED_VALUE"""),"CE")</f>
        <v>CE</v>
      </c>
      <c r="H1488" s="211">
        <v>1075</v>
      </c>
      <c r="I1488" s="212">
        <v>1</v>
      </c>
      <c r="J1488" s="212">
        <v>1</v>
      </c>
      <c r="K1488" s="213">
        <f t="shared" si="875"/>
        <v>1075</v>
      </c>
      <c r="L1488" s="214">
        <v>6.6</v>
      </c>
      <c r="M1488" s="215">
        <v>0</v>
      </c>
      <c r="N1488" s="216">
        <f t="shared" si="876"/>
        <v>7095</v>
      </c>
      <c r="O1488" s="216">
        <f t="shared" si="877"/>
        <v>0</v>
      </c>
      <c r="P1488" s="217">
        <f t="shared" si="878"/>
        <v>7095</v>
      </c>
      <c r="Q1488" s="217">
        <f t="shared" si="879"/>
        <v>-7095</v>
      </c>
      <c r="R1488" s="217">
        <f t="shared" si="891"/>
        <v>20</v>
      </c>
      <c r="S1488" s="217">
        <f t="shared" si="881"/>
        <v>4.28</v>
      </c>
      <c r="T1488" s="217">
        <f t="shared" si="882"/>
        <v>0</v>
      </c>
      <c r="U1488" s="217">
        <f t="shared" si="883"/>
        <v>0.21</v>
      </c>
      <c r="V1488" s="217">
        <f t="shared" si="884"/>
        <v>3.76</v>
      </c>
      <c r="W1488" s="217">
        <f t="shared" si="885"/>
        <v>0.01</v>
      </c>
      <c r="X1488" s="217">
        <f t="shared" si="886"/>
        <v>28.26</v>
      </c>
      <c r="Y1488" s="218">
        <f t="shared" si="887"/>
        <v>-7123.26</v>
      </c>
      <c r="Z1488" s="219">
        <v>-7123.05</v>
      </c>
      <c r="AA1488" s="220">
        <f t="shared" si="888"/>
        <v>0.21000000000003638</v>
      </c>
      <c r="AB1488" s="221">
        <f t="shared" si="889"/>
        <v>-1</v>
      </c>
      <c r="AC1488" s="222">
        <f t="shared" si="890"/>
        <v>3.9830000000000004E-3</v>
      </c>
      <c r="AD1488" s="217"/>
      <c r="AE1488" s="223" t="s">
        <v>403</v>
      </c>
      <c r="AF1488" s="119"/>
    </row>
    <row r="1489" spans="1:32" ht="12" hidden="1" customHeight="1">
      <c r="A1489" s="150">
        <v>44698</v>
      </c>
      <c r="B1489" s="152" t="s">
        <v>65</v>
      </c>
      <c r="C1489" s="152" t="str">
        <f t="shared" ca="1" si="874"/>
        <v>Stocks</v>
      </c>
      <c r="D1489" s="152" t="str">
        <f ca="1">IFERROR(__xludf.DUMMYFUNCTION("split(B1489,"" "")"),"HINDALCO")</f>
        <v>HINDALCO</v>
      </c>
      <c r="E1489" s="152" t="str">
        <f ca="1">IFERROR(__xludf.DUMMYFUNCTION("""COMPUTED_VALUE"""),"MAY")</f>
        <v>MAY</v>
      </c>
      <c r="F1489" s="152">
        <f ca="1">IFERROR(__xludf.DUMMYFUNCTION("""COMPUTED_VALUE"""),510)</f>
        <v>510</v>
      </c>
      <c r="G1489" s="152" t="str">
        <f ca="1">IFERROR(__xludf.DUMMYFUNCTION("""COMPUTED_VALUE"""),"CE")</f>
        <v>CE</v>
      </c>
      <c r="H1489" s="211">
        <v>1075</v>
      </c>
      <c r="I1489" s="212">
        <v>1</v>
      </c>
      <c r="J1489" s="212">
        <v>1</v>
      </c>
      <c r="K1489" s="213">
        <f t="shared" si="875"/>
        <v>1075</v>
      </c>
      <c r="L1489" s="214">
        <v>0</v>
      </c>
      <c r="M1489" s="215">
        <v>0.5</v>
      </c>
      <c r="N1489" s="216">
        <f t="shared" si="876"/>
        <v>0</v>
      </c>
      <c r="O1489" s="216">
        <f t="shared" si="877"/>
        <v>537.5</v>
      </c>
      <c r="P1489" s="217">
        <f t="shared" si="878"/>
        <v>537.5</v>
      </c>
      <c r="Q1489" s="217">
        <f t="shared" si="879"/>
        <v>537.5</v>
      </c>
      <c r="R1489" s="217">
        <f t="shared" si="891"/>
        <v>20</v>
      </c>
      <c r="S1489" s="217">
        <f t="shared" si="881"/>
        <v>3.65</v>
      </c>
      <c r="T1489" s="217">
        <f t="shared" si="882"/>
        <v>0.27</v>
      </c>
      <c r="U1489" s="217">
        <f t="shared" si="883"/>
        <v>0</v>
      </c>
      <c r="V1489" s="217">
        <f t="shared" si="884"/>
        <v>0.28000000000000003</v>
      </c>
      <c r="W1489" s="217">
        <f t="shared" si="885"/>
        <v>0</v>
      </c>
      <c r="X1489" s="217">
        <f t="shared" si="886"/>
        <v>24.2</v>
      </c>
      <c r="Y1489" s="218">
        <f t="shared" si="887"/>
        <v>513.29999999999995</v>
      </c>
      <c r="Z1489" s="219">
        <v>513</v>
      </c>
      <c r="AA1489" s="220">
        <f t="shared" si="888"/>
        <v>-0.29999999999995453</v>
      </c>
      <c r="AB1489" s="221">
        <f t="shared" si="889"/>
        <v>0</v>
      </c>
      <c r="AC1489" s="222">
        <f t="shared" si="890"/>
        <v>4.5023000000000001E-2</v>
      </c>
      <c r="AD1489" s="217"/>
      <c r="AE1489" s="223" t="s">
        <v>403</v>
      </c>
      <c r="AF1489" s="119"/>
    </row>
    <row r="1490" spans="1:32" ht="12" hidden="1" customHeight="1">
      <c r="A1490" s="209">
        <v>44686</v>
      </c>
      <c r="B1490" s="152" t="s">
        <v>740</v>
      </c>
      <c r="C1490" s="152" t="str">
        <f t="shared" ca="1" si="874"/>
        <v>Stocks</v>
      </c>
      <c r="D1490" s="152" t="str">
        <f ca="1">IFERROR(__xludf.DUMMYFUNCTION("split(B1490,"" "")"),"ONGC")</f>
        <v>ONGC</v>
      </c>
      <c r="E1490" s="152" t="str">
        <f ca="1">IFERROR(__xludf.DUMMYFUNCTION("""COMPUTED_VALUE"""),"MAY")</f>
        <v>MAY</v>
      </c>
      <c r="F1490" s="152">
        <f ca="1">IFERROR(__xludf.DUMMYFUNCTION("""COMPUTED_VALUE"""),167.5)</f>
        <v>167.5</v>
      </c>
      <c r="G1490" s="152" t="str">
        <f ca="1">IFERROR(__xludf.DUMMYFUNCTION("""COMPUTED_VALUE"""),"CE")</f>
        <v>CE</v>
      </c>
      <c r="H1490" s="211">
        <v>3850</v>
      </c>
      <c r="I1490" s="212">
        <v>1</v>
      </c>
      <c r="J1490" s="212">
        <v>1</v>
      </c>
      <c r="K1490" s="213">
        <f t="shared" si="875"/>
        <v>3850</v>
      </c>
      <c r="L1490" s="214">
        <v>5.25</v>
      </c>
      <c r="M1490" s="215">
        <v>4</v>
      </c>
      <c r="N1490" s="216">
        <f t="shared" si="876"/>
        <v>20212.5</v>
      </c>
      <c r="O1490" s="216">
        <f t="shared" si="877"/>
        <v>15400</v>
      </c>
      <c r="P1490" s="217">
        <f t="shared" si="878"/>
        <v>35612.5</v>
      </c>
      <c r="Q1490" s="217">
        <f t="shared" si="879"/>
        <v>-4812.5</v>
      </c>
      <c r="R1490" s="217">
        <f t="shared" si="891"/>
        <v>40</v>
      </c>
      <c r="S1490" s="217">
        <f t="shared" si="881"/>
        <v>10.6</v>
      </c>
      <c r="T1490" s="217">
        <f t="shared" si="882"/>
        <v>7.7</v>
      </c>
      <c r="U1490" s="217">
        <f t="shared" si="883"/>
        <v>0.61</v>
      </c>
      <c r="V1490" s="217">
        <f t="shared" si="884"/>
        <v>18.87</v>
      </c>
      <c r="W1490" s="217">
        <f t="shared" si="885"/>
        <v>0.04</v>
      </c>
      <c r="X1490" s="217">
        <f t="shared" si="886"/>
        <v>77.820000000000007</v>
      </c>
      <c r="Y1490" s="218">
        <f t="shared" si="887"/>
        <v>-4890.32</v>
      </c>
      <c r="Z1490" s="219">
        <v>-4891.01</v>
      </c>
      <c r="AA1490" s="220">
        <f t="shared" si="888"/>
        <v>-0.69000000000050932</v>
      </c>
      <c r="AB1490" s="221">
        <f t="shared" si="889"/>
        <v>-0.23809523809523808</v>
      </c>
      <c r="AC1490" s="222">
        <f t="shared" si="890"/>
        <v>2.1849999999999999E-3</v>
      </c>
      <c r="AD1490" s="217"/>
      <c r="AE1490" s="223" t="s">
        <v>403</v>
      </c>
      <c r="AF1490" s="119"/>
    </row>
    <row r="1491" spans="1:32" ht="12" hidden="1" customHeight="1">
      <c r="A1491" s="209">
        <v>44687</v>
      </c>
      <c r="B1491" s="152" t="s">
        <v>740</v>
      </c>
      <c r="C1491" s="152" t="str">
        <f t="shared" ca="1" si="874"/>
        <v>Stocks</v>
      </c>
      <c r="D1491" s="152" t="str">
        <f ca="1">IFERROR(__xludf.DUMMYFUNCTION("split(B1491,"" "")"),"ONGC")</f>
        <v>ONGC</v>
      </c>
      <c r="E1491" s="152" t="str">
        <f ca="1">IFERROR(__xludf.DUMMYFUNCTION("""COMPUTED_VALUE"""),"MAY")</f>
        <v>MAY</v>
      </c>
      <c r="F1491" s="152">
        <f ca="1">IFERROR(__xludf.DUMMYFUNCTION("""COMPUTED_VALUE"""),167.5)</f>
        <v>167.5</v>
      </c>
      <c r="G1491" s="152" t="str">
        <f ca="1">IFERROR(__xludf.DUMMYFUNCTION("""COMPUTED_VALUE"""),"CE")</f>
        <v>CE</v>
      </c>
      <c r="H1491" s="211">
        <v>3850</v>
      </c>
      <c r="I1491" s="212">
        <v>1</v>
      </c>
      <c r="J1491" s="212">
        <v>1</v>
      </c>
      <c r="K1491" s="213">
        <f t="shared" si="875"/>
        <v>3850</v>
      </c>
      <c r="L1491" s="214">
        <v>3.25</v>
      </c>
      <c r="M1491" s="215">
        <v>3.65</v>
      </c>
      <c r="N1491" s="216">
        <f t="shared" si="876"/>
        <v>12512.5</v>
      </c>
      <c r="O1491" s="216">
        <f t="shared" si="877"/>
        <v>14052.5</v>
      </c>
      <c r="P1491" s="217">
        <f t="shared" si="878"/>
        <v>26565</v>
      </c>
      <c r="Q1491" s="217">
        <f t="shared" si="879"/>
        <v>1539.9999999999995</v>
      </c>
      <c r="R1491" s="217">
        <f t="shared" si="891"/>
        <v>40</v>
      </c>
      <c r="S1491" s="217">
        <f t="shared" si="881"/>
        <v>9.73</v>
      </c>
      <c r="T1491" s="217">
        <f t="shared" si="882"/>
        <v>7.03</v>
      </c>
      <c r="U1491" s="217">
        <f t="shared" si="883"/>
        <v>0.38</v>
      </c>
      <c r="V1491" s="217">
        <f t="shared" si="884"/>
        <v>14.08</v>
      </c>
      <c r="W1491" s="217">
        <f t="shared" si="885"/>
        <v>0.03</v>
      </c>
      <c r="X1491" s="217">
        <f t="shared" si="886"/>
        <v>71.250000000000014</v>
      </c>
      <c r="Y1491" s="218">
        <f t="shared" si="887"/>
        <v>1468.75</v>
      </c>
      <c r="Z1491" s="219">
        <v>1468.84</v>
      </c>
      <c r="AA1491" s="220">
        <f t="shared" si="888"/>
        <v>8.9999999999918145E-2</v>
      </c>
      <c r="AB1491" s="221">
        <f t="shared" si="889"/>
        <v>0.12307692307692306</v>
      </c>
      <c r="AC1491" s="222">
        <f t="shared" si="890"/>
        <v>2.6819999999999999E-3</v>
      </c>
      <c r="AD1491" s="217"/>
      <c r="AE1491" s="223" t="s">
        <v>403</v>
      </c>
      <c r="AF1491" s="119"/>
    </row>
    <row r="1492" spans="1:32" ht="12" hidden="1" customHeight="1">
      <c r="A1492" s="148">
        <v>44687</v>
      </c>
      <c r="B1492" s="152" t="s">
        <v>741</v>
      </c>
      <c r="C1492" s="152" t="str">
        <f t="shared" ca="1" si="874"/>
        <v>Stocks</v>
      </c>
      <c r="D1492" s="152" t="str">
        <f ca="1">IFERROR(__xludf.DUMMYFUNCTION("split(B1492,"" "")"),"ITC")</f>
        <v>ITC</v>
      </c>
      <c r="E1492" s="152" t="str">
        <f ca="1">IFERROR(__xludf.DUMMYFUNCTION("""COMPUTED_VALUE"""),"MAY")</f>
        <v>MAY</v>
      </c>
      <c r="F1492" s="152">
        <f ca="1">IFERROR(__xludf.DUMMYFUNCTION("""COMPUTED_VALUE"""),270)</f>
        <v>270</v>
      </c>
      <c r="G1492" s="152" t="str">
        <f ca="1">IFERROR(__xludf.DUMMYFUNCTION("""COMPUTED_VALUE"""),"CE")</f>
        <v>CE</v>
      </c>
      <c r="H1492" s="211">
        <v>3200</v>
      </c>
      <c r="I1492" s="212">
        <v>1</v>
      </c>
      <c r="J1492" s="212">
        <v>1</v>
      </c>
      <c r="K1492" s="213">
        <f t="shared" si="875"/>
        <v>3200</v>
      </c>
      <c r="L1492" s="214">
        <v>4.8499999999999996</v>
      </c>
      <c r="M1492" s="215">
        <v>0</v>
      </c>
      <c r="N1492" s="216">
        <f t="shared" si="876"/>
        <v>15520</v>
      </c>
      <c r="O1492" s="216">
        <f t="shared" si="877"/>
        <v>0</v>
      </c>
      <c r="P1492" s="217">
        <f t="shared" si="878"/>
        <v>15520</v>
      </c>
      <c r="Q1492" s="217">
        <f t="shared" si="879"/>
        <v>-15519.999999999998</v>
      </c>
      <c r="R1492" s="217">
        <f t="shared" si="891"/>
        <v>20</v>
      </c>
      <c r="S1492" s="217">
        <f t="shared" si="881"/>
        <v>5.08</v>
      </c>
      <c r="T1492" s="217">
        <f t="shared" si="882"/>
        <v>0</v>
      </c>
      <c r="U1492" s="217">
        <f t="shared" si="883"/>
        <v>0.47</v>
      </c>
      <c r="V1492" s="217">
        <f t="shared" si="884"/>
        <v>8.23</v>
      </c>
      <c r="W1492" s="217">
        <f t="shared" si="885"/>
        <v>0.02</v>
      </c>
      <c r="X1492" s="217">
        <f t="shared" si="886"/>
        <v>33.800000000000004</v>
      </c>
      <c r="Y1492" s="218">
        <f t="shared" si="887"/>
        <v>-15553.8</v>
      </c>
      <c r="Z1492" s="219">
        <v>-15554</v>
      </c>
      <c r="AA1492" s="220">
        <f t="shared" si="888"/>
        <v>-0.2000000000007276</v>
      </c>
      <c r="AB1492" s="221">
        <f t="shared" si="889"/>
        <v>-1</v>
      </c>
      <c r="AC1492" s="222">
        <f t="shared" si="890"/>
        <v>2.1779999999999998E-3</v>
      </c>
      <c r="AD1492" s="217"/>
      <c r="AE1492" s="223" t="s">
        <v>403</v>
      </c>
      <c r="AF1492" s="119"/>
    </row>
    <row r="1493" spans="1:32" ht="12" hidden="1" customHeight="1">
      <c r="A1493" s="150">
        <v>44698</v>
      </c>
      <c r="B1493" s="152" t="s">
        <v>741</v>
      </c>
      <c r="C1493" s="152" t="str">
        <f t="shared" ca="1" si="874"/>
        <v>Stocks</v>
      </c>
      <c r="D1493" s="152" t="str">
        <f ca="1">IFERROR(__xludf.DUMMYFUNCTION("split(B1493,"" "")"),"ITC")</f>
        <v>ITC</v>
      </c>
      <c r="E1493" s="152" t="str">
        <f ca="1">IFERROR(__xludf.DUMMYFUNCTION("""COMPUTED_VALUE"""),"MAY")</f>
        <v>MAY</v>
      </c>
      <c r="F1493" s="152">
        <f ca="1">IFERROR(__xludf.DUMMYFUNCTION("""COMPUTED_VALUE"""),270)</f>
        <v>270</v>
      </c>
      <c r="G1493" s="152" t="str">
        <f ca="1">IFERROR(__xludf.DUMMYFUNCTION("""COMPUTED_VALUE"""),"CE")</f>
        <v>CE</v>
      </c>
      <c r="H1493" s="211">
        <v>3200</v>
      </c>
      <c r="I1493" s="212">
        <v>1</v>
      </c>
      <c r="J1493" s="212">
        <v>1</v>
      </c>
      <c r="K1493" s="213">
        <f t="shared" si="875"/>
        <v>3200</v>
      </c>
      <c r="L1493" s="214">
        <v>0</v>
      </c>
      <c r="M1493" s="215">
        <v>1.1000000000000001</v>
      </c>
      <c r="N1493" s="216">
        <f t="shared" si="876"/>
        <v>0</v>
      </c>
      <c r="O1493" s="216">
        <f t="shared" si="877"/>
        <v>3520</v>
      </c>
      <c r="P1493" s="217">
        <f t="shared" si="878"/>
        <v>3520</v>
      </c>
      <c r="Q1493" s="217">
        <f t="shared" si="879"/>
        <v>3520.0000000000005</v>
      </c>
      <c r="R1493" s="217">
        <f t="shared" si="891"/>
        <v>20</v>
      </c>
      <c r="S1493" s="217">
        <f t="shared" si="881"/>
        <v>3.94</v>
      </c>
      <c r="T1493" s="217">
        <f t="shared" si="882"/>
        <v>1.76</v>
      </c>
      <c r="U1493" s="217">
        <f t="shared" si="883"/>
        <v>0</v>
      </c>
      <c r="V1493" s="217">
        <f t="shared" si="884"/>
        <v>1.87</v>
      </c>
      <c r="W1493" s="217">
        <f t="shared" si="885"/>
        <v>0</v>
      </c>
      <c r="X1493" s="217">
        <f t="shared" si="886"/>
        <v>27.570000000000004</v>
      </c>
      <c r="Y1493" s="218">
        <f t="shared" si="887"/>
        <v>3492.43</v>
      </c>
      <c r="Z1493" s="219">
        <v>3492</v>
      </c>
      <c r="AA1493" s="220">
        <f t="shared" si="888"/>
        <v>-0.42999999999983629</v>
      </c>
      <c r="AB1493" s="221">
        <f t="shared" si="889"/>
        <v>0</v>
      </c>
      <c r="AC1493" s="222">
        <f t="shared" si="890"/>
        <v>7.8320000000000004E-3</v>
      </c>
      <c r="AD1493" s="217"/>
      <c r="AE1493" s="223" t="s">
        <v>403</v>
      </c>
      <c r="AF1493" s="119"/>
    </row>
    <row r="1494" spans="1:32" ht="12" hidden="1" customHeight="1">
      <c r="A1494" s="148">
        <v>44691</v>
      </c>
      <c r="B1494" s="152" t="s">
        <v>742</v>
      </c>
      <c r="C1494" s="152" t="str">
        <f t="shared" ca="1" si="874"/>
        <v>Stocks</v>
      </c>
      <c r="D1494" s="152" t="str">
        <f ca="1">IFERROR(__xludf.DUMMYFUNCTION("split(B1494,"" "")"),"NTPC")</f>
        <v>NTPC</v>
      </c>
      <c r="E1494" s="152" t="str">
        <f ca="1">IFERROR(__xludf.DUMMYFUNCTION("""COMPUTED_VALUE"""),"MAY")</f>
        <v>MAY</v>
      </c>
      <c r="F1494" s="152">
        <f ca="1">IFERROR(__xludf.DUMMYFUNCTION("""COMPUTED_VALUE"""),160)</f>
        <v>160</v>
      </c>
      <c r="G1494" s="152" t="str">
        <f ca="1">IFERROR(__xludf.DUMMYFUNCTION("""COMPUTED_VALUE"""),"CE")</f>
        <v>CE</v>
      </c>
      <c r="H1494" s="211">
        <v>5700</v>
      </c>
      <c r="I1494" s="212">
        <v>1</v>
      </c>
      <c r="J1494" s="212">
        <v>1</v>
      </c>
      <c r="K1494" s="213">
        <f t="shared" si="875"/>
        <v>5700</v>
      </c>
      <c r="L1494" s="214">
        <v>4</v>
      </c>
      <c r="M1494" s="215">
        <v>0</v>
      </c>
      <c r="N1494" s="216">
        <f t="shared" si="876"/>
        <v>22800</v>
      </c>
      <c r="O1494" s="216">
        <f t="shared" si="877"/>
        <v>0</v>
      </c>
      <c r="P1494" s="217">
        <f t="shared" si="878"/>
        <v>22800</v>
      </c>
      <c r="Q1494" s="217">
        <f t="shared" si="879"/>
        <v>-22800</v>
      </c>
      <c r="R1494" s="217">
        <f t="shared" si="891"/>
        <v>20</v>
      </c>
      <c r="S1494" s="217">
        <f t="shared" si="881"/>
        <v>5.77</v>
      </c>
      <c r="T1494" s="217">
        <f t="shared" si="882"/>
        <v>0</v>
      </c>
      <c r="U1494" s="217">
        <f t="shared" si="883"/>
        <v>0.68</v>
      </c>
      <c r="V1494" s="217">
        <f t="shared" si="884"/>
        <v>12.08</v>
      </c>
      <c r="W1494" s="217">
        <f t="shared" si="885"/>
        <v>0.02</v>
      </c>
      <c r="X1494" s="217">
        <f t="shared" si="886"/>
        <v>38.550000000000004</v>
      </c>
      <c r="Y1494" s="218">
        <f t="shared" si="887"/>
        <v>-22838.55</v>
      </c>
      <c r="Z1494" s="219">
        <v>-22838.880000000001</v>
      </c>
      <c r="AA1494" s="220">
        <f t="shared" si="888"/>
        <v>-0.33000000000174623</v>
      </c>
      <c r="AB1494" s="221">
        <f t="shared" si="889"/>
        <v>-1</v>
      </c>
      <c r="AC1494" s="222">
        <f t="shared" si="890"/>
        <v>1.691E-3</v>
      </c>
      <c r="AD1494" s="217"/>
      <c r="AE1494" s="223" t="s">
        <v>403</v>
      </c>
      <c r="AF1494" s="119"/>
    </row>
    <row r="1495" spans="1:32" ht="12" hidden="1" customHeight="1">
      <c r="A1495" s="150">
        <v>44698</v>
      </c>
      <c r="B1495" s="152" t="s">
        <v>742</v>
      </c>
      <c r="C1495" s="152" t="str">
        <f t="shared" ca="1" si="874"/>
        <v>Stocks</v>
      </c>
      <c r="D1495" s="152" t="str">
        <f ca="1">IFERROR(__xludf.DUMMYFUNCTION("split(B1495,"" "")"),"NTPC")</f>
        <v>NTPC</v>
      </c>
      <c r="E1495" s="152" t="str">
        <f ca="1">IFERROR(__xludf.DUMMYFUNCTION("""COMPUTED_VALUE"""),"MAY")</f>
        <v>MAY</v>
      </c>
      <c r="F1495" s="152">
        <f ca="1">IFERROR(__xludf.DUMMYFUNCTION("""COMPUTED_VALUE"""),160)</f>
        <v>160</v>
      </c>
      <c r="G1495" s="152" t="str">
        <f ca="1">IFERROR(__xludf.DUMMYFUNCTION("""COMPUTED_VALUE"""),"CE")</f>
        <v>CE</v>
      </c>
      <c r="H1495" s="211">
        <v>5700</v>
      </c>
      <c r="I1495" s="212">
        <v>1</v>
      </c>
      <c r="J1495" s="212">
        <v>1</v>
      </c>
      <c r="K1495" s="213">
        <f t="shared" si="875"/>
        <v>5700</v>
      </c>
      <c r="L1495" s="214">
        <v>0</v>
      </c>
      <c r="M1495" s="215">
        <v>0.45</v>
      </c>
      <c r="N1495" s="216">
        <f t="shared" si="876"/>
        <v>0</v>
      </c>
      <c r="O1495" s="216">
        <f t="shared" si="877"/>
        <v>2565</v>
      </c>
      <c r="P1495" s="217">
        <f t="shared" si="878"/>
        <v>2565</v>
      </c>
      <c r="Q1495" s="217">
        <f t="shared" si="879"/>
        <v>2565</v>
      </c>
      <c r="R1495" s="217">
        <f t="shared" si="891"/>
        <v>20</v>
      </c>
      <c r="S1495" s="217">
        <f t="shared" si="881"/>
        <v>3.84</v>
      </c>
      <c r="T1495" s="217">
        <f t="shared" si="882"/>
        <v>1.28</v>
      </c>
      <c r="U1495" s="217">
        <f t="shared" si="883"/>
        <v>0</v>
      </c>
      <c r="V1495" s="217">
        <f t="shared" si="884"/>
        <v>1.36</v>
      </c>
      <c r="W1495" s="217">
        <f t="shared" si="885"/>
        <v>0</v>
      </c>
      <c r="X1495" s="217">
        <f t="shared" si="886"/>
        <v>26.48</v>
      </c>
      <c r="Y1495" s="218">
        <f t="shared" si="887"/>
        <v>2538.52</v>
      </c>
      <c r="Z1495" s="219">
        <v>2538.64</v>
      </c>
      <c r="AA1495" s="220">
        <f t="shared" si="888"/>
        <v>0.11999999999989086</v>
      </c>
      <c r="AB1495" s="221">
        <f t="shared" si="889"/>
        <v>0</v>
      </c>
      <c r="AC1495" s="222">
        <f t="shared" si="890"/>
        <v>1.0324E-2</v>
      </c>
      <c r="AD1495" s="217"/>
      <c r="AE1495" s="223" t="s">
        <v>403</v>
      </c>
      <c r="AF1495" s="119"/>
    </row>
    <row r="1496" spans="1:32" ht="12" hidden="1" customHeight="1">
      <c r="A1496" s="148">
        <v>44694</v>
      </c>
      <c r="B1496" s="152" t="s">
        <v>743</v>
      </c>
      <c r="C1496" s="152" t="str">
        <f t="shared" ca="1" si="874"/>
        <v>Stocks</v>
      </c>
      <c r="D1496" s="152" t="str">
        <f ca="1">IFERROR(__xludf.DUMMYFUNCTION("split(B1496,"" "")"),"BAJFINANCE")</f>
        <v>BAJFINANCE</v>
      </c>
      <c r="E1496" s="152" t="str">
        <f ca="1">IFERROR(__xludf.DUMMYFUNCTION("""COMPUTED_VALUE"""),"MAY")</f>
        <v>MAY</v>
      </c>
      <c r="F1496" s="152">
        <f ca="1">IFERROR(__xludf.DUMMYFUNCTION("""COMPUTED_VALUE"""),5700)</f>
        <v>5700</v>
      </c>
      <c r="G1496" s="152" t="str">
        <f ca="1">IFERROR(__xludf.DUMMYFUNCTION("""COMPUTED_VALUE"""),"CE")</f>
        <v>CE</v>
      </c>
      <c r="H1496" s="211">
        <v>125</v>
      </c>
      <c r="I1496" s="212">
        <v>1</v>
      </c>
      <c r="J1496" s="212">
        <v>1</v>
      </c>
      <c r="K1496" s="213">
        <f t="shared" si="875"/>
        <v>125</v>
      </c>
      <c r="L1496" s="214">
        <v>184</v>
      </c>
      <c r="M1496" s="215">
        <v>0</v>
      </c>
      <c r="N1496" s="216">
        <f t="shared" si="876"/>
        <v>23000</v>
      </c>
      <c r="O1496" s="216">
        <f t="shared" si="877"/>
        <v>0</v>
      </c>
      <c r="P1496" s="217">
        <f t="shared" si="878"/>
        <v>23000</v>
      </c>
      <c r="Q1496" s="217">
        <f t="shared" si="879"/>
        <v>-23000</v>
      </c>
      <c r="R1496" s="217">
        <f t="shared" si="891"/>
        <v>20</v>
      </c>
      <c r="S1496" s="217">
        <f t="shared" si="881"/>
        <v>5.79</v>
      </c>
      <c r="T1496" s="217">
        <f t="shared" si="882"/>
        <v>0</v>
      </c>
      <c r="U1496" s="217">
        <f t="shared" si="883"/>
        <v>0.69</v>
      </c>
      <c r="V1496" s="217">
        <f t="shared" si="884"/>
        <v>12.19</v>
      </c>
      <c r="W1496" s="217">
        <f t="shared" si="885"/>
        <v>0.02</v>
      </c>
      <c r="X1496" s="217">
        <f t="shared" si="886"/>
        <v>38.690000000000005</v>
      </c>
      <c r="Y1496" s="218">
        <f t="shared" si="887"/>
        <v>-23038.69</v>
      </c>
      <c r="Z1496" s="219">
        <v>-23039</v>
      </c>
      <c r="AA1496" s="220">
        <f t="shared" si="888"/>
        <v>-0.31000000000130967</v>
      </c>
      <c r="AB1496" s="221">
        <f t="shared" si="889"/>
        <v>-1</v>
      </c>
      <c r="AC1496" s="222">
        <f t="shared" si="890"/>
        <v>1.6819999999999999E-3</v>
      </c>
      <c r="AD1496" s="217"/>
      <c r="AE1496" s="223" t="s">
        <v>403</v>
      </c>
      <c r="AF1496" s="119"/>
    </row>
    <row r="1497" spans="1:32" ht="12" hidden="1" customHeight="1">
      <c r="A1497" s="150">
        <v>44698</v>
      </c>
      <c r="B1497" s="152" t="s">
        <v>743</v>
      </c>
      <c r="C1497" s="152" t="str">
        <f t="shared" ca="1" si="874"/>
        <v>Stocks</v>
      </c>
      <c r="D1497" s="152" t="str">
        <f ca="1">IFERROR(__xludf.DUMMYFUNCTION("split(B1497,"" "")"),"BAJFINANCE")</f>
        <v>BAJFINANCE</v>
      </c>
      <c r="E1497" s="152" t="str">
        <f ca="1">IFERROR(__xludf.DUMMYFUNCTION("""COMPUTED_VALUE"""),"MAY")</f>
        <v>MAY</v>
      </c>
      <c r="F1497" s="152">
        <f ca="1">IFERROR(__xludf.DUMMYFUNCTION("""COMPUTED_VALUE"""),5700)</f>
        <v>5700</v>
      </c>
      <c r="G1497" s="152" t="str">
        <f ca="1">IFERROR(__xludf.DUMMYFUNCTION("""COMPUTED_VALUE"""),"CE")</f>
        <v>CE</v>
      </c>
      <c r="H1497" s="211">
        <v>125</v>
      </c>
      <c r="I1497" s="212">
        <v>1</v>
      </c>
      <c r="J1497" s="212">
        <v>1</v>
      </c>
      <c r="K1497" s="213">
        <f t="shared" si="875"/>
        <v>125</v>
      </c>
      <c r="L1497" s="214">
        <v>0</v>
      </c>
      <c r="M1497" s="215">
        <v>150</v>
      </c>
      <c r="N1497" s="216">
        <f t="shared" si="876"/>
        <v>0</v>
      </c>
      <c r="O1497" s="216">
        <f t="shared" si="877"/>
        <v>18750</v>
      </c>
      <c r="P1497" s="217">
        <f t="shared" si="878"/>
        <v>18750</v>
      </c>
      <c r="Q1497" s="217">
        <f t="shared" si="879"/>
        <v>18750</v>
      </c>
      <c r="R1497" s="217">
        <f t="shared" si="891"/>
        <v>20</v>
      </c>
      <c r="S1497" s="217">
        <f t="shared" si="881"/>
        <v>5.39</v>
      </c>
      <c r="T1497" s="217">
        <f t="shared" si="882"/>
        <v>9.3800000000000008</v>
      </c>
      <c r="U1497" s="217">
        <f t="shared" si="883"/>
        <v>0</v>
      </c>
      <c r="V1497" s="217">
        <f t="shared" si="884"/>
        <v>9.94</v>
      </c>
      <c r="W1497" s="217">
        <f t="shared" si="885"/>
        <v>0.02</v>
      </c>
      <c r="X1497" s="217">
        <f t="shared" si="886"/>
        <v>44.730000000000004</v>
      </c>
      <c r="Y1497" s="218">
        <f t="shared" si="887"/>
        <v>18705.27</v>
      </c>
      <c r="Z1497" s="219">
        <v>18705</v>
      </c>
      <c r="AA1497" s="220">
        <f t="shared" si="888"/>
        <v>-0.27000000000043656</v>
      </c>
      <c r="AB1497" s="221">
        <f t="shared" si="889"/>
        <v>0</v>
      </c>
      <c r="AC1497" s="222">
        <f t="shared" si="890"/>
        <v>2.3860000000000001E-3</v>
      </c>
      <c r="AD1497" s="217"/>
      <c r="AE1497" s="223" t="s">
        <v>403</v>
      </c>
      <c r="AF1497" s="119"/>
    </row>
    <row r="1498" spans="1:32" ht="12" hidden="1" customHeight="1">
      <c r="A1498" s="209">
        <v>44698</v>
      </c>
      <c r="B1498" s="152" t="s">
        <v>744</v>
      </c>
      <c r="C1498" s="152" t="str">
        <f t="shared" ca="1" si="874"/>
        <v>Stocks</v>
      </c>
      <c r="D1498" s="152" t="str">
        <f ca="1">IFERROR(__xludf.DUMMYFUNCTION("split(B1498,"" "")"),"TATAMOTORS")</f>
        <v>TATAMOTORS</v>
      </c>
      <c r="E1498" s="152" t="str">
        <f ca="1">IFERROR(__xludf.DUMMYFUNCTION("""COMPUTED_VALUE"""),"MAY")</f>
        <v>MAY</v>
      </c>
      <c r="F1498" s="152">
        <f ca="1">IFERROR(__xludf.DUMMYFUNCTION("""COMPUTED_VALUE"""),410)</f>
        <v>410</v>
      </c>
      <c r="G1498" s="152" t="str">
        <f ca="1">IFERROR(__xludf.DUMMYFUNCTION("""COMPUTED_VALUE"""),"PE")</f>
        <v>PE</v>
      </c>
      <c r="H1498" s="211">
        <v>1425</v>
      </c>
      <c r="I1498" s="212">
        <v>1</v>
      </c>
      <c r="J1498" s="212">
        <v>1</v>
      </c>
      <c r="K1498" s="213">
        <f t="shared" si="875"/>
        <v>1425</v>
      </c>
      <c r="L1498" s="214">
        <v>8.35</v>
      </c>
      <c r="M1498" s="215">
        <v>8.15</v>
      </c>
      <c r="N1498" s="216">
        <f t="shared" si="876"/>
        <v>11898.75</v>
      </c>
      <c r="O1498" s="216">
        <f t="shared" si="877"/>
        <v>11613.75</v>
      </c>
      <c r="P1498" s="217">
        <f t="shared" si="878"/>
        <v>23512.5</v>
      </c>
      <c r="Q1498" s="217">
        <f t="shared" si="879"/>
        <v>-284.99999999999898</v>
      </c>
      <c r="R1498" s="217">
        <f t="shared" si="891"/>
        <v>40</v>
      </c>
      <c r="S1498" s="217">
        <f t="shared" si="881"/>
        <v>9.44</v>
      </c>
      <c r="T1498" s="217">
        <f t="shared" si="882"/>
        <v>5.81</v>
      </c>
      <c r="U1498" s="217">
        <f t="shared" si="883"/>
        <v>0.36</v>
      </c>
      <c r="V1498" s="217">
        <f t="shared" si="884"/>
        <v>12.46</v>
      </c>
      <c r="W1498" s="217">
        <f t="shared" si="885"/>
        <v>0.02</v>
      </c>
      <c r="X1498" s="217">
        <f t="shared" si="886"/>
        <v>68.089999999999989</v>
      </c>
      <c r="Y1498" s="218">
        <f t="shared" si="887"/>
        <v>-353.09</v>
      </c>
      <c r="Z1498" s="219">
        <v>-353</v>
      </c>
      <c r="AA1498" s="220">
        <f t="shared" si="888"/>
        <v>8.9999999999974989E-2</v>
      </c>
      <c r="AB1498" s="221">
        <f t="shared" si="889"/>
        <v>-2.3952095808383148E-2</v>
      </c>
      <c r="AC1498" s="222">
        <f t="shared" si="890"/>
        <v>2.8960000000000001E-3</v>
      </c>
      <c r="AD1498" s="217"/>
      <c r="AE1498" s="223" t="s">
        <v>403</v>
      </c>
      <c r="AF1498" s="119"/>
    </row>
    <row r="1499" spans="1:32" ht="12" hidden="1" customHeight="1">
      <c r="A1499" s="209">
        <v>44698</v>
      </c>
      <c r="B1499" s="152" t="s">
        <v>744</v>
      </c>
      <c r="C1499" s="152" t="str">
        <f t="shared" ca="1" si="874"/>
        <v>Stocks</v>
      </c>
      <c r="D1499" s="152" t="str">
        <f ca="1">IFERROR(__xludf.DUMMYFUNCTION("split(B1499,"" "")"),"TATAMOTORS")</f>
        <v>TATAMOTORS</v>
      </c>
      <c r="E1499" s="152" t="str">
        <f ca="1">IFERROR(__xludf.DUMMYFUNCTION("""COMPUTED_VALUE"""),"MAY")</f>
        <v>MAY</v>
      </c>
      <c r="F1499" s="152">
        <f ca="1">IFERROR(__xludf.DUMMYFUNCTION("""COMPUTED_VALUE"""),410)</f>
        <v>410</v>
      </c>
      <c r="G1499" s="152" t="str">
        <f ca="1">IFERROR(__xludf.DUMMYFUNCTION("""COMPUTED_VALUE"""),"PE")</f>
        <v>PE</v>
      </c>
      <c r="H1499" s="211">
        <v>1425</v>
      </c>
      <c r="I1499" s="212">
        <v>1</v>
      </c>
      <c r="J1499" s="212">
        <v>1</v>
      </c>
      <c r="K1499" s="213">
        <f t="shared" si="875"/>
        <v>1425</v>
      </c>
      <c r="L1499" s="214">
        <v>9.9</v>
      </c>
      <c r="M1499" s="215">
        <v>8.5</v>
      </c>
      <c r="N1499" s="216">
        <f t="shared" si="876"/>
        <v>14107.5</v>
      </c>
      <c r="O1499" s="216">
        <f t="shared" si="877"/>
        <v>12112.5</v>
      </c>
      <c r="P1499" s="217">
        <f t="shared" si="878"/>
        <v>26220</v>
      </c>
      <c r="Q1499" s="217">
        <f t="shared" si="879"/>
        <v>-1995.0000000000005</v>
      </c>
      <c r="R1499" s="217">
        <f t="shared" si="891"/>
        <v>40</v>
      </c>
      <c r="S1499" s="217">
        <f t="shared" si="881"/>
        <v>9.6999999999999993</v>
      </c>
      <c r="T1499" s="217">
        <f t="shared" si="882"/>
        <v>6.06</v>
      </c>
      <c r="U1499" s="217">
        <f t="shared" si="883"/>
        <v>0.42</v>
      </c>
      <c r="V1499" s="217">
        <f t="shared" si="884"/>
        <v>13.9</v>
      </c>
      <c r="W1499" s="217">
        <f t="shared" si="885"/>
        <v>0.03</v>
      </c>
      <c r="X1499" s="217">
        <f t="shared" si="886"/>
        <v>70.110000000000014</v>
      </c>
      <c r="Y1499" s="218">
        <f t="shared" si="887"/>
        <v>-2065.11</v>
      </c>
      <c r="Z1499" s="219">
        <v>-2065</v>
      </c>
      <c r="AA1499" s="220">
        <f t="shared" si="888"/>
        <v>0.11000000000012733</v>
      </c>
      <c r="AB1499" s="221">
        <f t="shared" si="889"/>
        <v>-0.14141414141414144</v>
      </c>
      <c r="AC1499" s="222">
        <f t="shared" si="890"/>
        <v>2.6740000000000002E-3</v>
      </c>
      <c r="AD1499" s="217"/>
      <c r="AE1499" s="223" t="s">
        <v>403</v>
      </c>
      <c r="AF1499" s="119"/>
    </row>
    <row r="1500" spans="1:32" ht="12" hidden="1" customHeight="1">
      <c r="A1500" s="209">
        <v>44699</v>
      </c>
      <c r="B1500" s="152" t="s">
        <v>745</v>
      </c>
      <c r="C1500" s="152" t="str">
        <f t="shared" ca="1" si="874"/>
        <v>Stocks</v>
      </c>
      <c r="D1500" s="152" t="str">
        <f ca="1">IFERROR(__xludf.DUMMYFUNCTION("split(B1500,"" "")"),"PVR")</f>
        <v>PVR</v>
      </c>
      <c r="E1500" s="152" t="str">
        <f ca="1">IFERROR(__xludf.DUMMYFUNCTION("""COMPUTED_VALUE"""),"MAY")</f>
        <v>MAY</v>
      </c>
      <c r="F1500" s="152">
        <f ca="1">IFERROR(__xludf.DUMMYFUNCTION("""COMPUTED_VALUE"""),1800)</f>
        <v>1800</v>
      </c>
      <c r="G1500" s="152" t="str">
        <f ca="1">IFERROR(__xludf.DUMMYFUNCTION("""COMPUTED_VALUE"""),"CE")</f>
        <v>CE</v>
      </c>
      <c r="H1500" s="211">
        <v>407</v>
      </c>
      <c r="I1500" s="212">
        <v>1</v>
      </c>
      <c r="J1500" s="212">
        <v>1</v>
      </c>
      <c r="K1500" s="213">
        <f t="shared" si="875"/>
        <v>407</v>
      </c>
      <c r="L1500" s="214">
        <v>56</v>
      </c>
      <c r="M1500" s="215">
        <v>63</v>
      </c>
      <c r="N1500" s="216">
        <f t="shared" si="876"/>
        <v>22792</v>
      </c>
      <c r="O1500" s="216">
        <f t="shared" si="877"/>
        <v>25641</v>
      </c>
      <c r="P1500" s="217">
        <f t="shared" si="878"/>
        <v>48433</v>
      </c>
      <c r="Q1500" s="217">
        <f t="shared" si="879"/>
        <v>2849</v>
      </c>
      <c r="R1500" s="217">
        <f t="shared" si="891"/>
        <v>40</v>
      </c>
      <c r="S1500" s="217">
        <f t="shared" si="881"/>
        <v>11.82</v>
      </c>
      <c r="T1500" s="217">
        <f t="shared" si="882"/>
        <v>12.82</v>
      </c>
      <c r="U1500" s="217">
        <f t="shared" si="883"/>
        <v>0.68</v>
      </c>
      <c r="V1500" s="217">
        <f t="shared" si="884"/>
        <v>25.67</v>
      </c>
      <c r="W1500" s="217">
        <f t="shared" si="885"/>
        <v>0.05</v>
      </c>
      <c r="X1500" s="217">
        <f t="shared" si="886"/>
        <v>91.04</v>
      </c>
      <c r="Y1500" s="218">
        <f t="shared" si="887"/>
        <v>2757.96</v>
      </c>
      <c r="Z1500" s="219">
        <v>2758</v>
      </c>
      <c r="AA1500" s="220">
        <f t="shared" si="888"/>
        <v>3.999999999996362E-2</v>
      </c>
      <c r="AB1500" s="221">
        <f t="shared" si="889"/>
        <v>0.125</v>
      </c>
      <c r="AC1500" s="222">
        <f t="shared" si="890"/>
        <v>1.8799999999999999E-3</v>
      </c>
      <c r="AD1500" s="217"/>
      <c r="AE1500" s="223" t="s">
        <v>403</v>
      </c>
      <c r="AF1500" s="119"/>
    </row>
    <row r="1501" spans="1:32" ht="12" hidden="1" customHeight="1">
      <c r="A1501" s="209">
        <v>44699</v>
      </c>
      <c r="B1501" s="152" t="s">
        <v>745</v>
      </c>
      <c r="C1501" s="152" t="str">
        <f t="shared" ca="1" si="874"/>
        <v>Stocks</v>
      </c>
      <c r="D1501" s="152" t="str">
        <f ca="1">IFERROR(__xludf.DUMMYFUNCTION("split(B1501,"" "")"),"PVR")</f>
        <v>PVR</v>
      </c>
      <c r="E1501" s="152" t="str">
        <f ca="1">IFERROR(__xludf.DUMMYFUNCTION("""COMPUTED_VALUE"""),"MAY")</f>
        <v>MAY</v>
      </c>
      <c r="F1501" s="152">
        <f ca="1">IFERROR(__xludf.DUMMYFUNCTION("""COMPUTED_VALUE"""),1800)</f>
        <v>1800</v>
      </c>
      <c r="G1501" s="152" t="str">
        <f ca="1">IFERROR(__xludf.DUMMYFUNCTION("""COMPUTED_VALUE"""),"CE")</f>
        <v>CE</v>
      </c>
      <c r="H1501" s="211">
        <v>407</v>
      </c>
      <c r="I1501" s="212">
        <v>1</v>
      </c>
      <c r="J1501" s="212">
        <v>1</v>
      </c>
      <c r="K1501" s="213">
        <f t="shared" si="875"/>
        <v>407</v>
      </c>
      <c r="L1501" s="214">
        <v>55</v>
      </c>
      <c r="M1501" s="215">
        <v>49.15</v>
      </c>
      <c r="N1501" s="216">
        <f t="shared" si="876"/>
        <v>22385</v>
      </c>
      <c r="O1501" s="216">
        <f t="shared" si="877"/>
        <v>20004.05</v>
      </c>
      <c r="P1501" s="217">
        <f t="shared" si="878"/>
        <v>42389.05</v>
      </c>
      <c r="Q1501" s="217">
        <f t="shared" si="879"/>
        <v>-2380.9500000000007</v>
      </c>
      <c r="R1501" s="217">
        <f t="shared" si="891"/>
        <v>40</v>
      </c>
      <c r="S1501" s="217">
        <f t="shared" si="881"/>
        <v>11.24</v>
      </c>
      <c r="T1501" s="217">
        <f t="shared" si="882"/>
        <v>10</v>
      </c>
      <c r="U1501" s="217">
        <f t="shared" si="883"/>
        <v>0.67</v>
      </c>
      <c r="V1501" s="217">
        <f t="shared" si="884"/>
        <v>22.47</v>
      </c>
      <c r="W1501" s="217">
        <f t="shared" si="885"/>
        <v>0.04</v>
      </c>
      <c r="X1501" s="217">
        <f t="shared" si="886"/>
        <v>84.42</v>
      </c>
      <c r="Y1501" s="218">
        <f t="shared" si="887"/>
        <v>-2465.37</v>
      </c>
      <c r="Z1501" s="219">
        <v>-2465</v>
      </c>
      <c r="AA1501" s="220">
        <f t="shared" si="888"/>
        <v>0.36999999999989086</v>
      </c>
      <c r="AB1501" s="221">
        <f t="shared" si="889"/>
        <v>-0.1063636363636364</v>
      </c>
      <c r="AC1501" s="222">
        <f t="shared" si="890"/>
        <v>1.9919999999999998E-3</v>
      </c>
      <c r="AD1501" s="217"/>
      <c r="AE1501" s="223" t="s">
        <v>403</v>
      </c>
      <c r="AF1501" s="119"/>
    </row>
    <row r="1502" spans="1:32" ht="12" hidden="1" customHeight="1">
      <c r="A1502" s="209">
        <v>44699</v>
      </c>
      <c r="B1502" s="152" t="s">
        <v>745</v>
      </c>
      <c r="C1502" s="152" t="str">
        <f t="shared" ca="1" si="874"/>
        <v>Stocks</v>
      </c>
      <c r="D1502" s="152" t="str">
        <f ca="1">IFERROR(__xludf.DUMMYFUNCTION("split(B1502,"" "")"),"PVR")</f>
        <v>PVR</v>
      </c>
      <c r="E1502" s="152" t="str">
        <f ca="1">IFERROR(__xludf.DUMMYFUNCTION("""COMPUTED_VALUE"""),"MAY")</f>
        <v>MAY</v>
      </c>
      <c r="F1502" s="152">
        <f ca="1">IFERROR(__xludf.DUMMYFUNCTION("""COMPUTED_VALUE"""),1800)</f>
        <v>1800</v>
      </c>
      <c r="G1502" s="152" t="str">
        <f ca="1">IFERROR(__xludf.DUMMYFUNCTION("""COMPUTED_VALUE"""),"CE")</f>
        <v>CE</v>
      </c>
      <c r="H1502" s="211">
        <v>407</v>
      </c>
      <c r="I1502" s="212">
        <v>1</v>
      </c>
      <c r="J1502" s="212">
        <v>1</v>
      </c>
      <c r="K1502" s="213">
        <f t="shared" si="875"/>
        <v>407</v>
      </c>
      <c r="L1502" s="214">
        <v>45</v>
      </c>
      <c r="M1502" s="215">
        <v>37.35</v>
      </c>
      <c r="N1502" s="216">
        <f t="shared" si="876"/>
        <v>18315</v>
      </c>
      <c r="O1502" s="216">
        <f t="shared" si="877"/>
        <v>15201.45</v>
      </c>
      <c r="P1502" s="217">
        <f t="shared" si="878"/>
        <v>33516.449999999997</v>
      </c>
      <c r="Q1502" s="217">
        <f t="shared" si="879"/>
        <v>-3113.5499999999993</v>
      </c>
      <c r="R1502" s="217">
        <f t="shared" si="891"/>
        <v>40</v>
      </c>
      <c r="S1502" s="217">
        <f t="shared" si="881"/>
        <v>10.4</v>
      </c>
      <c r="T1502" s="217">
        <f t="shared" si="882"/>
        <v>7.6</v>
      </c>
      <c r="U1502" s="217">
        <f t="shared" si="883"/>
        <v>0.55000000000000004</v>
      </c>
      <c r="V1502" s="217">
        <f t="shared" si="884"/>
        <v>17.760000000000002</v>
      </c>
      <c r="W1502" s="217">
        <f t="shared" si="885"/>
        <v>0.03</v>
      </c>
      <c r="X1502" s="217">
        <f t="shared" si="886"/>
        <v>76.34</v>
      </c>
      <c r="Y1502" s="218">
        <f t="shared" si="887"/>
        <v>-3189.89</v>
      </c>
      <c r="Z1502" s="219">
        <v>-3190</v>
      </c>
      <c r="AA1502" s="220">
        <f t="shared" si="888"/>
        <v>-0.11000000000012733</v>
      </c>
      <c r="AB1502" s="221">
        <f t="shared" si="889"/>
        <v>-0.16999999999999996</v>
      </c>
      <c r="AC1502" s="222">
        <f t="shared" si="890"/>
        <v>2.2780000000000001E-3</v>
      </c>
      <c r="AD1502" s="217"/>
      <c r="AE1502" s="223" t="s">
        <v>403</v>
      </c>
      <c r="AF1502" s="119"/>
    </row>
    <row r="1503" spans="1:32" ht="12" hidden="1" customHeight="1">
      <c r="A1503" s="209">
        <v>44699</v>
      </c>
      <c r="B1503" s="152" t="s">
        <v>745</v>
      </c>
      <c r="C1503" s="152" t="str">
        <f t="shared" ca="1" si="874"/>
        <v>Stocks</v>
      </c>
      <c r="D1503" s="152" t="str">
        <f ca="1">IFERROR(__xludf.DUMMYFUNCTION("split(B1503,"" "")"),"PVR")</f>
        <v>PVR</v>
      </c>
      <c r="E1503" s="152" t="str">
        <f ca="1">IFERROR(__xludf.DUMMYFUNCTION("""COMPUTED_VALUE"""),"MAY")</f>
        <v>MAY</v>
      </c>
      <c r="F1503" s="152">
        <f ca="1">IFERROR(__xludf.DUMMYFUNCTION("""COMPUTED_VALUE"""),1800)</f>
        <v>1800</v>
      </c>
      <c r="G1503" s="152" t="str">
        <f ca="1">IFERROR(__xludf.DUMMYFUNCTION("""COMPUTED_VALUE"""),"CE")</f>
        <v>CE</v>
      </c>
      <c r="H1503" s="211">
        <v>407</v>
      </c>
      <c r="I1503" s="212">
        <v>1</v>
      </c>
      <c r="J1503" s="212">
        <v>1</v>
      </c>
      <c r="K1503" s="213">
        <f t="shared" si="875"/>
        <v>407</v>
      </c>
      <c r="L1503" s="214">
        <v>35</v>
      </c>
      <c r="M1503" s="215">
        <v>38</v>
      </c>
      <c r="N1503" s="216">
        <f t="shared" si="876"/>
        <v>14245</v>
      </c>
      <c r="O1503" s="216">
        <f t="shared" si="877"/>
        <v>15466</v>
      </c>
      <c r="P1503" s="217">
        <f t="shared" si="878"/>
        <v>29711</v>
      </c>
      <c r="Q1503" s="217">
        <f t="shared" si="879"/>
        <v>1221</v>
      </c>
      <c r="R1503" s="217">
        <f t="shared" si="891"/>
        <v>40</v>
      </c>
      <c r="S1503" s="217">
        <f t="shared" si="881"/>
        <v>10.039999999999999</v>
      </c>
      <c r="T1503" s="217">
        <f t="shared" si="882"/>
        <v>7.73</v>
      </c>
      <c r="U1503" s="217">
        <f t="shared" si="883"/>
        <v>0.43</v>
      </c>
      <c r="V1503" s="217">
        <f t="shared" si="884"/>
        <v>15.75</v>
      </c>
      <c r="W1503" s="217">
        <f t="shared" si="885"/>
        <v>0.03</v>
      </c>
      <c r="X1503" s="217">
        <f t="shared" si="886"/>
        <v>73.97999999999999</v>
      </c>
      <c r="Y1503" s="218">
        <f t="shared" si="887"/>
        <v>1147.02</v>
      </c>
      <c r="Z1503" s="219">
        <v>1147</v>
      </c>
      <c r="AA1503" s="220">
        <f t="shared" si="888"/>
        <v>-1.999999999998181E-2</v>
      </c>
      <c r="AB1503" s="221">
        <f t="shared" si="889"/>
        <v>8.5714285714285715E-2</v>
      </c>
      <c r="AC1503" s="222">
        <f t="shared" si="890"/>
        <v>2.49E-3</v>
      </c>
      <c r="AD1503" s="217"/>
      <c r="AE1503" s="223" t="s">
        <v>403</v>
      </c>
      <c r="AF1503" s="119"/>
    </row>
    <row r="1504" spans="1:32" ht="12" hidden="1" customHeight="1">
      <c r="A1504" s="148">
        <v>44699</v>
      </c>
      <c r="B1504" s="152" t="s">
        <v>746</v>
      </c>
      <c r="C1504" s="152" t="str">
        <f t="shared" ca="1" si="874"/>
        <v>Stocks</v>
      </c>
      <c r="D1504" s="152" t="str">
        <f ca="1">IFERROR(__xludf.DUMMYFUNCTION("split(B1504,"" "")"),"AXISBANK")</f>
        <v>AXISBANK</v>
      </c>
      <c r="E1504" s="152" t="str">
        <f ca="1">IFERROR(__xludf.DUMMYFUNCTION("""COMPUTED_VALUE"""),"MAY")</f>
        <v>MAY</v>
      </c>
      <c r="F1504" s="152">
        <f ca="1">IFERROR(__xludf.DUMMYFUNCTION("""COMPUTED_VALUE"""),660)</f>
        <v>660</v>
      </c>
      <c r="G1504" s="152" t="str">
        <f ca="1">IFERROR(__xludf.DUMMYFUNCTION("""COMPUTED_VALUE"""),"CE")</f>
        <v>CE</v>
      </c>
      <c r="H1504" s="211">
        <v>1200</v>
      </c>
      <c r="I1504" s="212">
        <v>1</v>
      </c>
      <c r="J1504" s="212">
        <v>1</v>
      </c>
      <c r="K1504" s="213">
        <f t="shared" si="875"/>
        <v>1200</v>
      </c>
      <c r="L1504" s="214">
        <v>11.6</v>
      </c>
      <c r="M1504" s="215">
        <v>0</v>
      </c>
      <c r="N1504" s="216">
        <f t="shared" si="876"/>
        <v>13920</v>
      </c>
      <c r="O1504" s="216">
        <f t="shared" si="877"/>
        <v>0</v>
      </c>
      <c r="P1504" s="217">
        <f t="shared" si="878"/>
        <v>13920</v>
      </c>
      <c r="Q1504" s="217">
        <f t="shared" si="879"/>
        <v>-13920</v>
      </c>
      <c r="R1504" s="217">
        <f t="shared" si="891"/>
        <v>20</v>
      </c>
      <c r="S1504" s="217">
        <f t="shared" si="881"/>
        <v>4.93</v>
      </c>
      <c r="T1504" s="217">
        <f t="shared" si="882"/>
        <v>0</v>
      </c>
      <c r="U1504" s="217">
        <f t="shared" si="883"/>
        <v>0.42</v>
      </c>
      <c r="V1504" s="217">
        <f t="shared" si="884"/>
        <v>7.38</v>
      </c>
      <c r="W1504" s="217">
        <f t="shared" si="885"/>
        <v>0.01</v>
      </c>
      <c r="X1504" s="217">
        <f t="shared" si="886"/>
        <v>32.74</v>
      </c>
      <c r="Y1504" s="218">
        <f t="shared" si="887"/>
        <v>-13952.74</v>
      </c>
      <c r="Z1504" s="219">
        <v>-13953.11</v>
      </c>
      <c r="AA1504" s="220">
        <f t="shared" si="888"/>
        <v>-0.37000000000080036</v>
      </c>
      <c r="AB1504" s="221">
        <f t="shared" si="889"/>
        <v>-1</v>
      </c>
      <c r="AC1504" s="222">
        <f t="shared" si="890"/>
        <v>2.3519999999999999E-3</v>
      </c>
      <c r="AD1504" s="217"/>
      <c r="AE1504" s="223" t="s">
        <v>403</v>
      </c>
      <c r="AF1504" s="119"/>
    </row>
    <row r="1505" spans="1:32" ht="12" hidden="1" customHeight="1">
      <c r="A1505" s="150">
        <v>44701</v>
      </c>
      <c r="B1505" s="152" t="s">
        <v>746</v>
      </c>
      <c r="C1505" s="152" t="str">
        <f t="shared" ca="1" si="874"/>
        <v>Stocks</v>
      </c>
      <c r="D1505" s="152" t="str">
        <f ca="1">IFERROR(__xludf.DUMMYFUNCTION("split(B1505,"" "")"),"AXISBANK")</f>
        <v>AXISBANK</v>
      </c>
      <c r="E1505" s="152" t="str">
        <f ca="1">IFERROR(__xludf.DUMMYFUNCTION("""COMPUTED_VALUE"""),"MAY")</f>
        <v>MAY</v>
      </c>
      <c r="F1505" s="152">
        <f ca="1">IFERROR(__xludf.DUMMYFUNCTION("""COMPUTED_VALUE"""),660)</f>
        <v>660</v>
      </c>
      <c r="G1505" s="152" t="str">
        <f ca="1">IFERROR(__xludf.DUMMYFUNCTION("""COMPUTED_VALUE"""),"CE")</f>
        <v>CE</v>
      </c>
      <c r="H1505" s="211">
        <v>1200</v>
      </c>
      <c r="I1505" s="212">
        <v>1</v>
      </c>
      <c r="J1505" s="212">
        <v>1</v>
      </c>
      <c r="K1505" s="213">
        <f t="shared" si="875"/>
        <v>1200</v>
      </c>
      <c r="L1505" s="214">
        <v>0</v>
      </c>
      <c r="M1505" s="215">
        <v>13</v>
      </c>
      <c r="N1505" s="216">
        <f t="shared" si="876"/>
        <v>0</v>
      </c>
      <c r="O1505" s="216">
        <f t="shared" si="877"/>
        <v>15600</v>
      </c>
      <c r="P1505" s="217">
        <f t="shared" si="878"/>
        <v>15600</v>
      </c>
      <c r="Q1505" s="217">
        <f t="shared" si="879"/>
        <v>15600</v>
      </c>
      <c r="R1505" s="217">
        <f t="shared" si="891"/>
        <v>20</v>
      </c>
      <c r="S1505" s="217">
        <f t="shared" si="881"/>
        <v>5.09</v>
      </c>
      <c r="T1505" s="217">
        <f t="shared" si="882"/>
        <v>7.8</v>
      </c>
      <c r="U1505" s="217">
        <f t="shared" si="883"/>
        <v>0</v>
      </c>
      <c r="V1505" s="217">
        <f t="shared" si="884"/>
        <v>8.27</v>
      </c>
      <c r="W1505" s="217">
        <f t="shared" si="885"/>
        <v>0.02</v>
      </c>
      <c r="X1505" s="217">
        <f t="shared" si="886"/>
        <v>41.18</v>
      </c>
      <c r="Y1505" s="218">
        <f t="shared" si="887"/>
        <v>15558.82</v>
      </c>
      <c r="Z1505" s="219">
        <v>15558.62</v>
      </c>
      <c r="AA1505" s="220">
        <f t="shared" si="888"/>
        <v>-0.19999999999890861</v>
      </c>
      <c r="AB1505" s="221">
        <f t="shared" si="889"/>
        <v>0</v>
      </c>
      <c r="AC1505" s="222">
        <f t="shared" si="890"/>
        <v>2.64E-3</v>
      </c>
      <c r="AD1505" s="217"/>
      <c r="AE1505" s="223" t="s">
        <v>403</v>
      </c>
      <c r="AF1505" s="119"/>
    </row>
    <row r="1506" spans="1:32" ht="12" hidden="1" customHeight="1">
      <c r="A1506" s="148">
        <v>44700</v>
      </c>
      <c r="B1506" s="152" t="s">
        <v>747</v>
      </c>
      <c r="C1506" s="152" t="str">
        <f t="shared" ca="1" si="874"/>
        <v>Stocks</v>
      </c>
      <c r="D1506" s="152" t="str">
        <f ca="1">IFERROR(__xludf.DUMMYFUNCTION("split(B1506,"" "")"),"ICICIBANK")</f>
        <v>ICICIBANK</v>
      </c>
      <c r="E1506" s="152" t="str">
        <f ca="1">IFERROR(__xludf.DUMMYFUNCTION("""COMPUTED_VALUE"""),"MAY")</f>
        <v>MAY</v>
      </c>
      <c r="F1506" s="152">
        <f ca="1">IFERROR(__xludf.DUMMYFUNCTION("""COMPUTED_VALUE"""),700)</f>
        <v>700</v>
      </c>
      <c r="G1506" s="152" t="str">
        <f ca="1">IFERROR(__xludf.DUMMYFUNCTION("""COMPUTED_VALUE"""),"PE")</f>
        <v>PE</v>
      </c>
      <c r="H1506" s="211">
        <v>1375</v>
      </c>
      <c r="I1506" s="212">
        <v>1</v>
      </c>
      <c r="J1506" s="212">
        <v>1</v>
      </c>
      <c r="K1506" s="213">
        <f t="shared" si="875"/>
        <v>1375</v>
      </c>
      <c r="L1506" s="214">
        <v>17.5</v>
      </c>
      <c r="M1506" s="215">
        <v>0</v>
      </c>
      <c r="N1506" s="216">
        <f t="shared" si="876"/>
        <v>24062.5</v>
      </c>
      <c r="O1506" s="216">
        <f t="shared" si="877"/>
        <v>0</v>
      </c>
      <c r="P1506" s="217">
        <f t="shared" si="878"/>
        <v>24062.5</v>
      </c>
      <c r="Q1506" s="217">
        <f t="shared" si="879"/>
        <v>-24062.5</v>
      </c>
      <c r="R1506" s="217">
        <f t="shared" si="891"/>
        <v>20</v>
      </c>
      <c r="S1506" s="217">
        <f t="shared" si="881"/>
        <v>5.9</v>
      </c>
      <c r="T1506" s="217">
        <f t="shared" si="882"/>
        <v>0</v>
      </c>
      <c r="U1506" s="217">
        <f t="shared" si="883"/>
        <v>0.72</v>
      </c>
      <c r="V1506" s="217">
        <f t="shared" si="884"/>
        <v>12.75</v>
      </c>
      <c r="W1506" s="217">
        <f t="shared" si="885"/>
        <v>0.02</v>
      </c>
      <c r="X1506" s="217">
        <f t="shared" si="886"/>
        <v>39.39</v>
      </c>
      <c r="Y1506" s="218">
        <f t="shared" si="887"/>
        <v>-24101.89</v>
      </c>
      <c r="Z1506" s="219">
        <v>-24102.11</v>
      </c>
      <c r="AA1506" s="220">
        <f t="shared" si="888"/>
        <v>-0.22000000000116415</v>
      </c>
      <c r="AB1506" s="221">
        <f t="shared" si="889"/>
        <v>-1</v>
      </c>
      <c r="AC1506" s="222">
        <f t="shared" si="890"/>
        <v>1.637E-3</v>
      </c>
      <c r="AD1506" s="217"/>
      <c r="AE1506" s="223" t="s">
        <v>403</v>
      </c>
      <c r="AF1506" s="119"/>
    </row>
    <row r="1507" spans="1:32" ht="12" hidden="1" customHeight="1">
      <c r="A1507" s="150">
        <v>44706</v>
      </c>
      <c r="B1507" s="152" t="s">
        <v>747</v>
      </c>
      <c r="C1507" s="152" t="str">
        <f t="shared" ca="1" si="874"/>
        <v>Stocks</v>
      </c>
      <c r="D1507" s="152" t="str">
        <f ca="1">IFERROR(__xludf.DUMMYFUNCTION("split(B1507,"" "")"),"ICICIBANK")</f>
        <v>ICICIBANK</v>
      </c>
      <c r="E1507" s="152" t="str">
        <f ca="1">IFERROR(__xludf.DUMMYFUNCTION("""COMPUTED_VALUE"""),"MAY")</f>
        <v>MAY</v>
      </c>
      <c r="F1507" s="152">
        <f ca="1">IFERROR(__xludf.DUMMYFUNCTION("""COMPUTED_VALUE"""),700)</f>
        <v>700</v>
      </c>
      <c r="G1507" s="152" t="str">
        <f ca="1">IFERROR(__xludf.DUMMYFUNCTION("""COMPUTED_VALUE"""),"PE")</f>
        <v>PE</v>
      </c>
      <c r="H1507" s="211">
        <v>1375</v>
      </c>
      <c r="I1507" s="212">
        <v>1</v>
      </c>
      <c r="J1507" s="212">
        <v>1</v>
      </c>
      <c r="K1507" s="213">
        <f t="shared" si="875"/>
        <v>1375</v>
      </c>
      <c r="L1507" s="214">
        <v>0</v>
      </c>
      <c r="M1507" s="215">
        <v>1</v>
      </c>
      <c r="N1507" s="216">
        <f t="shared" si="876"/>
        <v>0</v>
      </c>
      <c r="O1507" s="216">
        <f t="shared" si="877"/>
        <v>1375</v>
      </c>
      <c r="P1507" s="217">
        <f t="shared" si="878"/>
        <v>1375</v>
      </c>
      <c r="Q1507" s="217">
        <f t="shared" si="879"/>
        <v>1375</v>
      </c>
      <c r="R1507" s="217">
        <f t="shared" si="891"/>
        <v>20</v>
      </c>
      <c r="S1507" s="217">
        <f t="shared" si="881"/>
        <v>3.73</v>
      </c>
      <c r="T1507" s="217">
        <f t="shared" si="882"/>
        <v>0.69</v>
      </c>
      <c r="U1507" s="217">
        <f t="shared" si="883"/>
        <v>0</v>
      </c>
      <c r="V1507" s="217">
        <f t="shared" si="884"/>
        <v>0.73</v>
      </c>
      <c r="W1507" s="217">
        <f t="shared" si="885"/>
        <v>0</v>
      </c>
      <c r="X1507" s="217">
        <f t="shared" si="886"/>
        <v>25.150000000000002</v>
      </c>
      <c r="Y1507" s="218">
        <f t="shared" si="887"/>
        <v>1349.85</v>
      </c>
      <c r="Z1507" s="219">
        <v>1348.9</v>
      </c>
      <c r="AA1507" s="220">
        <f t="shared" si="888"/>
        <v>-0.9499999999998181</v>
      </c>
      <c r="AB1507" s="221">
        <f t="shared" si="889"/>
        <v>0</v>
      </c>
      <c r="AC1507" s="222">
        <f t="shared" si="890"/>
        <v>1.8291000000000002E-2</v>
      </c>
      <c r="AD1507" s="217"/>
      <c r="AE1507" s="223" t="s">
        <v>403</v>
      </c>
      <c r="AF1507" s="119"/>
    </row>
    <row r="1508" spans="1:32" ht="12" hidden="1" customHeight="1">
      <c r="A1508" s="148">
        <v>44706</v>
      </c>
      <c r="B1508" s="152" t="s">
        <v>748</v>
      </c>
      <c r="C1508" s="152" t="str">
        <f t="shared" ca="1" si="874"/>
        <v>Stocks</v>
      </c>
      <c r="D1508" s="152" t="str">
        <f ca="1">IFERROR(__xludf.DUMMYFUNCTION("split(B1508,"" "")"),"KOTAKBANK")</f>
        <v>KOTAKBANK</v>
      </c>
      <c r="E1508" s="152" t="str">
        <f ca="1">IFERROR(__xludf.DUMMYFUNCTION("""COMPUTED_VALUE"""),"JUN")</f>
        <v>JUN</v>
      </c>
      <c r="F1508" s="152">
        <f ca="1">IFERROR(__xludf.DUMMYFUNCTION("""COMPUTED_VALUE"""),1920)</f>
        <v>1920</v>
      </c>
      <c r="G1508" s="152" t="str">
        <f ca="1">IFERROR(__xludf.DUMMYFUNCTION("""COMPUTED_VALUE"""),"CE")</f>
        <v>CE</v>
      </c>
      <c r="H1508" s="211">
        <v>400</v>
      </c>
      <c r="I1508" s="212">
        <v>1</v>
      </c>
      <c r="J1508" s="212">
        <v>1</v>
      </c>
      <c r="K1508" s="213">
        <f t="shared" si="875"/>
        <v>400</v>
      </c>
      <c r="L1508" s="214">
        <v>60</v>
      </c>
      <c r="M1508" s="215">
        <v>0</v>
      </c>
      <c r="N1508" s="216">
        <f t="shared" si="876"/>
        <v>24000</v>
      </c>
      <c r="O1508" s="216">
        <f t="shared" si="877"/>
        <v>0</v>
      </c>
      <c r="P1508" s="217">
        <f t="shared" si="878"/>
        <v>24000</v>
      </c>
      <c r="Q1508" s="217">
        <f t="shared" si="879"/>
        <v>-24000</v>
      </c>
      <c r="R1508" s="217">
        <f t="shared" si="891"/>
        <v>20</v>
      </c>
      <c r="S1508" s="217">
        <f t="shared" si="881"/>
        <v>5.89</v>
      </c>
      <c r="T1508" s="217">
        <f t="shared" si="882"/>
        <v>0</v>
      </c>
      <c r="U1508" s="217">
        <f t="shared" si="883"/>
        <v>0.72</v>
      </c>
      <c r="V1508" s="217">
        <f t="shared" si="884"/>
        <v>12.72</v>
      </c>
      <c r="W1508" s="217">
        <f t="shared" si="885"/>
        <v>0.02</v>
      </c>
      <c r="X1508" s="217">
        <f t="shared" si="886"/>
        <v>39.35</v>
      </c>
      <c r="Y1508" s="218">
        <f t="shared" si="887"/>
        <v>-24039.35</v>
      </c>
      <c r="Z1508" s="219">
        <v>-24039</v>
      </c>
      <c r="AA1508" s="220">
        <f t="shared" si="888"/>
        <v>0.34999999999854481</v>
      </c>
      <c r="AB1508" s="221">
        <f t="shared" si="889"/>
        <v>-1</v>
      </c>
      <c r="AC1508" s="222">
        <f t="shared" si="890"/>
        <v>1.64E-3</v>
      </c>
      <c r="AD1508" s="217"/>
      <c r="AE1508" s="223" t="s">
        <v>403</v>
      </c>
      <c r="AF1508" s="119"/>
    </row>
    <row r="1509" spans="1:32" ht="12" hidden="1" customHeight="1">
      <c r="A1509" s="150">
        <v>44708</v>
      </c>
      <c r="B1509" s="152" t="s">
        <v>748</v>
      </c>
      <c r="C1509" s="152" t="str">
        <f t="shared" ca="1" si="874"/>
        <v>Stocks</v>
      </c>
      <c r="D1509" s="152" t="str">
        <f ca="1">IFERROR(__xludf.DUMMYFUNCTION("split(B1509,"" "")"),"KOTAKBANK")</f>
        <v>KOTAKBANK</v>
      </c>
      <c r="E1509" s="152" t="str">
        <f ca="1">IFERROR(__xludf.DUMMYFUNCTION("""COMPUTED_VALUE"""),"JUN")</f>
        <v>JUN</v>
      </c>
      <c r="F1509" s="152">
        <f ca="1">IFERROR(__xludf.DUMMYFUNCTION("""COMPUTED_VALUE"""),1920)</f>
        <v>1920</v>
      </c>
      <c r="G1509" s="152" t="str">
        <f ca="1">IFERROR(__xludf.DUMMYFUNCTION("""COMPUTED_VALUE"""),"CE")</f>
        <v>CE</v>
      </c>
      <c r="H1509" s="211">
        <v>400</v>
      </c>
      <c r="I1509" s="212">
        <v>1</v>
      </c>
      <c r="J1509" s="212">
        <v>1</v>
      </c>
      <c r="K1509" s="213">
        <f t="shared" si="875"/>
        <v>400</v>
      </c>
      <c r="L1509" s="214">
        <v>0</v>
      </c>
      <c r="M1509" s="215">
        <v>74.5</v>
      </c>
      <c r="N1509" s="216">
        <f t="shared" si="876"/>
        <v>0</v>
      </c>
      <c r="O1509" s="216">
        <f t="shared" si="877"/>
        <v>29800</v>
      </c>
      <c r="P1509" s="217">
        <f t="shared" si="878"/>
        <v>29800</v>
      </c>
      <c r="Q1509" s="217">
        <f t="shared" si="879"/>
        <v>29800</v>
      </c>
      <c r="R1509" s="217">
        <f t="shared" si="891"/>
        <v>20</v>
      </c>
      <c r="S1509" s="217">
        <f t="shared" si="881"/>
        <v>6.44</v>
      </c>
      <c r="T1509" s="217">
        <f t="shared" si="882"/>
        <v>14.9</v>
      </c>
      <c r="U1509" s="217">
        <f t="shared" si="883"/>
        <v>0</v>
      </c>
      <c r="V1509" s="217">
        <f t="shared" si="884"/>
        <v>15.79</v>
      </c>
      <c r="W1509" s="217">
        <f t="shared" si="885"/>
        <v>0.03</v>
      </c>
      <c r="X1509" s="217">
        <f t="shared" si="886"/>
        <v>57.160000000000004</v>
      </c>
      <c r="Y1509" s="218">
        <f t="shared" si="887"/>
        <v>29742.84</v>
      </c>
      <c r="Z1509" s="219">
        <v>29742.45</v>
      </c>
      <c r="AA1509" s="220">
        <f t="shared" si="888"/>
        <v>-0.38999999999941792</v>
      </c>
      <c r="AB1509" s="221">
        <f t="shared" si="889"/>
        <v>0</v>
      </c>
      <c r="AC1509" s="222">
        <f t="shared" si="890"/>
        <v>1.918E-3</v>
      </c>
      <c r="AD1509" s="217"/>
      <c r="AE1509" s="223" t="s">
        <v>403</v>
      </c>
      <c r="AF1509" s="119"/>
    </row>
    <row r="1510" spans="1:32" ht="12" hidden="1" customHeight="1">
      <c r="A1510" s="148">
        <v>44708</v>
      </c>
      <c r="B1510" s="152" t="s">
        <v>749</v>
      </c>
      <c r="C1510" s="152" t="str">
        <f t="shared" ca="1" si="874"/>
        <v>Stocks</v>
      </c>
      <c r="D1510" s="152" t="str">
        <f ca="1">IFERROR(__xludf.DUMMYFUNCTION("split(B1510,"" "")"),"CANBK")</f>
        <v>CANBK</v>
      </c>
      <c r="E1510" s="152" t="str">
        <f ca="1">IFERROR(__xludf.DUMMYFUNCTION("""COMPUTED_VALUE"""),"JUN")</f>
        <v>JUN</v>
      </c>
      <c r="F1510" s="152">
        <f ca="1">IFERROR(__xludf.DUMMYFUNCTION("""COMPUTED_VALUE"""),200)</f>
        <v>200</v>
      </c>
      <c r="G1510" s="152" t="str">
        <f ca="1">IFERROR(__xludf.DUMMYFUNCTION("""COMPUTED_VALUE"""),"CE")</f>
        <v>CE</v>
      </c>
      <c r="H1510" s="211">
        <v>2700</v>
      </c>
      <c r="I1510" s="212">
        <v>1</v>
      </c>
      <c r="J1510" s="212">
        <v>1</v>
      </c>
      <c r="K1510" s="213">
        <f t="shared" si="875"/>
        <v>2700</v>
      </c>
      <c r="L1510" s="214">
        <v>7.5</v>
      </c>
      <c r="M1510" s="215">
        <v>0</v>
      </c>
      <c r="N1510" s="216">
        <f t="shared" si="876"/>
        <v>20250</v>
      </c>
      <c r="O1510" s="216">
        <f t="shared" si="877"/>
        <v>0</v>
      </c>
      <c r="P1510" s="217">
        <f t="shared" si="878"/>
        <v>20250</v>
      </c>
      <c r="Q1510" s="217">
        <f t="shared" si="879"/>
        <v>-20250</v>
      </c>
      <c r="R1510" s="217">
        <f t="shared" si="891"/>
        <v>20</v>
      </c>
      <c r="S1510" s="217">
        <f t="shared" si="881"/>
        <v>5.53</v>
      </c>
      <c r="T1510" s="217">
        <f t="shared" si="882"/>
        <v>0</v>
      </c>
      <c r="U1510" s="217">
        <f t="shared" si="883"/>
        <v>0.61</v>
      </c>
      <c r="V1510" s="217">
        <f t="shared" si="884"/>
        <v>10.73</v>
      </c>
      <c r="W1510" s="217">
        <f t="shared" si="885"/>
        <v>0.02</v>
      </c>
      <c r="X1510" s="217">
        <f t="shared" si="886"/>
        <v>36.890000000000008</v>
      </c>
      <c r="Y1510" s="218">
        <f t="shared" si="887"/>
        <v>-20286.89</v>
      </c>
      <c r="Z1510" s="219">
        <v>-20287</v>
      </c>
      <c r="AA1510" s="220">
        <f t="shared" si="888"/>
        <v>-0.11000000000058208</v>
      </c>
      <c r="AB1510" s="221">
        <f t="shared" si="889"/>
        <v>-1</v>
      </c>
      <c r="AC1510" s="222">
        <f t="shared" si="890"/>
        <v>1.8220000000000001E-3</v>
      </c>
      <c r="AD1510" s="217"/>
      <c r="AE1510" s="223" t="s">
        <v>403</v>
      </c>
      <c r="AF1510" s="119"/>
    </row>
    <row r="1511" spans="1:32" ht="12" hidden="1" customHeight="1">
      <c r="A1511" s="150">
        <v>44713</v>
      </c>
      <c r="B1511" s="152" t="s">
        <v>749</v>
      </c>
      <c r="C1511" s="152" t="str">
        <f t="shared" ca="1" si="874"/>
        <v>Stocks</v>
      </c>
      <c r="D1511" s="152" t="str">
        <f ca="1">IFERROR(__xludf.DUMMYFUNCTION("split(B1511,"" "")"),"CANBK")</f>
        <v>CANBK</v>
      </c>
      <c r="E1511" s="152" t="str">
        <f ca="1">IFERROR(__xludf.DUMMYFUNCTION("""COMPUTED_VALUE"""),"JUN")</f>
        <v>JUN</v>
      </c>
      <c r="F1511" s="152">
        <f ca="1">IFERROR(__xludf.DUMMYFUNCTION("""COMPUTED_VALUE"""),200)</f>
        <v>200</v>
      </c>
      <c r="G1511" s="152" t="str">
        <f ca="1">IFERROR(__xludf.DUMMYFUNCTION("""COMPUTED_VALUE"""),"CE")</f>
        <v>CE</v>
      </c>
      <c r="H1511" s="211">
        <v>2700</v>
      </c>
      <c r="I1511" s="212">
        <v>1</v>
      </c>
      <c r="J1511" s="212">
        <v>1</v>
      </c>
      <c r="K1511" s="213">
        <f t="shared" si="875"/>
        <v>2700</v>
      </c>
      <c r="L1511" s="214">
        <v>0</v>
      </c>
      <c r="M1511" s="215">
        <v>10</v>
      </c>
      <c r="N1511" s="216">
        <f t="shared" si="876"/>
        <v>0</v>
      </c>
      <c r="O1511" s="216">
        <f t="shared" si="877"/>
        <v>27000</v>
      </c>
      <c r="P1511" s="217">
        <f t="shared" si="878"/>
        <v>27000</v>
      </c>
      <c r="Q1511" s="217">
        <f t="shared" si="879"/>
        <v>27000</v>
      </c>
      <c r="R1511" s="217">
        <f t="shared" si="891"/>
        <v>20</v>
      </c>
      <c r="S1511" s="217">
        <f t="shared" si="881"/>
        <v>6.18</v>
      </c>
      <c r="T1511" s="217">
        <f t="shared" si="882"/>
        <v>13.5</v>
      </c>
      <c r="U1511" s="217">
        <f t="shared" si="883"/>
        <v>0</v>
      </c>
      <c r="V1511" s="217">
        <f t="shared" si="884"/>
        <v>14.31</v>
      </c>
      <c r="W1511" s="217">
        <f t="shared" si="885"/>
        <v>0.03</v>
      </c>
      <c r="X1511" s="217">
        <f t="shared" si="886"/>
        <v>54.02</v>
      </c>
      <c r="Y1511" s="218">
        <f t="shared" si="887"/>
        <v>26945.98</v>
      </c>
      <c r="Z1511" s="219">
        <v>26946</v>
      </c>
      <c r="AA1511" s="220">
        <f t="shared" si="888"/>
        <v>2.0000000000436557E-2</v>
      </c>
      <c r="AB1511" s="221">
        <f t="shared" si="889"/>
        <v>0</v>
      </c>
      <c r="AC1511" s="222">
        <f t="shared" si="890"/>
        <v>2.0010000000000002E-3</v>
      </c>
      <c r="AD1511" s="217"/>
      <c r="AE1511" s="223" t="s">
        <v>403</v>
      </c>
      <c r="AF1511" s="119"/>
    </row>
    <row r="1512" spans="1:32" ht="12" hidden="1" customHeight="1">
      <c r="A1512" s="209">
        <v>44713</v>
      </c>
      <c r="B1512" s="152" t="s">
        <v>750</v>
      </c>
      <c r="C1512" s="152" t="str">
        <f t="shared" ca="1" si="874"/>
        <v>Stocks</v>
      </c>
      <c r="D1512" s="152" t="str">
        <f ca="1">IFERROR(__xludf.DUMMYFUNCTION("split(B1512,"" "")"),"CANBK")</f>
        <v>CANBK</v>
      </c>
      <c r="E1512" s="152" t="str">
        <f ca="1">IFERROR(__xludf.DUMMYFUNCTION("""COMPUTED_VALUE"""),"JUN")</f>
        <v>JUN</v>
      </c>
      <c r="F1512" s="152">
        <f ca="1">IFERROR(__xludf.DUMMYFUNCTION("""COMPUTED_VALUE"""),210)</f>
        <v>210</v>
      </c>
      <c r="G1512" s="152" t="str">
        <f ca="1">IFERROR(__xludf.DUMMYFUNCTION("""COMPUTED_VALUE"""),"CE")</f>
        <v>CE</v>
      </c>
      <c r="H1512" s="211">
        <v>2700</v>
      </c>
      <c r="I1512" s="212">
        <v>1</v>
      </c>
      <c r="J1512" s="212">
        <v>1</v>
      </c>
      <c r="K1512" s="213">
        <f t="shared" si="875"/>
        <v>2700</v>
      </c>
      <c r="L1512" s="214">
        <v>5</v>
      </c>
      <c r="M1512" s="215">
        <v>5.5</v>
      </c>
      <c r="N1512" s="216">
        <f t="shared" si="876"/>
        <v>13500</v>
      </c>
      <c r="O1512" s="216">
        <f t="shared" si="877"/>
        <v>14850</v>
      </c>
      <c r="P1512" s="217">
        <f t="shared" si="878"/>
        <v>28350</v>
      </c>
      <c r="Q1512" s="217">
        <f t="shared" si="879"/>
        <v>1350</v>
      </c>
      <c r="R1512" s="217">
        <f t="shared" si="891"/>
        <v>40</v>
      </c>
      <c r="S1512" s="217">
        <f t="shared" si="881"/>
        <v>9.91</v>
      </c>
      <c r="T1512" s="217">
        <f t="shared" si="882"/>
        <v>7.43</v>
      </c>
      <c r="U1512" s="217">
        <f t="shared" si="883"/>
        <v>0.41</v>
      </c>
      <c r="V1512" s="217">
        <f t="shared" si="884"/>
        <v>15.03</v>
      </c>
      <c r="W1512" s="217">
        <f t="shared" si="885"/>
        <v>0.03</v>
      </c>
      <c r="X1512" s="217">
        <f t="shared" si="886"/>
        <v>72.809999999999988</v>
      </c>
      <c r="Y1512" s="218">
        <f t="shared" si="887"/>
        <v>1277.19</v>
      </c>
      <c r="Z1512" s="219">
        <v>1277</v>
      </c>
      <c r="AA1512" s="220">
        <f t="shared" si="888"/>
        <v>-0.19000000000005457</v>
      </c>
      <c r="AB1512" s="221">
        <f t="shared" si="889"/>
        <v>0.1</v>
      </c>
      <c r="AC1512" s="222">
        <f t="shared" si="890"/>
        <v>2.568E-3</v>
      </c>
      <c r="AD1512" s="217"/>
      <c r="AE1512" s="223" t="s">
        <v>403</v>
      </c>
      <c r="AF1512" s="119"/>
    </row>
    <row r="1513" spans="1:32" ht="12" hidden="1" customHeight="1">
      <c r="A1513" s="209">
        <v>44713</v>
      </c>
      <c r="B1513" s="152" t="s">
        <v>751</v>
      </c>
      <c r="C1513" s="152" t="str">
        <f t="shared" ca="1" si="874"/>
        <v>Stocks</v>
      </c>
      <c r="D1513" s="152" t="str">
        <f ca="1">IFERROR(__xludf.DUMMYFUNCTION("split(B1513,"" "")"),"TATASTEEL")</f>
        <v>TATASTEEL</v>
      </c>
      <c r="E1513" s="152" t="str">
        <f ca="1">IFERROR(__xludf.DUMMYFUNCTION("""COMPUTED_VALUE"""),"JUN")</f>
        <v>JUN</v>
      </c>
      <c r="F1513" s="152">
        <f ca="1">IFERROR(__xludf.DUMMYFUNCTION("""COMPUTED_VALUE"""),1080)</f>
        <v>1080</v>
      </c>
      <c r="G1513" s="152" t="str">
        <f ca="1">IFERROR(__xludf.DUMMYFUNCTION("""COMPUTED_VALUE"""),"CE")</f>
        <v>CE</v>
      </c>
      <c r="H1513" s="211">
        <v>425</v>
      </c>
      <c r="I1513" s="212">
        <v>1</v>
      </c>
      <c r="J1513" s="212">
        <v>1</v>
      </c>
      <c r="K1513" s="213">
        <f t="shared" si="875"/>
        <v>425</v>
      </c>
      <c r="L1513" s="214">
        <v>28</v>
      </c>
      <c r="M1513" s="215">
        <v>26</v>
      </c>
      <c r="N1513" s="216">
        <f t="shared" si="876"/>
        <v>11900</v>
      </c>
      <c r="O1513" s="216">
        <f t="shared" si="877"/>
        <v>11050</v>
      </c>
      <c r="P1513" s="217">
        <f t="shared" si="878"/>
        <v>22950</v>
      </c>
      <c r="Q1513" s="217">
        <f t="shared" si="879"/>
        <v>-850</v>
      </c>
      <c r="R1513" s="217">
        <f t="shared" si="891"/>
        <v>40</v>
      </c>
      <c r="S1513" s="217">
        <f t="shared" si="881"/>
        <v>9.39</v>
      </c>
      <c r="T1513" s="217">
        <f t="shared" si="882"/>
        <v>5.53</v>
      </c>
      <c r="U1513" s="217">
        <f t="shared" si="883"/>
        <v>0.36</v>
      </c>
      <c r="V1513" s="217">
        <f t="shared" si="884"/>
        <v>12.16</v>
      </c>
      <c r="W1513" s="217">
        <f t="shared" si="885"/>
        <v>0.02</v>
      </c>
      <c r="X1513" s="217">
        <f t="shared" si="886"/>
        <v>67.459999999999994</v>
      </c>
      <c r="Y1513" s="218">
        <f t="shared" si="887"/>
        <v>-917.46</v>
      </c>
      <c r="Z1513" s="219">
        <v>-917.05</v>
      </c>
      <c r="AA1513" s="220">
        <f t="shared" si="888"/>
        <v>0.41000000000008185</v>
      </c>
      <c r="AB1513" s="221">
        <f t="shared" si="889"/>
        <v>-7.1428571428571425E-2</v>
      </c>
      <c r="AC1513" s="222">
        <f t="shared" si="890"/>
        <v>2.9390000000000002E-3</v>
      </c>
      <c r="AD1513" s="217"/>
      <c r="AE1513" s="223" t="s">
        <v>403</v>
      </c>
      <c r="AF1513" s="119"/>
    </row>
    <row r="1514" spans="1:32" ht="12" hidden="1" customHeight="1">
      <c r="A1514" s="209">
        <v>44714</v>
      </c>
      <c r="B1514" s="152" t="s">
        <v>752</v>
      </c>
      <c r="C1514" s="152" t="str">
        <f t="shared" ca="1" si="874"/>
        <v>Stocks</v>
      </c>
      <c r="D1514" s="152" t="str">
        <f ca="1">IFERROR(__xludf.DUMMYFUNCTION("split(B1514,"" "")"),"CANBK")</f>
        <v>CANBK</v>
      </c>
      <c r="E1514" s="152" t="str">
        <f ca="1">IFERROR(__xludf.DUMMYFUNCTION("""COMPUTED_VALUE"""),"JUN")</f>
        <v>JUN</v>
      </c>
      <c r="F1514" s="152">
        <f ca="1">IFERROR(__xludf.DUMMYFUNCTION("""COMPUTED_VALUE"""),215)</f>
        <v>215</v>
      </c>
      <c r="G1514" s="152" t="str">
        <f ca="1">IFERROR(__xludf.DUMMYFUNCTION("""COMPUTED_VALUE"""),"CE")</f>
        <v>CE</v>
      </c>
      <c r="H1514" s="211">
        <v>2700</v>
      </c>
      <c r="I1514" s="212">
        <v>1</v>
      </c>
      <c r="J1514" s="212">
        <v>1</v>
      </c>
      <c r="K1514" s="213">
        <f t="shared" si="875"/>
        <v>2700</v>
      </c>
      <c r="L1514" s="214">
        <v>5</v>
      </c>
      <c r="M1514" s="215">
        <v>5.9</v>
      </c>
      <c r="N1514" s="216">
        <f t="shared" si="876"/>
        <v>13500</v>
      </c>
      <c r="O1514" s="216">
        <f t="shared" si="877"/>
        <v>15930</v>
      </c>
      <c r="P1514" s="217">
        <f t="shared" si="878"/>
        <v>29430</v>
      </c>
      <c r="Q1514" s="217">
        <f t="shared" si="879"/>
        <v>2430.0000000000009</v>
      </c>
      <c r="R1514" s="217">
        <f t="shared" si="891"/>
        <v>40</v>
      </c>
      <c r="S1514" s="217">
        <f t="shared" si="881"/>
        <v>10.01</v>
      </c>
      <c r="T1514" s="217">
        <f t="shared" si="882"/>
        <v>7.97</v>
      </c>
      <c r="U1514" s="217">
        <f t="shared" si="883"/>
        <v>0.41</v>
      </c>
      <c r="V1514" s="217">
        <f t="shared" si="884"/>
        <v>15.6</v>
      </c>
      <c r="W1514" s="217">
        <f t="shared" si="885"/>
        <v>0.03</v>
      </c>
      <c r="X1514" s="217">
        <f t="shared" si="886"/>
        <v>74.02</v>
      </c>
      <c r="Y1514" s="218">
        <f t="shared" si="887"/>
        <v>2355.98</v>
      </c>
      <c r="Z1514" s="219">
        <v>2356.36</v>
      </c>
      <c r="AA1514" s="220">
        <f t="shared" si="888"/>
        <v>0.38000000000010914</v>
      </c>
      <c r="AB1514" s="221">
        <f t="shared" si="889"/>
        <v>0.18000000000000008</v>
      </c>
      <c r="AC1514" s="222">
        <f t="shared" si="890"/>
        <v>2.5149999999999999E-3</v>
      </c>
      <c r="AD1514" s="217"/>
      <c r="AE1514" s="223" t="s">
        <v>403</v>
      </c>
      <c r="AF1514" s="119"/>
    </row>
    <row r="1515" spans="1:32" ht="12" hidden="1" customHeight="1">
      <c r="A1515" s="148">
        <v>44715</v>
      </c>
      <c r="B1515" s="152" t="s">
        <v>753</v>
      </c>
      <c r="C1515" s="152" t="str">
        <f t="shared" ca="1" si="874"/>
        <v>Stocks</v>
      </c>
      <c r="D1515" s="152" t="str">
        <f ca="1">IFERROR(__xludf.DUMMYFUNCTION("split(B1515,"" "")"),"L&amp;TFH")</f>
        <v>L&amp;TFH</v>
      </c>
      <c r="E1515" s="152" t="str">
        <f ca="1">IFERROR(__xludf.DUMMYFUNCTION("""COMPUTED_VALUE"""),"JUN")</f>
        <v>JUN</v>
      </c>
      <c r="F1515" s="152">
        <f ca="1">IFERROR(__xludf.DUMMYFUNCTION("""COMPUTED_VALUE"""),78)</f>
        <v>78</v>
      </c>
      <c r="G1515" s="152" t="str">
        <f ca="1">IFERROR(__xludf.DUMMYFUNCTION("""COMPUTED_VALUE"""),"CE")</f>
        <v>CE</v>
      </c>
      <c r="H1515" s="211">
        <v>8924</v>
      </c>
      <c r="I1515" s="212">
        <v>1</v>
      </c>
      <c r="J1515" s="212">
        <v>1</v>
      </c>
      <c r="K1515" s="213">
        <f t="shared" si="875"/>
        <v>8924</v>
      </c>
      <c r="L1515" s="214">
        <v>4</v>
      </c>
      <c r="M1515" s="215">
        <v>0</v>
      </c>
      <c r="N1515" s="216">
        <f t="shared" si="876"/>
        <v>35696</v>
      </c>
      <c r="O1515" s="216">
        <f t="shared" si="877"/>
        <v>0</v>
      </c>
      <c r="P1515" s="217">
        <f t="shared" si="878"/>
        <v>35696</v>
      </c>
      <c r="Q1515" s="217">
        <f t="shared" si="879"/>
        <v>-35696</v>
      </c>
      <c r="R1515" s="217">
        <f t="shared" si="891"/>
        <v>20</v>
      </c>
      <c r="S1515" s="217">
        <f t="shared" si="881"/>
        <v>7.01</v>
      </c>
      <c r="T1515" s="217">
        <f t="shared" si="882"/>
        <v>0</v>
      </c>
      <c r="U1515" s="217">
        <f t="shared" si="883"/>
        <v>1.07</v>
      </c>
      <c r="V1515" s="217">
        <f t="shared" si="884"/>
        <v>18.920000000000002</v>
      </c>
      <c r="W1515" s="217">
        <f t="shared" si="885"/>
        <v>0.04</v>
      </c>
      <c r="X1515" s="217">
        <f t="shared" si="886"/>
        <v>47.04</v>
      </c>
      <c r="Y1515" s="218">
        <f t="shared" si="887"/>
        <v>-35743.040000000001</v>
      </c>
      <c r="Z1515" s="219">
        <v>-35743</v>
      </c>
      <c r="AA1515" s="220">
        <f t="shared" si="888"/>
        <v>4.0000000000873115E-2</v>
      </c>
      <c r="AB1515" s="221">
        <f t="shared" si="889"/>
        <v>-1</v>
      </c>
      <c r="AC1515" s="222">
        <f t="shared" si="890"/>
        <v>1.3179999999999999E-3</v>
      </c>
      <c r="AD1515" s="217"/>
      <c r="AE1515" s="223" t="s">
        <v>403</v>
      </c>
      <c r="AF1515" s="119"/>
    </row>
    <row r="1516" spans="1:32" ht="12" hidden="1" customHeight="1">
      <c r="A1516" s="150">
        <v>44735</v>
      </c>
      <c r="B1516" s="152" t="s">
        <v>753</v>
      </c>
      <c r="C1516" s="152" t="str">
        <f t="shared" ca="1" si="874"/>
        <v>Stocks</v>
      </c>
      <c r="D1516" s="152" t="str">
        <f ca="1">IFERROR(__xludf.DUMMYFUNCTION("split(B1516,"" "")"),"L&amp;TFH")</f>
        <v>L&amp;TFH</v>
      </c>
      <c r="E1516" s="152" t="str">
        <f ca="1">IFERROR(__xludf.DUMMYFUNCTION("""COMPUTED_VALUE"""),"JUN")</f>
        <v>JUN</v>
      </c>
      <c r="F1516" s="152">
        <f ca="1">IFERROR(__xludf.DUMMYFUNCTION("""COMPUTED_VALUE"""),78)</f>
        <v>78</v>
      </c>
      <c r="G1516" s="152" t="str">
        <f ca="1">IFERROR(__xludf.DUMMYFUNCTION("""COMPUTED_VALUE"""),"CE")</f>
        <v>CE</v>
      </c>
      <c r="H1516" s="211">
        <v>8924</v>
      </c>
      <c r="I1516" s="212">
        <v>1</v>
      </c>
      <c r="J1516" s="212">
        <v>1</v>
      </c>
      <c r="K1516" s="213">
        <f t="shared" si="875"/>
        <v>8924</v>
      </c>
      <c r="L1516" s="214">
        <v>0</v>
      </c>
      <c r="M1516" s="215">
        <v>0.05</v>
      </c>
      <c r="N1516" s="216">
        <f t="shared" si="876"/>
        <v>0</v>
      </c>
      <c r="O1516" s="216">
        <f t="shared" si="877"/>
        <v>446.2</v>
      </c>
      <c r="P1516" s="217">
        <f t="shared" si="878"/>
        <v>446.2</v>
      </c>
      <c r="Q1516" s="217">
        <f t="shared" si="879"/>
        <v>446.20000000000005</v>
      </c>
      <c r="R1516" s="217">
        <f t="shared" si="891"/>
        <v>20</v>
      </c>
      <c r="S1516" s="217">
        <f t="shared" si="881"/>
        <v>3.64</v>
      </c>
      <c r="T1516" s="217">
        <f t="shared" si="882"/>
        <v>0.22</v>
      </c>
      <c r="U1516" s="217">
        <f t="shared" si="883"/>
        <v>0</v>
      </c>
      <c r="V1516" s="217">
        <f t="shared" si="884"/>
        <v>0.24</v>
      </c>
      <c r="W1516" s="217">
        <f t="shared" si="885"/>
        <v>0</v>
      </c>
      <c r="X1516" s="217">
        <f t="shared" si="886"/>
        <v>24.099999999999998</v>
      </c>
      <c r="Y1516" s="218">
        <f t="shared" si="887"/>
        <v>422.1</v>
      </c>
      <c r="Z1516" s="219">
        <f>ROUND(Y1516,0)</f>
        <v>422</v>
      </c>
      <c r="AA1516" s="220">
        <f t="shared" si="888"/>
        <v>-0.10000000000002274</v>
      </c>
      <c r="AB1516" s="221">
        <f t="shared" si="889"/>
        <v>0</v>
      </c>
      <c r="AC1516" s="222">
        <f t="shared" si="890"/>
        <v>5.4011999999999998E-2</v>
      </c>
      <c r="AD1516" s="217"/>
      <c r="AE1516" s="223" t="s">
        <v>403</v>
      </c>
      <c r="AF1516" s="119"/>
    </row>
    <row r="1517" spans="1:32" ht="12" hidden="1" customHeight="1">
      <c r="A1517" s="148">
        <v>44715</v>
      </c>
      <c r="B1517" s="152" t="s">
        <v>754</v>
      </c>
      <c r="C1517" s="152" t="str">
        <f t="shared" ca="1" si="874"/>
        <v>Stocks</v>
      </c>
      <c r="D1517" s="152" t="str">
        <f ca="1">IFERROR(__xludf.DUMMYFUNCTION("split(B1517,"" "")"),"COALINDIA")</f>
        <v>COALINDIA</v>
      </c>
      <c r="E1517" s="152" t="str">
        <f ca="1">IFERROR(__xludf.DUMMYFUNCTION("""COMPUTED_VALUE"""),"JUN")</f>
        <v>JUN</v>
      </c>
      <c r="F1517" s="152">
        <f ca="1">IFERROR(__xludf.DUMMYFUNCTION("""COMPUTED_VALUE"""),200)</f>
        <v>200</v>
      </c>
      <c r="G1517" s="152" t="str">
        <f ca="1">IFERROR(__xludf.DUMMYFUNCTION("""COMPUTED_VALUE"""),"CE")</f>
        <v>CE</v>
      </c>
      <c r="H1517" s="211">
        <v>4200</v>
      </c>
      <c r="I1517" s="212">
        <v>1</v>
      </c>
      <c r="J1517" s="212">
        <v>1</v>
      </c>
      <c r="K1517" s="213">
        <f t="shared" si="875"/>
        <v>4200</v>
      </c>
      <c r="L1517" s="214">
        <v>6.2</v>
      </c>
      <c r="M1517" s="215">
        <v>0</v>
      </c>
      <c r="N1517" s="216">
        <f t="shared" si="876"/>
        <v>26040</v>
      </c>
      <c r="O1517" s="216">
        <f t="shared" si="877"/>
        <v>0</v>
      </c>
      <c r="P1517" s="217">
        <f t="shared" si="878"/>
        <v>26040</v>
      </c>
      <c r="Q1517" s="217">
        <f t="shared" si="879"/>
        <v>-26040</v>
      </c>
      <c r="R1517" s="217">
        <f t="shared" si="891"/>
        <v>20</v>
      </c>
      <c r="S1517" s="217">
        <f t="shared" si="881"/>
        <v>6.08</v>
      </c>
      <c r="T1517" s="217">
        <f t="shared" si="882"/>
        <v>0</v>
      </c>
      <c r="U1517" s="217">
        <f t="shared" si="883"/>
        <v>0.78</v>
      </c>
      <c r="V1517" s="217">
        <f t="shared" si="884"/>
        <v>13.8</v>
      </c>
      <c r="W1517" s="217">
        <f t="shared" si="885"/>
        <v>0.03</v>
      </c>
      <c r="X1517" s="217">
        <f t="shared" si="886"/>
        <v>40.69</v>
      </c>
      <c r="Y1517" s="218">
        <f t="shared" si="887"/>
        <v>-26080.69</v>
      </c>
      <c r="Z1517" s="219">
        <v>-26080.87</v>
      </c>
      <c r="AA1517" s="220">
        <f t="shared" si="888"/>
        <v>-0.18000000000029104</v>
      </c>
      <c r="AB1517" s="221">
        <f t="shared" si="889"/>
        <v>-1</v>
      </c>
      <c r="AC1517" s="222">
        <f t="shared" si="890"/>
        <v>1.5629999999999999E-3</v>
      </c>
      <c r="AD1517" s="217"/>
      <c r="AE1517" s="223" t="s">
        <v>403</v>
      </c>
      <c r="AF1517" s="119"/>
    </row>
    <row r="1518" spans="1:32" ht="12" hidden="1" customHeight="1">
      <c r="A1518" s="150">
        <v>44720</v>
      </c>
      <c r="B1518" s="152" t="s">
        <v>754</v>
      </c>
      <c r="C1518" s="152" t="str">
        <f t="shared" ca="1" si="874"/>
        <v>Stocks</v>
      </c>
      <c r="D1518" s="152" t="str">
        <f ca="1">IFERROR(__xludf.DUMMYFUNCTION("split(B1518,"" "")"),"COALINDIA")</f>
        <v>COALINDIA</v>
      </c>
      <c r="E1518" s="152" t="str">
        <f ca="1">IFERROR(__xludf.DUMMYFUNCTION("""COMPUTED_VALUE"""),"JUN")</f>
        <v>JUN</v>
      </c>
      <c r="F1518" s="152">
        <f ca="1">IFERROR(__xludf.DUMMYFUNCTION("""COMPUTED_VALUE"""),200)</f>
        <v>200</v>
      </c>
      <c r="G1518" s="152" t="str">
        <f ca="1">IFERROR(__xludf.DUMMYFUNCTION("""COMPUTED_VALUE"""),"CE")</f>
        <v>CE</v>
      </c>
      <c r="H1518" s="211">
        <v>4200</v>
      </c>
      <c r="I1518" s="212">
        <v>1</v>
      </c>
      <c r="J1518" s="212">
        <v>1</v>
      </c>
      <c r="K1518" s="213">
        <f t="shared" si="875"/>
        <v>4200</v>
      </c>
      <c r="L1518" s="214">
        <v>0</v>
      </c>
      <c r="M1518" s="215">
        <v>7.3</v>
      </c>
      <c r="N1518" s="216">
        <f t="shared" si="876"/>
        <v>0</v>
      </c>
      <c r="O1518" s="216">
        <f t="shared" si="877"/>
        <v>30660</v>
      </c>
      <c r="P1518" s="217">
        <f t="shared" si="878"/>
        <v>30660</v>
      </c>
      <c r="Q1518" s="217">
        <f t="shared" si="879"/>
        <v>30660</v>
      </c>
      <c r="R1518" s="217">
        <f t="shared" si="891"/>
        <v>20</v>
      </c>
      <c r="S1518" s="217">
        <f t="shared" si="881"/>
        <v>6.53</v>
      </c>
      <c r="T1518" s="217">
        <f t="shared" si="882"/>
        <v>15.33</v>
      </c>
      <c r="U1518" s="217">
        <f t="shared" si="883"/>
        <v>0</v>
      </c>
      <c r="V1518" s="217">
        <f t="shared" si="884"/>
        <v>16.25</v>
      </c>
      <c r="W1518" s="217">
        <f t="shared" si="885"/>
        <v>0.03</v>
      </c>
      <c r="X1518" s="217">
        <f t="shared" si="886"/>
        <v>58.14</v>
      </c>
      <c r="Y1518" s="218">
        <f t="shared" si="887"/>
        <v>30601.86</v>
      </c>
      <c r="Z1518" s="219">
        <v>30602.2</v>
      </c>
      <c r="AA1518" s="220">
        <f t="shared" si="888"/>
        <v>0.34000000000014552</v>
      </c>
      <c r="AB1518" s="221">
        <f t="shared" si="889"/>
        <v>0</v>
      </c>
      <c r="AC1518" s="222">
        <f t="shared" si="890"/>
        <v>1.8959999999999999E-3</v>
      </c>
      <c r="AD1518" s="217"/>
      <c r="AE1518" s="223" t="s">
        <v>403</v>
      </c>
      <c r="AF1518" s="119"/>
    </row>
    <row r="1519" spans="1:32" ht="12" hidden="1" customHeight="1">
      <c r="A1519" s="148">
        <v>44718</v>
      </c>
      <c r="B1519" s="152" t="s">
        <v>755</v>
      </c>
      <c r="C1519" s="152" t="str">
        <f t="shared" ca="1" si="874"/>
        <v>Stocks</v>
      </c>
      <c r="D1519" s="152" t="str">
        <f ca="1">IFERROR(__xludf.DUMMYFUNCTION("split(B1519,"" "")"),"BHARATFORG")</f>
        <v>BHARATFORG</v>
      </c>
      <c r="E1519" s="152" t="str">
        <f ca="1">IFERROR(__xludf.DUMMYFUNCTION("""COMPUTED_VALUE"""),"JUN")</f>
        <v>JUN</v>
      </c>
      <c r="F1519" s="152">
        <f ca="1">IFERROR(__xludf.DUMMYFUNCTION("""COMPUTED_VALUE"""),650)</f>
        <v>650</v>
      </c>
      <c r="G1519" s="152" t="str">
        <f ca="1">IFERROR(__xludf.DUMMYFUNCTION("""COMPUTED_VALUE"""),"PE")</f>
        <v>PE</v>
      </c>
      <c r="H1519" s="211">
        <v>750</v>
      </c>
      <c r="I1519" s="212">
        <v>1</v>
      </c>
      <c r="J1519" s="212">
        <v>1</v>
      </c>
      <c r="K1519" s="213">
        <f t="shared" si="875"/>
        <v>750</v>
      </c>
      <c r="L1519" s="214">
        <v>27</v>
      </c>
      <c r="M1519" s="215">
        <v>0</v>
      </c>
      <c r="N1519" s="216">
        <f t="shared" si="876"/>
        <v>20250</v>
      </c>
      <c r="O1519" s="216">
        <f t="shared" si="877"/>
        <v>0</v>
      </c>
      <c r="P1519" s="217">
        <f t="shared" si="878"/>
        <v>20250</v>
      </c>
      <c r="Q1519" s="217">
        <f t="shared" si="879"/>
        <v>-20250</v>
      </c>
      <c r="R1519" s="217">
        <f t="shared" si="891"/>
        <v>20</v>
      </c>
      <c r="S1519" s="217">
        <f t="shared" si="881"/>
        <v>5.53</v>
      </c>
      <c r="T1519" s="217">
        <f t="shared" si="882"/>
        <v>0</v>
      </c>
      <c r="U1519" s="217">
        <f t="shared" si="883"/>
        <v>0.61</v>
      </c>
      <c r="V1519" s="217">
        <f t="shared" si="884"/>
        <v>10.73</v>
      </c>
      <c r="W1519" s="217">
        <f t="shared" si="885"/>
        <v>0.02</v>
      </c>
      <c r="X1519" s="217">
        <f t="shared" si="886"/>
        <v>36.890000000000008</v>
      </c>
      <c r="Y1519" s="218">
        <f t="shared" si="887"/>
        <v>-20286.89</v>
      </c>
      <c r="Z1519" s="219">
        <v>-20287.28</v>
      </c>
      <c r="AA1519" s="220">
        <f t="shared" si="888"/>
        <v>-0.38999999999941792</v>
      </c>
      <c r="AB1519" s="221">
        <f t="shared" si="889"/>
        <v>-1</v>
      </c>
      <c r="AC1519" s="222">
        <f t="shared" si="890"/>
        <v>1.8220000000000001E-3</v>
      </c>
      <c r="AD1519" s="217"/>
      <c r="AE1519" s="223" t="s">
        <v>403</v>
      </c>
      <c r="AF1519" s="119"/>
    </row>
    <row r="1520" spans="1:32" ht="12" hidden="1" customHeight="1">
      <c r="A1520" s="150">
        <v>44725</v>
      </c>
      <c r="B1520" s="152" t="s">
        <v>755</v>
      </c>
      <c r="C1520" s="152" t="str">
        <f t="shared" ca="1" si="874"/>
        <v>Stocks</v>
      </c>
      <c r="D1520" s="152" t="str">
        <f ca="1">IFERROR(__xludf.DUMMYFUNCTION("split(B1520,"" "")"),"BHARATFORG")</f>
        <v>BHARATFORG</v>
      </c>
      <c r="E1520" s="152" t="str">
        <f ca="1">IFERROR(__xludf.DUMMYFUNCTION("""COMPUTED_VALUE"""),"JUN")</f>
        <v>JUN</v>
      </c>
      <c r="F1520" s="152">
        <f ca="1">IFERROR(__xludf.DUMMYFUNCTION("""COMPUTED_VALUE"""),650)</f>
        <v>650</v>
      </c>
      <c r="G1520" s="152" t="str">
        <f ca="1">IFERROR(__xludf.DUMMYFUNCTION("""COMPUTED_VALUE"""),"PE")</f>
        <v>PE</v>
      </c>
      <c r="H1520" s="211">
        <v>750</v>
      </c>
      <c r="I1520" s="212">
        <v>1</v>
      </c>
      <c r="J1520" s="212">
        <v>1</v>
      </c>
      <c r="K1520" s="213">
        <f t="shared" si="875"/>
        <v>750</v>
      </c>
      <c r="L1520" s="214">
        <v>0</v>
      </c>
      <c r="M1520" s="215">
        <v>25</v>
      </c>
      <c r="N1520" s="216">
        <f t="shared" si="876"/>
        <v>0</v>
      </c>
      <c r="O1520" s="216">
        <f t="shared" si="877"/>
        <v>18750</v>
      </c>
      <c r="P1520" s="217">
        <f t="shared" si="878"/>
        <v>18750</v>
      </c>
      <c r="Q1520" s="217">
        <f t="shared" si="879"/>
        <v>18750</v>
      </c>
      <c r="R1520" s="217">
        <f t="shared" si="891"/>
        <v>20</v>
      </c>
      <c r="S1520" s="217">
        <f t="shared" si="881"/>
        <v>5.39</v>
      </c>
      <c r="T1520" s="217">
        <f t="shared" si="882"/>
        <v>9.3800000000000008</v>
      </c>
      <c r="U1520" s="217">
        <f t="shared" si="883"/>
        <v>0</v>
      </c>
      <c r="V1520" s="217">
        <f t="shared" si="884"/>
        <v>9.94</v>
      </c>
      <c r="W1520" s="217">
        <f t="shared" si="885"/>
        <v>0.02</v>
      </c>
      <c r="X1520" s="217">
        <f t="shared" si="886"/>
        <v>44.730000000000004</v>
      </c>
      <c r="Y1520" s="218">
        <f t="shared" si="887"/>
        <v>18705.27</v>
      </c>
      <c r="Z1520" s="219">
        <v>18705.650000000001</v>
      </c>
      <c r="AA1520" s="220">
        <f t="shared" si="888"/>
        <v>0.38000000000101863</v>
      </c>
      <c r="AB1520" s="221">
        <f t="shared" si="889"/>
        <v>0</v>
      </c>
      <c r="AC1520" s="222">
        <f t="shared" si="890"/>
        <v>2.3860000000000001E-3</v>
      </c>
      <c r="AD1520" s="217"/>
      <c r="AE1520" s="223" t="s">
        <v>403</v>
      </c>
      <c r="AF1520" s="119"/>
    </row>
    <row r="1521" spans="1:32" ht="12" hidden="1" customHeight="1">
      <c r="A1521" s="209">
        <v>44721</v>
      </c>
      <c r="B1521" s="152" t="s">
        <v>756</v>
      </c>
      <c r="C1521" s="152" t="str">
        <f t="shared" ca="1" si="874"/>
        <v>Stocks</v>
      </c>
      <c r="D1521" s="152" t="str">
        <f ca="1">IFERROR(__xludf.DUMMYFUNCTION("split(B1521,"" "")"),"ONGC")</f>
        <v>ONGC</v>
      </c>
      <c r="E1521" s="152" t="str">
        <f ca="1">IFERROR(__xludf.DUMMYFUNCTION("""COMPUTED_VALUE"""),"JUN")</f>
        <v>JUN</v>
      </c>
      <c r="F1521" s="152">
        <f ca="1">IFERROR(__xludf.DUMMYFUNCTION("""COMPUTED_VALUE"""),165)</f>
        <v>165</v>
      </c>
      <c r="G1521" s="152" t="str">
        <f ca="1">IFERROR(__xludf.DUMMYFUNCTION("""COMPUTED_VALUE"""),"CE")</f>
        <v>CE</v>
      </c>
      <c r="H1521" s="211">
        <v>3850</v>
      </c>
      <c r="I1521" s="212">
        <v>1</v>
      </c>
      <c r="J1521" s="212">
        <v>1</v>
      </c>
      <c r="K1521" s="213">
        <f t="shared" si="875"/>
        <v>3850</v>
      </c>
      <c r="L1521" s="214">
        <v>4</v>
      </c>
      <c r="M1521" s="215">
        <v>4.5999999999999996</v>
      </c>
      <c r="N1521" s="216">
        <f t="shared" si="876"/>
        <v>15400</v>
      </c>
      <c r="O1521" s="216">
        <f t="shared" si="877"/>
        <v>17710</v>
      </c>
      <c r="P1521" s="217">
        <f t="shared" si="878"/>
        <v>33110</v>
      </c>
      <c r="Q1521" s="217">
        <f t="shared" si="879"/>
        <v>2309.9999999999986</v>
      </c>
      <c r="R1521" s="217">
        <f t="shared" si="891"/>
        <v>40</v>
      </c>
      <c r="S1521" s="217">
        <f t="shared" si="881"/>
        <v>10.36</v>
      </c>
      <c r="T1521" s="217">
        <f t="shared" si="882"/>
        <v>8.86</v>
      </c>
      <c r="U1521" s="217">
        <f t="shared" si="883"/>
        <v>0.46</v>
      </c>
      <c r="V1521" s="217">
        <f t="shared" si="884"/>
        <v>17.55</v>
      </c>
      <c r="W1521" s="217">
        <f t="shared" si="885"/>
        <v>0.03</v>
      </c>
      <c r="X1521" s="217">
        <f t="shared" si="886"/>
        <v>77.260000000000005</v>
      </c>
      <c r="Y1521" s="218">
        <f t="shared" si="887"/>
        <v>2232.7399999999998</v>
      </c>
      <c r="Z1521" s="219">
        <v>2232.31</v>
      </c>
      <c r="AA1521" s="220">
        <f t="shared" si="888"/>
        <v>-0.42999999999983629</v>
      </c>
      <c r="AB1521" s="221">
        <f t="shared" si="889"/>
        <v>0.14999999999999991</v>
      </c>
      <c r="AC1521" s="222">
        <f t="shared" si="890"/>
        <v>2.333E-3</v>
      </c>
      <c r="AD1521" s="217"/>
      <c r="AE1521" s="223" t="s">
        <v>403</v>
      </c>
      <c r="AF1521" s="119"/>
    </row>
    <row r="1522" spans="1:32" ht="12" hidden="1" customHeight="1">
      <c r="A1522" s="209">
        <v>44721</v>
      </c>
      <c r="B1522" s="152" t="s">
        <v>756</v>
      </c>
      <c r="C1522" s="152" t="str">
        <f t="shared" ca="1" si="874"/>
        <v>Stocks</v>
      </c>
      <c r="D1522" s="152" t="str">
        <f ca="1">IFERROR(__xludf.DUMMYFUNCTION("split(B1522,"" "")"),"ONGC")</f>
        <v>ONGC</v>
      </c>
      <c r="E1522" s="152" t="str">
        <f ca="1">IFERROR(__xludf.DUMMYFUNCTION("""COMPUTED_VALUE"""),"JUN")</f>
        <v>JUN</v>
      </c>
      <c r="F1522" s="152">
        <f ca="1">IFERROR(__xludf.DUMMYFUNCTION("""COMPUTED_VALUE"""),165)</f>
        <v>165</v>
      </c>
      <c r="G1522" s="152" t="str">
        <f ca="1">IFERROR(__xludf.DUMMYFUNCTION("""COMPUTED_VALUE"""),"CE")</f>
        <v>CE</v>
      </c>
      <c r="H1522" s="211">
        <v>3850</v>
      </c>
      <c r="I1522" s="212">
        <v>1</v>
      </c>
      <c r="J1522" s="212">
        <v>1</v>
      </c>
      <c r="K1522" s="213">
        <f t="shared" si="875"/>
        <v>3850</v>
      </c>
      <c r="L1522" s="214">
        <v>3.9</v>
      </c>
      <c r="M1522" s="215">
        <v>4.05</v>
      </c>
      <c r="N1522" s="216">
        <f t="shared" si="876"/>
        <v>15015</v>
      </c>
      <c r="O1522" s="216">
        <f t="shared" si="877"/>
        <v>15592.5</v>
      </c>
      <c r="P1522" s="217">
        <f t="shared" si="878"/>
        <v>30607.5</v>
      </c>
      <c r="Q1522" s="217">
        <f t="shared" si="879"/>
        <v>577.49999999999966</v>
      </c>
      <c r="R1522" s="217">
        <f t="shared" si="891"/>
        <v>40</v>
      </c>
      <c r="S1522" s="217">
        <f t="shared" si="881"/>
        <v>10.119999999999999</v>
      </c>
      <c r="T1522" s="217">
        <f t="shared" si="882"/>
        <v>7.8</v>
      </c>
      <c r="U1522" s="217">
        <f t="shared" si="883"/>
        <v>0.45</v>
      </c>
      <c r="V1522" s="217">
        <f t="shared" si="884"/>
        <v>16.22</v>
      </c>
      <c r="W1522" s="217">
        <f t="shared" si="885"/>
        <v>0.03</v>
      </c>
      <c r="X1522" s="217">
        <f t="shared" si="886"/>
        <v>74.62</v>
      </c>
      <c r="Y1522" s="218">
        <f t="shared" si="887"/>
        <v>502.88</v>
      </c>
      <c r="Z1522" s="219">
        <v>502.88</v>
      </c>
      <c r="AA1522" s="220">
        <f t="shared" si="888"/>
        <v>0</v>
      </c>
      <c r="AB1522" s="221">
        <f t="shared" si="889"/>
        <v>3.8461538461538443E-2</v>
      </c>
      <c r="AC1522" s="222">
        <f t="shared" si="890"/>
        <v>2.4380000000000001E-3</v>
      </c>
      <c r="AD1522" s="217"/>
      <c r="AE1522" s="223" t="s">
        <v>403</v>
      </c>
      <c r="AF1522" s="119"/>
    </row>
    <row r="1523" spans="1:32" ht="12" hidden="1" customHeight="1">
      <c r="A1523" s="209">
        <v>44722</v>
      </c>
      <c r="B1523" s="152" t="s">
        <v>757</v>
      </c>
      <c r="C1523" s="152" t="str">
        <f t="shared" ca="1" si="874"/>
        <v>Stocks</v>
      </c>
      <c r="D1523" s="152" t="str">
        <f ca="1">IFERROR(__xludf.DUMMYFUNCTION("split(B1523,"" "")"),"NMDC")</f>
        <v>NMDC</v>
      </c>
      <c r="E1523" s="152" t="str">
        <f ca="1">IFERROR(__xludf.DUMMYFUNCTION("""COMPUTED_VALUE"""),"JUN")</f>
        <v>JUN</v>
      </c>
      <c r="F1523" s="152">
        <f ca="1">IFERROR(__xludf.DUMMYFUNCTION("""COMPUTED_VALUE"""),120)</f>
        <v>120</v>
      </c>
      <c r="G1523" s="152" t="str">
        <f ca="1">IFERROR(__xludf.DUMMYFUNCTION("""COMPUTED_VALUE"""),"PE")</f>
        <v>PE</v>
      </c>
      <c r="H1523" s="211">
        <v>3350</v>
      </c>
      <c r="I1523" s="212">
        <v>1</v>
      </c>
      <c r="J1523" s="212">
        <v>1</v>
      </c>
      <c r="K1523" s="213">
        <f t="shared" si="875"/>
        <v>3350</v>
      </c>
      <c r="L1523" s="214">
        <v>4</v>
      </c>
      <c r="M1523" s="215">
        <v>4.8499999999999996</v>
      </c>
      <c r="N1523" s="216">
        <f t="shared" si="876"/>
        <v>13400</v>
      </c>
      <c r="O1523" s="216">
        <f t="shared" si="877"/>
        <v>16247.5</v>
      </c>
      <c r="P1523" s="217">
        <f t="shared" si="878"/>
        <v>29647.5</v>
      </c>
      <c r="Q1523" s="217">
        <f t="shared" si="879"/>
        <v>2847.4999999999986</v>
      </c>
      <c r="R1523" s="217">
        <f t="shared" si="891"/>
        <v>40</v>
      </c>
      <c r="S1523" s="217">
        <f t="shared" si="881"/>
        <v>10.029999999999999</v>
      </c>
      <c r="T1523" s="217">
        <f t="shared" si="882"/>
        <v>8.1199999999999992</v>
      </c>
      <c r="U1523" s="217">
        <f t="shared" si="883"/>
        <v>0.4</v>
      </c>
      <c r="V1523" s="217">
        <f t="shared" si="884"/>
        <v>15.71</v>
      </c>
      <c r="W1523" s="217">
        <f t="shared" si="885"/>
        <v>0.03</v>
      </c>
      <c r="X1523" s="217">
        <f t="shared" si="886"/>
        <v>74.289999999999992</v>
      </c>
      <c r="Y1523" s="218">
        <f t="shared" si="887"/>
        <v>2773.21</v>
      </c>
      <c r="Z1523" s="219">
        <v>2773.73</v>
      </c>
      <c r="AA1523" s="220">
        <f t="shared" si="888"/>
        <v>0.51999999999998181</v>
      </c>
      <c r="AB1523" s="221">
        <f t="shared" si="889"/>
        <v>0.21249999999999991</v>
      </c>
      <c r="AC1523" s="222">
        <f t="shared" si="890"/>
        <v>2.506E-3</v>
      </c>
      <c r="AD1523" s="217"/>
      <c r="AE1523" s="223" t="s">
        <v>403</v>
      </c>
      <c r="AF1523" s="119"/>
    </row>
    <row r="1524" spans="1:32" ht="12" hidden="1" customHeight="1">
      <c r="A1524" s="148">
        <v>44726</v>
      </c>
      <c r="B1524" s="152" t="s">
        <v>758</v>
      </c>
      <c r="C1524" s="152" t="str">
        <f t="shared" ca="1" si="874"/>
        <v>Stocks</v>
      </c>
      <c r="D1524" s="152" t="str">
        <f ca="1">IFERROR(__xludf.DUMMYFUNCTION("split(B1524,"" "")"),"HCLTECH")</f>
        <v>HCLTECH</v>
      </c>
      <c r="E1524" s="152" t="str">
        <f ca="1">IFERROR(__xludf.DUMMYFUNCTION("""COMPUTED_VALUE"""),"JUN")</f>
        <v>JUN</v>
      </c>
      <c r="F1524" s="152">
        <f ca="1">IFERROR(__xludf.DUMMYFUNCTION("""COMPUTED_VALUE"""),980)</f>
        <v>980</v>
      </c>
      <c r="G1524" s="152" t="str">
        <f ca="1">IFERROR(__xludf.DUMMYFUNCTION("""COMPUTED_VALUE"""),"PE")</f>
        <v>PE</v>
      </c>
      <c r="H1524" s="211">
        <v>700</v>
      </c>
      <c r="I1524" s="212">
        <v>1</v>
      </c>
      <c r="J1524" s="212">
        <v>1</v>
      </c>
      <c r="K1524" s="213">
        <f t="shared" si="875"/>
        <v>700</v>
      </c>
      <c r="L1524" s="214">
        <v>21</v>
      </c>
      <c r="M1524" s="215">
        <v>0</v>
      </c>
      <c r="N1524" s="216">
        <f t="shared" si="876"/>
        <v>14700</v>
      </c>
      <c r="O1524" s="216">
        <f t="shared" si="877"/>
        <v>0</v>
      </c>
      <c r="P1524" s="217">
        <f t="shared" si="878"/>
        <v>14700</v>
      </c>
      <c r="Q1524" s="217">
        <f t="shared" si="879"/>
        <v>-14700</v>
      </c>
      <c r="R1524" s="217">
        <f t="shared" si="891"/>
        <v>20</v>
      </c>
      <c r="S1524" s="217">
        <f t="shared" si="881"/>
        <v>5</v>
      </c>
      <c r="T1524" s="217">
        <f t="shared" si="882"/>
        <v>0</v>
      </c>
      <c r="U1524" s="217">
        <f t="shared" si="883"/>
        <v>0.44</v>
      </c>
      <c r="V1524" s="217">
        <f t="shared" si="884"/>
        <v>7.79</v>
      </c>
      <c r="W1524" s="217">
        <f t="shared" si="885"/>
        <v>0.01</v>
      </c>
      <c r="X1524" s="217">
        <f t="shared" si="886"/>
        <v>33.24</v>
      </c>
      <c r="Y1524" s="218">
        <f t="shared" si="887"/>
        <v>-14733.24</v>
      </c>
      <c r="Z1524" s="219">
        <v>-14732.8</v>
      </c>
      <c r="AA1524" s="220">
        <f t="shared" si="888"/>
        <v>0.44000000000050932</v>
      </c>
      <c r="AB1524" s="221">
        <f t="shared" si="889"/>
        <v>-1</v>
      </c>
      <c r="AC1524" s="222">
        <f t="shared" si="890"/>
        <v>2.261E-3</v>
      </c>
      <c r="AD1524" s="217"/>
      <c r="AE1524" s="223" t="s">
        <v>403</v>
      </c>
      <c r="AF1524" s="119"/>
    </row>
    <row r="1525" spans="1:32" ht="12" hidden="1" customHeight="1">
      <c r="A1525" s="150">
        <v>44727</v>
      </c>
      <c r="B1525" s="152" t="s">
        <v>758</v>
      </c>
      <c r="C1525" s="152" t="str">
        <f t="shared" ca="1" si="874"/>
        <v>Stocks</v>
      </c>
      <c r="D1525" s="152" t="str">
        <f ca="1">IFERROR(__xludf.DUMMYFUNCTION("split(B1525,"" "")"),"HCLTECH")</f>
        <v>HCLTECH</v>
      </c>
      <c r="E1525" s="152" t="str">
        <f ca="1">IFERROR(__xludf.DUMMYFUNCTION("""COMPUTED_VALUE"""),"JUN")</f>
        <v>JUN</v>
      </c>
      <c r="F1525" s="152">
        <f ca="1">IFERROR(__xludf.DUMMYFUNCTION("""COMPUTED_VALUE"""),980)</f>
        <v>980</v>
      </c>
      <c r="G1525" s="152" t="str">
        <f ca="1">IFERROR(__xludf.DUMMYFUNCTION("""COMPUTED_VALUE"""),"PE")</f>
        <v>PE</v>
      </c>
      <c r="H1525" s="211">
        <v>700</v>
      </c>
      <c r="I1525" s="212">
        <v>1</v>
      </c>
      <c r="J1525" s="212">
        <v>1</v>
      </c>
      <c r="K1525" s="213">
        <f t="shared" si="875"/>
        <v>700</v>
      </c>
      <c r="L1525" s="214">
        <v>0</v>
      </c>
      <c r="M1525" s="215">
        <v>19</v>
      </c>
      <c r="N1525" s="216">
        <f t="shared" si="876"/>
        <v>0</v>
      </c>
      <c r="O1525" s="216">
        <f t="shared" si="877"/>
        <v>13300</v>
      </c>
      <c r="P1525" s="217">
        <f t="shared" si="878"/>
        <v>13300</v>
      </c>
      <c r="Q1525" s="217">
        <f t="shared" si="879"/>
        <v>13300</v>
      </c>
      <c r="R1525" s="217">
        <f t="shared" si="891"/>
        <v>20</v>
      </c>
      <c r="S1525" s="217">
        <f t="shared" si="881"/>
        <v>4.87</v>
      </c>
      <c r="T1525" s="217">
        <f t="shared" si="882"/>
        <v>6.65</v>
      </c>
      <c r="U1525" s="217">
        <f t="shared" si="883"/>
        <v>0</v>
      </c>
      <c r="V1525" s="217">
        <f t="shared" si="884"/>
        <v>7.05</v>
      </c>
      <c r="W1525" s="217">
        <f t="shared" si="885"/>
        <v>0.01</v>
      </c>
      <c r="X1525" s="217">
        <f t="shared" si="886"/>
        <v>38.58</v>
      </c>
      <c r="Y1525" s="218">
        <f t="shared" si="887"/>
        <v>13261.42</v>
      </c>
      <c r="Z1525" s="219">
        <v>13261.07</v>
      </c>
      <c r="AA1525" s="220">
        <f t="shared" si="888"/>
        <v>-0.3500000000003638</v>
      </c>
      <c r="AB1525" s="221">
        <f t="shared" si="889"/>
        <v>0</v>
      </c>
      <c r="AC1525" s="222">
        <f t="shared" si="890"/>
        <v>2.9009999999999999E-3</v>
      </c>
      <c r="AD1525" s="217"/>
      <c r="AE1525" s="223" t="s">
        <v>403</v>
      </c>
      <c r="AF1525" s="119"/>
    </row>
    <row r="1526" spans="1:32" ht="12" hidden="1" customHeight="1">
      <c r="A1526" s="209">
        <v>44728</v>
      </c>
      <c r="B1526" s="152" t="s">
        <v>759</v>
      </c>
      <c r="C1526" s="152" t="str">
        <f t="shared" ca="1" si="874"/>
        <v>Stocks</v>
      </c>
      <c r="D1526" s="152" t="str">
        <f ca="1">IFERROR(__xludf.DUMMYFUNCTION("split(B1526,"" "")"),"LTTS")</f>
        <v>LTTS</v>
      </c>
      <c r="E1526" s="152" t="str">
        <f ca="1">IFERROR(__xludf.DUMMYFUNCTION("""COMPUTED_VALUE"""),"JUN")</f>
        <v>JUN</v>
      </c>
      <c r="F1526" s="152">
        <f ca="1">IFERROR(__xludf.DUMMYFUNCTION("""COMPUTED_VALUE"""),3300)</f>
        <v>3300</v>
      </c>
      <c r="G1526" s="152" t="str">
        <f ca="1">IFERROR(__xludf.DUMMYFUNCTION("""COMPUTED_VALUE"""),"CE")</f>
        <v>CE</v>
      </c>
      <c r="H1526" s="211">
        <v>200</v>
      </c>
      <c r="I1526" s="212">
        <v>1</v>
      </c>
      <c r="J1526" s="212">
        <v>1</v>
      </c>
      <c r="K1526" s="213">
        <f t="shared" si="875"/>
        <v>200</v>
      </c>
      <c r="L1526" s="214">
        <v>116</v>
      </c>
      <c r="M1526" s="215">
        <v>90.55</v>
      </c>
      <c r="N1526" s="216">
        <f t="shared" si="876"/>
        <v>23200</v>
      </c>
      <c r="O1526" s="216">
        <f t="shared" si="877"/>
        <v>18110</v>
      </c>
      <c r="P1526" s="217">
        <f t="shared" si="878"/>
        <v>41310</v>
      </c>
      <c r="Q1526" s="217">
        <f t="shared" si="879"/>
        <v>-5090.0000000000009</v>
      </c>
      <c r="R1526" s="217">
        <f t="shared" si="891"/>
        <v>40</v>
      </c>
      <c r="S1526" s="217">
        <f t="shared" si="881"/>
        <v>11.14</v>
      </c>
      <c r="T1526" s="217">
        <f t="shared" si="882"/>
        <v>9.06</v>
      </c>
      <c r="U1526" s="217">
        <f t="shared" si="883"/>
        <v>0.7</v>
      </c>
      <c r="V1526" s="217">
        <f t="shared" si="884"/>
        <v>21.89</v>
      </c>
      <c r="W1526" s="217">
        <f t="shared" si="885"/>
        <v>0.04</v>
      </c>
      <c r="X1526" s="217">
        <f t="shared" si="886"/>
        <v>82.830000000000013</v>
      </c>
      <c r="Y1526" s="218">
        <f t="shared" si="887"/>
        <v>-5172.83</v>
      </c>
      <c r="Z1526" s="219">
        <v>-5173</v>
      </c>
      <c r="AA1526" s="220">
        <f t="shared" si="888"/>
        <v>-0.17000000000007276</v>
      </c>
      <c r="AB1526" s="221">
        <f t="shared" si="889"/>
        <v>-0.21939655172413797</v>
      </c>
      <c r="AC1526" s="222">
        <f t="shared" si="890"/>
        <v>2.0049999999999998E-3</v>
      </c>
      <c r="AD1526" s="217"/>
      <c r="AE1526" s="223" t="s">
        <v>403</v>
      </c>
      <c r="AF1526" s="119"/>
    </row>
    <row r="1527" spans="1:32" ht="12" hidden="1" customHeight="1">
      <c r="A1527" s="209">
        <v>44728</v>
      </c>
      <c r="B1527" s="152" t="s">
        <v>760</v>
      </c>
      <c r="C1527" s="152" t="str">
        <f t="shared" ca="1" si="874"/>
        <v>Stocks</v>
      </c>
      <c r="D1527" s="152" t="str">
        <f ca="1">IFERROR(__xludf.DUMMYFUNCTION("split(B1527,"" "")"),"TITAN")</f>
        <v>TITAN</v>
      </c>
      <c r="E1527" s="152" t="str">
        <f ca="1">IFERROR(__xludf.DUMMYFUNCTION("""COMPUTED_VALUE"""),"JUN")</f>
        <v>JUN</v>
      </c>
      <c r="F1527" s="152">
        <f ca="1">IFERROR(__xludf.DUMMYFUNCTION("""COMPUTED_VALUE"""),2100)</f>
        <v>2100</v>
      </c>
      <c r="G1527" s="152" t="str">
        <f ca="1">IFERROR(__xludf.DUMMYFUNCTION("""COMPUTED_VALUE"""),"CE")</f>
        <v>CE</v>
      </c>
      <c r="H1527" s="211">
        <v>375</v>
      </c>
      <c r="I1527" s="212">
        <v>1</v>
      </c>
      <c r="J1527" s="212">
        <v>1</v>
      </c>
      <c r="K1527" s="213">
        <f t="shared" si="875"/>
        <v>375</v>
      </c>
      <c r="L1527" s="214">
        <v>72</v>
      </c>
      <c r="M1527" s="215">
        <v>53</v>
      </c>
      <c r="N1527" s="216">
        <f t="shared" si="876"/>
        <v>27000</v>
      </c>
      <c r="O1527" s="216">
        <f t="shared" si="877"/>
        <v>19875</v>
      </c>
      <c r="P1527" s="217">
        <f t="shared" si="878"/>
        <v>46875</v>
      </c>
      <c r="Q1527" s="217">
        <f t="shared" si="879"/>
        <v>-7125</v>
      </c>
      <c r="R1527" s="217">
        <f t="shared" si="891"/>
        <v>40</v>
      </c>
      <c r="S1527" s="217">
        <f t="shared" si="881"/>
        <v>11.67</v>
      </c>
      <c r="T1527" s="217">
        <f t="shared" si="882"/>
        <v>9.94</v>
      </c>
      <c r="U1527" s="217">
        <f t="shared" si="883"/>
        <v>0.81</v>
      </c>
      <c r="V1527" s="217">
        <f t="shared" si="884"/>
        <v>24.84</v>
      </c>
      <c r="W1527" s="217">
        <f t="shared" si="885"/>
        <v>0.05</v>
      </c>
      <c r="X1527" s="217">
        <f t="shared" si="886"/>
        <v>87.31</v>
      </c>
      <c r="Y1527" s="218">
        <f t="shared" si="887"/>
        <v>-7212.31</v>
      </c>
      <c r="Z1527" s="219">
        <v>-7212</v>
      </c>
      <c r="AA1527" s="220">
        <f t="shared" si="888"/>
        <v>0.31000000000040018</v>
      </c>
      <c r="AB1527" s="221">
        <f t="shared" si="889"/>
        <v>-0.2638888888888889</v>
      </c>
      <c r="AC1527" s="222">
        <f t="shared" si="890"/>
        <v>1.8630000000000001E-3</v>
      </c>
      <c r="AD1527" s="217"/>
      <c r="AE1527" s="223" t="s">
        <v>403</v>
      </c>
      <c r="AF1527" s="119"/>
    </row>
    <row r="1528" spans="1:32" ht="12" hidden="1" customHeight="1">
      <c r="A1528" s="209">
        <v>44728</v>
      </c>
      <c r="B1528" s="152" t="s">
        <v>761</v>
      </c>
      <c r="C1528" s="152" t="str">
        <f t="shared" ca="1" si="874"/>
        <v>Indices</v>
      </c>
      <c r="D1528" s="152" t="str">
        <f ca="1">IFERROR(__xludf.DUMMYFUNCTION("split(B1528,"" "")"),"NIFTY")</f>
        <v>NIFTY</v>
      </c>
      <c r="E1528" s="224">
        <f ca="1">IFERROR(__xludf.DUMMYFUNCTION("""COMPUTED_VALUE"""),45093)</f>
        <v>45093</v>
      </c>
      <c r="F1528" s="152">
        <f ca="1">IFERROR(__xludf.DUMMYFUNCTION("""COMPUTED_VALUE"""),15600)</f>
        <v>15600</v>
      </c>
      <c r="G1528" s="152" t="str">
        <f ca="1">IFERROR(__xludf.DUMMYFUNCTION("""COMPUTED_VALUE"""),"PE")</f>
        <v>PE</v>
      </c>
      <c r="H1528" s="211">
        <v>50</v>
      </c>
      <c r="I1528" s="212">
        <v>1</v>
      </c>
      <c r="J1528" s="212">
        <v>1</v>
      </c>
      <c r="K1528" s="213">
        <f t="shared" si="875"/>
        <v>50</v>
      </c>
      <c r="L1528" s="214">
        <v>69</v>
      </c>
      <c r="M1528" s="215">
        <v>87.25</v>
      </c>
      <c r="N1528" s="216">
        <f t="shared" si="876"/>
        <v>3450</v>
      </c>
      <c r="O1528" s="216">
        <f t="shared" si="877"/>
        <v>4362.5</v>
      </c>
      <c r="P1528" s="217">
        <f t="shared" si="878"/>
        <v>7812.5</v>
      </c>
      <c r="Q1528" s="217">
        <f t="shared" si="879"/>
        <v>912.5</v>
      </c>
      <c r="R1528" s="217">
        <f t="shared" si="891"/>
        <v>40</v>
      </c>
      <c r="S1528" s="217">
        <f t="shared" si="881"/>
        <v>7.95</v>
      </c>
      <c r="T1528" s="217">
        <f t="shared" si="882"/>
        <v>2.1800000000000002</v>
      </c>
      <c r="U1528" s="217">
        <f t="shared" si="883"/>
        <v>0.1</v>
      </c>
      <c r="V1528" s="217">
        <f t="shared" si="884"/>
        <v>4.1399999999999997</v>
      </c>
      <c r="W1528" s="217">
        <f t="shared" si="885"/>
        <v>0.01</v>
      </c>
      <c r="X1528" s="217">
        <f t="shared" si="886"/>
        <v>54.38</v>
      </c>
      <c r="Y1528" s="218">
        <f t="shared" si="887"/>
        <v>858.12</v>
      </c>
      <c r="Z1528" s="219">
        <v>858</v>
      </c>
      <c r="AA1528" s="220">
        <f t="shared" si="888"/>
        <v>-0.12000000000000455</v>
      </c>
      <c r="AB1528" s="221">
        <f t="shared" si="889"/>
        <v>0.26449275362318841</v>
      </c>
      <c r="AC1528" s="222">
        <f t="shared" si="890"/>
        <v>6.9610000000000002E-3</v>
      </c>
      <c r="AD1528" s="217"/>
      <c r="AE1528" s="223" t="s">
        <v>403</v>
      </c>
      <c r="AF1528" s="119"/>
    </row>
    <row r="1529" spans="1:32" ht="12" hidden="1" customHeight="1">
      <c r="A1529" s="209">
        <v>44728</v>
      </c>
      <c r="B1529" s="152" t="s">
        <v>762</v>
      </c>
      <c r="C1529" s="152" t="str">
        <f t="shared" ca="1" si="874"/>
        <v>Indices</v>
      </c>
      <c r="D1529" s="152" t="str">
        <f ca="1">IFERROR(__xludf.DUMMYFUNCTION("split(B1529,"" "")"),"NIFTY")</f>
        <v>NIFTY</v>
      </c>
      <c r="E1529" s="224">
        <f ca="1">IFERROR(__xludf.DUMMYFUNCTION("""COMPUTED_VALUE"""),45093)</f>
        <v>45093</v>
      </c>
      <c r="F1529" s="152">
        <f ca="1">IFERROR(__xludf.DUMMYFUNCTION("""COMPUTED_VALUE"""),15500)</f>
        <v>15500</v>
      </c>
      <c r="G1529" s="152" t="str">
        <f ca="1">IFERROR(__xludf.DUMMYFUNCTION("""COMPUTED_VALUE"""),"PE")</f>
        <v>PE</v>
      </c>
      <c r="H1529" s="211">
        <v>50</v>
      </c>
      <c r="I1529" s="212">
        <v>1</v>
      </c>
      <c r="J1529" s="212">
        <v>1</v>
      </c>
      <c r="K1529" s="213">
        <f t="shared" si="875"/>
        <v>50</v>
      </c>
      <c r="L1529" s="214">
        <v>35</v>
      </c>
      <c r="M1529" s="215">
        <v>42</v>
      </c>
      <c r="N1529" s="216">
        <f t="shared" si="876"/>
        <v>1750</v>
      </c>
      <c r="O1529" s="216">
        <f t="shared" si="877"/>
        <v>2100</v>
      </c>
      <c r="P1529" s="217">
        <f t="shared" si="878"/>
        <v>3850</v>
      </c>
      <c r="Q1529" s="217">
        <f t="shared" si="879"/>
        <v>350</v>
      </c>
      <c r="R1529" s="217">
        <f t="shared" si="891"/>
        <v>40</v>
      </c>
      <c r="S1529" s="217">
        <f t="shared" si="881"/>
        <v>7.57</v>
      </c>
      <c r="T1529" s="217">
        <f t="shared" si="882"/>
        <v>1.05</v>
      </c>
      <c r="U1529" s="217">
        <f t="shared" si="883"/>
        <v>0.05</v>
      </c>
      <c r="V1529" s="217">
        <f t="shared" si="884"/>
        <v>2.04</v>
      </c>
      <c r="W1529" s="217">
        <f t="shared" si="885"/>
        <v>0</v>
      </c>
      <c r="X1529" s="217">
        <f t="shared" si="886"/>
        <v>50.709999999999994</v>
      </c>
      <c r="Y1529" s="218">
        <f t="shared" si="887"/>
        <v>299.29000000000002</v>
      </c>
      <c r="Z1529" s="219">
        <v>299</v>
      </c>
      <c r="AA1529" s="220">
        <f t="shared" si="888"/>
        <v>-0.29000000000002046</v>
      </c>
      <c r="AB1529" s="221">
        <f t="shared" si="889"/>
        <v>0.2</v>
      </c>
      <c r="AC1529" s="222">
        <f t="shared" si="890"/>
        <v>1.3171E-2</v>
      </c>
      <c r="AD1529" s="217"/>
      <c r="AE1529" s="223" t="s">
        <v>403</v>
      </c>
      <c r="AF1529" s="119"/>
    </row>
    <row r="1530" spans="1:32" ht="12" hidden="1" customHeight="1">
      <c r="A1530" s="209">
        <v>44728</v>
      </c>
      <c r="B1530" s="152" t="s">
        <v>763</v>
      </c>
      <c r="C1530" s="152" t="str">
        <f t="shared" ca="1" si="874"/>
        <v>Indices</v>
      </c>
      <c r="D1530" s="152" t="str">
        <f ca="1">IFERROR(__xludf.DUMMYFUNCTION("split(B1530,"" "")"),"NIFTY")</f>
        <v>NIFTY</v>
      </c>
      <c r="E1530" s="224">
        <f ca="1">IFERROR(__xludf.DUMMYFUNCTION("""COMPUTED_VALUE"""),45093)</f>
        <v>45093</v>
      </c>
      <c r="F1530" s="152">
        <f ca="1">IFERROR(__xludf.DUMMYFUNCTION("""COMPUTED_VALUE"""),15450)</f>
        <v>15450</v>
      </c>
      <c r="G1530" s="152" t="str">
        <f ca="1">IFERROR(__xludf.DUMMYFUNCTION("""COMPUTED_VALUE"""),"PE")</f>
        <v>PE</v>
      </c>
      <c r="H1530" s="211">
        <v>50</v>
      </c>
      <c r="I1530" s="212">
        <v>1</v>
      </c>
      <c r="J1530" s="212">
        <v>1</v>
      </c>
      <c r="K1530" s="213">
        <f t="shared" si="875"/>
        <v>50</v>
      </c>
      <c r="L1530" s="214">
        <v>25</v>
      </c>
      <c r="M1530" s="215">
        <v>32</v>
      </c>
      <c r="N1530" s="216">
        <f t="shared" si="876"/>
        <v>1250</v>
      </c>
      <c r="O1530" s="216">
        <f t="shared" si="877"/>
        <v>1600</v>
      </c>
      <c r="P1530" s="217">
        <f t="shared" si="878"/>
        <v>2850</v>
      </c>
      <c r="Q1530" s="217">
        <f t="shared" si="879"/>
        <v>350</v>
      </c>
      <c r="R1530" s="217">
        <f t="shared" si="891"/>
        <v>40</v>
      </c>
      <c r="S1530" s="217">
        <f t="shared" si="881"/>
        <v>7.47</v>
      </c>
      <c r="T1530" s="217">
        <f t="shared" si="882"/>
        <v>0.8</v>
      </c>
      <c r="U1530" s="217">
        <f t="shared" si="883"/>
        <v>0.04</v>
      </c>
      <c r="V1530" s="217">
        <f t="shared" si="884"/>
        <v>1.51</v>
      </c>
      <c r="W1530" s="217">
        <f t="shared" si="885"/>
        <v>0</v>
      </c>
      <c r="X1530" s="217">
        <f t="shared" si="886"/>
        <v>49.819999999999993</v>
      </c>
      <c r="Y1530" s="218">
        <f t="shared" si="887"/>
        <v>300.18</v>
      </c>
      <c r="Z1530" s="219">
        <v>300</v>
      </c>
      <c r="AA1530" s="220">
        <f t="shared" si="888"/>
        <v>-0.18000000000000682</v>
      </c>
      <c r="AB1530" s="221">
        <f t="shared" si="889"/>
        <v>0.28000000000000003</v>
      </c>
      <c r="AC1530" s="222">
        <f t="shared" si="890"/>
        <v>1.7481E-2</v>
      </c>
      <c r="AD1530" s="217"/>
      <c r="AE1530" s="223" t="s">
        <v>403</v>
      </c>
      <c r="AF1530" s="119"/>
    </row>
    <row r="1531" spans="1:32" ht="12" hidden="1" customHeight="1">
      <c r="A1531" s="209">
        <v>44728</v>
      </c>
      <c r="B1531" s="152" t="s">
        <v>764</v>
      </c>
      <c r="C1531" s="152" t="str">
        <f t="shared" ca="1" si="874"/>
        <v>Indices</v>
      </c>
      <c r="D1531" s="152" t="str">
        <f ca="1">IFERROR(__xludf.DUMMYFUNCTION("split(B1531,"" "")"),"NIFTY")</f>
        <v>NIFTY</v>
      </c>
      <c r="E1531" s="224">
        <f ca="1">IFERROR(__xludf.DUMMYFUNCTION("""COMPUTED_VALUE"""),45093)</f>
        <v>45093</v>
      </c>
      <c r="F1531" s="152">
        <f ca="1">IFERROR(__xludf.DUMMYFUNCTION("""COMPUTED_VALUE"""),15350)</f>
        <v>15350</v>
      </c>
      <c r="G1531" s="152" t="str">
        <f ca="1">IFERROR(__xludf.DUMMYFUNCTION("""COMPUTED_VALUE"""),"PE")</f>
        <v>PE</v>
      </c>
      <c r="H1531" s="211">
        <v>50</v>
      </c>
      <c r="I1531" s="212">
        <v>1</v>
      </c>
      <c r="J1531" s="212">
        <v>1</v>
      </c>
      <c r="K1531" s="213">
        <f t="shared" si="875"/>
        <v>50</v>
      </c>
      <c r="L1531" s="214">
        <v>32</v>
      </c>
      <c r="M1531" s="215">
        <v>0</v>
      </c>
      <c r="N1531" s="216">
        <f t="shared" si="876"/>
        <v>1600</v>
      </c>
      <c r="O1531" s="216">
        <f t="shared" si="877"/>
        <v>0</v>
      </c>
      <c r="P1531" s="217">
        <f t="shared" si="878"/>
        <v>1600</v>
      </c>
      <c r="Q1531" s="217">
        <f t="shared" si="879"/>
        <v>-1600</v>
      </c>
      <c r="R1531" s="217">
        <f t="shared" si="891"/>
        <v>20</v>
      </c>
      <c r="S1531" s="217">
        <f t="shared" si="881"/>
        <v>3.75</v>
      </c>
      <c r="T1531" s="217">
        <f t="shared" si="882"/>
        <v>0</v>
      </c>
      <c r="U1531" s="217">
        <f t="shared" si="883"/>
        <v>0.05</v>
      </c>
      <c r="V1531" s="217">
        <f t="shared" si="884"/>
        <v>0.85</v>
      </c>
      <c r="W1531" s="217">
        <f t="shared" si="885"/>
        <v>0</v>
      </c>
      <c r="X1531" s="217">
        <f t="shared" si="886"/>
        <v>24.650000000000002</v>
      </c>
      <c r="Y1531" s="218">
        <f t="shared" si="887"/>
        <v>-1624.65</v>
      </c>
      <c r="Z1531" s="219">
        <v>-1625</v>
      </c>
      <c r="AA1531" s="220">
        <f t="shared" si="888"/>
        <v>-0.34999999999990905</v>
      </c>
      <c r="AB1531" s="221">
        <f t="shared" si="889"/>
        <v>-1</v>
      </c>
      <c r="AC1531" s="222">
        <f t="shared" si="890"/>
        <v>1.5406E-2</v>
      </c>
      <c r="AD1531" s="217"/>
      <c r="AE1531" s="223" t="s">
        <v>403</v>
      </c>
      <c r="AF1531" s="119"/>
    </row>
    <row r="1532" spans="1:32" ht="12" hidden="1" customHeight="1">
      <c r="A1532" s="209">
        <v>44728</v>
      </c>
      <c r="B1532" s="152" t="s">
        <v>764</v>
      </c>
      <c r="C1532" s="152" t="str">
        <f t="shared" ca="1" si="874"/>
        <v>Indices</v>
      </c>
      <c r="D1532" s="152" t="str">
        <f ca="1">IFERROR(__xludf.DUMMYFUNCTION("split(B1532,"" "")"),"NIFTY")</f>
        <v>NIFTY</v>
      </c>
      <c r="E1532" s="224">
        <f ca="1">IFERROR(__xludf.DUMMYFUNCTION("""COMPUTED_VALUE"""),45093)</f>
        <v>45093</v>
      </c>
      <c r="F1532" s="152">
        <f ca="1">IFERROR(__xludf.DUMMYFUNCTION("""COMPUTED_VALUE"""),15350)</f>
        <v>15350</v>
      </c>
      <c r="G1532" s="152" t="str">
        <f ca="1">IFERROR(__xludf.DUMMYFUNCTION("""COMPUTED_VALUE"""),"PE")</f>
        <v>PE</v>
      </c>
      <c r="H1532" s="211">
        <v>50</v>
      </c>
      <c r="I1532" s="212">
        <v>1</v>
      </c>
      <c r="J1532" s="212">
        <v>1</v>
      </c>
      <c r="K1532" s="213">
        <f t="shared" si="875"/>
        <v>50</v>
      </c>
      <c r="L1532" s="214">
        <v>15</v>
      </c>
      <c r="M1532" s="215">
        <v>0</v>
      </c>
      <c r="N1532" s="216">
        <f t="shared" si="876"/>
        <v>750</v>
      </c>
      <c r="O1532" s="216">
        <f t="shared" si="877"/>
        <v>0</v>
      </c>
      <c r="P1532" s="217">
        <f t="shared" si="878"/>
        <v>750</v>
      </c>
      <c r="Q1532" s="217">
        <f t="shared" si="879"/>
        <v>-750</v>
      </c>
      <c r="R1532" s="217">
        <f t="shared" si="891"/>
        <v>20</v>
      </c>
      <c r="S1532" s="217">
        <f t="shared" si="881"/>
        <v>3.67</v>
      </c>
      <c r="T1532" s="217">
        <f t="shared" si="882"/>
        <v>0</v>
      </c>
      <c r="U1532" s="217">
        <f t="shared" si="883"/>
        <v>0.02</v>
      </c>
      <c r="V1532" s="217">
        <f t="shared" si="884"/>
        <v>0.4</v>
      </c>
      <c r="W1532" s="217">
        <f t="shared" si="885"/>
        <v>0</v>
      </c>
      <c r="X1532" s="217">
        <f t="shared" si="886"/>
        <v>24.09</v>
      </c>
      <c r="Y1532" s="218">
        <f t="shared" si="887"/>
        <v>-774.09</v>
      </c>
      <c r="Z1532" s="219">
        <v>-774</v>
      </c>
      <c r="AA1532" s="220">
        <f t="shared" si="888"/>
        <v>9.0000000000031832E-2</v>
      </c>
      <c r="AB1532" s="221">
        <f t="shared" si="889"/>
        <v>-1</v>
      </c>
      <c r="AC1532" s="222">
        <f t="shared" si="890"/>
        <v>3.2120000000000003E-2</v>
      </c>
      <c r="AD1532" s="217"/>
      <c r="AE1532" s="223" t="s">
        <v>403</v>
      </c>
      <c r="AF1532" s="119"/>
    </row>
    <row r="1533" spans="1:32" ht="12" hidden="1" customHeight="1">
      <c r="A1533" s="209">
        <v>44728</v>
      </c>
      <c r="B1533" s="152" t="s">
        <v>764</v>
      </c>
      <c r="C1533" s="152" t="str">
        <f t="shared" ca="1" si="874"/>
        <v>Indices</v>
      </c>
      <c r="D1533" s="152" t="str">
        <f ca="1">IFERROR(__xludf.DUMMYFUNCTION("split(B1533,"" "")"),"NIFTY")</f>
        <v>NIFTY</v>
      </c>
      <c r="E1533" s="224">
        <f ca="1">IFERROR(__xludf.DUMMYFUNCTION("""COMPUTED_VALUE"""),45093)</f>
        <v>45093</v>
      </c>
      <c r="F1533" s="152">
        <f ca="1">IFERROR(__xludf.DUMMYFUNCTION("""COMPUTED_VALUE"""),15350)</f>
        <v>15350</v>
      </c>
      <c r="G1533" s="152" t="str">
        <f ca="1">IFERROR(__xludf.DUMMYFUNCTION("""COMPUTED_VALUE"""),"PE")</f>
        <v>PE</v>
      </c>
      <c r="H1533" s="211">
        <v>50</v>
      </c>
      <c r="I1533" s="212">
        <v>2</v>
      </c>
      <c r="J1533" s="212">
        <v>1</v>
      </c>
      <c r="K1533" s="213">
        <f t="shared" si="875"/>
        <v>100</v>
      </c>
      <c r="L1533" s="214">
        <v>0</v>
      </c>
      <c r="M1533" s="215">
        <v>14</v>
      </c>
      <c r="N1533" s="216">
        <f t="shared" si="876"/>
        <v>0</v>
      </c>
      <c r="O1533" s="216">
        <f t="shared" si="877"/>
        <v>1400</v>
      </c>
      <c r="P1533" s="217">
        <f t="shared" si="878"/>
        <v>1400</v>
      </c>
      <c r="Q1533" s="217">
        <f t="shared" si="879"/>
        <v>1400</v>
      </c>
      <c r="R1533" s="217">
        <f t="shared" si="891"/>
        <v>20</v>
      </c>
      <c r="S1533" s="217">
        <f t="shared" si="881"/>
        <v>3.73</v>
      </c>
      <c r="T1533" s="217">
        <f t="shared" si="882"/>
        <v>0.7</v>
      </c>
      <c r="U1533" s="217">
        <f t="shared" si="883"/>
        <v>0</v>
      </c>
      <c r="V1533" s="217">
        <f t="shared" si="884"/>
        <v>0.74</v>
      </c>
      <c r="W1533" s="217">
        <f t="shared" si="885"/>
        <v>0</v>
      </c>
      <c r="X1533" s="217">
        <f t="shared" si="886"/>
        <v>25.169999999999998</v>
      </c>
      <c r="Y1533" s="218">
        <f t="shared" si="887"/>
        <v>1374.83</v>
      </c>
      <c r="Z1533" s="219">
        <v>1375.01</v>
      </c>
      <c r="AA1533" s="220">
        <f t="shared" si="888"/>
        <v>0.18000000000006366</v>
      </c>
      <c r="AB1533" s="221">
        <f t="shared" si="889"/>
        <v>0</v>
      </c>
      <c r="AC1533" s="222">
        <f t="shared" si="890"/>
        <v>1.7978999999999998E-2</v>
      </c>
      <c r="AD1533" s="217"/>
      <c r="AE1533" s="223" t="s">
        <v>403</v>
      </c>
      <c r="AF1533" s="119"/>
    </row>
    <row r="1534" spans="1:32" ht="12" hidden="1" customHeight="1">
      <c r="A1534" s="209">
        <v>44732</v>
      </c>
      <c r="B1534" s="152" t="s">
        <v>765</v>
      </c>
      <c r="C1534" s="152" t="str">
        <f t="shared" ca="1" si="874"/>
        <v>Indices</v>
      </c>
      <c r="D1534" s="152" t="str">
        <f ca="1">IFERROR(__xludf.DUMMYFUNCTION("split(B1534,"" "")"),"NIFTY")</f>
        <v>NIFTY</v>
      </c>
      <c r="E1534" s="224">
        <f ca="1">IFERROR(__xludf.DUMMYFUNCTION("""COMPUTED_VALUE"""),45100)</f>
        <v>45100</v>
      </c>
      <c r="F1534" s="152">
        <f ca="1">IFERROR(__xludf.DUMMYFUNCTION("""COMPUTED_VALUE"""),15350)</f>
        <v>15350</v>
      </c>
      <c r="G1534" s="152" t="str">
        <f ca="1">IFERROR(__xludf.DUMMYFUNCTION("""COMPUTED_VALUE"""),"CE")</f>
        <v>CE</v>
      </c>
      <c r="H1534" s="211">
        <v>50</v>
      </c>
      <c r="I1534" s="212">
        <v>1</v>
      </c>
      <c r="J1534" s="212">
        <v>1</v>
      </c>
      <c r="K1534" s="213">
        <f t="shared" si="875"/>
        <v>50</v>
      </c>
      <c r="L1534" s="214">
        <v>149</v>
      </c>
      <c r="M1534" s="215">
        <v>155</v>
      </c>
      <c r="N1534" s="216">
        <f t="shared" si="876"/>
        <v>7450</v>
      </c>
      <c r="O1534" s="216">
        <f t="shared" si="877"/>
        <v>7750</v>
      </c>
      <c r="P1534" s="217">
        <f t="shared" si="878"/>
        <v>15200</v>
      </c>
      <c r="Q1534" s="217">
        <f t="shared" si="879"/>
        <v>300</v>
      </c>
      <c r="R1534" s="217">
        <f t="shared" si="891"/>
        <v>40</v>
      </c>
      <c r="S1534" s="217">
        <f t="shared" si="881"/>
        <v>8.65</v>
      </c>
      <c r="T1534" s="217">
        <f t="shared" si="882"/>
        <v>3.88</v>
      </c>
      <c r="U1534" s="217">
        <f t="shared" si="883"/>
        <v>0.22</v>
      </c>
      <c r="V1534" s="217">
        <f t="shared" si="884"/>
        <v>8.06</v>
      </c>
      <c r="W1534" s="217">
        <f t="shared" si="885"/>
        <v>0.02</v>
      </c>
      <c r="X1534" s="217">
        <f t="shared" si="886"/>
        <v>60.830000000000005</v>
      </c>
      <c r="Y1534" s="218">
        <f t="shared" si="887"/>
        <v>239.17</v>
      </c>
      <c r="Z1534" s="219">
        <v>239</v>
      </c>
      <c r="AA1534" s="220">
        <f t="shared" si="888"/>
        <v>-0.16999999999998749</v>
      </c>
      <c r="AB1534" s="221">
        <f t="shared" si="889"/>
        <v>4.0268456375838924E-2</v>
      </c>
      <c r="AC1534" s="222">
        <f t="shared" si="890"/>
        <v>4.0020000000000003E-3</v>
      </c>
      <c r="AD1534" s="217"/>
      <c r="AE1534" s="223" t="s">
        <v>403</v>
      </c>
      <c r="AF1534" s="119"/>
    </row>
    <row r="1535" spans="1:32" ht="12" hidden="1" customHeight="1">
      <c r="A1535" s="209">
        <v>44732</v>
      </c>
      <c r="B1535" s="152" t="s">
        <v>766</v>
      </c>
      <c r="C1535" s="152" t="str">
        <f t="shared" ca="1" si="874"/>
        <v>Indices</v>
      </c>
      <c r="D1535" s="152" t="str">
        <f ca="1">IFERROR(__xludf.DUMMYFUNCTION("split(B1535,"" "")"),"NIFTY")</f>
        <v>NIFTY</v>
      </c>
      <c r="E1535" s="224">
        <f ca="1">IFERROR(__xludf.DUMMYFUNCTION("""COMPUTED_VALUE"""),45100)</f>
        <v>45100</v>
      </c>
      <c r="F1535" s="152">
        <f ca="1">IFERROR(__xludf.DUMMYFUNCTION("""COMPUTED_VALUE"""),15300)</f>
        <v>15300</v>
      </c>
      <c r="G1535" s="152" t="str">
        <f ca="1">IFERROR(__xludf.DUMMYFUNCTION("""COMPUTED_VALUE"""),"PE")</f>
        <v>PE</v>
      </c>
      <c r="H1535" s="211">
        <v>50</v>
      </c>
      <c r="I1535" s="212">
        <v>1</v>
      </c>
      <c r="J1535" s="212">
        <v>2</v>
      </c>
      <c r="K1535" s="213">
        <f t="shared" si="875"/>
        <v>100</v>
      </c>
      <c r="L1535" s="214">
        <v>141.27500000000001</v>
      </c>
      <c r="M1535" s="215">
        <v>145</v>
      </c>
      <c r="N1535" s="216">
        <f t="shared" si="876"/>
        <v>14127.5</v>
      </c>
      <c r="O1535" s="216">
        <f t="shared" si="877"/>
        <v>14500</v>
      </c>
      <c r="P1535" s="217">
        <f t="shared" si="878"/>
        <v>28627.5</v>
      </c>
      <c r="Q1535" s="217">
        <f t="shared" si="879"/>
        <v>372.49999999999943</v>
      </c>
      <c r="R1535" s="217">
        <f t="shared" si="891"/>
        <v>80</v>
      </c>
      <c r="S1535" s="217">
        <f t="shared" si="881"/>
        <v>17.13</v>
      </c>
      <c r="T1535" s="217">
        <f t="shared" si="882"/>
        <v>7.25</v>
      </c>
      <c r="U1535" s="217">
        <f t="shared" si="883"/>
        <v>0.42</v>
      </c>
      <c r="V1535" s="217">
        <f t="shared" si="884"/>
        <v>15.17</v>
      </c>
      <c r="W1535" s="217">
        <f t="shared" si="885"/>
        <v>0.03</v>
      </c>
      <c r="X1535" s="217">
        <f t="shared" si="886"/>
        <v>120</v>
      </c>
      <c r="Y1535" s="218">
        <f t="shared" si="887"/>
        <v>252.5</v>
      </c>
      <c r="Z1535" s="219">
        <v>252.45</v>
      </c>
      <c r="AA1535" s="220">
        <f t="shared" si="888"/>
        <v>-5.0000000000011369E-2</v>
      </c>
      <c r="AB1535" s="221">
        <f t="shared" si="889"/>
        <v>2.6367014687665859E-2</v>
      </c>
      <c r="AC1535" s="222">
        <f t="shared" si="890"/>
        <v>4.1920000000000004E-3</v>
      </c>
      <c r="AD1535" s="217"/>
      <c r="AE1535" s="223" t="s">
        <v>403</v>
      </c>
      <c r="AF1535" s="119"/>
    </row>
    <row r="1536" spans="1:32" ht="12" hidden="1" customHeight="1">
      <c r="A1536" s="209">
        <v>44733</v>
      </c>
      <c r="B1536" s="152" t="s">
        <v>767</v>
      </c>
      <c r="C1536" s="152" t="str">
        <f t="shared" ca="1" si="874"/>
        <v>Stocks</v>
      </c>
      <c r="D1536" s="152" t="str">
        <f ca="1">IFERROR(__xludf.DUMMYFUNCTION("split(B1536,"" "")"),"KOTAKBANK")</f>
        <v>KOTAKBANK</v>
      </c>
      <c r="E1536" s="224" t="str">
        <f ca="1">IFERROR(__xludf.DUMMYFUNCTION("""COMPUTED_VALUE"""),"JUN")</f>
        <v>JUN</v>
      </c>
      <c r="F1536" s="152">
        <f ca="1">IFERROR(__xludf.DUMMYFUNCTION("""COMPUTED_VALUE"""),1680)</f>
        <v>1680</v>
      </c>
      <c r="G1536" s="152" t="str">
        <f ca="1">IFERROR(__xludf.DUMMYFUNCTION("""COMPUTED_VALUE"""),"CE")</f>
        <v>CE</v>
      </c>
      <c r="H1536" s="211">
        <v>400</v>
      </c>
      <c r="I1536" s="212">
        <v>1</v>
      </c>
      <c r="J1536" s="212">
        <v>1</v>
      </c>
      <c r="K1536" s="213">
        <f t="shared" si="875"/>
        <v>400</v>
      </c>
      <c r="L1536" s="214">
        <v>38</v>
      </c>
      <c r="M1536" s="215">
        <v>43</v>
      </c>
      <c r="N1536" s="216">
        <f t="shared" si="876"/>
        <v>15200</v>
      </c>
      <c r="O1536" s="216">
        <f t="shared" si="877"/>
        <v>17200</v>
      </c>
      <c r="P1536" s="217">
        <f t="shared" si="878"/>
        <v>32400</v>
      </c>
      <c r="Q1536" s="217">
        <f t="shared" si="879"/>
        <v>2000</v>
      </c>
      <c r="R1536" s="217">
        <f t="shared" si="891"/>
        <v>40</v>
      </c>
      <c r="S1536" s="217">
        <f t="shared" si="881"/>
        <v>10.29</v>
      </c>
      <c r="T1536" s="217">
        <f t="shared" si="882"/>
        <v>8.6</v>
      </c>
      <c r="U1536" s="217">
        <f t="shared" si="883"/>
        <v>0.46</v>
      </c>
      <c r="V1536" s="217">
        <f t="shared" si="884"/>
        <v>17.170000000000002</v>
      </c>
      <c r="W1536" s="217">
        <f t="shared" si="885"/>
        <v>0.03</v>
      </c>
      <c r="X1536" s="217">
        <f t="shared" si="886"/>
        <v>76.550000000000011</v>
      </c>
      <c r="Y1536" s="218">
        <f t="shared" si="887"/>
        <v>1923.45</v>
      </c>
      <c r="Z1536" s="219">
        <v>1923</v>
      </c>
      <c r="AA1536" s="220">
        <f t="shared" si="888"/>
        <v>-0.45000000000004547</v>
      </c>
      <c r="AB1536" s="221">
        <f t="shared" si="889"/>
        <v>0.13157894736842105</v>
      </c>
      <c r="AC1536" s="222">
        <f t="shared" si="890"/>
        <v>2.3630000000000001E-3</v>
      </c>
      <c r="AD1536" s="217"/>
      <c r="AE1536" s="223" t="s">
        <v>403</v>
      </c>
      <c r="AF1536" s="119"/>
    </row>
    <row r="1537" spans="1:32" ht="12" hidden="1" customHeight="1">
      <c r="A1537" s="209">
        <v>44733</v>
      </c>
      <c r="B1537" s="152" t="s">
        <v>768</v>
      </c>
      <c r="C1537" s="152" t="str">
        <f t="shared" ca="1" si="874"/>
        <v>Indices</v>
      </c>
      <c r="D1537" s="152" t="str">
        <f ca="1">IFERROR(__xludf.DUMMYFUNCTION("split(B1537,"" "")"),"NIFTY")</f>
        <v>NIFTY</v>
      </c>
      <c r="E1537" s="224">
        <f ca="1">IFERROR(__xludf.DUMMYFUNCTION("""COMPUTED_VALUE"""),45100)</f>
        <v>45100</v>
      </c>
      <c r="F1537" s="152">
        <f ca="1">IFERROR(__xludf.DUMMYFUNCTION("""COMPUTED_VALUE"""),15600)</f>
        <v>15600</v>
      </c>
      <c r="G1537" s="152" t="str">
        <f ca="1">IFERROR(__xludf.DUMMYFUNCTION("""COMPUTED_VALUE"""),"PE")</f>
        <v>PE</v>
      </c>
      <c r="H1537" s="211">
        <v>50</v>
      </c>
      <c r="I1537" s="212">
        <v>1</v>
      </c>
      <c r="J1537" s="212">
        <v>1</v>
      </c>
      <c r="K1537" s="213">
        <f t="shared" si="875"/>
        <v>50</v>
      </c>
      <c r="L1537" s="214">
        <v>95</v>
      </c>
      <c r="M1537" s="215">
        <v>80</v>
      </c>
      <c r="N1537" s="216">
        <f t="shared" si="876"/>
        <v>4750</v>
      </c>
      <c r="O1537" s="216">
        <f t="shared" si="877"/>
        <v>4000</v>
      </c>
      <c r="P1537" s="217">
        <f t="shared" si="878"/>
        <v>8750</v>
      </c>
      <c r="Q1537" s="217">
        <f t="shared" si="879"/>
        <v>-750</v>
      </c>
      <c r="R1537" s="217">
        <f t="shared" si="891"/>
        <v>40</v>
      </c>
      <c r="S1537" s="217">
        <f t="shared" si="881"/>
        <v>8.0399999999999991</v>
      </c>
      <c r="T1537" s="217">
        <f t="shared" si="882"/>
        <v>2</v>
      </c>
      <c r="U1537" s="217">
        <f t="shared" si="883"/>
        <v>0.14000000000000001</v>
      </c>
      <c r="V1537" s="217">
        <f t="shared" si="884"/>
        <v>4.6399999999999997</v>
      </c>
      <c r="W1537" s="217">
        <f t="shared" si="885"/>
        <v>0.01</v>
      </c>
      <c r="X1537" s="217">
        <f t="shared" si="886"/>
        <v>54.83</v>
      </c>
      <c r="Y1537" s="218">
        <f t="shared" si="887"/>
        <v>-804.83</v>
      </c>
      <c r="Z1537" s="219">
        <v>-805.18</v>
      </c>
      <c r="AA1537" s="220">
        <f t="shared" si="888"/>
        <v>-0.34999999999990905</v>
      </c>
      <c r="AB1537" s="221">
        <f t="shared" si="889"/>
        <v>-0.15789473684210525</v>
      </c>
      <c r="AC1537" s="222">
        <f t="shared" si="890"/>
        <v>6.2659999999999999E-3</v>
      </c>
      <c r="AD1537" s="217"/>
      <c r="AE1537" s="223" t="s">
        <v>403</v>
      </c>
      <c r="AF1537" s="119"/>
    </row>
    <row r="1538" spans="1:32" ht="12" hidden="1" customHeight="1">
      <c r="A1538" s="209">
        <v>44734</v>
      </c>
      <c r="B1538" s="152" t="s">
        <v>769</v>
      </c>
      <c r="C1538" s="152" t="str">
        <f t="shared" ca="1" si="874"/>
        <v>Indices</v>
      </c>
      <c r="D1538" s="152" t="str">
        <f ca="1">IFERROR(__xludf.DUMMYFUNCTION("split(B1538,"" "")"),"NIFTY")</f>
        <v>NIFTY</v>
      </c>
      <c r="E1538" s="224">
        <f ca="1">IFERROR(__xludf.DUMMYFUNCTION("""COMPUTED_VALUE"""),45100)</f>
        <v>45100</v>
      </c>
      <c r="F1538" s="152">
        <f ca="1">IFERROR(__xludf.DUMMYFUNCTION("""COMPUTED_VALUE"""),15400)</f>
        <v>15400</v>
      </c>
      <c r="G1538" s="152" t="str">
        <f ca="1">IFERROR(__xludf.DUMMYFUNCTION("""COMPUTED_VALUE"""),"PE")</f>
        <v>PE</v>
      </c>
      <c r="H1538" s="211">
        <v>50</v>
      </c>
      <c r="I1538" s="212">
        <v>1</v>
      </c>
      <c r="J1538" s="212">
        <v>5</v>
      </c>
      <c r="K1538" s="213">
        <f t="shared" si="875"/>
        <v>250</v>
      </c>
      <c r="L1538" s="214">
        <v>64.2</v>
      </c>
      <c r="M1538" s="215">
        <v>66.31</v>
      </c>
      <c r="N1538" s="216">
        <f t="shared" si="876"/>
        <v>16050</v>
      </c>
      <c r="O1538" s="216">
        <f t="shared" si="877"/>
        <v>16577.5</v>
      </c>
      <c r="P1538" s="217">
        <f t="shared" si="878"/>
        <v>32627.5</v>
      </c>
      <c r="Q1538" s="217">
        <f t="shared" si="879"/>
        <v>527.49999999999989</v>
      </c>
      <c r="R1538" s="217">
        <f t="shared" si="891"/>
        <v>200</v>
      </c>
      <c r="S1538" s="217">
        <f t="shared" si="881"/>
        <v>39.11</v>
      </c>
      <c r="T1538" s="217">
        <f t="shared" si="882"/>
        <v>8.2899999999999991</v>
      </c>
      <c r="U1538" s="217">
        <f t="shared" si="883"/>
        <v>0.48</v>
      </c>
      <c r="V1538" s="217">
        <f t="shared" si="884"/>
        <v>17.29</v>
      </c>
      <c r="W1538" s="217">
        <f t="shared" si="885"/>
        <v>0.03</v>
      </c>
      <c r="X1538" s="217">
        <f t="shared" si="886"/>
        <v>265.2</v>
      </c>
      <c r="Y1538" s="218">
        <f t="shared" si="887"/>
        <v>262.3</v>
      </c>
      <c r="Z1538" s="219">
        <v>262.18</v>
      </c>
      <c r="AA1538" s="220">
        <f t="shared" si="888"/>
        <v>-0.12000000000000455</v>
      </c>
      <c r="AB1538" s="221">
        <f t="shared" si="889"/>
        <v>3.2866043613707152E-2</v>
      </c>
      <c r="AC1538" s="222">
        <f t="shared" si="890"/>
        <v>8.1279999999999998E-3</v>
      </c>
      <c r="AD1538" s="217"/>
      <c r="AE1538" s="223" t="s">
        <v>403</v>
      </c>
      <c r="AF1538" s="119"/>
    </row>
    <row r="1539" spans="1:32">
      <c r="A1539" s="209">
        <v>44734</v>
      </c>
      <c r="B1539" s="152" t="s">
        <v>770</v>
      </c>
      <c r="C1539" s="152" t="str">
        <f t="shared" ca="1" si="874"/>
        <v>Stocks</v>
      </c>
      <c r="D1539" s="152" t="str">
        <f ca="1">IFERROR(__xludf.DUMMYFUNCTION("split(B1539,"" "")"),"TCS")</f>
        <v>TCS</v>
      </c>
      <c r="E1539" s="224" t="str">
        <f ca="1">IFERROR(__xludf.DUMMYFUNCTION("""COMPUTED_VALUE"""),"JUN")</f>
        <v>JUN</v>
      </c>
      <c r="F1539" s="152">
        <f ca="1">IFERROR(__xludf.DUMMYFUNCTION("""COMPUTED_VALUE"""),3200)</f>
        <v>3200</v>
      </c>
      <c r="G1539" s="152" t="str">
        <f ca="1">IFERROR(__xludf.DUMMYFUNCTION("""COMPUTED_VALUE"""),"CE")</f>
        <v>CE</v>
      </c>
      <c r="H1539" s="211">
        <v>150</v>
      </c>
      <c r="I1539" s="212">
        <v>1</v>
      </c>
      <c r="J1539" s="212">
        <v>1</v>
      </c>
      <c r="K1539" s="213">
        <f t="shared" si="875"/>
        <v>150</v>
      </c>
      <c r="L1539" s="214">
        <v>75</v>
      </c>
      <c r="M1539" s="215">
        <v>60</v>
      </c>
      <c r="N1539" s="216">
        <f t="shared" si="876"/>
        <v>11250</v>
      </c>
      <c r="O1539" s="216">
        <f t="shared" si="877"/>
        <v>9000</v>
      </c>
      <c r="P1539" s="217">
        <f t="shared" si="878"/>
        <v>20250</v>
      </c>
      <c r="Q1539" s="217">
        <f t="shared" si="879"/>
        <v>-2250</v>
      </c>
      <c r="R1539" s="217">
        <f t="shared" si="891"/>
        <v>40</v>
      </c>
      <c r="S1539" s="217">
        <f t="shared" si="881"/>
        <v>9.1300000000000008</v>
      </c>
      <c r="T1539" s="217">
        <f t="shared" si="882"/>
        <v>4.5</v>
      </c>
      <c r="U1539" s="217">
        <f t="shared" si="883"/>
        <v>0.34</v>
      </c>
      <c r="V1539" s="217">
        <f t="shared" si="884"/>
        <v>10.73</v>
      </c>
      <c r="W1539" s="217">
        <f t="shared" si="885"/>
        <v>0.02</v>
      </c>
      <c r="X1539" s="217">
        <f t="shared" si="886"/>
        <v>64.72</v>
      </c>
      <c r="Y1539" s="218">
        <f t="shared" si="887"/>
        <v>-2314.7199999999998</v>
      </c>
      <c r="Z1539" s="219">
        <v>-2315</v>
      </c>
      <c r="AA1539" s="220">
        <f t="shared" si="888"/>
        <v>-0.28000000000020009</v>
      </c>
      <c r="AB1539" s="221">
        <f t="shared" si="889"/>
        <v>-0.2</v>
      </c>
      <c r="AC1539" s="222">
        <f t="shared" si="890"/>
        <v>3.1960000000000001E-3</v>
      </c>
      <c r="AD1539" s="217"/>
      <c r="AE1539" s="223" t="s">
        <v>403</v>
      </c>
      <c r="AF1539" s="119"/>
    </row>
    <row r="1540" spans="1:32">
      <c r="A1540" s="209">
        <v>44735</v>
      </c>
      <c r="B1540" s="152" t="s">
        <v>771</v>
      </c>
      <c r="C1540" s="152" t="str">
        <f t="shared" ca="1" si="874"/>
        <v>Indices</v>
      </c>
      <c r="D1540" s="152" t="str">
        <f ca="1">IFERROR(__xludf.DUMMYFUNCTION("split(B1540,"" "")"),"NIFTY")</f>
        <v>NIFTY</v>
      </c>
      <c r="E1540" s="224">
        <f ca="1">IFERROR(__xludf.DUMMYFUNCTION("""COMPUTED_VALUE"""),45100)</f>
        <v>45100</v>
      </c>
      <c r="F1540" s="152">
        <f ca="1">IFERROR(__xludf.DUMMYFUNCTION("""COMPUTED_VALUE"""),15600)</f>
        <v>15600</v>
      </c>
      <c r="G1540" s="152" t="str">
        <f ca="1">IFERROR(__xludf.DUMMYFUNCTION("""COMPUTED_VALUE"""),"CE")</f>
        <v>CE</v>
      </c>
      <c r="H1540" s="211">
        <v>50</v>
      </c>
      <c r="I1540" s="212">
        <v>1</v>
      </c>
      <c r="J1540" s="212">
        <v>2</v>
      </c>
      <c r="K1540" s="213">
        <f t="shared" si="875"/>
        <v>100</v>
      </c>
      <c r="L1540" s="214">
        <v>40.450000000000003</v>
      </c>
      <c r="M1540" s="215">
        <v>0</v>
      </c>
      <c r="N1540" s="216">
        <f t="shared" si="876"/>
        <v>4045</v>
      </c>
      <c r="O1540" s="216">
        <f t="shared" si="877"/>
        <v>0</v>
      </c>
      <c r="P1540" s="217">
        <f t="shared" si="878"/>
        <v>4045</v>
      </c>
      <c r="Q1540" s="217">
        <f t="shared" si="879"/>
        <v>-4045.0000000000005</v>
      </c>
      <c r="R1540" s="217">
        <f t="shared" si="891"/>
        <v>40</v>
      </c>
      <c r="S1540" s="217">
        <f t="shared" si="881"/>
        <v>7.59</v>
      </c>
      <c r="T1540" s="217">
        <f t="shared" si="882"/>
        <v>0</v>
      </c>
      <c r="U1540" s="217">
        <f t="shared" si="883"/>
        <v>0.12</v>
      </c>
      <c r="V1540" s="217">
        <f t="shared" si="884"/>
        <v>2.14</v>
      </c>
      <c r="W1540" s="217">
        <f t="shared" si="885"/>
        <v>0</v>
      </c>
      <c r="X1540" s="217">
        <f t="shared" si="886"/>
        <v>49.85</v>
      </c>
      <c r="Y1540" s="218">
        <f t="shared" si="887"/>
        <v>-4094.85</v>
      </c>
      <c r="Z1540" s="219">
        <v>-4095</v>
      </c>
      <c r="AA1540" s="220">
        <f t="shared" si="888"/>
        <v>-0.15000000000009095</v>
      </c>
      <c r="AB1540" s="221">
        <f t="shared" si="889"/>
        <v>-1</v>
      </c>
      <c r="AC1540" s="222">
        <f t="shared" si="890"/>
        <v>1.2324E-2</v>
      </c>
      <c r="AD1540" s="217"/>
      <c r="AE1540" s="223" t="s">
        <v>403</v>
      </c>
      <c r="AF1540" s="119"/>
    </row>
    <row r="1541" spans="1:32">
      <c r="A1541" s="209">
        <v>44735</v>
      </c>
      <c r="B1541" s="152" t="s">
        <v>771</v>
      </c>
      <c r="C1541" s="152" t="str">
        <f t="shared" ca="1" si="874"/>
        <v>Indices</v>
      </c>
      <c r="D1541" s="152" t="str">
        <f ca="1">IFERROR(__xludf.DUMMYFUNCTION("split(B1541,"" "")"),"NIFTY")</f>
        <v>NIFTY</v>
      </c>
      <c r="E1541" s="224">
        <f ca="1">IFERROR(__xludf.DUMMYFUNCTION("""COMPUTED_VALUE"""),45100)</f>
        <v>45100</v>
      </c>
      <c r="F1541" s="152">
        <f ca="1">IFERROR(__xludf.DUMMYFUNCTION("""COMPUTED_VALUE"""),15600)</f>
        <v>15600</v>
      </c>
      <c r="G1541" s="152" t="str">
        <f ca="1">IFERROR(__xludf.DUMMYFUNCTION("""COMPUTED_VALUE"""),"CE")</f>
        <v>CE</v>
      </c>
      <c r="H1541" s="211">
        <v>50</v>
      </c>
      <c r="I1541" s="212">
        <v>2</v>
      </c>
      <c r="J1541" s="212">
        <v>1</v>
      </c>
      <c r="K1541" s="213">
        <f t="shared" si="875"/>
        <v>100</v>
      </c>
      <c r="L1541" s="214">
        <v>0</v>
      </c>
      <c r="M1541" s="215">
        <v>52.9</v>
      </c>
      <c r="N1541" s="216">
        <f t="shared" si="876"/>
        <v>0</v>
      </c>
      <c r="O1541" s="216">
        <f t="shared" si="877"/>
        <v>5290</v>
      </c>
      <c r="P1541" s="217">
        <f t="shared" si="878"/>
        <v>5290</v>
      </c>
      <c r="Q1541" s="217">
        <f t="shared" si="879"/>
        <v>5290</v>
      </c>
      <c r="R1541" s="217">
        <f t="shared" si="891"/>
        <v>20</v>
      </c>
      <c r="S1541" s="217">
        <f t="shared" si="881"/>
        <v>4.0999999999999996</v>
      </c>
      <c r="T1541" s="217">
        <f t="shared" si="882"/>
        <v>2.65</v>
      </c>
      <c r="U1541" s="217">
        <f t="shared" si="883"/>
        <v>0</v>
      </c>
      <c r="V1541" s="217">
        <f t="shared" si="884"/>
        <v>2.8</v>
      </c>
      <c r="W1541" s="217">
        <f t="shared" si="885"/>
        <v>0.01</v>
      </c>
      <c r="X1541" s="217">
        <f t="shared" si="886"/>
        <v>29.560000000000002</v>
      </c>
      <c r="Y1541" s="218">
        <f t="shared" si="887"/>
        <v>5260.44</v>
      </c>
      <c r="Z1541" s="219">
        <v>5260.84</v>
      </c>
      <c r="AA1541" s="220">
        <f t="shared" si="888"/>
        <v>0.4000000000005457</v>
      </c>
      <c r="AB1541" s="221">
        <f t="shared" si="889"/>
        <v>0</v>
      </c>
      <c r="AC1541" s="222">
        <f t="shared" si="890"/>
        <v>5.5880000000000001E-3</v>
      </c>
      <c r="AD1541" s="217"/>
      <c r="AE1541" s="223" t="s">
        <v>403</v>
      </c>
      <c r="AF1541" s="119"/>
    </row>
    <row r="1542" spans="1:32">
      <c r="A1542" s="209">
        <v>44735</v>
      </c>
      <c r="B1542" s="152" t="s">
        <v>772</v>
      </c>
      <c r="C1542" s="152" t="str">
        <f t="shared" ca="1" si="874"/>
        <v>Indices</v>
      </c>
      <c r="D1542" s="152" t="str">
        <f ca="1">IFERROR(__xludf.DUMMYFUNCTION("split(B1542,"" "")"),"NIFTY")</f>
        <v>NIFTY</v>
      </c>
      <c r="E1542" s="224">
        <f ca="1">IFERROR(__xludf.DUMMYFUNCTION("""COMPUTED_VALUE"""),45100)</f>
        <v>45100</v>
      </c>
      <c r="F1542" s="152">
        <f ca="1">IFERROR(__xludf.DUMMYFUNCTION("""COMPUTED_VALUE"""),15650)</f>
        <v>15650</v>
      </c>
      <c r="G1542" s="152" t="str">
        <f ca="1">IFERROR(__xludf.DUMMYFUNCTION("""COMPUTED_VALUE"""),"CE")</f>
        <v>CE</v>
      </c>
      <c r="H1542" s="211">
        <v>50</v>
      </c>
      <c r="I1542" s="212">
        <v>1</v>
      </c>
      <c r="J1542" s="212">
        <v>3</v>
      </c>
      <c r="K1542" s="213">
        <f t="shared" si="875"/>
        <v>150</v>
      </c>
      <c r="L1542" s="214">
        <v>13.2667</v>
      </c>
      <c r="M1542" s="215">
        <v>0</v>
      </c>
      <c r="N1542" s="216">
        <f t="shared" si="876"/>
        <v>1990.01</v>
      </c>
      <c r="O1542" s="216">
        <f t="shared" si="877"/>
        <v>0</v>
      </c>
      <c r="P1542" s="217">
        <f t="shared" si="878"/>
        <v>1990.01</v>
      </c>
      <c r="Q1542" s="217">
        <f t="shared" si="879"/>
        <v>-1990.0050000000001</v>
      </c>
      <c r="R1542" s="217">
        <f t="shared" si="891"/>
        <v>60</v>
      </c>
      <c r="S1542" s="217">
        <f t="shared" si="881"/>
        <v>10.99</v>
      </c>
      <c r="T1542" s="217">
        <f t="shared" si="882"/>
        <v>0</v>
      </c>
      <c r="U1542" s="217">
        <f t="shared" si="883"/>
        <v>0.06</v>
      </c>
      <c r="V1542" s="217">
        <f t="shared" si="884"/>
        <v>1.05</v>
      </c>
      <c r="W1542" s="217">
        <f t="shared" si="885"/>
        <v>0</v>
      </c>
      <c r="X1542" s="217">
        <f t="shared" si="886"/>
        <v>72.099999999999994</v>
      </c>
      <c r="Y1542" s="218">
        <f t="shared" si="887"/>
        <v>-2062.11</v>
      </c>
      <c r="Z1542" s="219">
        <v>-2062</v>
      </c>
      <c r="AA1542" s="220">
        <f t="shared" si="888"/>
        <v>0.11000000000012733</v>
      </c>
      <c r="AB1542" s="221">
        <f t="shared" si="889"/>
        <v>-1</v>
      </c>
      <c r="AC1542" s="222">
        <f t="shared" si="890"/>
        <v>3.6230999999999999E-2</v>
      </c>
      <c r="AD1542" s="217"/>
      <c r="AE1542" s="223" t="s">
        <v>403</v>
      </c>
      <c r="AF1542" s="119"/>
    </row>
    <row r="1543" spans="1:32">
      <c r="A1543" s="209">
        <v>44735</v>
      </c>
      <c r="B1543" s="152" t="s">
        <v>772</v>
      </c>
      <c r="C1543" s="152" t="str">
        <f t="shared" ca="1" si="874"/>
        <v>Indices</v>
      </c>
      <c r="D1543" s="152" t="str">
        <f ca="1">IFERROR(__xludf.DUMMYFUNCTION("split(B1543,"" "")"),"NIFTY")</f>
        <v>NIFTY</v>
      </c>
      <c r="E1543" s="224">
        <f ca="1">IFERROR(__xludf.DUMMYFUNCTION("""COMPUTED_VALUE"""),45100)</f>
        <v>45100</v>
      </c>
      <c r="F1543" s="152">
        <f ca="1">IFERROR(__xludf.DUMMYFUNCTION("""COMPUTED_VALUE"""),15650)</f>
        <v>15650</v>
      </c>
      <c r="G1543" s="152" t="str">
        <f ca="1">IFERROR(__xludf.DUMMYFUNCTION("""COMPUTED_VALUE"""),"CE")</f>
        <v>CE</v>
      </c>
      <c r="H1543" s="211">
        <v>50</v>
      </c>
      <c r="I1543" s="212">
        <v>3</v>
      </c>
      <c r="J1543" s="212">
        <v>1</v>
      </c>
      <c r="K1543" s="213">
        <f t="shared" si="875"/>
        <v>150</v>
      </c>
      <c r="L1543" s="214">
        <v>0</v>
      </c>
      <c r="M1543" s="215">
        <v>1.5</v>
      </c>
      <c r="N1543" s="216">
        <f t="shared" si="876"/>
        <v>0</v>
      </c>
      <c r="O1543" s="216">
        <f t="shared" si="877"/>
        <v>225</v>
      </c>
      <c r="P1543" s="217">
        <f t="shared" si="878"/>
        <v>225</v>
      </c>
      <c r="Q1543" s="217">
        <f t="shared" si="879"/>
        <v>225</v>
      </c>
      <c r="R1543" s="217">
        <f t="shared" si="891"/>
        <v>20</v>
      </c>
      <c r="S1543" s="217">
        <f t="shared" si="881"/>
        <v>3.62</v>
      </c>
      <c r="T1543" s="217">
        <f t="shared" si="882"/>
        <v>0.11</v>
      </c>
      <c r="U1543" s="217">
        <f t="shared" si="883"/>
        <v>0</v>
      </c>
      <c r="V1543" s="217">
        <f t="shared" si="884"/>
        <v>0.12</v>
      </c>
      <c r="W1543" s="217">
        <f t="shared" si="885"/>
        <v>0</v>
      </c>
      <c r="X1543" s="217">
        <f t="shared" si="886"/>
        <v>23.85</v>
      </c>
      <c r="Y1543" s="218">
        <f t="shared" si="887"/>
        <v>201.15</v>
      </c>
      <c r="Z1543" s="219">
        <v>201</v>
      </c>
      <c r="AA1543" s="220">
        <f t="shared" si="888"/>
        <v>-0.15000000000000568</v>
      </c>
      <c r="AB1543" s="221">
        <f t="shared" si="889"/>
        <v>0</v>
      </c>
      <c r="AC1543" s="222">
        <f t="shared" si="890"/>
        <v>0.106</v>
      </c>
      <c r="AD1543" s="217"/>
      <c r="AE1543" s="223" t="s">
        <v>403</v>
      </c>
      <c r="AF1543" s="119"/>
    </row>
    <row r="1544" spans="1:32">
      <c r="A1544" s="209">
        <v>44735</v>
      </c>
      <c r="B1544" s="152" t="s">
        <v>765</v>
      </c>
      <c r="C1544" s="152" t="str">
        <f t="shared" ca="1" si="874"/>
        <v>Indices</v>
      </c>
      <c r="D1544" s="152" t="str">
        <f ca="1">IFERROR(__xludf.DUMMYFUNCTION("split(B1544,"" "")"),"NIFTY")</f>
        <v>NIFTY</v>
      </c>
      <c r="E1544" s="224">
        <f ca="1">IFERROR(__xludf.DUMMYFUNCTION("""COMPUTED_VALUE"""),45100)</f>
        <v>45100</v>
      </c>
      <c r="F1544" s="152">
        <f ca="1">IFERROR(__xludf.DUMMYFUNCTION("""COMPUTED_VALUE"""),15350)</f>
        <v>15350</v>
      </c>
      <c r="G1544" s="152" t="str">
        <f ca="1">IFERROR(__xludf.DUMMYFUNCTION("""COMPUTED_VALUE"""),"CE")</f>
        <v>CE</v>
      </c>
      <c r="H1544" s="211">
        <v>50</v>
      </c>
      <c r="I1544" s="212">
        <v>1</v>
      </c>
      <c r="J1544" s="212">
        <v>1</v>
      </c>
      <c r="K1544" s="213">
        <f t="shared" si="875"/>
        <v>50</v>
      </c>
      <c r="L1544" s="214">
        <v>25</v>
      </c>
      <c r="M1544" s="215">
        <v>2.1</v>
      </c>
      <c r="N1544" s="216">
        <f t="shared" si="876"/>
        <v>1250</v>
      </c>
      <c r="O1544" s="216">
        <f t="shared" si="877"/>
        <v>105</v>
      </c>
      <c r="P1544" s="217">
        <f t="shared" si="878"/>
        <v>1355</v>
      </c>
      <c r="Q1544" s="217">
        <f t="shared" si="879"/>
        <v>-1145</v>
      </c>
      <c r="R1544" s="217">
        <f t="shared" si="891"/>
        <v>40</v>
      </c>
      <c r="S1544" s="217">
        <f t="shared" si="881"/>
        <v>7.33</v>
      </c>
      <c r="T1544" s="217">
        <f t="shared" si="882"/>
        <v>0.05</v>
      </c>
      <c r="U1544" s="217">
        <f t="shared" si="883"/>
        <v>0.04</v>
      </c>
      <c r="V1544" s="217">
        <f t="shared" si="884"/>
        <v>0.72</v>
      </c>
      <c r="W1544" s="217">
        <f t="shared" si="885"/>
        <v>0</v>
      </c>
      <c r="X1544" s="217">
        <f t="shared" si="886"/>
        <v>48.139999999999993</v>
      </c>
      <c r="Y1544" s="218">
        <f t="shared" si="887"/>
        <v>-1193.1400000000001</v>
      </c>
      <c r="Z1544" s="219">
        <v>-1193</v>
      </c>
      <c r="AA1544" s="220">
        <f t="shared" si="888"/>
        <v>0.14000000000010004</v>
      </c>
      <c r="AB1544" s="221">
        <f t="shared" si="889"/>
        <v>-0.91599999999999993</v>
      </c>
      <c r="AC1544" s="222">
        <f t="shared" si="890"/>
        <v>3.5527999999999997E-2</v>
      </c>
      <c r="AD1544" s="217"/>
      <c r="AE1544" s="223" t="s">
        <v>403</v>
      </c>
      <c r="AF1544" s="119"/>
    </row>
    <row r="1545" spans="1:32">
      <c r="A1545" s="209">
        <v>44736</v>
      </c>
      <c r="B1545" s="152" t="s">
        <v>773</v>
      </c>
      <c r="C1545" s="152" t="str">
        <f t="shared" ca="1" si="874"/>
        <v>Indices</v>
      </c>
      <c r="D1545" s="152" t="str">
        <f ca="1">IFERROR(__xludf.DUMMYFUNCTION("split(B1545,"" "")"),"NIFTY")</f>
        <v>NIFTY</v>
      </c>
      <c r="E1545" s="224" t="str">
        <f ca="1">IFERROR(__xludf.DUMMYFUNCTION("""COMPUTED_VALUE"""),"JUN")</f>
        <v>JUN</v>
      </c>
      <c r="F1545" s="152">
        <f ca="1">IFERROR(__xludf.DUMMYFUNCTION("""COMPUTED_VALUE"""),15750)</f>
        <v>15750</v>
      </c>
      <c r="G1545" s="152" t="str">
        <f ca="1">IFERROR(__xludf.DUMMYFUNCTION("""COMPUTED_VALUE"""),"CE")</f>
        <v>CE</v>
      </c>
      <c r="H1545" s="211">
        <v>50</v>
      </c>
      <c r="I1545" s="212">
        <v>1</v>
      </c>
      <c r="J1545" s="212">
        <v>2</v>
      </c>
      <c r="K1545" s="213">
        <f t="shared" si="875"/>
        <v>100</v>
      </c>
      <c r="L1545" s="214">
        <v>152.5</v>
      </c>
      <c r="M1545" s="215">
        <v>153</v>
      </c>
      <c r="N1545" s="216">
        <f t="shared" si="876"/>
        <v>15250</v>
      </c>
      <c r="O1545" s="216">
        <f t="shared" si="877"/>
        <v>15300</v>
      </c>
      <c r="P1545" s="217">
        <f t="shared" si="878"/>
        <v>30550</v>
      </c>
      <c r="Q1545" s="217">
        <f t="shared" si="879"/>
        <v>50</v>
      </c>
      <c r="R1545" s="217">
        <f t="shared" si="891"/>
        <v>80</v>
      </c>
      <c r="S1545" s="217">
        <f t="shared" si="881"/>
        <v>17.309999999999999</v>
      </c>
      <c r="T1545" s="217">
        <f t="shared" si="882"/>
        <v>7.65</v>
      </c>
      <c r="U1545" s="217">
        <f t="shared" si="883"/>
        <v>0.46</v>
      </c>
      <c r="V1545" s="217">
        <f t="shared" si="884"/>
        <v>16.190000000000001</v>
      </c>
      <c r="W1545" s="217">
        <f t="shared" si="885"/>
        <v>0.03</v>
      </c>
      <c r="X1545" s="217">
        <f t="shared" si="886"/>
        <v>121.64</v>
      </c>
      <c r="Y1545" s="218">
        <f t="shared" si="887"/>
        <v>-71.64</v>
      </c>
      <c r="Z1545" s="219">
        <v>-72.680000000000007</v>
      </c>
      <c r="AA1545" s="220">
        <f t="shared" si="888"/>
        <v>-1.0400000000000063</v>
      </c>
      <c r="AB1545" s="221">
        <f t="shared" si="889"/>
        <v>3.2786885245901639E-3</v>
      </c>
      <c r="AC1545" s="222">
        <f t="shared" si="890"/>
        <v>3.9820000000000003E-3</v>
      </c>
      <c r="AD1545" s="217"/>
      <c r="AE1545" s="223" t="s">
        <v>403</v>
      </c>
      <c r="AF1545" s="119"/>
    </row>
    <row r="1546" spans="1:32">
      <c r="A1546" s="148">
        <v>44736</v>
      </c>
      <c r="B1546" s="152" t="s">
        <v>774</v>
      </c>
      <c r="C1546" s="152" t="str">
        <f t="shared" ca="1" si="874"/>
        <v>Stocks</v>
      </c>
      <c r="D1546" s="152" t="str">
        <f ca="1">IFERROR(__xludf.DUMMYFUNCTION("split(B1546,"" "")"),"TCS")</f>
        <v>TCS</v>
      </c>
      <c r="E1546" s="152" t="str">
        <f ca="1">IFERROR(__xludf.DUMMYFUNCTION("""COMPUTED_VALUE"""),"JUN")</f>
        <v>JUN</v>
      </c>
      <c r="F1546" s="152">
        <f ca="1">IFERROR(__xludf.DUMMYFUNCTION("""COMPUTED_VALUE"""),3300)</f>
        <v>3300</v>
      </c>
      <c r="G1546" s="152" t="str">
        <f ca="1">IFERROR(__xludf.DUMMYFUNCTION("""COMPUTED_VALUE"""),"CE")</f>
        <v>CE</v>
      </c>
      <c r="H1546" s="211">
        <v>150</v>
      </c>
      <c r="I1546" s="212">
        <v>1</v>
      </c>
      <c r="J1546" s="212">
        <v>1</v>
      </c>
      <c r="K1546" s="213">
        <f t="shared" si="875"/>
        <v>150</v>
      </c>
      <c r="L1546" s="214">
        <v>59</v>
      </c>
      <c r="M1546" s="215">
        <v>0</v>
      </c>
      <c r="N1546" s="216">
        <f t="shared" si="876"/>
        <v>8850</v>
      </c>
      <c r="O1546" s="216">
        <f t="shared" si="877"/>
        <v>0</v>
      </c>
      <c r="P1546" s="217">
        <f t="shared" si="878"/>
        <v>8850</v>
      </c>
      <c r="Q1546" s="217">
        <f t="shared" si="879"/>
        <v>-8850</v>
      </c>
      <c r="R1546" s="217">
        <f t="shared" si="891"/>
        <v>20</v>
      </c>
      <c r="S1546" s="217">
        <f t="shared" si="881"/>
        <v>4.4400000000000004</v>
      </c>
      <c r="T1546" s="217">
        <f t="shared" si="882"/>
        <v>0</v>
      </c>
      <c r="U1546" s="217">
        <f t="shared" si="883"/>
        <v>0.27</v>
      </c>
      <c r="V1546" s="217">
        <f t="shared" si="884"/>
        <v>4.6900000000000004</v>
      </c>
      <c r="W1546" s="217">
        <f t="shared" si="885"/>
        <v>0.01</v>
      </c>
      <c r="X1546" s="217">
        <f t="shared" si="886"/>
        <v>29.410000000000004</v>
      </c>
      <c r="Y1546" s="218">
        <f t="shared" si="887"/>
        <v>-8879.41</v>
      </c>
      <c r="Z1546" s="219">
        <v>-8879</v>
      </c>
      <c r="AA1546" s="220">
        <f t="shared" si="888"/>
        <v>0.40999999999985448</v>
      </c>
      <c r="AB1546" s="221">
        <f t="shared" si="889"/>
        <v>-1</v>
      </c>
      <c r="AC1546" s="222">
        <f t="shared" si="890"/>
        <v>3.323E-3</v>
      </c>
      <c r="AD1546" s="217"/>
      <c r="AE1546" s="223" t="s">
        <v>403</v>
      </c>
      <c r="AF1546" s="119"/>
    </row>
    <row r="1547" spans="1:32">
      <c r="A1547" s="150">
        <v>44739</v>
      </c>
      <c r="B1547" s="152" t="s">
        <v>774</v>
      </c>
      <c r="C1547" s="152" t="str">
        <f t="shared" ca="1" si="874"/>
        <v>Stocks</v>
      </c>
      <c r="D1547" s="152" t="str">
        <f ca="1">IFERROR(__xludf.DUMMYFUNCTION("split(B1547,"" "")"),"TCS")</f>
        <v>TCS</v>
      </c>
      <c r="E1547" s="152" t="str">
        <f ca="1">IFERROR(__xludf.DUMMYFUNCTION("""COMPUTED_VALUE"""),"JUN")</f>
        <v>JUN</v>
      </c>
      <c r="F1547" s="152">
        <f ca="1">IFERROR(__xludf.DUMMYFUNCTION("""COMPUTED_VALUE"""),3300)</f>
        <v>3300</v>
      </c>
      <c r="G1547" s="152" t="str">
        <f ca="1">IFERROR(__xludf.DUMMYFUNCTION("""COMPUTED_VALUE"""),"CE")</f>
        <v>CE</v>
      </c>
      <c r="H1547" s="211">
        <v>150</v>
      </c>
      <c r="I1547" s="212">
        <v>1</v>
      </c>
      <c r="J1547" s="212">
        <v>1</v>
      </c>
      <c r="K1547" s="213">
        <f t="shared" si="875"/>
        <v>150</v>
      </c>
      <c r="L1547" s="214">
        <v>0</v>
      </c>
      <c r="M1547" s="215">
        <v>66</v>
      </c>
      <c r="N1547" s="216">
        <f t="shared" si="876"/>
        <v>0</v>
      </c>
      <c r="O1547" s="216">
        <f t="shared" si="877"/>
        <v>9900</v>
      </c>
      <c r="P1547" s="217">
        <f t="shared" si="878"/>
        <v>9900</v>
      </c>
      <c r="Q1547" s="217">
        <f t="shared" si="879"/>
        <v>9900</v>
      </c>
      <c r="R1547" s="217">
        <f t="shared" si="891"/>
        <v>20</v>
      </c>
      <c r="S1547" s="217">
        <f t="shared" si="881"/>
        <v>4.55</v>
      </c>
      <c r="T1547" s="217">
        <f t="shared" si="882"/>
        <v>4.95</v>
      </c>
      <c r="U1547" s="217">
        <f t="shared" si="883"/>
        <v>0</v>
      </c>
      <c r="V1547" s="217">
        <f t="shared" si="884"/>
        <v>5.25</v>
      </c>
      <c r="W1547" s="217">
        <f t="shared" si="885"/>
        <v>0.01</v>
      </c>
      <c r="X1547" s="217">
        <f t="shared" si="886"/>
        <v>34.76</v>
      </c>
      <c r="Y1547" s="218">
        <f t="shared" si="887"/>
        <v>9865.24</v>
      </c>
      <c r="Z1547" s="219">
        <v>9865</v>
      </c>
      <c r="AA1547" s="220">
        <f t="shared" si="888"/>
        <v>-0.23999999999978172</v>
      </c>
      <c r="AB1547" s="221">
        <f t="shared" si="889"/>
        <v>0</v>
      </c>
      <c r="AC1547" s="222">
        <f t="shared" si="890"/>
        <v>3.5109999999999998E-3</v>
      </c>
      <c r="AD1547" s="217"/>
      <c r="AE1547" s="223" t="s">
        <v>403</v>
      </c>
      <c r="AF1547" s="119"/>
    </row>
    <row r="1548" spans="1:32">
      <c r="A1548" s="209">
        <v>44739</v>
      </c>
      <c r="B1548" s="152" t="s">
        <v>775</v>
      </c>
      <c r="C1548" s="152" t="str">
        <f t="shared" ca="1" si="874"/>
        <v>Indices</v>
      </c>
      <c r="D1548" s="152" t="str">
        <f ca="1">IFERROR(__xludf.DUMMYFUNCTION("split(B1548,"" "")"),"NIFTY")</f>
        <v>NIFTY</v>
      </c>
      <c r="E1548" s="152" t="str">
        <f ca="1">IFERROR(__xludf.DUMMYFUNCTION("""COMPUTED_VALUE"""),"JUN")</f>
        <v>JUN</v>
      </c>
      <c r="F1548" s="152">
        <f ca="1">IFERROR(__xludf.DUMMYFUNCTION("""COMPUTED_VALUE"""),15900)</f>
        <v>15900</v>
      </c>
      <c r="G1548" s="152" t="str">
        <f ca="1">IFERROR(__xludf.DUMMYFUNCTION("""COMPUTED_VALUE"""),"CE")</f>
        <v>CE</v>
      </c>
      <c r="H1548" s="211">
        <v>50</v>
      </c>
      <c r="I1548" s="212">
        <v>1</v>
      </c>
      <c r="J1548" s="212">
        <v>4</v>
      </c>
      <c r="K1548" s="213">
        <f t="shared" si="875"/>
        <v>200</v>
      </c>
      <c r="L1548" s="214">
        <v>120.25</v>
      </c>
      <c r="M1548" s="215">
        <v>0</v>
      </c>
      <c r="N1548" s="216">
        <f t="shared" si="876"/>
        <v>24050</v>
      </c>
      <c r="O1548" s="216">
        <f t="shared" si="877"/>
        <v>0</v>
      </c>
      <c r="P1548" s="217">
        <f t="shared" si="878"/>
        <v>24050</v>
      </c>
      <c r="Q1548" s="217">
        <f t="shared" si="879"/>
        <v>-24050</v>
      </c>
      <c r="R1548" s="217">
        <f t="shared" si="891"/>
        <v>80</v>
      </c>
      <c r="S1548" s="217">
        <f t="shared" si="881"/>
        <v>16.7</v>
      </c>
      <c r="T1548" s="217">
        <f t="shared" si="882"/>
        <v>0</v>
      </c>
      <c r="U1548" s="217">
        <f t="shared" si="883"/>
        <v>0.72</v>
      </c>
      <c r="V1548" s="217">
        <f t="shared" si="884"/>
        <v>12.75</v>
      </c>
      <c r="W1548" s="217">
        <f t="shared" si="885"/>
        <v>0.02</v>
      </c>
      <c r="X1548" s="217">
        <f t="shared" si="886"/>
        <v>110.19</v>
      </c>
      <c r="Y1548" s="218">
        <f t="shared" si="887"/>
        <v>-24160.19</v>
      </c>
      <c r="Z1548" s="219">
        <v>-24160</v>
      </c>
      <c r="AA1548" s="220">
        <f t="shared" si="888"/>
        <v>0.18999999999869033</v>
      </c>
      <c r="AB1548" s="221">
        <f t="shared" si="889"/>
        <v>-1</v>
      </c>
      <c r="AC1548" s="222">
        <f t="shared" si="890"/>
        <v>4.5820000000000001E-3</v>
      </c>
      <c r="AD1548" s="217"/>
      <c r="AE1548" s="223" t="s">
        <v>403</v>
      </c>
      <c r="AF1548" s="119"/>
    </row>
    <row r="1549" spans="1:32">
      <c r="A1549" s="209">
        <v>44739</v>
      </c>
      <c r="B1549" s="152" t="s">
        <v>775</v>
      </c>
      <c r="C1549" s="152" t="str">
        <f t="shared" ca="1" si="874"/>
        <v>Indices</v>
      </c>
      <c r="D1549" s="152" t="str">
        <f ca="1">IFERROR(__xludf.DUMMYFUNCTION("split(B1549,"" "")"),"NIFTY")</f>
        <v>NIFTY</v>
      </c>
      <c r="E1549" s="152" t="str">
        <f ca="1">IFERROR(__xludf.DUMMYFUNCTION("""COMPUTED_VALUE"""),"JUN")</f>
        <v>JUN</v>
      </c>
      <c r="F1549" s="152">
        <f ca="1">IFERROR(__xludf.DUMMYFUNCTION("""COMPUTED_VALUE"""),15900)</f>
        <v>15900</v>
      </c>
      <c r="G1549" s="152" t="str">
        <f ca="1">IFERROR(__xludf.DUMMYFUNCTION("""COMPUTED_VALUE"""),"CE")</f>
        <v>CE</v>
      </c>
      <c r="H1549" s="211">
        <v>50</v>
      </c>
      <c r="I1549" s="212">
        <v>1</v>
      </c>
      <c r="J1549" s="212">
        <v>1</v>
      </c>
      <c r="K1549" s="213">
        <f t="shared" si="875"/>
        <v>50</v>
      </c>
      <c r="L1549" s="214">
        <v>0</v>
      </c>
      <c r="M1549" s="215">
        <v>149</v>
      </c>
      <c r="N1549" s="216">
        <f t="shared" si="876"/>
        <v>0</v>
      </c>
      <c r="O1549" s="216">
        <f t="shared" si="877"/>
        <v>7450</v>
      </c>
      <c r="P1549" s="217">
        <f t="shared" si="878"/>
        <v>7450</v>
      </c>
      <c r="Q1549" s="217">
        <f t="shared" si="879"/>
        <v>7450</v>
      </c>
      <c r="R1549" s="217">
        <f t="shared" si="891"/>
        <v>20</v>
      </c>
      <c r="S1549" s="217">
        <f t="shared" si="881"/>
        <v>4.3099999999999996</v>
      </c>
      <c r="T1549" s="217">
        <f t="shared" si="882"/>
        <v>3.73</v>
      </c>
      <c r="U1549" s="217">
        <f t="shared" si="883"/>
        <v>0</v>
      </c>
      <c r="V1549" s="217">
        <f t="shared" si="884"/>
        <v>3.95</v>
      </c>
      <c r="W1549" s="217">
        <f t="shared" si="885"/>
        <v>0.01</v>
      </c>
      <c r="X1549" s="217">
        <f t="shared" si="886"/>
        <v>32</v>
      </c>
      <c r="Y1549" s="218">
        <f t="shared" si="887"/>
        <v>7418</v>
      </c>
      <c r="Z1549" s="219">
        <v>7418</v>
      </c>
      <c r="AA1549" s="220">
        <f t="shared" si="888"/>
        <v>0</v>
      </c>
      <c r="AB1549" s="221">
        <f t="shared" si="889"/>
        <v>0</v>
      </c>
      <c r="AC1549" s="222">
        <f t="shared" si="890"/>
        <v>4.2950000000000002E-3</v>
      </c>
      <c r="AD1549" s="217"/>
      <c r="AE1549" s="223" t="s">
        <v>403</v>
      </c>
      <c r="AF1549" s="119"/>
    </row>
    <row r="1550" spans="1:32">
      <c r="A1550" s="209">
        <v>44739</v>
      </c>
      <c r="B1550" s="152" t="s">
        <v>775</v>
      </c>
      <c r="C1550" s="152" t="str">
        <f t="shared" ca="1" si="874"/>
        <v>Indices</v>
      </c>
      <c r="D1550" s="152" t="str">
        <f ca="1">IFERROR(__xludf.DUMMYFUNCTION("split(B1550,"" "")"),"NIFTY")</f>
        <v>NIFTY</v>
      </c>
      <c r="E1550" s="152" t="str">
        <f ca="1">IFERROR(__xludf.DUMMYFUNCTION("""COMPUTED_VALUE"""),"JUN")</f>
        <v>JUN</v>
      </c>
      <c r="F1550" s="152">
        <f ca="1">IFERROR(__xludf.DUMMYFUNCTION("""COMPUTED_VALUE"""),15900)</f>
        <v>15900</v>
      </c>
      <c r="G1550" s="152" t="str">
        <f ca="1">IFERROR(__xludf.DUMMYFUNCTION("""COMPUTED_VALUE"""),"CE")</f>
        <v>CE</v>
      </c>
      <c r="H1550" s="211">
        <v>50</v>
      </c>
      <c r="I1550" s="212">
        <v>3</v>
      </c>
      <c r="J1550" s="212">
        <v>1</v>
      </c>
      <c r="K1550" s="213">
        <f t="shared" si="875"/>
        <v>150</v>
      </c>
      <c r="L1550" s="214">
        <v>0</v>
      </c>
      <c r="M1550" s="215">
        <v>136</v>
      </c>
      <c r="N1550" s="216">
        <f t="shared" si="876"/>
        <v>0</v>
      </c>
      <c r="O1550" s="216">
        <f t="shared" si="877"/>
        <v>20400</v>
      </c>
      <c r="P1550" s="217">
        <f t="shared" si="878"/>
        <v>20400</v>
      </c>
      <c r="Q1550" s="217">
        <f t="shared" si="879"/>
        <v>20400</v>
      </c>
      <c r="R1550" s="217">
        <f t="shared" si="891"/>
        <v>20</v>
      </c>
      <c r="S1550" s="217">
        <f t="shared" si="881"/>
        <v>5.55</v>
      </c>
      <c r="T1550" s="217">
        <f t="shared" si="882"/>
        <v>10.199999999999999</v>
      </c>
      <c r="U1550" s="217">
        <f t="shared" si="883"/>
        <v>0</v>
      </c>
      <c r="V1550" s="217">
        <f t="shared" si="884"/>
        <v>10.81</v>
      </c>
      <c r="W1550" s="217">
        <f t="shared" si="885"/>
        <v>0.02</v>
      </c>
      <c r="X1550" s="217">
        <f t="shared" si="886"/>
        <v>46.580000000000005</v>
      </c>
      <c r="Y1550" s="218">
        <f t="shared" si="887"/>
        <v>20353.419999999998</v>
      </c>
      <c r="Z1550" s="219">
        <v>20352.439999999999</v>
      </c>
      <c r="AA1550" s="220">
        <f t="shared" si="888"/>
        <v>-0.97999999999956344</v>
      </c>
      <c r="AB1550" s="221">
        <f t="shared" si="889"/>
        <v>0</v>
      </c>
      <c r="AC1550" s="222">
        <f t="shared" si="890"/>
        <v>2.2829999999999999E-3</v>
      </c>
      <c r="AD1550" s="217"/>
      <c r="AE1550" s="223" t="s">
        <v>403</v>
      </c>
      <c r="AF1550" s="119"/>
    </row>
    <row r="1551" spans="1:32">
      <c r="A1551" s="148">
        <v>44739</v>
      </c>
      <c r="B1551" s="152" t="s">
        <v>775</v>
      </c>
      <c r="C1551" s="152" t="str">
        <f t="shared" ca="1" si="874"/>
        <v>Indices</v>
      </c>
      <c r="D1551" s="152" t="str">
        <f ca="1">IFERROR(__xludf.DUMMYFUNCTION("split(B1551,"" "")"),"NIFTY")</f>
        <v>NIFTY</v>
      </c>
      <c r="E1551" s="152" t="str">
        <f ca="1">IFERROR(__xludf.DUMMYFUNCTION("""COMPUTED_VALUE"""),"JUN")</f>
        <v>JUN</v>
      </c>
      <c r="F1551" s="152">
        <f ca="1">IFERROR(__xludf.DUMMYFUNCTION("""COMPUTED_VALUE"""),15900)</f>
        <v>15900</v>
      </c>
      <c r="G1551" s="152" t="str">
        <f ca="1">IFERROR(__xludf.DUMMYFUNCTION("""COMPUTED_VALUE"""),"CE")</f>
        <v>CE</v>
      </c>
      <c r="H1551" s="211">
        <v>50</v>
      </c>
      <c r="I1551" s="212">
        <v>1</v>
      </c>
      <c r="J1551" s="212">
        <v>2</v>
      </c>
      <c r="K1551" s="213">
        <f t="shared" si="875"/>
        <v>100</v>
      </c>
      <c r="L1551" s="214">
        <v>105</v>
      </c>
      <c r="M1551" s="215">
        <v>0</v>
      </c>
      <c r="N1551" s="216">
        <f t="shared" si="876"/>
        <v>10500</v>
      </c>
      <c r="O1551" s="216">
        <f t="shared" si="877"/>
        <v>0</v>
      </c>
      <c r="P1551" s="217">
        <f t="shared" si="878"/>
        <v>10500</v>
      </c>
      <c r="Q1551" s="217">
        <f t="shared" si="879"/>
        <v>-10500</v>
      </c>
      <c r="R1551" s="217">
        <f t="shared" si="891"/>
        <v>40</v>
      </c>
      <c r="S1551" s="217">
        <f t="shared" si="881"/>
        <v>8.1999999999999993</v>
      </c>
      <c r="T1551" s="217">
        <f t="shared" si="882"/>
        <v>0</v>
      </c>
      <c r="U1551" s="217">
        <f t="shared" si="883"/>
        <v>0.32</v>
      </c>
      <c r="V1551" s="217">
        <f t="shared" si="884"/>
        <v>5.57</v>
      </c>
      <c r="W1551" s="217">
        <f t="shared" si="885"/>
        <v>0.01</v>
      </c>
      <c r="X1551" s="217">
        <f t="shared" si="886"/>
        <v>54.1</v>
      </c>
      <c r="Y1551" s="218">
        <f t="shared" si="887"/>
        <v>-10554.1</v>
      </c>
      <c r="Z1551" s="219">
        <v>-10554</v>
      </c>
      <c r="AA1551" s="220">
        <f t="shared" si="888"/>
        <v>0.1000000000003638</v>
      </c>
      <c r="AB1551" s="221">
        <f t="shared" si="889"/>
        <v>-1</v>
      </c>
      <c r="AC1551" s="222">
        <f t="shared" si="890"/>
        <v>5.1520000000000003E-3</v>
      </c>
      <c r="AD1551" s="217"/>
      <c r="AE1551" s="223" t="s">
        <v>403</v>
      </c>
      <c r="AF1551" s="119"/>
    </row>
    <row r="1552" spans="1:32">
      <c r="A1552" s="148">
        <v>44741</v>
      </c>
      <c r="B1552" s="152" t="s">
        <v>775</v>
      </c>
      <c r="C1552" s="152" t="str">
        <f t="shared" ca="1" si="874"/>
        <v>Indices</v>
      </c>
      <c r="D1552" s="152" t="str">
        <f ca="1">IFERROR(__xludf.DUMMYFUNCTION("split(B1552,"" "")"),"NIFTY")</f>
        <v>NIFTY</v>
      </c>
      <c r="E1552" s="152" t="str">
        <f ca="1">IFERROR(__xludf.DUMMYFUNCTION("""COMPUTED_VALUE"""),"JUN")</f>
        <v>JUN</v>
      </c>
      <c r="F1552" s="152">
        <f ca="1">IFERROR(__xludf.DUMMYFUNCTION("""COMPUTED_VALUE"""),15900)</f>
        <v>15900</v>
      </c>
      <c r="G1552" s="152" t="str">
        <f ca="1">IFERROR(__xludf.DUMMYFUNCTION("""COMPUTED_VALUE"""),"CE")</f>
        <v>CE</v>
      </c>
      <c r="H1552" s="211">
        <v>50</v>
      </c>
      <c r="I1552" s="212">
        <v>1</v>
      </c>
      <c r="J1552" s="212">
        <v>1</v>
      </c>
      <c r="K1552" s="213">
        <f t="shared" si="875"/>
        <v>50</v>
      </c>
      <c r="L1552" s="214">
        <v>35</v>
      </c>
      <c r="M1552" s="215">
        <v>0</v>
      </c>
      <c r="N1552" s="216">
        <f t="shared" si="876"/>
        <v>1750</v>
      </c>
      <c r="O1552" s="216">
        <f t="shared" si="877"/>
        <v>0</v>
      </c>
      <c r="P1552" s="217">
        <f t="shared" si="878"/>
        <v>1750</v>
      </c>
      <c r="Q1552" s="217">
        <f t="shared" si="879"/>
        <v>-1750</v>
      </c>
      <c r="R1552" s="217">
        <f t="shared" si="891"/>
        <v>20</v>
      </c>
      <c r="S1552" s="217">
        <f t="shared" si="881"/>
        <v>3.77</v>
      </c>
      <c r="T1552" s="217">
        <f t="shared" si="882"/>
        <v>0</v>
      </c>
      <c r="U1552" s="217">
        <f t="shared" si="883"/>
        <v>0.05</v>
      </c>
      <c r="V1552" s="217">
        <f t="shared" si="884"/>
        <v>0.93</v>
      </c>
      <c r="W1552" s="217">
        <f t="shared" si="885"/>
        <v>0</v>
      </c>
      <c r="X1552" s="217">
        <f t="shared" si="886"/>
        <v>24.75</v>
      </c>
      <c r="Y1552" s="218">
        <f t="shared" si="887"/>
        <v>-1774.75</v>
      </c>
      <c r="Z1552" s="219">
        <v>-1775</v>
      </c>
      <c r="AA1552" s="220">
        <f t="shared" si="888"/>
        <v>-0.25</v>
      </c>
      <c r="AB1552" s="221">
        <f t="shared" si="889"/>
        <v>-1</v>
      </c>
      <c r="AC1552" s="222">
        <f t="shared" si="890"/>
        <v>1.4142999999999999E-2</v>
      </c>
      <c r="AD1552" s="217"/>
      <c r="AE1552" s="223" t="s">
        <v>403</v>
      </c>
      <c r="AF1552" s="119"/>
    </row>
    <row r="1553" spans="1:32">
      <c r="A1553" s="150">
        <v>44741</v>
      </c>
      <c r="B1553" s="152" t="s">
        <v>775</v>
      </c>
      <c r="C1553" s="152" t="str">
        <f t="shared" ca="1" si="874"/>
        <v>Indices</v>
      </c>
      <c r="D1553" s="152" t="str">
        <f ca="1">IFERROR(__xludf.DUMMYFUNCTION("split(B1553,"" "")"),"NIFTY")</f>
        <v>NIFTY</v>
      </c>
      <c r="E1553" s="152" t="str">
        <f ca="1">IFERROR(__xludf.DUMMYFUNCTION("""COMPUTED_VALUE"""),"JUN")</f>
        <v>JUN</v>
      </c>
      <c r="F1553" s="152">
        <f ca="1">IFERROR(__xludf.DUMMYFUNCTION("""COMPUTED_VALUE"""),15900)</f>
        <v>15900</v>
      </c>
      <c r="G1553" s="152" t="str">
        <f ca="1">IFERROR(__xludf.DUMMYFUNCTION("""COMPUTED_VALUE"""),"CE")</f>
        <v>CE</v>
      </c>
      <c r="H1553" s="211">
        <v>50</v>
      </c>
      <c r="I1553" s="212">
        <v>3</v>
      </c>
      <c r="J1553" s="212">
        <v>1</v>
      </c>
      <c r="K1553" s="213">
        <f t="shared" si="875"/>
        <v>150</v>
      </c>
      <c r="L1553" s="214">
        <v>0</v>
      </c>
      <c r="M1553" s="215">
        <v>44</v>
      </c>
      <c r="N1553" s="216">
        <f t="shared" si="876"/>
        <v>0</v>
      </c>
      <c r="O1553" s="216">
        <f t="shared" si="877"/>
        <v>6600</v>
      </c>
      <c r="P1553" s="217">
        <f t="shared" si="878"/>
        <v>6600</v>
      </c>
      <c r="Q1553" s="217">
        <f t="shared" si="879"/>
        <v>6600</v>
      </c>
      <c r="R1553" s="217">
        <f t="shared" si="891"/>
        <v>20</v>
      </c>
      <c r="S1553" s="217">
        <f t="shared" si="881"/>
        <v>4.2300000000000004</v>
      </c>
      <c r="T1553" s="217">
        <f t="shared" si="882"/>
        <v>3.3</v>
      </c>
      <c r="U1553" s="217">
        <f t="shared" si="883"/>
        <v>0</v>
      </c>
      <c r="V1553" s="217">
        <f t="shared" si="884"/>
        <v>3.5</v>
      </c>
      <c r="W1553" s="217">
        <f t="shared" si="885"/>
        <v>0.01</v>
      </c>
      <c r="X1553" s="217">
        <f t="shared" si="886"/>
        <v>31.040000000000003</v>
      </c>
      <c r="Y1553" s="218">
        <f t="shared" si="887"/>
        <v>6568.96</v>
      </c>
      <c r="Z1553" s="219">
        <v>6569</v>
      </c>
      <c r="AA1553" s="220">
        <f t="shared" si="888"/>
        <v>3.999999999996362E-2</v>
      </c>
      <c r="AB1553" s="221">
        <f t="shared" si="889"/>
        <v>0</v>
      </c>
      <c r="AC1553" s="222">
        <f t="shared" si="890"/>
        <v>4.7029999999999997E-3</v>
      </c>
      <c r="AD1553" s="217"/>
      <c r="AE1553" s="223" t="s">
        <v>403</v>
      </c>
      <c r="AF1553" s="119"/>
    </row>
    <row r="1554" spans="1:32">
      <c r="A1554" s="148">
        <v>44739</v>
      </c>
      <c r="B1554" s="152" t="s">
        <v>776</v>
      </c>
      <c r="C1554" s="152" t="str">
        <f t="shared" ca="1" si="874"/>
        <v>Stocks</v>
      </c>
      <c r="D1554" s="152" t="str">
        <f ca="1">IFERROR(__xludf.DUMMYFUNCTION("split(B1554,"" "")"),"ASHOKLEY")</f>
        <v>ASHOKLEY</v>
      </c>
      <c r="E1554" s="152" t="str">
        <f ca="1">IFERROR(__xludf.DUMMYFUNCTION("""COMPUTED_VALUE"""),"JUN")</f>
        <v>JUN</v>
      </c>
      <c r="F1554" s="152">
        <f ca="1">IFERROR(__xludf.DUMMYFUNCTION("""COMPUTED_VALUE"""),140)</f>
        <v>140</v>
      </c>
      <c r="G1554" s="152" t="str">
        <f ca="1">IFERROR(__xludf.DUMMYFUNCTION("""COMPUTED_VALUE"""),"CE")</f>
        <v>CE</v>
      </c>
      <c r="H1554" s="211">
        <v>4500</v>
      </c>
      <c r="I1554" s="212">
        <v>1</v>
      </c>
      <c r="J1554" s="212">
        <v>1</v>
      </c>
      <c r="K1554" s="213">
        <f t="shared" si="875"/>
        <v>4500</v>
      </c>
      <c r="L1554" s="214">
        <v>4</v>
      </c>
      <c r="M1554" s="215">
        <v>0</v>
      </c>
      <c r="N1554" s="216">
        <f t="shared" si="876"/>
        <v>18000</v>
      </c>
      <c r="O1554" s="216">
        <f t="shared" si="877"/>
        <v>0</v>
      </c>
      <c r="P1554" s="217">
        <f t="shared" si="878"/>
        <v>18000</v>
      </c>
      <c r="Q1554" s="217">
        <f t="shared" si="879"/>
        <v>-18000</v>
      </c>
      <c r="R1554" s="217">
        <f t="shared" si="891"/>
        <v>20</v>
      </c>
      <c r="S1554" s="217">
        <f t="shared" si="881"/>
        <v>5.32</v>
      </c>
      <c r="T1554" s="217">
        <f t="shared" si="882"/>
        <v>0</v>
      </c>
      <c r="U1554" s="217">
        <f t="shared" si="883"/>
        <v>0.54</v>
      </c>
      <c r="V1554" s="217">
        <f t="shared" si="884"/>
        <v>9.5399999999999991</v>
      </c>
      <c r="W1554" s="217">
        <f t="shared" si="885"/>
        <v>0.02</v>
      </c>
      <c r="X1554" s="217">
        <f t="shared" si="886"/>
        <v>35.42</v>
      </c>
      <c r="Y1554" s="218">
        <f t="shared" si="887"/>
        <v>-18035.419999999998</v>
      </c>
      <c r="Z1554" s="219">
        <v>-18035</v>
      </c>
      <c r="AA1554" s="220">
        <f t="shared" si="888"/>
        <v>0.41999999999825377</v>
      </c>
      <c r="AB1554" s="221">
        <f t="shared" si="889"/>
        <v>-1</v>
      </c>
      <c r="AC1554" s="222">
        <f t="shared" si="890"/>
        <v>1.9680000000000001E-3</v>
      </c>
      <c r="AD1554" s="217"/>
      <c r="AE1554" s="223" t="s">
        <v>403</v>
      </c>
      <c r="AF1554" s="119"/>
    </row>
    <row r="1555" spans="1:32">
      <c r="A1555" s="150">
        <v>44740</v>
      </c>
      <c r="B1555" s="152" t="s">
        <v>776</v>
      </c>
      <c r="C1555" s="152" t="str">
        <f t="shared" ca="1" si="874"/>
        <v>Stocks</v>
      </c>
      <c r="D1555" s="152" t="str">
        <f ca="1">IFERROR(__xludf.DUMMYFUNCTION("split(B1555,"" "")"),"ASHOKLEY")</f>
        <v>ASHOKLEY</v>
      </c>
      <c r="E1555" s="152" t="str">
        <f ca="1">IFERROR(__xludf.DUMMYFUNCTION("""COMPUTED_VALUE"""),"JUN")</f>
        <v>JUN</v>
      </c>
      <c r="F1555" s="152">
        <f ca="1">IFERROR(__xludf.DUMMYFUNCTION("""COMPUTED_VALUE"""),140)</f>
        <v>140</v>
      </c>
      <c r="G1555" s="152" t="str">
        <f ca="1">IFERROR(__xludf.DUMMYFUNCTION("""COMPUTED_VALUE"""),"CE")</f>
        <v>CE</v>
      </c>
      <c r="H1555" s="211">
        <v>4500</v>
      </c>
      <c r="I1555" s="212">
        <v>1</v>
      </c>
      <c r="J1555" s="212">
        <v>1</v>
      </c>
      <c r="K1555" s="213">
        <f t="shared" si="875"/>
        <v>4500</v>
      </c>
      <c r="L1555" s="214">
        <v>0</v>
      </c>
      <c r="M1555" s="215">
        <v>2.5</v>
      </c>
      <c r="N1555" s="216">
        <f t="shared" si="876"/>
        <v>0</v>
      </c>
      <c r="O1555" s="216">
        <f t="shared" si="877"/>
        <v>11250</v>
      </c>
      <c r="P1555" s="217">
        <f t="shared" si="878"/>
        <v>11250</v>
      </c>
      <c r="Q1555" s="217">
        <f t="shared" si="879"/>
        <v>11250</v>
      </c>
      <c r="R1555" s="217">
        <f t="shared" si="891"/>
        <v>20</v>
      </c>
      <c r="S1555" s="217">
        <f t="shared" si="881"/>
        <v>4.67</v>
      </c>
      <c r="T1555" s="217">
        <f t="shared" si="882"/>
        <v>5.63</v>
      </c>
      <c r="U1555" s="217">
        <f t="shared" si="883"/>
        <v>0</v>
      </c>
      <c r="V1555" s="217">
        <f t="shared" si="884"/>
        <v>5.96</v>
      </c>
      <c r="W1555" s="217">
        <f t="shared" si="885"/>
        <v>0.01</v>
      </c>
      <c r="X1555" s="217">
        <f t="shared" si="886"/>
        <v>36.269999999999996</v>
      </c>
      <c r="Y1555" s="218">
        <f t="shared" si="887"/>
        <v>11213.73</v>
      </c>
      <c r="Z1555" s="219">
        <v>11213.39</v>
      </c>
      <c r="AA1555" s="220">
        <f t="shared" si="888"/>
        <v>-0.34000000000014552</v>
      </c>
      <c r="AB1555" s="221">
        <f t="shared" si="889"/>
        <v>0</v>
      </c>
      <c r="AC1555" s="222">
        <f t="shared" si="890"/>
        <v>3.2239999999999999E-3</v>
      </c>
      <c r="AD1555" s="217"/>
      <c r="AE1555" s="223" t="s">
        <v>403</v>
      </c>
      <c r="AF1555" s="119"/>
    </row>
    <row r="1556" spans="1:32">
      <c r="A1556" s="209">
        <v>44740</v>
      </c>
      <c r="B1556" s="152" t="s">
        <v>775</v>
      </c>
      <c r="C1556" s="152" t="str">
        <f t="shared" ca="1" si="874"/>
        <v>Indices</v>
      </c>
      <c r="D1556" s="152" t="str">
        <f ca="1">IFERROR(__xludf.DUMMYFUNCTION("split(B1556,"" "")"),"NIFTY")</f>
        <v>NIFTY</v>
      </c>
      <c r="E1556" s="152" t="str">
        <f ca="1">IFERROR(__xludf.DUMMYFUNCTION("""COMPUTED_VALUE"""),"JUN")</f>
        <v>JUN</v>
      </c>
      <c r="F1556" s="152">
        <f ca="1">IFERROR(__xludf.DUMMYFUNCTION("""COMPUTED_VALUE"""),15900)</f>
        <v>15900</v>
      </c>
      <c r="G1556" s="152" t="str">
        <f ca="1">IFERROR(__xludf.DUMMYFUNCTION("""COMPUTED_VALUE"""),"CE")</f>
        <v>CE</v>
      </c>
      <c r="H1556" s="211">
        <v>50</v>
      </c>
      <c r="I1556" s="212">
        <v>1</v>
      </c>
      <c r="J1556" s="212">
        <v>5</v>
      </c>
      <c r="K1556" s="213">
        <f t="shared" si="875"/>
        <v>250</v>
      </c>
      <c r="L1556" s="214">
        <v>57.07</v>
      </c>
      <c r="M1556" s="215">
        <v>63</v>
      </c>
      <c r="N1556" s="216">
        <f t="shared" si="876"/>
        <v>14267.5</v>
      </c>
      <c r="O1556" s="216">
        <f t="shared" si="877"/>
        <v>15750</v>
      </c>
      <c r="P1556" s="217">
        <f t="shared" si="878"/>
        <v>30017.5</v>
      </c>
      <c r="Q1556" s="217">
        <f t="shared" si="879"/>
        <v>1482.5</v>
      </c>
      <c r="R1556" s="217">
        <f t="shared" si="891"/>
        <v>200</v>
      </c>
      <c r="S1556" s="217">
        <f t="shared" si="881"/>
        <v>38.86</v>
      </c>
      <c r="T1556" s="217">
        <f t="shared" si="882"/>
        <v>7.88</v>
      </c>
      <c r="U1556" s="217">
        <f t="shared" si="883"/>
        <v>0.43</v>
      </c>
      <c r="V1556" s="217">
        <f t="shared" si="884"/>
        <v>15.91</v>
      </c>
      <c r="W1556" s="217">
        <f t="shared" si="885"/>
        <v>0.03</v>
      </c>
      <c r="X1556" s="217">
        <f t="shared" si="886"/>
        <v>263.11</v>
      </c>
      <c r="Y1556" s="218">
        <f t="shared" si="887"/>
        <v>1219.3900000000001</v>
      </c>
      <c r="Z1556" s="219">
        <v>1219.44</v>
      </c>
      <c r="AA1556" s="220">
        <f t="shared" si="888"/>
        <v>4.9999999999954525E-2</v>
      </c>
      <c r="AB1556" s="221">
        <f t="shared" si="889"/>
        <v>0.10390748203960049</v>
      </c>
      <c r="AC1556" s="222">
        <f t="shared" si="890"/>
        <v>8.7650000000000002E-3</v>
      </c>
      <c r="AD1556" s="217"/>
      <c r="AE1556" s="223" t="s">
        <v>403</v>
      </c>
      <c r="AF1556" s="119"/>
    </row>
    <row r="1557" spans="1:32">
      <c r="A1557" s="209">
        <v>44740</v>
      </c>
      <c r="B1557" s="152" t="s">
        <v>777</v>
      </c>
      <c r="C1557" s="152" t="str">
        <f t="shared" ca="1" si="874"/>
        <v>Stocks</v>
      </c>
      <c r="D1557" s="152" t="str">
        <f ca="1">IFERROR(__xludf.DUMMYFUNCTION("split(B1557,"" "")"),"VEDL")</f>
        <v>VEDL</v>
      </c>
      <c r="E1557" s="152" t="str">
        <f ca="1">IFERROR(__xludf.DUMMYFUNCTION("""COMPUTED_VALUE"""),"JUL")</f>
        <v>JUL</v>
      </c>
      <c r="F1557" s="152">
        <f ca="1">IFERROR(__xludf.DUMMYFUNCTION("""COMPUTED_VALUE"""),240)</f>
        <v>240</v>
      </c>
      <c r="G1557" s="152" t="str">
        <f ca="1">IFERROR(__xludf.DUMMYFUNCTION("""COMPUTED_VALUE"""),"CE")</f>
        <v>CE</v>
      </c>
      <c r="H1557" s="211">
        <v>1550</v>
      </c>
      <c r="I1557" s="212">
        <v>1</v>
      </c>
      <c r="J1557" s="212">
        <v>1</v>
      </c>
      <c r="K1557" s="213">
        <f t="shared" si="875"/>
        <v>1550</v>
      </c>
      <c r="L1557" s="214">
        <v>12</v>
      </c>
      <c r="M1557" s="215">
        <v>13.25</v>
      </c>
      <c r="N1557" s="216">
        <f t="shared" si="876"/>
        <v>18600</v>
      </c>
      <c r="O1557" s="216">
        <f t="shared" si="877"/>
        <v>20537.5</v>
      </c>
      <c r="P1557" s="217">
        <f t="shared" si="878"/>
        <v>39137.5</v>
      </c>
      <c r="Q1557" s="217">
        <f t="shared" si="879"/>
        <v>1937.5</v>
      </c>
      <c r="R1557" s="217">
        <f t="shared" si="891"/>
        <v>40</v>
      </c>
      <c r="S1557" s="217">
        <f t="shared" si="881"/>
        <v>10.93</v>
      </c>
      <c r="T1557" s="217">
        <f t="shared" si="882"/>
        <v>10.27</v>
      </c>
      <c r="U1557" s="217">
        <f t="shared" si="883"/>
        <v>0.56000000000000005</v>
      </c>
      <c r="V1557" s="217">
        <f t="shared" si="884"/>
        <v>20.74</v>
      </c>
      <c r="W1557" s="217">
        <f t="shared" si="885"/>
        <v>0.04</v>
      </c>
      <c r="X1557" s="217">
        <f t="shared" si="886"/>
        <v>82.54</v>
      </c>
      <c r="Y1557" s="218">
        <f t="shared" si="887"/>
        <v>1854.96</v>
      </c>
      <c r="Z1557" s="219">
        <v>1855</v>
      </c>
      <c r="AA1557" s="220">
        <f t="shared" si="888"/>
        <v>3.999999999996362E-2</v>
      </c>
      <c r="AB1557" s="221">
        <f t="shared" si="889"/>
        <v>0.10416666666666667</v>
      </c>
      <c r="AC1557" s="222">
        <f t="shared" si="890"/>
        <v>2.1090000000000002E-3</v>
      </c>
      <c r="AD1557" s="217"/>
      <c r="AE1557" s="223" t="s">
        <v>403</v>
      </c>
      <c r="AF1557" s="119"/>
    </row>
    <row r="1558" spans="1:32">
      <c r="A1558" s="209">
        <v>44741</v>
      </c>
      <c r="B1558" s="152" t="s">
        <v>778</v>
      </c>
      <c r="C1558" s="152" t="str">
        <f t="shared" ca="1" si="874"/>
        <v>Indices</v>
      </c>
      <c r="D1558" s="152" t="str">
        <f ca="1">IFERROR(__xludf.DUMMYFUNCTION("split(B1558,"" "")"),"NIFTY")</f>
        <v>NIFTY</v>
      </c>
      <c r="E1558" s="152" t="str">
        <f ca="1">IFERROR(__xludf.DUMMYFUNCTION("""COMPUTED_VALUE"""),"JUN")</f>
        <v>JUN</v>
      </c>
      <c r="F1558" s="152">
        <f ca="1">IFERROR(__xludf.DUMMYFUNCTION("""COMPUTED_VALUE"""),15800)</f>
        <v>15800</v>
      </c>
      <c r="G1558" s="152" t="str">
        <f ca="1">IFERROR(__xludf.DUMMYFUNCTION("""COMPUTED_VALUE"""),"PE")</f>
        <v>PE</v>
      </c>
      <c r="H1558" s="211">
        <v>50</v>
      </c>
      <c r="I1558" s="212">
        <v>1</v>
      </c>
      <c r="J1558" s="212">
        <v>5</v>
      </c>
      <c r="K1558" s="213">
        <f t="shared" si="875"/>
        <v>250</v>
      </c>
      <c r="L1558" s="214">
        <v>85</v>
      </c>
      <c r="M1558" s="215">
        <v>0</v>
      </c>
      <c r="N1558" s="216">
        <f t="shared" si="876"/>
        <v>21250</v>
      </c>
      <c r="O1558" s="216">
        <f t="shared" si="877"/>
        <v>0</v>
      </c>
      <c r="P1558" s="217">
        <f t="shared" si="878"/>
        <v>21250</v>
      </c>
      <c r="Q1558" s="217">
        <f t="shared" si="879"/>
        <v>-21250</v>
      </c>
      <c r="R1558" s="217">
        <f t="shared" si="891"/>
        <v>100</v>
      </c>
      <c r="S1558" s="217">
        <f t="shared" si="881"/>
        <v>20.03</v>
      </c>
      <c r="T1558" s="217">
        <f t="shared" si="882"/>
        <v>0</v>
      </c>
      <c r="U1558" s="217">
        <f t="shared" si="883"/>
        <v>0.64</v>
      </c>
      <c r="V1558" s="217">
        <f t="shared" si="884"/>
        <v>11.26</v>
      </c>
      <c r="W1558" s="217">
        <f t="shared" si="885"/>
        <v>0.02</v>
      </c>
      <c r="X1558" s="217">
        <f t="shared" si="886"/>
        <v>131.95000000000002</v>
      </c>
      <c r="Y1558" s="218">
        <f t="shared" si="887"/>
        <v>-21381.95</v>
      </c>
      <c r="Z1558" s="219">
        <v>-21382</v>
      </c>
      <c r="AA1558" s="220">
        <f t="shared" si="888"/>
        <v>-4.9999999999272404E-2</v>
      </c>
      <c r="AB1558" s="221">
        <f t="shared" si="889"/>
        <v>-1</v>
      </c>
      <c r="AC1558" s="222">
        <f t="shared" si="890"/>
        <v>6.2090000000000001E-3</v>
      </c>
      <c r="AD1558" s="217"/>
      <c r="AE1558" s="223" t="s">
        <v>403</v>
      </c>
      <c r="AF1558" s="119"/>
    </row>
    <row r="1559" spans="1:32">
      <c r="A1559" s="209">
        <v>44741</v>
      </c>
      <c r="B1559" s="152" t="s">
        <v>778</v>
      </c>
      <c r="C1559" s="152" t="str">
        <f t="shared" ca="1" si="874"/>
        <v>Indices</v>
      </c>
      <c r="D1559" s="152" t="str">
        <f ca="1">IFERROR(__xludf.DUMMYFUNCTION("split(B1559,"" "")"),"NIFTY")</f>
        <v>NIFTY</v>
      </c>
      <c r="E1559" s="152" t="str">
        <f ca="1">IFERROR(__xludf.DUMMYFUNCTION("""COMPUTED_VALUE"""),"JUN")</f>
        <v>JUN</v>
      </c>
      <c r="F1559" s="152">
        <f ca="1">IFERROR(__xludf.DUMMYFUNCTION("""COMPUTED_VALUE"""),15800)</f>
        <v>15800</v>
      </c>
      <c r="G1559" s="152" t="str">
        <f ca="1">IFERROR(__xludf.DUMMYFUNCTION("""COMPUTED_VALUE"""),"PE")</f>
        <v>PE</v>
      </c>
      <c r="H1559" s="211">
        <v>50</v>
      </c>
      <c r="I1559" s="212">
        <v>1</v>
      </c>
      <c r="J1559" s="212">
        <v>1</v>
      </c>
      <c r="K1559" s="213">
        <f t="shared" si="875"/>
        <v>50</v>
      </c>
      <c r="L1559" s="214">
        <v>0</v>
      </c>
      <c r="M1559" s="215">
        <v>88</v>
      </c>
      <c r="N1559" s="216">
        <f t="shared" si="876"/>
        <v>0</v>
      </c>
      <c r="O1559" s="216">
        <f t="shared" si="877"/>
        <v>4400</v>
      </c>
      <c r="P1559" s="217">
        <f t="shared" si="878"/>
        <v>4400</v>
      </c>
      <c r="Q1559" s="217">
        <f t="shared" si="879"/>
        <v>4400</v>
      </c>
      <c r="R1559" s="217">
        <f t="shared" si="891"/>
        <v>20</v>
      </c>
      <c r="S1559" s="217">
        <f t="shared" si="881"/>
        <v>4.0199999999999996</v>
      </c>
      <c r="T1559" s="217">
        <f t="shared" si="882"/>
        <v>2.2000000000000002</v>
      </c>
      <c r="U1559" s="217">
        <f t="shared" si="883"/>
        <v>0</v>
      </c>
      <c r="V1559" s="217">
        <f t="shared" si="884"/>
        <v>2.33</v>
      </c>
      <c r="W1559" s="217">
        <f t="shared" si="885"/>
        <v>0</v>
      </c>
      <c r="X1559" s="217">
        <f t="shared" si="886"/>
        <v>28.549999999999997</v>
      </c>
      <c r="Y1559" s="218">
        <f t="shared" si="887"/>
        <v>4371.45</v>
      </c>
      <c r="Z1559" s="219">
        <v>4371.74</v>
      </c>
      <c r="AA1559" s="220">
        <f t="shared" si="888"/>
        <v>0.28999999999996362</v>
      </c>
      <c r="AB1559" s="221">
        <f t="shared" si="889"/>
        <v>0</v>
      </c>
      <c r="AC1559" s="222">
        <f t="shared" si="890"/>
        <v>6.489E-3</v>
      </c>
      <c r="AD1559" s="217"/>
      <c r="AE1559" s="223" t="s">
        <v>403</v>
      </c>
      <c r="AF1559" s="119"/>
    </row>
    <row r="1560" spans="1:32">
      <c r="A1560" s="209">
        <v>44741</v>
      </c>
      <c r="B1560" s="152" t="s">
        <v>778</v>
      </c>
      <c r="C1560" s="152" t="str">
        <f t="shared" ca="1" si="874"/>
        <v>Indices</v>
      </c>
      <c r="D1560" s="152" t="str">
        <f ca="1">IFERROR(__xludf.DUMMYFUNCTION("split(B1560,"" "")"),"NIFTY")</f>
        <v>NIFTY</v>
      </c>
      <c r="E1560" s="152" t="str">
        <f ca="1">IFERROR(__xludf.DUMMYFUNCTION("""COMPUTED_VALUE"""),"JUN")</f>
        <v>JUN</v>
      </c>
      <c r="F1560" s="152">
        <f ca="1">IFERROR(__xludf.DUMMYFUNCTION("""COMPUTED_VALUE"""),15800)</f>
        <v>15800</v>
      </c>
      <c r="G1560" s="152" t="str">
        <f ca="1">IFERROR(__xludf.DUMMYFUNCTION("""COMPUTED_VALUE"""),"PE")</f>
        <v>PE</v>
      </c>
      <c r="H1560" s="211">
        <v>50</v>
      </c>
      <c r="I1560" s="212">
        <v>2</v>
      </c>
      <c r="J1560" s="212">
        <v>2</v>
      </c>
      <c r="K1560" s="213">
        <f t="shared" si="875"/>
        <v>200</v>
      </c>
      <c r="L1560" s="214">
        <v>0</v>
      </c>
      <c r="M1560" s="215">
        <v>85.5</v>
      </c>
      <c r="N1560" s="216">
        <f t="shared" si="876"/>
        <v>0</v>
      </c>
      <c r="O1560" s="216">
        <f t="shared" si="877"/>
        <v>17100</v>
      </c>
      <c r="P1560" s="217">
        <f t="shared" si="878"/>
        <v>17100</v>
      </c>
      <c r="Q1560" s="217">
        <f t="shared" si="879"/>
        <v>17100</v>
      </c>
      <c r="R1560" s="217">
        <f t="shared" si="891"/>
        <v>40</v>
      </c>
      <c r="S1560" s="217">
        <f t="shared" si="881"/>
        <v>8.83</v>
      </c>
      <c r="T1560" s="217">
        <f t="shared" si="882"/>
        <v>8.5500000000000007</v>
      </c>
      <c r="U1560" s="217">
        <f t="shared" si="883"/>
        <v>0</v>
      </c>
      <c r="V1560" s="217">
        <f t="shared" si="884"/>
        <v>9.06</v>
      </c>
      <c r="W1560" s="217">
        <f t="shared" si="885"/>
        <v>0.02</v>
      </c>
      <c r="X1560" s="217">
        <f t="shared" si="886"/>
        <v>66.459999999999994</v>
      </c>
      <c r="Y1560" s="218">
        <f t="shared" si="887"/>
        <v>17033.54</v>
      </c>
      <c r="Z1560" s="219">
        <v>17034</v>
      </c>
      <c r="AA1560" s="220">
        <f t="shared" si="888"/>
        <v>0.45999999999912689</v>
      </c>
      <c r="AB1560" s="221">
        <f t="shared" si="889"/>
        <v>0</v>
      </c>
      <c r="AC1560" s="222">
        <f t="shared" si="890"/>
        <v>3.8869999999999998E-3</v>
      </c>
      <c r="AD1560" s="217"/>
      <c r="AE1560" s="223" t="s">
        <v>403</v>
      </c>
      <c r="AF1560" s="119"/>
    </row>
    <row r="1561" spans="1:32">
      <c r="A1561" s="209">
        <v>44742</v>
      </c>
      <c r="B1561" s="152" t="s">
        <v>779</v>
      </c>
      <c r="C1561" s="152" t="str">
        <f t="shared" ca="1" si="874"/>
        <v>Indices</v>
      </c>
      <c r="D1561" s="152" t="str">
        <f ca="1">IFERROR(__xludf.DUMMYFUNCTION("split(B1561,"" "")"),"NIFTY")</f>
        <v>NIFTY</v>
      </c>
      <c r="E1561" s="210">
        <f ca="1">IFERROR(__xludf.DUMMYFUNCTION("""COMPUTED_VALUE"""),45084)</f>
        <v>45084</v>
      </c>
      <c r="F1561" s="152">
        <f ca="1">IFERROR(__xludf.DUMMYFUNCTION("""COMPUTED_VALUE"""),15750)</f>
        <v>15750</v>
      </c>
      <c r="G1561" s="152" t="str">
        <f ca="1">IFERROR(__xludf.DUMMYFUNCTION("""COMPUTED_VALUE"""),"CE")</f>
        <v>CE</v>
      </c>
      <c r="H1561" s="211">
        <v>50</v>
      </c>
      <c r="I1561" s="212">
        <v>1</v>
      </c>
      <c r="J1561" s="212">
        <v>4</v>
      </c>
      <c r="K1561" s="213">
        <f t="shared" si="875"/>
        <v>200</v>
      </c>
      <c r="L1561" s="214">
        <v>196.65</v>
      </c>
      <c r="M1561" s="215">
        <v>210.25</v>
      </c>
      <c r="N1561" s="216">
        <f t="shared" si="876"/>
        <v>39330</v>
      </c>
      <c r="O1561" s="216">
        <f t="shared" si="877"/>
        <v>42050</v>
      </c>
      <c r="P1561" s="217">
        <f t="shared" si="878"/>
        <v>81380</v>
      </c>
      <c r="Q1561" s="217">
        <f t="shared" si="879"/>
        <v>2719.9999999999991</v>
      </c>
      <c r="R1561" s="217">
        <f t="shared" si="891"/>
        <v>160</v>
      </c>
      <c r="S1561" s="217">
        <f t="shared" si="881"/>
        <v>36.56</v>
      </c>
      <c r="T1561" s="217">
        <f t="shared" si="882"/>
        <v>21.03</v>
      </c>
      <c r="U1561" s="217">
        <f t="shared" si="883"/>
        <v>1.18</v>
      </c>
      <c r="V1561" s="217">
        <f t="shared" si="884"/>
        <v>43.13</v>
      </c>
      <c r="W1561" s="217">
        <f t="shared" si="885"/>
        <v>0.08</v>
      </c>
      <c r="X1561" s="217">
        <f t="shared" si="886"/>
        <v>261.98</v>
      </c>
      <c r="Y1561" s="218">
        <f t="shared" si="887"/>
        <v>2458.02</v>
      </c>
      <c r="Z1561" s="219">
        <v>2457.96</v>
      </c>
      <c r="AA1561" s="220">
        <f t="shared" si="888"/>
        <v>-5.999999999994543E-2</v>
      </c>
      <c r="AB1561" s="221">
        <f t="shared" si="889"/>
        <v>6.9158403254513057E-2</v>
      </c>
      <c r="AC1561" s="222">
        <f t="shared" si="890"/>
        <v>3.2190000000000001E-3</v>
      </c>
      <c r="AD1561" s="217"/>
      <c r="AE1561" s="223" t="s">
        <v>403</v>
      </c>
      <c r="AF1561" s="119"/>
    </row>
    <row r="1562" spans="1:32">
      <c r="A1562" s="148">
        <v>44742</v>
      </c>
      <c r="B1562" s="152" t="s">
        <v>779</v>
      </c>
      <c r="C1562" s="152" t="str">
        <f t="shared" ca="1" si="874"/>
        <v>Indices</v>
      </c>
      <c r="D1562" s="152" t="str">
        <f ca="1">IFERROR(__xludf.DUMMYFUNCTION("split(B1562,"" "")"),"NIFTY")</f>
        <v>NIFTY</v>
      </c>
      <c r="E1562" s="210">
        <f ca="1">IFERROR(__xludf.DUMMYFUNCTION("""COMPUTED_VALUE"""),45084)</f>
        <v>45084</v>
      </c>
      <c r="F1562" s="152">
        <f ca="1">IFERROR(__xludf.DUMMYFUNCTION("""COMPUTED_VALUE"""),15750)</f>
        <v>15750</v>
      </c>
      <c r="G1562" s="152" t="str">
        <f ca="1">IFERROR(__xludf.DUMMYFUNCTION("""COMPUTED_VALUE"""),"CE")</f>
        <v>CE</v>
      </c>
      <c r="H1562" s="211">
        <v>50</v>
      </c>
      <c r="I1562" s="212">
        <v>1</v>
      </c>
      <c r="J1562" s="212">
        <v>2</v>
      </c>
      <c r="K1562" s="213">
        <f t="shared" si="875"/>
        <v>100</v>
      </c>
      <c r="L1562" s="214">
        <v>191.25</v>
      </c>
      <c r="M1562" s="215">
        <v>0</v>
      </c>
      <c r="N1562" s="216">
        <f t="shared" si="876"/>
        <v>19125</v>
      </c>
      <c r="O1562" s="216">
        <f t="shared" si="877"/>
        <v>0</v>
      </c>
      <c r="P1562" s="217">
        <f t="shared" si="878"/>
        <v>19125</v>
      </c>
      <c r="Q1562" s="217">
        <f t="shared" si="879"/>
        <v>-19125</v>
      </c>
      <c r="R1562" s="217">
        <f t="shared" si="891"/>
        <v>40</v>
      </c>
      <c r="S1562" s="217">
        <f t="shared" si="881"/>
        <v>9.0299999999999994</v>
      </c>
      <c r="T1562" s="217">
        <f t="shared" si="882"/>
        <v>0</v>
      </c>
      <c r="U1562" s="217">
        <f t="shared" si="883"/>
        <v>0.56999999999999995</v>
      </c>
      <c r="V1562" s="217">
        <f t="shared" si="884"/>
        <v>10.14</v>
      </c>
      <c r="W1562" s="217">
        <f t="shared" si="885"/>
        <v>0.02</v>
      </c>
      <c r="X1562" s="217">
        <f t="shared" si="886"/>
        <v>59.760000000000005</v>
      </c>
      <c r="Y1562" s="218">
        <f t="shared" si="887"/>
        <v>-19184.759999999998</v>
      </c>
      <c r="Z1562" s="219">
        <v>-19185</v>
      </c>
      <c r="AA1562" s="220">
        <f t="shared" si="888"/>
        <v>-0.24000000000160071</v>
      </c>
      <c r="AB1562" s="221">
        <f t="shared" si="889"/>
        <v>-1</v>
      </c>
      <c r="AC1562" s="222">
        <f t="shared" si="890"/>
        <v>3.1250000000000002E-3</v>
      </c>
      <c r="AD1562" s="217"/>
      <c r="AE1562" s="223" t="s">
        <v>403</v>
      </c>
      <c r="AF1562" s="119"/>
    </row>
    <row r="1563" spans="1:32">
      <c r="A1563" s="150">
        <v>44743</v>
      </c>
      <c r="B1563" s="152" t="s">
        <v>779</v>
      </c>
      <c r="C1563" s="152" t="str">
        <f t="shared" ca="1" si="874"/>
        <v>Indices</v>
      </c>
      <c r="D1563" s="152" t="str">
        <f ca="1">IFERROR(__xludf.DUMMYFUNCTION("split(B1563,"" "")"),"NIFTY")</f>
        <v>NIFTY</v>
      </c>
      <c r="E1563" s="210">
        <f ca="1">IFERROR(__xludf.DUMMYFUNCTION("""COMPUTED_VALUE"""),45084)</f>
        <v>45084</v>
      </c>
      <c r="F1563" s="152">
        <f ca="1">IFERROR(__xludf.DUMMYFUNCTION("""COMPUTED_VALUE"""),15750)</f>
        <v>15750</v>
      </c>
      <c r="G1563" s="152" t="str">
        <f ca="1">IFERROR(__xludf.DUMMYFUNCTION("""COMPUTED_VALUE"""),"CE")</f>
        <v>CE</v>
      </c>
      <c r="H1563" s="211">
        <v>50</v>
      </c>
      <c r="I1563" s="212">
        <v>1</v>
      </c>
      <c r="J1563" s="212">
        <v>2</v>
      </c>
      <c r="K1563" s="213">
        <f t="shared" si="875"/>
        <v>100</v>
      </c>
      <c r="L1563" s="214">
        <v>0</v>
      </c>
      <c r="M1563" s="215">
        <v>135.5</v>
      </c>
      <c r="N1563" s="216">
        <f t="shared" si="876"/>
        <v>0</v>
      </c>
      <c r="O1563" s="216">
        <f t="shared" si="877"/>
        <v>13550</v>
      </c>
      <c r="P1563" s="217">
        <f t="shared" si="878"/>
        <v>13550</v>
      </c>
      <c r="Q1563" s="217">
        <f t="shared" si="879"/>
        <v>13550</v>
      </c>
      <c r="R1563" s="217">
        <f t="shared" si="891"/>
        <v>40</v>
      </c>
      <c r="S1563" s="217">
        <f t="shared" si="881"/>
        <v>8.49</v>
      </c>
      <c r="T1563" s="217">
        <f t="shared" si="882"/>
        <v>6.78</v>
      </c>
      <c r="U1563" s="217">
        <f t="shared" si="883"/>
        <v>0</v>
      </c>
      <c r="V1563" s="217">
        <f t="shared" si="884"/>
        <v>7.18</v>
      </c>
      <c r="W1563" s="217">
        <f t="shared" si="885"/>
        <v>0.01</v>
      </c>
      <c r="X1563" s="217">
        <f t="shared" si="886"/>
        <v>62.46</v>
      </c>
      <c r="Y1563" s="218">
        <f t="shared" si="887"/>
        <v>13487.54</v>
      </c>
      <c r="Z1563" s="219">
        <v>13487.31</v>
      </c>
      <c r="AA1563" s="220">
        <f t="shared" si="888"/>
        <v>-0.23000000000138243</v>
      </c>
      <c r="AB1563" s="221">
        <f t="shared" si="889"/>
        <v>0</v>
      </c>
      <c r="AC1563" s="222">
        <f t="shared" si="890"/>
        <v>4.6100000000000004E-3</v>
      </c>
      <c r="AD1563" s="217"/>
      <c r="AE1563" s="223" t="s">
        <v>403</v>
      </c>
      <c r="AF1563" s="119"/>
    </row>
    <row r="1564" spans="1:32">
      <c r="A1564" s="148">
        <v>44742</v>
      </c>
      <c r="B1564" s="152" t="s">
        <v>779</v>
      </c>
      <c r="C1564" s="152" t="str">
        <f t="shared" ca="1" si="874"/>
        <v>Indices</v>
      </c>
      <c r="D1564" s="152" t="str">
        <f ca="1">IFERROR(__xludf.DUMMYFUNCTION("split(B1564,"" "")"),"NIFTY")</f>
        <v>NIFTY</v>
      </c>
      <c r="E1564" s="210">
        <f ca="1">IFERROR(__xludf.DUMMYFUNCTION("""COMPUTED_VALUE"""),45084)</f>
        <v>45084</v>
      </c>
      <c r="F1564" s="152">
        <f ca="1">IFERROR(__xludf.DUMMYFUNCTION("""COMPUTED_VALUE"""),15750)</f>
        <v>15750</v>
      </c>
      <c r="G1564" s="152" t="str">
        <f ca="1">IFERROR(__xludf.DUMMYFUNCTION("""COMPUTED_VALUE"""),"CE")</f>
        <v>CE</v>
      </c>
      <c r="H1564" s="211">
        <v>50</v>
      </c>
      <c r="I1564" s="212">
        <v>1</v>
      </c>
      <c r="J1564" s="212">
        <v>1</v>
      </c>
      <c r="K1564" s="213">
        <f t="shared" si="875"/>
        <v>50</v>
      </c>
      <c r="L1564" s="214">
        <v>239</v>
      </c>
      <c r="M1564" s="215">
        <v>0</v>
      </c>
      <c r="N1564" s="216">
        <f t="shared" si="876"/>
        <v>11950</v>
      </c>
      <c r="O1564" s="216">
        <f t="shared" si="877"/>
        <v>0</v>
      </c>
      <c r="P1564" s="217">
        <f t="shared" si="878"/>
        <v>11950</v>
      </c>
      <c r="Q1564" s="217">
        <f t="shared" si="879"/>
        <v>-11950</v>
      </c>
      <c r="R1564" s="217">
        <f t="shared" si="891"/>
        <v>20</v>
      </c>
      <c r="S1564" s="217">
        <f t="shared" si="881"/>
        <v>4.74</v>
      </c>
      <c r="T1564" s="217">
        <f t="shared" si="882"/>
        <v>0</v>
      </c>
      <c r="U1564" s="217">
        <f t="shared" si="883"/>
        <v>0.36</v>
      </c>
      <c r="V1564" s="217">
        <f t="shared" si="884"/>
        <v>6.33</v>
      </c>
      <c r="W1564" s="217">
        <f t="shared" si="885"/>
        <v>0.01</v>
      </c>
      <c r="X1564" s="217">
        <f t="shared" si="886"/>
        <v>31.44</v>
      </c>
      <c r="Y1564" s="218">
        <f t="shared" si="887"/>
        <v>-11981.44</v>
      </c>
      <c r="Z1564" s="219">
        <v>-11981</v>
      </c>
      <c r="AA1564" s="220">
        <f t="shared" si="888"/>
        <v>0.44000000000050932</v>
      </c>
      <c r="AB1564" s="221">
        <f t="shared" si="889"/>
        <v>-1</v>
      </c>
      <c r="AC1564" s="222">
        <f t="shared" si="890"/>
        <v>2.6310000000000001E-3</v>
      </c>
      <c r="AD1564" s="217"/>
      <c r="AE1564" s="223" t="s">
        <v>403</v>
      </c>
      <c r="AF1564" s="119"/>
    </row>
    <row r="1565" spans="1:32">
      <c r="A1565" s="150">
        <v>44747</v>
      </c>
      <c r="B1565" s="152" t="s">
        <v>779</v>
      </c>
      <c r="C1565" s="152" t="str">
        <f t="shared" ca="1" si="874"/>
        <v>Indices</v>
      </c>
      <c r="D1565" s="152" t="str">
        <f ca="1">IFERROR(__xludf.DUMMYFUNCTION("split(B1565,"" "")"),"NIFTY")</f>
        <v>NIFTY</v>
      </c>
      <c r="E1565" s="210">
        <f ca="1">IFERROR(__xludf.DUMMYFUNCTION("""COMPUTED_VALUE"""),45084)</f>
        <v>45084</v>
      </c>
      <c r="F1565" s="152">
        <f ca="1">IFERROR(__xludf.DUMMYFUNCTION("""COMPUTED_VALUE"""),15750)</f>
        <v>15750</v>
      </c>
      <c r="G1565" s="152" t="str">
        <f ca="1">IFERROR(__xludf.DUMMYFUNCTION("""COMPUTED_VALUE"""),"CE")</f>
        <v>CE</v>
      </c>
      <c r="H1565" s="211">
        <v>50</v>
      </c>
      <c r="I1565" s="212">
        <v>1</v>
      </c>
      <c r="J1565" s="212">
        <v>1</v>
      </c>
      <c r="K1565" s="213">
        <f t="shared" si="875"/>
        <v>50</v>
      </c>
      <c r="L1565" s="214">
        <v>0</v>
      </c>
      <c r="M1565" s="215">
        <v>220</v>
      </c>
      <c r="N1565" s="216">
        <f t="shared" si="876"/>
        <v>0</v>
      </c>
      <c r="O1565" s="216">
        <f t="shared" si="877"/>
        <v>11000</v>
      </c>
      <c r="P1565" s="217">
        <f t="shared" si="878"/>
        <v>11000</v>
      </c>
      <c r="Q1565" s="217">
        <f t="shared" si="879"/>
        <v>11000</v>
      </c>
      <c r="R1565" s="217">
        <f t="shared" si="891"/>
        <v>20</v>
      </c>
      <c r="S1565" s="217">
        <f t="shared" si="881"/>
        <v>4.6500000000000004</v>
      </c>
      <c r="T1565" s="217">
        <f t="shared" si="882"/>
        <v>5.5</v>
      </c>
      <c r="U1565" s="217">
        <f t="shared" si="883"/>
        <v>0</v>
      </c>
      <c r="V1565" s="217">
        <f t="shared" si="884"/>
        <v>5.83</v>
      </c>
      <c r="W1565" s="217">
        <f t="shared" si="885"/>
        <v>0.01</v>
      </c>
      <c r="X1565" s="217">
        <f t="shared" si="886"/>
        <v>35.989999999999995</v>
      </c>
      <c r="Y1565" s="218">
        <f t="shared" si="887"/>
        <v>10964.01</v>
      </c>
      <c r="Z1565" s="219">
        <v>10964</v>
      </c>
      <c r="AA1565" s="220">
        <f t="shared" si="888"/>
        <v>-1.0000000000218279E-2</v>
      </c>
      <c r="AB1565" s="221">
        <f t="shared" si="889"/>
        <v>0</v>
      </c>
      <c r="AC1565" s="222">
        <f t="shared" si="890"/>
        <v>3.2720000000000002E-3</v>
      </c>
      <c r="AD1565" s="217"/>
      <c r="AE1565" s="223" t="s">
        <v>403</v>
      </c>
      <c r="AF1565" s="119"/>
    </row>
    <row r="1566" spans="1:32">
      <c r="A1566" s="209">
        <v>44746</v>
      </c>
      <c r="B1566" s="152" t="s">
        <v>780</v>
      </c>
      <c r="C1566" s="152" t="str">
        <f t="shared" ca="1" si="874"/>
        <v>Stocks</v>
      </c>
      <c r="D1566" s="152" t="str">
        <f ca="1">IFERROR(__xludf.DUMMYFUNCTION("split(B1566,"" "")"),"SUNPHARMA")</f>
        <v>SUNPHARMA</v>
      </c>
      <c r="E1566" s="210" t="str">
        <f ca="1">IFERROR(__xludf.DUMMYFUNCTION("""COMPUTED_VALUE"""),"JUL")</f>
        <v>JUL</v>
      </c>
      <c r="F1566" s="152">
        <f ca="1">IFERROR(__xludf.DUMMYFUNCTION("""COMPUTED_VALUE"""),830)</f>
        <v>830</v>
      </c>
      <c r="G1566" s="152" t="str">
        <f ca="1">IFERROR(__xludf.DUMMYFUNCTION("""COMPUTED_VALUE"""),"PE")</f>
        <v>PE</v>
      </c>
      <c r="H1566" s="211">
        <v>700</v>
      </c>
      <c r="I1566" s="212">
        <v>1</v>
      </c>
      <c r="J1566" s="212">
        <v>1</v>
      </c>
      <c r="K1566" s="213">
        <f t="shared" si="875"/>
        <v>700</v>
      </c>
      <c r="L1566" s="214">
        <v>20.25</v>
      </c>
      <c r="M1566" s="215">
        <v>22</v>
      </c>
      <c r="N1566" s="216">
        <f t="shared" si="876"/>
        <v>14175</v>
      </c>
      <c r="O1566" s="216">
        <f t="shared" si="877"/>
        <v>15400</v>
      </c>
      <c r="P1566" s="217">
        <f t="shared" si="878"/>
        <v>29575</v>
      </c>
      <c r="Q1566" s="217">
        <f t="shared" si="879"/>
        <v>1225</v>
      </c>
      <c r="R1566" s="217">
        <f t="shared" si="891"/>
        <v>40</v>
      </c>
      <c r="S1566" s="217">
        <f t="shared" si="881"/>
        <v>10.02</v>
      </c>
      <c r="T1566" s="217">
        <f t="shared" si="882"/>
        <v>7.7</v>
      </c>
      <c r="U1566" s="217">
        <f t="shared" si="883"/>
        <v>0.43</v>
      </c>
      <c r="V1566" s="217">
        <f t="shared" si="884"/>
        <v>15.67</v>
      </c>
      <c r="W1566" s="217">
        <f t="shared" si="885"/>
        <v>0.03</v>
      </c>
      <c r="X1566" s="217">
        <f t="shared" si="886"/>
        <v>73.849999999999994</v>
      </c>
      <c r="Y1566" s="218">
        <f t="shared" si="887"/>
        <v>1151.1500000000001</v>
      </c>
      <c r="Z1566" s="219">
        <v>1151.27</v>
      </c>
      <c r="AA1566" s="220">
        <f t="shared" si="888"/>
        <v>0.11999999999989086</v>
      </c>
      <c r="AB1566" s="221">
        <f t="shared" si="889"/>
        <v>8.6419753086419748E-2</v>
      </c>
      <c r="AC1566" s="222">
        <f t="shared" si="890"/>
        <v>2.4970000000000001E-3</v>
      </c>
      <c r="AD1566" s="217"/>
      <c r="AE1566" s="223" t="s">
        <v>403</v>
      </c>
      <c r="AF1566" s="119"/>
    </row>
    <row r="1567" spans="1:32">
      <c r="A1567" s="209">
        <v>44747</v>
      </c>
      <c r="B1567" s="152" t="s">
        <v>781</v>
      </c>
      <c r="C1567" s="152" t="str">
        <f t="shared" ca="1" si="874"/>
        <v>Indices</v>
      </c>
      <c r="D1567" s="152" t="str">
        <f ca="1">IFERROR(__xludf.DUMMYFUNCTION("split(B1567,"" "")"),"NIFTY")</f>
        <v>NIFTY</v>
      </c>
      <c r="E1567" s="210">
        <f ca="1">IFERROR(__xludf.DUMMYFUNCTION("""COMPUTED_VALUE"""),45084)</f>
        <v>45084</v>
      </c>
      <c r="F1567" s="152">
        <f ca="1">IFERROR(__xludf.DUMMYFUNCTION("""COMPUTED_VALUE"""),15750)</f>
        <v>15750</v>
      </c>
      <c r="G1567" s="152" t="str">
        <f ca="1">IFERROR(__xludf.DUMMYFUNCTION("""COMPUTED_VALUE"""),"PE")</f>
        <v>PE</v>
      </c>
      <c r="H1567" s="211">
        <v>50</v>
      </c>
      <c r="I1567" s="212">
        <v>1</v>
      </c>
      <c r="J1567" s="212">
        <v>1</v>
      </c>
      <c r="K1567" s="213">
        <f t="shared" si="875"/>
        <v>50</v>
      </c>
      <c r="L1567" s="214">
        <v>36.25</v>
      </c>
      <c r="M1567" s="215">
        <v>39.25</v>
      </c>
      <c r="N1567" s="216">
        <f t="shared" si="876"/>
        <v>1812.5</v>
      </c>
      <c r="O1567" s="216">
        <f t="shared" si="877"/>
        <v>1962.5</v>
      </c>
      <c r="P1567" s="217">
        <f t="shared" si="878"/>
        <v>3775</v>
      </c>
      <c r="Q1567" s="217">
        <f t="shared" si="879"/>
        <v>150</v>
      </c>
      <c r="R1567" s="217">
        <f t="shared" si="891"/>
        <v>40</v>
      </c>
      <c r="S1567" s="217">
        <f t="shared" si="881"/>
        <v>7.56</v>
      </c>
      <c r="T1567" s="217">
        <f t="shared" si="882"/>
        <v>0.98</v>
      </c>
      <c r="U1567" s="217">
        <f t="shared" si="883"/>
        <v>0.05</v>
      </c>
      <c r="V1567" s="217">
        <f t="shared" si="884"/>
        <v>2</v>
      </c>
      <c r="W1567" s="217">
        <f t="shared" si="885"/>
        <v>0</v>
      </c>
      <c r="X1567" s="217">
        <f t="shared" si="886"/>
        <v>50.589999999999996</v>
      </c>
      <c r="Y1567" s="218">
        <f t="shared" si="887"/>
        <v>99.41</v>
      </c>
      <c r="Z1567" s="219">
        <v>99.94</v>
      </c>
      <c r="AA1567" s="220">
        <f t="shared" si="888"/>
        <v>0.53000000000000114</v>
      </c>
      <c r="AB1567" s="221">
        <f t="shared" si="889"/>
        <v>8.2758620689655171E-2</v>
      </c>
      <c r="AC1567" s="222">
        <f t="shared" si="890"/>
        <v>1.3401E-2</v>
      </c>
      <c r="AD1567" s="217"/>
      <c r="AE1567" s="223" t="s">
        <v>403</v>
      </c>
      <c r="AF1567" s="119"/>
    </row>
    <row r="1568" spans="1:32">
      <c r="A1568" s="209">
        <v>44748</v>
      </c>
      <c r="B1568" s="152" t="s">
        <v>782</v>
      </c>
      <c r="C1568" s="152" t="str">
        <f t="shared" ca="1" si="874"/>
        <v>Indices</v>
      </c>
      <c r="D1568" s="152" t="str">
        <f ca="1">IFERROR(__xludf.DUMMYFUNCTION("split(B1568,"" "")"),"NIFTY")</f>
        <v>NIFTY</v>
      </c>
      <c r="E1568" s="210">
        <f ca="1">IFERROR(__xludf.DUMMYFUNCTION("""COMPUTED_VALUE"""),45084)</f>
        <v>45084</v>
      </c>
      <c r="F1568" s="152">
        <f ca="1">IFERROR(__xludf.DUMMYFUNCTION("""COMPUTED_VALUE"""),15900)</f>
        <v>15900</v>
      </c>
      <c r="G1568" s="152" t="str">
        <f ca="1">IFERROR(__xludf.DUMMYFUNCTION("""COMPUTED_VALUE"""),"PE")</f>
        <v>PE</v>
      </c>
      <c r="H1568" s="211">
        <v>50</v>
      </c>
      <c r="I1568" s="212">
        <v>1</v>
      </c>
      <c r="J1568" s="212">
        <v>5</v>
      </c>
      <c r="K1568" s="213">
        <f t="shared" si="875"/>
        <v>250</v>
      </c>
      <c r="L1568" s="214">
        <v>86.8</v>
      </c>
      <c r="M1568" s="215">
        <v>0</v>
      </c>
      <c r="N1568" s="216">
        <f t="shared" si="876"/>
        <v>21700</v>
      </c>
      <c r="O1568" s="216">
        <f t="shared" si="877"/>
        <v>0</v>
      </c>
      <c r="P1568" s="217">
        <f t="shared" si="878"/>
        <v>21700</v>
      </c>
      <c r="Q1568" s="217">
        <f t="shared" si="879"/>
        <v>-21700</v>
      </c>
      <c r="R1568" s="217">
        <f t="shared" si="891"/>
        <v>100</v>
      </c>
      <c r="S1568" s="217">
        <f t="shared" si="881"/>
        <v>20.07</v>
      </c>
      <c r="T1568" s="217">
        <f t="shared" si="882"/>
        <v>0</v>
      </c>
      <c r="U1568" s="217">
        <f t="shared" si="883"/>
        <v>0.65</v>
      </c>
      <c r="V1568" s="217">
        <f t="shared" si="884"/>
        <v>11.5</v>
      </c>
      <c r="W1568" s="217">
        <f t="shared" si="885"/>
        <v>0.02</v>
      </c>
      <c r="X1568" s="217">
        <f t="shared" si="886"/>
        <v>132.24</v>
      </c>
      <c r="Y1568" s="218">
        <f t="shared" si="887"/>
        <v>-21832.240000000002</v>
      </c>
      <c r="Z1568" s="219">
        <v>-21832.97</v>
      </c>
      <c r="AA1568" s="220">
        <f t="shared" si="888"/>
        <v>-0.72999999999956344</v>
      </c>
      <c r="AB1568" s="221">
        <f t="shared" si="889"/>
        <v>-1</v>
      </c>
      <c r="AC1568" s="222">
        <f t="shared" si="890"/>
        <v>6.0939999999999996E-3</v>
      </c>
      <c r="AD1568" s="217"/>
      <c r="AE1568" s="223" t="s">
        <v>403</v>
      </c>
      <c r="AF1568" s="119"/>
    </row>
    <row r="1569" spans="1:32">
      <c r="A1569" s="209">
        <v>44748</v>
      </c>
      <c r="B1569" s="152" t="s">
        <v>782</v>
      </c>
      <c r="C1569" s="152" t="str">
        <f t="shared" ca="1" si="874"/>
        <v>Indices</v>
      </c>
      <c r="D1569" s="152" t="str">
        <f ca="1">IFERROR(__xludf.DUMMYFUNCTION("split(B1569,"" "")"),"NIFTY")</f>
        <v>NIFTY</v>
      </c>
      <c r="E1569" s="210">
        <f ca="1">IFERROR(__xludf.DUMMYFUNCTION("""COMPUTED_VALUE"""),45084)</f>
        <v>45084</v>
      </c>
      <c r="F1569" s="152">
        <f ca="1">IFERROR(__xludf.DUMMYFUNCTION("""COMPUTED_VALUE"""),15900)</f>
        <v>15900</v>
      </c>
      <c r="G1569" s="152" t="str">
        <f ca="1">IFERROR(__xludf.DUMMYFUNCTION("""COMPUTED_VALUE"""),"PE")</f>
        <v>PE</v>
      </c>
      <c r="H1569" s="211">
        <v>50</v>
      </c>
      <c r="I1569" s="212">
        <v>5</v>
      </c>
      <c r="J1569" s="212">
        <v>1</v>
      </c>
      <c r="K1569" s="213">
        <f t="shared" si="875"/>
        <v>250</v>
      </c>
      <c r="L1569" s="214">
        <v>0</v>
      </c>
      <c r="M1569" s="215">
        <v>88</v>
      </c>
      <c r="N1569" s="216">
        <f t="shared" si="876"/>
        <v>0</v>
      </c>
      <c r="O1569" s="216">
        <f t="shared" si="877"/>
        <v>22000</v>
      </c>
      <c r="P1569" s="217">
        <f t="shared" si="878"/>
        <v>22000</v>
      </c>
      <c r="Q1569" s="217">
        <f t="shared" si="879"/>
        <v>22000</v>
      </c>
      <c r="R1569" s="217">
        <f t="shared" si="891"/>
        <v>20</v>
      </c>
      <c r="S1569" s="217">
        <f t="shared" si="881"/>
        <v>5.7</v>
      </c>
      <c r="T1569" s="217">
        <f t="shared" si="882"/>
        <v>11</v>
      </c>
      <c r="U1569" s="217">
        <f t="shared" si="883"/>
        <v>0</v>
      </c>
      <c r="V1569" s="217">
        <f t="shared" si="884"/>
        <v>11.66</v>
      </c>
      <c r="W1569" s="217">
        <f t="shared" si="885"/>
        <v>0.02</v>
      </c>
      <c r="X1569" s="217">
        <f t="shared" si="886"/>
        <v>48.38</v>
      </c>
      <c r="Y1569" s="218">
        <f t="shared" si="887"/>
        <v>21951.62</v>
      </c>
      <c r="Z1569" s="219">
        <v>21952</v>
      </c>
      <c r="AA1569" s="220">
        <f t="shared" si="888"/>
        <v>0.38000000000101863</v>
      </c>
      <c r="AB1569" s="221">
        <f t="shared" si="889"/>
        <v>0</v>
      </c>
      <c r="AC1569" s="222">
        <f t="shared" si="890"/>
        <v>2.199E-3</v>
      </c>
      <c r="AD1569" s="217"/>
      <c r="AE1569" s="223" t="s">
        <v>403</v>
      </c>
      <c r="AF1569" s="119"/>
    </row>
    <row r="1570" spans="1:32">
      <c r="A1570" s="209">
        <v>44749</v>
      </c>
      <c r="B1570" s="152" t="s">
        <v>783</v>
      </c>
      <c r="C1570" s="152" t="str">
        <f t="shared" ca="1" si="874"/>
        <v>Indices</v>
      </c>
      <c r="D1570" s="152" t="str">
        <f ca="1">IFERROR(__xludf.DUMMYFUNCTION("split(B1570,"" "")"),"NIFTY")</f>
        <v>NIFTY</v>
      </c>
      <c r="E1570" s="210">
        <f ca="1">IFERROR(__xludf.DUMMYFUNCTION("""COMPUTED_VALUE"""),45114)</f>
        <v>45114</v>
      </c>
      <c r="F1570" s="152">
        <f ca="1">IFERROR(__xludf.DUMMYFUNCTION("""COMPUTED_VALUE"""),15900)</f>
        <v>15900</v>
      </c>
      <c r="G1570" s="152" t="str">
        <f ca="1">IFERROR(__xludf.DUMMYFUNCTION("""COMPUTED_VALUE"""),"PE")</f>
        <v>PE</v>
      </c>
      <c r="H1570" s="211">
        <v>50</v>
      </c>
      <c r="I1570" s="212">
        <v>1</v>
      </c>
      <c r="J1570" s="212">
        <v>4</v>
      </c>
      <c r="K1570" s="213">
        <f t="shared" si="875"/>
        <v>200</v>
      </c>
      <c r="L1570" s="214">
        <v>2.3125</v>
      </c>
      <c r="M1570" s="215">
        <v>0</v>
      </c>
      <c r="N1570" s="216">
        <f t="shared" si="876"/>
        <v>462.5</v>
      </c>
      <c r="O1570" s="216">
        <f t="shared" si="877"/>
        <v>0</v>
      </c>
      <c r="P1570" s="217">
        <f t="shared" si="878"/>
        <v>462.5</v>
      </c>
      <c r="Q1570" s="217">
        <f t="shared" si="879"/>
        <v>-462.5</v>
      </c>
      <c r="R1570" s="217">
        <f t="shared" si="891"/>
        <v>80</v>
      </c>
      <c r="S1570" s="217">
        <f t="shared" si="881"/>
        <v>14.45</v>
      </c>
      <c r="T1570" s="217">
        <f t="shared" si="882"/>
        <v>0</v>
      </c>
      <c r="U1570" s="217">
        <f t="shared" si="883"/>
        <v>0.01</v>
      </c>
      <c r="V1570" s="217">
        <f t="shared" si="884"/>
        <v>0.25</v>
      </c>
      <c r="W1570" s="217">
        <f t="shared" si="885"/>
        <v>0</v>
      </c>
      <c r="X1570" s="217">
        <f t="shared" si="886"/>
        <v>94.710000000000008</v>
      </c>
      <c r="Y1570" s="218">
        <f t="shared" si="887"/>
        <v>-557.21</v>
      </c>
      <c r="Z1570" s="219">
        <v>-557</v>
      </c>
      <c r="AA1570" s="220">
        <f t="shared" si="888"/>
        <v>0.21000000000003638</v>
      </c>
      <c r="AB1570" s="221">
        <f t="shared" si="889"/>
        <v>-1</v>
      </c>
      <c r="AC1570" s="222">
        <f t="shared" si="890"/>
        <v>0.20477799999999999</v>
      </c>
      <c r="AD1570" s="217"/>
      <c r="AE1570" s="223" t="s">
        <v>403</v>
      </c>
      <c r="AF1570" s="119"/>
    </row>
    <row r="1571" spans="1:32">
      <c r="A1571" s="209">
        <v>44749</v>
      </c>
      <c r="B1571" s="152" t="s">
        <v>783</v>
      </c>
      <c r="C1571" s="152" t="str">
        <f t="shared" ca="1" si="874"/>
        <v>Indices</v>
      </c>
      <c r="D1571" s="152" t="str">
        <f ca="1">IFERROR(__xludf.DUMMYFUNCTION("split(B1571,"" "")"),"NIFTY")</f>
        <v>NIFTY</v>
      </c>
      <c r="E1571" s="210">
        <f ca="1">IFERROR(__xludf.DUMMYFUNCTION("""COMPUTED_VALUE"""),45114)</f>
        <v>45114</v>
      </c>
      <c r="F1571" s="152">
        <f ca="1">IFERROR(__xludf.DUMMYFUNCTION("""COMPUTED_VALUE"""),15900)</f>
        <v>15900</v>
      </c>
      <c r="G1571" s="152" t="str">
        <f ca="1">IFERROR(__xludf.DUMMYFUNCTION("""COMPUTED_VALUE"""),"PE")</f>
        <v>PE</v>
      </c>
      <c r="H1571" s="211">
        <v>50</v>
      </c>
      <c r="I1571" s="212">
        <v>4</v>
      </c>
      <c r="J1571" s="212">
        <v>1</v>
      </c>
      <c r="K1571" s="213">
        <f t="shared" si="875"/>
        <v>200</v>
      </c>
      <c r="L1571" s="214">
        <v>0</v>
      </c>
      <c r="M1571" s="215">
        <v>0.1</v>
      </c>
      <c r="N1571" s="216">
        <f t="shared" si="876"/>
        <v>0</v>
      </c>
      <c r="O1571" s="216">
        <f t="shared" si="877"/>
        <v>20</v>
      </c>
      <c r="P1571" s="217">
        <f t="shared" si="878"/>
        <v>20</v>
      </c>
      <c r="Q1571" s="217">
        <f t="shared" si="879"/>
        <v>20</v>
      </c>
      <c r="R1571" s="217">
        <f t="shared" si="891"/>
        <v>20</v>
      </c>
      <c r="S1571" s="217">
        <f t="shared" si="881"/>
        <v>3.6</v>
      </c>
      <c r="T1571" s="217">
        <f t="shared" si="882"/>
        <v>0.01</v>
      </c>
      <c r="U1571" s="217">
        <f t="shared" si="883"/>
        <v>0</v>
      </c>
      <c r="V1571" s="217">
        <f t="shared" si="884"/>
        <v>0.01</v>
      </c>
      <c r="W1571" s="217">
        <f t="shared" si="885"/>
        <v>0</v>
      </c>
      <c r="X1571" s="217">
        <f t="shared" si="886"/>
        <v>23.620000000000005</v>
      </c>
      <c r="Y1571" s="218">
        <f t="shared" si="887"/>
        <v>-3.62</v>
      </c>
      <c r="Z1571" s="219">
        <v>-3.8</v>
      </c>
      <c r="AA1571" s="220">
        <f t="shared" si="888"/>
        <v>-0.17999999999999972</v>
      </c>
      <c r="AB1571" s="221">
        <f t="shared" si="889"/>
        <v>0</v>
      </c>
      <c r="AC1571" s="222">
        <f t="shared" si="890"/>
        <v>1.181</v>
      </c>
      <c r="AD1571" s="217"/>
      <c r="AE1571" s="223" t="s">
        <v>403</v>
      </c>
      <c r="AF1571" s="119"/>
    </row>
    <row r="1572" spans="1:32">
      <c r="A1572" s="148">
        <v>44753</v>
      </c>
      <c r="B1572" s="152" t="s">
        <v>784</v>
      </c>
      <c r="C1572" s="152" t="str">
        <f t="shared" ca="1" si="874"/>
        <v>Indices</v>
      </c>
      <c r="D1572" s="152" t="str">
        <f ca="1">IFERROR(__xludf.DUMMYFUNCTION("split(B1572,"" "")"),"NIFTY")</f>
        <v>NIFTY</v>
      </c>
      <c r="E1572" s="224">
        <f ca="1">IFERROR(__xludf.DUMMYFUNCTION("""COMPUTED_VALUE"""),45121)</f>
        <v>45121</v>
      </c>
      <c r="F1572" s="152">
        <f ca="1">IFERROR(__xludf.DUMMYFUNCTION("""COMPUTED_VALUE"""),16200)</f>
        <v>16200</v>
      </c>
      <c r="G1572" s="152" t="str">
        <f ca="1">IFERROR(__xludf.DUMMYFUNCTION("""COMPUTED_VALUE"""),"CE")</f>
        <v>CE</v>
      </c>
      <c r="H1572" s="211">
        <v>50</v>
      </c>
      <c r="I1572" s="212">
        <v>2</v>
      </c>
      <c r="J1572" s="212">
        <v>1</v>
      </c>
      <c r="K1572" s="213">
        <f t="shared" si="875"/>
        <v>100</v>
      </c>
      <c r="L1572" s="214">
        <v>100.5</v>
      </c>
      <c r="M1572" s="215">
        <v>0</v>
      </c>
      <c r="N1572" s="216">
        <f t="shared" si="876"/>
        <v>10050</v>
      </c>
      <c r="O1572" s="216">
        <f t="shared" si="877"/>
        <v>0</v>
      </c>
      <c r="P1572" s="217">
        <f t="shared" si="878"/>
        <v>10050</v>
      </c>
      <c r="Q1572" s="217">
        <f t="shared" si="879"/>
        <v>-10050</v>
      </c>
      <c r="R1572" s="217">
        <f t="shared" si="891"/>
        <v>20</v>
      </c>
      <c r="S1572" s="217">
        <f t="shared" si="881"/>
        <v>4.5599999999999996</v>
      </c>
      <c r="T1572" s="217">
        <f t="shared" si="882"/>
        <v>0</v>
      </c>
      <c r="U1572" s="217">
        <f t="shared" si="883"/>
        <v>0.3</v>
      </c>
      <c r="V1572" s="217">
        <f t="shared" si="884"/>
        <v>5.33</v>
      </c>
      <c r="W1572" s="217">
        <f t="shared" si="885"/>
        <v>0.01</v>
      </c>
      <c r="X1572" s="217">
        <f t="shared" si="886"/>
        <v>30.2</v>
      </c>
      <c r="Y1572" s="218">
        <f t="shared" si="887"/>
        <v>-10080.200000000001</v>
      </c>
      <c r="Z1572" s="219">
        <v>-10080</v>
      </c>
      <c r="AA1572" s="220">
        <f t="shared" si="888"/>
        <v>0.2000000000007276</v>
      </c>
      <c r="AB1572" s="221">
        <f t="shared" si="889"/>
        <v>-1</v>
      </c>
      <c r="AC1572" s="222">
        <f t="shared" si="890"/>
        <v>3.0049999999999999E-3</v>
      </c>
      <c r="AD1572" s="217"/>
      <c r="AE1572" s="223" t="s">
        <v>403</v>
      </c>
      <c r="AF1572" s="119"/>
    </row>
    <row r="1573" spans="1:32">
      <c r="A1573" s="150">
        <v>44754</v>
      </c>
      <c r="B1573" s="152" t="s">
        <v>784</v>
      </c>
      <c r="C1573" s="152" t="str">
        <f t="shared" ca="1" si="874"/>
        <v>Indices</v>
      </c>
      <c r="D1573" s="152" t="str">
        <f ca="1">IFERROR(__xludf.DUMMYFUNCTION("split(B1573,"" "")"),"NIFTY")</f>
        <v>NIFTY</v>
      </c>
      <c r="E1573" s="224">
        <f ca="1">IFERROR(__xludf.DUMMYFUNCTION("""COMPUTED_VALUE"""),45121)</f>
        <v>45121</v>
      </c>
      <c r="F1573" s="152">
        <f ca="1">IFERROR(__xludf.DUMMYFUNCTION("""COMPUTED_VALUE"""),16200)</f>
        <v>16200</v>
      </c>
      <c r="G1573" s="152" t="str">
        <f ca="1">IFERROR(__xludf.DUMMYFUNCTION("""COMPUTED_VALUE"""),"CE")</f>
        <v>CE</v>
      </c>
      <c r="H1573" s="211">
        <v>50</v>
      </c>
      <c r="I1573" s="212">
        <v>2</v>
      </c>
      <c r="J1573" s="212">
        <v>1</v>
      </c>
      <c r="K1573" s="213">
        <f t="shared" si="875"/>
        <v>100</v>
      </c>
      <c r="L1573" s="214">
        <v>0</v>
      </c>
      <c r="M1573" s="215">
        <v>59.15</v>
      </c>
      <c r="N1573" s="216">
        <f t="shared" si="876"/>
        <v>0</v>
      </c>
      <c r="O1573" s="216">
        <f t="shared" si="877"/>
        <v>5915</v>
      </c>
      <c r="P1573" s="217">
        <f t="shared" si="878"/>
        <v>5915</v>
      </c>
      <c r="Q1573" s="217">
        <f t="shared" si="879"/>
        <v>5915</v>
      </c>
      <c r="R1573" s="217">
        <f t="shared" si="891"/>
        <v>20</v>
      </c>
      <c r="S1573" s="217">
        <f t="shared" si="881"/>
        <v>4.16</v>
      </c>
      <c r="T1573" s="217">
        <f t="shared" si="882"/>
        <v>2.96</v>
      </c>
      <c r="U1573" s="217">
        <f t="shared" si="883"/>
        <v>0</v>
      </c>
      <c r="V1573" s="217">
        <f t="shared" si="884"/>
        <v>3.13</v>
      </c>
      <c r="W1573" s="217">
        <f t="shared" si="885"/>
        <v>0.01</v>
      </c>
      <c r="X1573" s="217">
        <f t="shared" si="886"/>
        <v>30.26</v>
      </c>
      <c r="Y1573" s="218">
        <f t="shared" si="887"/>
        <v>5884.74</v>
      </c>
      <c r="Z1573" s="219">
        <v>5885</v>
      </c>
      <c r="AA1573" s="220">
        <f t="shared" si="888"/>
        <v>0.26000000000021828</v>
      </c>
      <c r="AB1573" s="221">
        <f t="shared" si="889"/>
        <v>0</v>
      </c>
      <c r="AC1573" s="222">
        <f t="shared" si="890"/>
        <v>5.1159999999999999E-3</v>
      </c>
      <c r="AD1573" s="217"/>
      <c r="AE1573" s="223" t="s">
        <v>403</v>
      </c>
      <c r="AF1573" s="119"/>
    </row>
    <row r="1574" spans="1:32">
      <c r="A1574" s="148">
        <v>44753</v>
      </c>
      <c r="B1574" s="152" t="s">
        <v>785</v>
      </c>
      <c r="C1574" s="152" t="str">
        <f t="shared" ca="1" si="874"/>
        <v>Indices</v>
      </c>
      <c r="D1574" s="152" t="str">
        <f ca="1">IFERROR(__xludf.DUMMYFUNCTION("split(B1574,"" "")"),"NIFTY")</f>
        <v>NIFTY</v>
      </c>
      <c r="E1574" s="224">
        <f ca="1">IFERROR(__xludf.DUMMYFUNCTION("""COMPUTED_VALUE"""),45121)</f>
        <v>45121</v>
      </c>
      <c r="F1574" s="152">
        <f ca="1">IFERROR(__xludf.DUMMYFUNCTION("""COMPUTED_VALUE"""),16100)</f>
        <v>16100</v>
      </c>
      <c r="G1574" s="152" t="str">
        <f ca="1">IFERROR(__xludf.DUMMYFUNCTION("""COMPUTED_VALUE"""),"PE")</f>
        <v>PE</v>
      </c>
      <c r="H1574" s="211">
        <v>50</v>
      </c>
      <c r="I1574" s="212">
        <v>1</v>
      </c>
      <c r="J1574" s="212">
        <v>4</v>
      </c>
      <c r="K1574" s="213">
        <f t="shared" si="875"/>
        <v>200</v>
      </c>
      <c r="L1574" s="214">
        <v>86.25</v>
      </c>
      <c r="M1574" s="215">
        <v>0</v>
      </c>
      <c r="N1574" s="216">
        <f t="shared" si="876"/>
        <v>17250</v>
      </c>
      <c r="O1574" s="216">
        <f t="shared" si="877"/>
        <v>0</v>
      </c>
      <c r="P1574" s="217">
        <f t="shared" si="878"/>
        <v>17250</v>
      </c>
      <c r="Q1574" s="217">
        <f t="shared" si="879"/>
        <v>-17250</v>
      </c>
      <c r="R1574" s="217">
        <f t="shared" si="891"/>
        <v>80</v>
      </c>
      <c r="S1574" s="217">
        <f t="shared" si="881"/>
        <v>16.05</v>
      </c>
      <c r="T1574" s="217">
        <f t="shared" si="882"/>
        <v>0</v>
      </c>
      <c r="U1574" s="217">
        <f t="shared" si="883"/>
        <v>0.52</v>
      </c>
      <c r="V1574" s="217">
        <f t="shared" si="884"/>
        <v>9.14</v>
      </c>
      <c r="W1574" s="217">
        <f t="shared" si="885"/>
        <v>0.02</v>
      </c>
      <c r="X1574" s="217">
        <f t="shared" si="886"/>
        <v>105.72999999999999</v>
      </c>
      <c r="Y1574" s="218">
        <f t="shared" si="887"/>
        <v>-17355.73</v>
      </c>
      <c r="Z1574" s="219">
        <v>-17356.099999999999</v>
      </c>
      <c r="AA1574" s="220">
        <f t="shared" si="888"/>
        <v>-0.36999999999898137</v>
      </c>
      <c r="AB1574" s="221">
        <f t="shared" si="889"/>
        <v>-1</v>
      </c>
      <c r="AC1574" s="222">
        <f t="shared" si="890"/>
        <v>6.1289999999999999E-3</v>
      </c>
      <c r="AD1574" s="217"/>
      <c r="AE1574" s="223" t="s">
        <v>403</v>
      </c>
      <c r="AF1574" s="119"/>
    </row>
    <row r="1575" spans="1:32">
      <c r="A1575" s="150">
        <v>44754</v>
      </c>
      <c r="B1575" s="152" t="s">
        <v>785</v>
      </c>
      <c r="C1575" s="152" t="str">
        <f t="shared" ca="1" si="874"/>
        <v>Indices</v>
      </c>
      <c r="D1575" s="152" t="str">
        <f ca="1">IFERROR(__xludf.DUMMYFUNCTION("split(B1575,"" "")"),"NIFTY")</f>
        <v>NIFTY</v>
      </c>
      <c r="E1575" s="224">
        <f ca="1">IFERROR(__xludf.DUMMYFUNCTION("""COMPUTED_VALUE"""),45121)</f>
        <v>45121</v>
      </c>
      <c r="F1575" s="152">
        <f ca="1">IFERROR(__xludf.DUMMYFUNCTION("""COMPUTED_VALUE"""),16100)</f>
        <v>16100</v>
      </c>
      <c r="G1575" s="152" t="str">
        <f ca="1">IFERROR(__xludf.DUMMYFUNCTION("""COMPUTED_VALUE"""),"PE")</f>
        <v>PE</v>
      </c>
      <c r="H1575" s="211">
        <v>50</v>
      </c>
      <c r="I1575" s="212">
        <v>4</v>
      </c>
      <c r="J1575" s="212">
        <v>1</v>
      </c>
      <c r="K1575" s="213">
        <f t="shared" si="875"/>
        <v>200</v>
      </c>
      <c r="L1575" s="214">
        <v>0</v>
      </c>
      <c r="M1575" s="215">
        <v>105</v>
      </c>
      <c r="N1575" s="216">
        <f t="shared" si="876"/>
        <v>0</v>
      </c>
      <c r="O1575" s="216">
        <f t="shared" si="877"/>
        <v>21000</v>
      </c>
      <c r="P1575" s="217">
        <f t="shared" si="878"/>
        <v>21000</v>
      </c>
      <c r="Q1575" s="217">
        <f t="shared" si="879"/>
        <v>21000</v>
      </c>
      <c r="R1575" s="217">
        <f t="shared" si="891"/>
        <v>20</v>
      </c>
      <c r="S1575" s="217">
        <f t="shared" si="881"/>
        <v>5.6</v>
      </c>
      <c r="T1575" s="217">
        <f t="shared" si="882"/>
        <v>10.5</v>
      </c>
      <c r="U1575" s="217">
        <f t="shared" si="883"/>
        <v>0</v>
      </c>
      <c r="V1575" s="217">
        <f t="shared" si="884"/>
        <v>11.13</v>
      </c>
      <c r="W1575" s="217">
        <f t="shared" si="885"/>
        <v>0.02</v>
      </c>
      <c r="X1575" s="217">
        <f t="shared" si="886"/>
        <v>47.250000000000007</v>
      </c>
      <c r="Y1575" s="218">
        <f t="shared" si="887"/>
        <v>20952.75</v>
      </c>
      <c r="Z1575" s="219">
        <v>20953</v>
      </c>
      <c r="AA1575" s="220">
        <f t="shared" si="888"/>
        <v>0.25</v>
      </c>
      <c r="AB1575" s="221">
        <f t="shared" si="889"/>
        <v>0</v>
      </c>
      <c r="AC1575" s="222">
        <f t="shared" si="890"/>
        <v>2.2499999999999998E-3</v>
      </c>
      <c r="AD1575" s="217"/>
      <c r="AE1575" s="223" t="s">
        <v>403</v>
      </c>
      <c r="AF1575" s="119"/>
    </row>
    <row r="1576" spans="1:32">
      <c r="A1576" s="209">
        <v>44754</v>
      </c>
      <c r="B1576" s="152" t="s">
        <v>785</v>
      </c>
      <c r="C1576" s="152" t="str">
        <f t="shared" ca="1" si="874"/>
        <v>Indices</v>
      </c>
      <c r="D1576" s="152" t="str">
        <f ca="1">IFERROR(__xludf.DUMMYFUNCTION("split(B1576,"" "")"),"NIFTY")</f>
        <v>NIFTY</v>
      </c>
      <c r="E1576" s="224">
        <f ca="1">IFERROR(__xludf.DUMMYFUNCTION("""COMPUTED_VALUE"""),45121)</f>
        <v>45121</v>
      </c>
      <c r="F1576" s="152">
        <f ca="1">IFERROR(__xludf.DUMMYFUNCTION("""COMPUTED_VALUE"""),16100)</f>
        <v>16100</v>
      </c>
      <c r="G1576" s="152" t="str">
        <f ca="1">IFERROR(__xludf.DUMMYFUNCTION("""COMPUTED_VALUE"""),"PE")</f>
        <v>PE</v>
      </c>
      <c r="H1576" s="211">
        <v>50</v>
      </c>
      <c r="I1576" s="212">
        <v>1</v>
      </c>
      <c r="J1576" s="212">
        <v>4</v>
      </c>
      <c r="K1576" s="213">
        <f t="shared" si="875"/>
        <v>200</v>
      </c>
      <c r="L1576" s="214">
        <v>96.75</v>
      </c>
      <c r="M1576" s="215">
        <v>102.6</v>
      </c>
      <c r="N1576" s="216">
        <f t="shared" si="876"/>
        <v>19350</v>
      </c>
      <c r="O1576" s="216">
        <f t="shared" si="877"/>
        <v>20520</v>
      </c>
      <c r="P1576" s="217">
        <f t="shared" si="878"/>
        <v>39870</v>
      </c>
      <c r="Q1576" s="217">
        <f t="shared" si="879"/>
        <v>1169.9999999999989</v>
      </c>
      <c r="R1576" s="217">
        <f t="shared" si="891"/>
        <v>160</v>
      </c>
      <c r="S1576" s="217">
        <f t="shared" si="881"/>
        <v>32.6</v>
      </c>
      <c r="T1576" s="217">
        <f t="shared" si="882"/>
        <v>10.26</v>
      </c>
      <c r="U1576" s="217">
        <f t="shared" si="883"/>
        <v>0.57999999999999996</v>
      </c>
      <c r="V1576" s="217">
        <f t="shared" si="884"/>
        <v>21.13</v>
      </c>
      <c r="W1576" s="217">
        <f t="shared" si="885"/>
        <v>0.04</v>
      </c>
      <c r="X1576" s="217">
        <f t="shared" si="886"/>
        <v>224.60999999999999</v>
      </c>
      <c r="Y1576" s="218">
        <f t="shared" si="887"/>
        <v>945.39</v>
      </c>
      <c r="Z1576" s="219">
        <v>944.17</v>
      </c>
      <c r="AA1576" s="220">
        <f t="shared" si="888"/>
        <v>-1.2200000000000273</v>
      </c>
      <c r="AB1576" s="221">
        <f t="shared" si="889"/>
        <v>6.0465116279069711E-2</v>
      </c>
      <c r="AC1576" s="222">
        <f t="shared" si="890"/>
        <v>5.6340000000000001E-3</v>
      </c>
      <c r="AD1576" s="217"/>
      <c r="AE1576" s="223" t="s">
        <v>403</v>
      </c>
      <c r="AF1576" s="119"/>
    </row>
    <row r="1577" spans="1:32">
      <c r="A1577" s="209">
        <v>44755</v>
      </c>
      <c r="B1577" s="152" t="s">
        <v>786</v>
      </c>
      <c r="C1577" s="152" t="str">
        <f t="shared" ca="1" si="874"/>
        <v>Stocks</v>
      </c>
      <c r="D1577" s="152" t="str">
        <f ca="1">IFERROR(__xludf.DUMMYFUNCTION("split(B1577,"" "")"),"INDUSTOWER")</f>
        <v>INDUSTOWER</v>
      </c>
      <c r="E1577" s="224" t="str">
        <f ca="1">IFERROR(__xludf.DUMMYFUNCTION("""COMPUTED_VALUE"""),"JUL")</f>
        <v>JUL</v>
      </c>
      <c r="F1577" s="152">
        <f ca="1">IFERROR(__xludf.DUMMYFUNCTION("""COMPUTED_VALUE"""),220)</f>
        <v>220</v>
      </c>
      <c r="G1577" s="152" t="str">
        <f ca="1">IFERROR(__xludf.DUMMYFUNCTION("""COMPUTED_VALUE"""),"CE")</f>
        <v>CE</v>
      </c>
      <c r="H1577" s="211">
        <v>2800</v>
      </c>
      <c r="I1577" s="212">
        <v>1</v>
      </c>
      <c r="J1577" s="212">
        <v>1</v>
      </c>
      <c r="K1577" s="213">
        <f t="shared" si="875"/>
        <v>2800</v>
      </c>
      <c r="L1577" s="214">
        <v>9</v>
      </c>
      <c r="M1577" s="215">
        <v>9.1999999999999993</v>
      </c>
      <c r="N1577" s="216">
        <f t="shared" si="876"/>
        <v>25200</v>
      </c>
      <c r="O1577" s="216">
        <f t="shared" si="877"/>
        <v>25760</v>
      </c>
      <c r="P1577" s="217">
        <f t="shared" si="878"/>
        <v>50960</v>
      </c>
      <c r="Q1577" s="217">
        <f t="shared" si="879"/>
        <v>559.99999999999795</v>
      </c>
      <c r="R1577" s="217">
        <f t="shared" si="891"/>
        <v>40</v>
      </c>
      <c r="S1577" s="217">
        <f t="shared" si="881"/>
        <v>12.06</v>
      </c>
      <c r="T1577" s="217">
        <f t="shared" si="882"/>
        <v>12.88</v>
      </c>
      <c r="U1577" s="217">
        <f t="shared" si="883"/>
        <v>0.76</v>
      </c>
      <c r="V1577" s="217">
        <f t="shared" si="884"/>
        <v>27.01</v>
      </c>
      <c r="W1577" s="217">
        <f t="shared" si="885"/>
        <v>0.05</v>
      </c>
      <c r="X1577" s="217">
        <f t="shared" si="886"/>
        <v>92.76</v>
      </c>
      <c r="Y1577" s="218">
        <f t="shared" si="887"/>
        <v>467.24</v>
      </c>
      <c r="Z1577" s="219">
        <v>467.54</v>
      </c>
      <c r="AA1577" s="220">
        <f t="shared" si="888"/>
        <v>0.30000000000001137</v>
      </c>
      <c r="AB1577" s="221">
        <f t="shared" si="889"/>
        <v>2.2222222222222143E-2</v>
      </c>
      <c r="AC1577" s="222">
        <f t="shared" si="890"/>
        <v>1.82E-3</v>
      </c>
      <c r="AD1577" s="217"/>
      <c r="AE1577" s="223" t="s">
        <v>403</v>
      </c>
      <c r="AF1577" s="119"/>
    </row>
    <row r="1578" spans="1:32">
      <c r="A1578" s="148">
        <v>44755</v>
      </c>
      <c r="B1578" s="152" t="s">
        <v>786</v>
      </c>
      <c r="C1578" s="152" t="str">
        <f t="shared" ca="1" si="874"/>
        <v>Stocks</v>
      </c>
      <c r="D1578" s="152" t="str">
        <f ca="1">IFERROR(__xludf.DUMMYFUNCTION("split(B1578,"" "")"),"INDUSTOWER")</f>
        <v>INDUSTOWER</v>
      </c>
      <c r="E1578" s="152" t="str">
        <f ca="1">IFERROR(__xludf.DUMMYFUNCTION("""COMPUTED_VALUE"""),"JUL")</f>
        <v>JUL</v>
      </c>
      <c r="F1578" s="152">
        <f ca="1">IFERROR(__xludf.DUMMYFUNCTION("""COMPUTED_VALUE"""),220)</f>
        <v>220</v>
      </c>
      <c r="G1578" s="152" t="str">
        <f ca="1">IFERROR(__xludf.DUMMYFUNCTION("""COMPUTED_VALUE"""),"CE")</f>
        <v>CE</v>
      </c>
      <c r="H1578" s="211">
        <v>2800</v>
      </c>
      <c r="I1578" s="212">
        <v>1</v>
      </c>
      <c r="J1578" s="212">
        <v>1</v>
      </c>
      <c r="K1578" s="213">
        <f t="shared" si="875"/>
        <v>2800</v>
      </c>
      <c r="L1578" s="214">
        <v>9.3000000000000007</v>
      </c>
      <c r="M1578" s="215">
        <v>0</v>
      </c>
      <c r="N1578" s="216">
        <f t="shared" si="876"/>
        <v>26040</v>
      </c>
      <c r="O1578" s="216">
        <f t="shared" si="877"/>
        <v>0</v>
      </c>
      <c r="P1578" s="217">
        <f t="shared" si="878"/>
        <v>26040</v>
      </c>
      <c r="Q1578" s="217">
        <f t="shared" si="879"/>
        <v>-26040.000000000004</v>
      </c>
      <c r="R1578" s="217">
        <f t="shared" si="891"/>
        <v>20</v>
      </c>
      <c r="S1578" s="217">
        <f t="shared" si="881"/>
        <v>6.08</v>
      </c>
      <c r="T1578" s="217">
        <f t="shared" si="882"/>
        <v>0</v>
      </c>
      <c r="U1578" s="217">
        <f t="shared" si="883"/>
        <v>0.78</v>
      </c>
      <c r="V1578" s="217">
        <f t="shared" si="884"/>
        <v>13.8</v>
      </c>
      <c r="W1578" s="217">
        <f t="shared" si="885"/>
        <v>0.03</v>
      </c>
      <c r="X1578" s="217">
        <f t="shared" si="886"/>
        <v>40.69</v>
      </c>
      <c r="Y1578" s="218">
        <f t="shared" si="887"/>
        <v>-26080.69</v>
      </c>
      <c r="Z1578" s="219">
        <v>-26081</v>
      </c>
      <c r="AA1578" s="220">
        <f t="shared" si="888"/>
        <v>-0.31000000000130967</v>
      </c>
      <c r="AB1578" s="221">
        <f t="shared" si="889"/>
        <v>-1</v>
      </c>
      <c r="AC1578" s="222">
        <f t="shared" si="890"/>
        <v>1.5629999999999999E-3</v>
      </c>
      <c r="AD1578" s="217"/>
      <c r="AE1578" s="223" t="s">
        <v>403</v>
      </c>
      <c r="AF1578" s="119"/>
    </row>
    <row r="1579" spans="1:32">
      <c r="A1579" s="150">
        <v>44756</v>
      </c>
      <c r="B1579" s="152" t="s">
        <v>786</v>
      </c>
      <c r="C1579" s="152" t="str">
        <f t="shared" ca="1" si="874"/>
        <v>Stocks</v>
      </c>
      <c r="D1579" s="152" t="str">
        <f ca="1">IFERROR(__xludf.DUMMYFUNCTION("split(B1579,"" "")"),"INDUSTOWER")</f>
        <v>INDUSTOWER</v>
      </c>
      <c r="E1579" s="152" t="str">
        <f ca="1">IFERROR(__xludf.DUMMYFUNCTION("""COMPUTED_VALUE"""),"JUL")</f>
        <v>JUL</v>
      </c>
      <c r="F1579" s="152">
        <f ca="1">IFERROR(__xludf.DUMMYFUNCTION("""COMPUTED_VALUE"""),220)</f>
        <v>220</v>
      </c>
      <c r="G1579" s="152" t="str">
        <f ca="1">IFERROR(__xludf.DUMMYFUNCTION("""COMPUTED_VALUE"""),"CE")</f>
        <v>CE</v>
      </c>
      <c r="H1579" s="211">
        <v>2800</v>
      </c>
      <c r="I1579" s="212">
        <v>1</v>
      </c>
      <c r="J1579" s="212">
        <v>1</v>
      </c>
      <c r="K1579" s="213">
        <f t="shared" si="875"/>
        <v>2800</v>
      </c>
      <c r="L1579" s="214">
        <v>0</v>
      </c>
      <c r="M1579" s="215">
        <v>9.9</v>
      </c>
      <c r="N1579" s="216">
        <f t="shared" si="876"/>
        <v>0</v>
      </c>
      <c r="O1579" s="216">
        <f t="shared" si="877"/>
        <v>27720</v>
      </c>
      <c r="P1579" s="217">
        <f t="shared" si="878"/>
        <v>27720</v>
      </c>
      <c r="Q1579" s="217">
        <f t="shared" si="879"/>
        <v>27720</v>
      </c>
      <c r="R1579" s="217">
        <f t="shared" si="891"/>
        <v>20</v>
      </c>
      <c r="S1579" s="217">
        <f t="shared" si="881"/>
        <v>6.24</v>
      </c>
      <c r="T1579" s="217">
        <f t="shared" si="882"/>
        <v>13.86</v>
      </c>
      <c r="U1579" s="217">
        <f t="shared" si="883"/>
        <v>0</v>
      </c>
      <c r="V1579" s="217">
        <f t="shared" si="884"/>
        <v>14.69</v>
      </c>
      <c r="W1579" s="217">
        <f t="shared" si="885"/>
        <v>0.03</v>
      </c>
      <c r="X1579" s="217">
        <f t="shared" si="886"/>
        <v>54.82</v>
      </c>
      <c r="Y1579" s="218">
        <f t="shared" si="887"/>
        <v>27665.18</v>
      </c>
      <c r="Z1579" s="219">
        <v>27665.5</v>
      </c>
      <c r="AA1579" s="220">
        <f t="shared" si="888"/>
        <v>0.31999999999970896</v>
      </c>
      <c r="AB1579" s="221">
        <f t="shared" si="889"/>
        <v>0</v>
      </c>
      <c r="AC1579" s="222">
        <f t="shared" si="890"/>
        <v>1.9780000000000002E-3</v>
      </c>
      <c r="AD1579" s="217"/>
      <c r="AE1579" s="223" t="s">
        <v>403</v>
      </c>
      <c r="AF1579" s="119"/>
    </row>
    <row r="1580" spans="1:32">
      <c r="A1580" s="148">
        <v>44755</v>
      </c>
      <c r="B1580" s="152" t="s">
        <v>787</v>
      </c>
      <c r="C1580" s="152" t="str">
        <f t="shared" ca="1" si="874"/>
        <v>Indices</v>
      </c>
      <c r="D1580" s="152" t="str">
        <f ca="1">IFERROR(__xludf.DUMMYFUNCTION("split(B1580,"" "")"),"NIFTY")</f>
        <v>NIFTY</v>
      </c>
      <c r="E1580" s="224">
        <f ca="1">IFERROR(__xludf.DUMMYFUNCTION("""COMPUTED_VALUE"""),45121)</f>
        <v>45121</v>
      </c>
      <c r="F1580" s="152">
        <f ca="1">IFERROR(__xludf.DUMMYFUNCTION("""COMPUTED_VALUE"""),16000)</f>
        <v>16000</v>
      </c>
      <c r="G1580" s="152" t="str">
        <f ca="1">IFERROR(__xludf.DUMMYFUNCTION("""COMPUTED_VALUE"""),"PE")</f>
        <v>PE</v>
      </c>
      <c r="H1580" s="211">
        <v>50</v>
      </c>
      <c r="I1580" s="212">
        <v>1</v>
      </c>
      <c r="J1580" s="212">
        <v>3</v>
      </c>
      <c r="K1580" s="213">
        <f t="shared" si="875"/>
        <v>150</v>
      </c>
      <c r="L1580" s="214">
        <v>92.666690000000003</v>
      </c>
      <c r="M1580" s="215">
        <v>0</v>
      </c>
      <c r="N1580" s="216">
        <f t="shared" si="876"/>
        <v>13900</v>
      </c>
      <c r="O1580" s="216">
        <f t="shared" si="877"/>
        <v>0</v>
      </c>
      <c r="P1580" s="217">
        <f t="shared" si="878"/>
        <v>13900</v>
      </c>
      <c r="Q1580" s="217">
        <f t="shared" si="879"/>
        <v>-13900.003500000001</v>
      </c>
      <c r="R1580" s="217">
        <f t="shared" si="891"/>
        <v>60</v>
      </c>
      <c r="S1580" s="217">
        <f t="shared" si="881"/>
        <v>12.13</v>
      </c>
      <c r="T1580" s="217">
        <f t="shared" si="882"/>
        <v>0</v>
      </c>
      <c r="U1580" s="217">
        <f t="shared" si="883"/>
        <v>0.42</v>
      </c>
      <c r="V1580" s="217">
        <f t="shared" si="884"/>
        <v>7.37</v>
      </c>
      <c r="W1580" s="217">
        <f t="shared" si="885"/>
        <v>0.01</v>
      </c>
      <c r="X1580" s="217">
        <f t="shared" si="886"/>
        <v>79.930000000000007</v>
      </c>
      <c r="Y1580" s="218">
        <f t="shared" si="887"/>
        <v>-13979.93</v>
      </c>
      <c r="Z1580" s="219">
        <v>-13980</v>
      </c>
      <c r="AA1580" s="220">
        <f t="shared" si="888"/>
        <v>-6.9999999999708962E-2</v>
      </c>
      <c r="AB1580" s="221">
        <f t="shared" si="889"/>
        <v>-1</v>
      </c>
      <c r="AC1580" s="222">
        <f t="shared" si="890"/>
        <v>5.7499999999999999E-3</v>
      </c>
      <c r="AD1580" s="217"/>
      <c r="AE1580" s="223" t="s">
        <v>403</v>
      </c>
      <c r="AF1580" s="119"/>
    </row>
    <row r="1581" spans="1:32">
      <c r="A1581" s="150">
        <v>44756</v>
      </c>
      <c r="B1581" s="152" t="s">
        <v>787</v>
      </c>
      <c r="C1581" s="152" t="str">
        <f t="shared" ca="1" si="874"/>
        <v>Indices</v>
      </c>
      <c r="D1581" s="152" t="str">
        <f ca="1">IFERROR(__xludf.DUMMYFUNCTION("split(B1581,"" "")"),"NIFTY")</f>
        <v>NIFTY</v>
      </c>
      <c r="E1581" s="224">
        <f ca="1">IFERROR(__xludf.DUMMYFUNCTION("""COMPUTED_VALUE"""),45121)</f>
        <v>45121</v>
      </c>
      <c r="F1581" s="152">
        <f ca="1">IFERROR(__xludf.DUMMYFUNCTION("""COMPUTED_VALUE"""),16000)</f>
        <v>16000</v>
      </c>
      <c r="G1581" s="152" t="str">
        <f ca="1">IFERROR(__xludf.DUMMYFUNCTION("""COMPUTED_VALUE"""),"PE")</f>
        <v>PE</v>
      </c>
      <c r="H1581" s="211">
        <v>50</v>
      </c>
      <c r="I1581" s="212">
        <v>3</v>
      </c>
      <c r="J1581" s="212">
        <v>1</v>
      </c>
      <c r="K1581" s="213">
        <f t="shared" si="875"/>
        <v>150</v>
      </c>
      <c r="L1581" s="214">
        <v>0</v>
      </c>
      <c r="M1581" s="215">
        <v>85</v>
      </c>
      <c r="N1581" s="216">
        <f t="shared" si="876"/>
        <v>0</v>
      </c>
      <c r="O1581" s="216">
        <f t="shared" si="877"/>
        <v>12750</v>
      </c>
      <c r="P1581" s="217">
        <f t="shared" si="878"/>
        <v>12750</v>
      </c>
      <c r="Q1581" s="217">
        <f t="shared" si="879"/>
        <v>12750</v>
      </c>
      <c r="R1581" s="217">
        <f t="shared" si="891"/>
        <v>20</v>
      </c>
      <c r="S1581" s="217">
        <f t="shared" si="881"/>
        <v>4.82</v>
      </c>
      <c r="T1581" s="217">
        <f t="shared" si="882"/>
        <v>6.38</v>
      </c>
      <c r="U1581" s="217">
        <f t="shared" si="883"/>
        <v>0</v>
      </c>
      <c r="V1581" s="217">
        <f t="shared" si="884"/>
        <v>6.76</v>
      </c>
      <c r="W1581" s="217">
        <f t="shared" si="885"/>
        <v>0.01</v>
      </c>
      <c r="X1581" s="217">
        <f t="shared" si="886"/>
        <v>37.97</v>
      </c>
      <c r="Y1581" s="218">
        <f t="shared" si="887"/>
        <v>12712.03</v>
      </c>
      <c r="Z1581" s="219">
        <v>12712.5</v>
      </c>
      <c r="AA1581" s="220">
        <f t="shared" si="888"/>
        <v>0.46999999999934516</v>
      </c>
      <c r="AB1581" s="221">
        <f t="shared" si="889"/>
        <v>0</v>
      </c>
      <c r="AC1581" s="222">
        <f t="shared" si="890"/>
        <v>2.9780000000000002E-3</v>
      </c>
      <c r="AD1581" s="217"/>
      <c r="AE1581" s="223" t="s">
        <v>403</v>
      </c>
      <c r="AF1581" s="119"/>
    </row>
    <row r="1582" spans="1:32">
      <c r="A1582" s="209">
        <v>44755</v>
      </c>
      <c r="B1582" s="152" t="s">
        <v>788</v>
      </c>
      <c r="C1582" s="152" t="str">
        <f t="shared" ca="1" si="874"/>
        <v>Indices</v>
      </c>
      <c r="D1582" s="152" t="str">
        <f ca="1">IFERROR(__xludf.DUMMYFUNCTION("split(B1582,"" "")"),"NIFTY")</f>
        <v>NIFTY</v>
      </c>
      <c r="E1582" s="224">
        <f ca="1">IFERROR(__xludf.DUMMYFUNCTION("""COMPUTED_VALUE"""),45121)</f>
        <v>45121</v>
      </c>
      <c r="F1582" s="152">
        <f ca="1">IFERROR(__xludf.DUMMYFUNCTION("""COMPUTED_VALUE"""),16100)</f>
        <v>16100</v>
      </c>
      <c r="G1582" s="152" t="str">
        <f ca="1">IFERROR(__xludf.DUMMYFUNCTION("""COMPUTED_VALUE"""),"CE")</f>
        <v>CE</v>
      </c>
      <c r="H1582" s="211">
        <v>50</v>
      </c>
      <c r="I1582" s="212">
        <v>1</v>
      </c>
      <c r="J1582" s="212">
        <v>1</v>
      </c>
      <c r="K1582" s="213">
        <f t="shared" si="875"/>
        <v>50</v>
      </c>
      <c r="L1582" s="214">
        <v>33</v>
      </c>
      <c r="M1582" s="215">
        <v>34</v>
      </c>
      <c r="N1582" s="216">
        <f t="shared" si="876"/>
        <v>1650</v>
      </c>
      <c r="O1582" s="216">
        <f t="shared" si="877"/>
        <v>1700</v>
      </c>
      <c r="P1582" s="217">
        <f t="shared" si="878"/>
        <v>3350</v>
      </c>
      <c r="Q1582" s="217">
        <f t="shared" si="879"/>
        <v>50</v>
      </c>
      <c r="R1582" s="217">
        <f t="shared" si="891"/>
        <v>40</v>
      </c>
      <c r="S1582" s="217">
        <f t="shared" si="881"/>
        <v>7.52</v>
      </c>
      <c r="T1582" s="217">
        <f t="shared" si="882"/>
        <v>0.85</v>
      </c>
      <c r="U1582" s="217">
        <f t="shared" si="883"/>
        <v>0.05</v>
      </c>
      <c r="V1582" s="217">
        <f t="shared" si="884"/>
        <v>1.78</v>
      </c>
      <c r="W1582" s="217">
        <f t="shared" si="885"/>
        <v>0</v>
      </c>
      <c r="X1582" s="217">
        <f t="shared" si="886"/>
        <v>50.199999999999996</v>
      </c>
      <c r="Y1582" s="218">
        <f t="shared" si="887"/>
        <v>-0.2</v>
      </c>
      <c r="Z1582" s="219">
        <v>0</v>
      </c>
      <c r="AA1582" s="220">
        <f t="shared" si="888"/>
        <v>0.2</v>
      </c>
      <c r="AB1582" s="221">
        <f t="shared" si="889"/>
        <v>3.0303030303030304E-2</v>
      </c>
      <c r="AC1582" s="222">
        <f t="shared" si="890"/>
        <v>1.4985E-2</v>
      </c>
      <c r="AD1582" s="217"/>
      <c r="AE1582" s="223" t="s">
        <v>403</v>
      </c>
      <c r="AF1582" s="119"/>
    </row>
    <row r="1583" spans="1:32">
      <c r="A1583" s="148">
        <v>44755</v>
      </c>
      <c r="B1583" s="152" t="s">
        <v>788</v>
      </c>
      <c r="C1583" s="152" t="str">
        <f t="shared" ca="1" si="874"/>
        <v>Indices</v>
      </c>
      <c r="D1583" s="152" t="str">
        <f ca="1">IFERROR(__xludf.DUMMYFUNCTION("split(B1583,"" "")"),"NIFTY")</f>
        <v>NIFTY</v>
      </c>
      <c r="E1583" s="224">
        <f ca="1">IFERROR(__xludf.DUMMYFUNCTION("""COMPUTED_VALUE"""),45121)</f>
        <v>45121</v>
      </c>
      <c r="F1583" s="152">
        <f ca="1">IFERROR(__xludf.DUMMYFUNCTION("""COMPUTED_VALUE"""),16100)</f>
        <v>16100</v>
      </c>
      <c r="G1583" s="152" t="str">
        <f ca="1">IFERROR(__xludf.DUMMYFUNCTION("""COMPUTED_VALUE"""),"CE")</f>
        <v>CE</v>
      </c>
      <c r="H1583" s="211">
        <v>50</v>
      </c>
      <c r="I1583" s="212">
        <v>1</v>
      </c>
      <c r="J1583" s="212">
        <v>3</v>
      </c>
      <c r="K1583" s="213">
        <f t="shared" si="875"/>
        <v>150</v>
      </c>
      <c r="L1583" s="214">
        <v>51.333300000000001</v>
      </c>
      <c r="M1583" s="215">
        <v>0</v>
      </c>
      <c r="N1583" s="216">
        <f t="shared" si="876"/>
        <v>7700</v>
      </c>
      <c r="O1583" s="216">
        <f t="shared" si="877"/>
        <v>0</v>
      </c>
      <c r="P1583" s="217">
        <f t="shared" si="878"/>
        <v>7700</v>
      </c>
      <c r="Q1583" s="217">
        <f t="shared" si="879"/>
        <v>-7699.9949999999999</v>
      </c>
      <c r="R1583" s="217">
        <f t="shared" si="891"/>
        <v>60</v>
      </c>
      <c r="S1583" s="217">
        <f t="shared" si="881"/>
        <v>11.53</v>
      </c>
      <c r="T1583" s="217">
        <f t="shared" si="882"/>
        <v>0</v>
      </c>
      <c r="U1583" s="217">
        <f t="shared" si="883"/>
        <v>0.23</v>
      </c>
      <c r="V1583" s="217">
        <f t="shared" si="884"/>
        <v>4.08</v>
      </c>
      <c r="W1583" s="217">
        <f t="shared" si="885"/>
        <v>0.01</v>
      </c>
      <c r="X1583" s="217">
        <f t="shared" si="886"/>
        <v>75.850000000000009</v>
      </c>
      <c r="Y1583" s="218">
        <f t="shared" si="887"/>
        <v>-7775.85</v>
      </c>
      <c r="Z1583" s="219">
        <v>-7776</v>
      </c>
      <c r="AA1583" s="220">
        <f t="shared" si="888"/>
        <v>-0.1499999999996362</v>
      </c>
      <c r="AB1583" s="221">
        <f t="shared" si="889"/>
        <v>-1</v>
      </c>
      <c r="AC1583" s="222">
        <f t="shared" si="890"/>
        <v>9.8510000000000004E-3</v>
      </c>
      <c r="AD1583" s="217"/>
      <c r="AE1583" s="223" t="s">
        <v>403</v>
      </c>
      <c r="AF1583" s="119"/>
    </row>
    <row r="1584" spans="1:32">
      <c r="A1584" s="150">
        <v>44756</v>
      </c>
      <c r="B1584" s="152" t="s">
        <v>788</v>
      </c>
      <c r="C1584" s="152" t="str">
        <f t="shared" ca="1" si="874"/>
        <v>Indices</v>
      </c>
      <c r="D1584" s="152" t="str">
        <f ca="1">IFERROR(__xludf.DUMMYFUNCTION("split(B1584,"" "")"),"NIFTY")</f>
        <v>NIFTY</v>
      </c>
      <c r="E1584" s="224">
        <f ca="1">IFERROR(__xludf.DUMMYFUNCTION("""COMPUTED_VALUE"""),45121)</f>
        <v>45121</v>
      </c>
      <c r="F1584" s="152">
        <f ca="1">IFERROR(__xludf.DUMMYFUNCTION("""COMPUTED_VALUE"""),16100)</f>
        <v>16100</v>
      </c>
      <c r="G1584" s="152" t="str">
        <f ca="1">IFERROR(__xludf.DUMMYFUNCTION("""COMPUTED_VALUE"""),"CE")</f>
        <v>CE</v>
      </c>
      <c r="H1584" s="211">
        <v>50</v>
      </c>
      <c r="I1584" s="212">
        <v>3</v>
      </c>
      <c r="J1584" s="212">
        <v>1</v>
      </c>
      <c r="K1584" s="213">
        <f t="shared" si="875"/>
        <v>150</v>
      </c>
      <c r="L1584" s="214">
        <v>0</v>
      </c>
      <c r="M1584" s="215">
        <v>29</v>
      </c>
      <c r="N1584" s="216">
        <f t="shared" si="876"/>
        <v>0</v>
      </c>
      <c r="O1584" s="216">
        <f t="shared" si="877"/>
        <v>4350</v>
      </c>
      <c r="P1584" s="217">
        <f t="shared" si="878"/>
        <v>4350</v>
      </c>
      <c r="Q1584" s="217">
        <f t="shared" si="879"/>
        <v>4350</v>
      </c>
      <c r="R1584" s="217">
        <f t="shared" si="891"/>
        <v>20</v>
      </c>
      <c r="S1584" s="217">
        <f t="shared" si="881"/>
        <v>4.0199999999999996</v>
      </c>
      <c r="T1584" s="217">
        <f t="shared" si="882"/>
        <v>2.1800000000000002</v>
      </c>
      <c r="U1584" s="217">
        <f t="shared" si="883"/>
        <v>0</v>
      </c>
      <c r="V1584" s="217">
        <f t="shared" si="884"/>
        <v>2.31</v>
      </c>
      <c r="W1584" s="217">
        <f t="shared" si="885"/>
        <v>0</v>
      </c>
      <c r="X1584" s="217">
        <f t="shared" si="886"/>
        <v>28.509999999999998</v>
      </c>
      <c r="Y1584" s="218">
        <f t="shared" si="887"/>
        <v>4321.49</v>
      </c>
      <c r="Z1584" s="219">
        <v>4321.8900000000003</v>
      </c>
      <c r="AA1584" s="220">
        <f t="shared" si="888"/>
        <v>0.4000000000005457</v>
      </c>
      <c r="AB1584" s="221">
        <f t="shared" si="889"/>
        <v>0</v>
      </c>
      <c r="AC1584" s="222">
        <f t="shared" si="890"/>
        <v>6.5539999999999999E-3</v>
      </c>
      <c r="AD1584" s="217"/>
      <c r="AE1584" s="223" t="s">
        <v>403</v>
      </c>
      <c r="AF1584" s="119"/>
    </row>
    <row r="1585" spans="1:32">
      <c r="A1585" s="209">
        <v>44756</v>
      </c>
      <c r="B1585" s="152" t="s">
        <v>788</v>
      </c>
      <c r="C1585" s="152" t="str">
        <f t="shared" ca="1" si="874"/>
        <v>Indices</v>
      </c>
      <c r="D1585" s="152" t="str">
        <f ca="1">IFERROR(__xludf.DUMMYFUNCTION("split(B1585,"" "")"),"NIFTY")</f>
        <v>NIFTY</v>
      </c>
      <c r="E1585" s="224">
        <f ca="1">IFERROR(__xludf.DUMMYFUNCTION("""COMPUTED_VALUE"""),45121)</f>
        <v>45121</v>
      </c>
      <c r="F1585" s="152">
        <f ca="1">IFERROR(__xludf.DUMMYFUNCTION("""COMPUTED_VALUE"""),16100)</f>
        <v>16100</v>
      </c>
      <c r="G1585" s="152" t="str">
        <f ca="1">IFERROR(__xludf.DUMMYFUNCTION("""COMPUTED_VALUE"""),"CE")</f>
        <v>CE</v>
      </c>
      <c r="H1585" s="211">
        <v>50</v>
      </c>
      <c r="I1585" s="212">
        <v>2</v>
      </c>
      <c r="J1585" s="212">
        <v>1</v>
      </c>
      <c r="K1585" s="213">
        <f t="shared" si="875"/>
        <v>100</v>
      </c>
      <c r="L1585" s="214">
        <v>0.35</v>
      </c>
      <c r="M1585" s="215">
        <v>0</v>
      </c>
      <c r="N1585" s="216">
        <f t="shared" si="876"/>
        <v>35</v>
      </c>
      <c r="O1585" s="216">
        <f t="shared" si="877"/>
        <v>0</v>
      </c>
      <c r="P1585" s="217">
        <f t="shared" si="878"/>
        <v>35</v>
      </c>
      <c r="Q1585" s="217">
        <f t="shared" si="879"/>
        <v>-35</v>
      </c>
      <c r="R1585" s="217">
        <f t="shared" si="891"/>
        <v>20</v>
      </c>
      <c r="S1585" s="217">
        <f t="shared" si="881"/>
        <v>3.6</v>
      </c>
      <c r="T1585" s="217">
        <f t="shared" si="882"/>
        <v>0</v>
      </c>
      <c r="U1585" s="217">
        <f t="shared" si="883"/>
        <v>0</v>
      </c>
      <c r="V1585" s="217">
        <f t="shared" si="884"/>
        <v>0.02</v>
      </c>
      <c r="W1585" s="217">
        <f t="shared" si="885"/>
        <v>0</v>
      </c>
      <c r="X1585" s="217">
        <f t="shared" si="886"/>
        <v>23.62</v>
      </c>
      <c r="Y1585" s="218">
        <f t="shared" si="887"/>
        <v>-58.62</v>
      </c>
      <c r="Z1585" s="219">
        <v>-59</v>
      </c>
      <c r="AA1585" s="220">
        <f t="shared" si="888"/>
        <v>-0.38000000000000256</v>
      </c>
      <c r="AB1585" s="221">
        <f t="shared" si="889"/>
        <v>-1</v>
      </c>
      <c r="AC1585" s="222">
        <f t="shared" si="890"/>
        <v>0.67485700000000004</v>
      </c>
      <c r="AD1585" s="217"/>
      <c r="AE1585" s="223" t="s">
        <v>403</v>
      </c>
      <c r="AF1585" s="119"/>
    </row>
    <row r="1586" spans="1:32">
      <c r="A1586" s="209">
        <v>44756</v>
      </c>
      <c r="B1586" s="152" t="s">
        <v>788</v>
      </c>
      <c r="C1586" s="152" t="str">
        <f t="shared" ca="1" si="874"/>
        <v>Indices</v>
      </c>
      <c r="D1586" s="152" t="str">
        <f ca="1">IFERROR(__xludf.DUMMYFUNCTION("split(B1586,"" "")"),"NIFTY")</f>
        <v>NIFTY</v>
      </c>
      <c r="E1586" s="224">
        <f ca="1">IFERROR(__xludf.DUMMYFUNCTION("""COMPUTED_VALUE"""),45121)</f>
        <v>45121</v>
      </c>
      <c r="F1586" s="152">
        <f ca="1">IFERROR(__xludf.DUMMYFUNCTION("""COMPUTED_VALUE"""),16100)</f>
        <v>16100</v>
      </c>
      <c r="G1586" s="152" t="str">
        <f ca="1">IFERROR(__xludf.DUMMYFUNCTION("""COMPUTED_VALUE"""),"CE")</f>
        <v>CE</v>
      </c>
      <c r="H1586" s="211">
        <v>50</v>
      </c>
      <c r="I1586" s="212">
        <v>2</v>
      </c>
      <c r="J1586" s="212">
        <v>1</v>
      </c>
      <c r="K1586" s="213">
        <f t="shared" si="875"/>
        <v>100</v>
      </c>
      <c r="L1586" s="214">
        <v>0</v>
      </c>
      <c r="M1586" s="215">
        <v>0.15</v>
      </c>
      <c r="N1586" s="216">
        <f t="shared" si="876"/>
        <v>0</v>
      </c>
      <c r="O1586" s="216">
        <f t="shared" si="877"/>
        <v>15</v>
      </c>
      <c r="P1586" s="217">
        <f t="shared" si="878"/>
        <v>15</v>
      </c>
      <c r="Q1586" s="217">
        <f t="shared" si="879"/>
        <v>15</v>
      </c>
      <c r="R1586" s="217">
        <f t="shared" si="891"/>
        <v>20</v>
      </c>
      <c r="S1586" s="217">
        <f t="shared" si="881"/>
        <v>3.6</v>
      </c>
      <c r="T1586" s="217">
        <f t="shared" si="882"/>
        <v>0.01</v>
      </c>
      <c r="U1586" s="217">
        <f t="shared" si="883"/>
        <v>0</v>
      </c>
      <c r="V1586" s="217">
        <f t="shared" si="884"/>
        <v>0.01</v>
      </c>
      <c r="W1586" s="217">
        <f t="shared" si="885"/>
        <v>0</v>
      </c>
      <c r="X1586" s="217">
        <f t="shared" si="886"/>
        <v>23.620000000000005</v>
      </c>
      <c r="Y1586" s="218">
        <f t="shared" si="887"/>
        <v>-8.6199999999999992</v>
      </c>
      <c r="Z1586" s="219">
        <v>-9</v>
      </c>
      <c r="AA1586" s="220">
        <f t="shared" si="888"/>
        <v>-0.38000000000000078</v>
      </c>
      <c r="AB1586" s="221">
        <f t="shared" si="889"/>
        <v>0</v>
      </c>
      <c r="AC1586" s="222">
        <f t="shared" si="890"/>
        <v>1.574667</v>
      </c>
      <c r="AD1586" s="217"/>
      <c r="AE1586" s="223" t="s">
        <v>403</v>
      </c>
      <c r="AF1586" s="119"/>
    </row>
    <row r="1587" spans="1:32">
      <c r="A1587" s="209">
        <v>44757</v>
      </c>
      <c r="B1587" s="152" t="s">
        <v>789</v>
      </c>
      <c r="C1587" s="152" t="str">
        <f t="shared" ca="1" si="874"/>
        <v>Indices</v>
      </c>
      <c r="D1587" s="152" t="str">
        <f ca="1">IFERROR(__xludf.DUMMYFUNCTION("split(B1587,"" "")"),"NIFTY")</f>
        <v>NIFTY</v>
      </c>
      <c r="E1587" s="224">
        <f ca="1">IFERROR(__xludf.DUMMYFUNCTION("""COMPUTED_VALUE"""),45128)</f>
        <v>45128</v>
      </c>
      <c r="F1587" s="152">
        <f ca="1">IFERROR(__xludf.DUMMYFUNCTION("""COMPUTED_VALUE"""),15850)</f>
        <v>15850</v>
      </c>
      <c r="G1587" s="152" t="str">
        <f ca="1">IFERROR(__xludf.DUMMYFUNCTION("""COMPUTED_VALUE"""),"CE")</f>
        <v>CE</v>
      </c>
      <c r="H1587" s="211">
        <v>50</v>
      </c>
      <c r="I1587" s="212">
        <v>1</v>
      </c>
      <c r="J1587" s="212">
        <v>2</v>
      </c>
      <c r="K1587" s="213">
        <f t="shared" si="875"/>
        <v>100</v>
      </c>
      <c r="L1587" s="214">
        <v>183</v>
      </c>
      <c r="M1587" s="215">
        <v>200</v>
      </c>
      <c r="N1587" s="216">
        <f t="shared" si="876"/>
        <v>18300</v>
      </c>
      <c r="O1587" s="216">
        <f t="shared" si="877"/>
        <v>20000</v>
      </c>
      <c r="P1587" s="217">
        <f t="shared" si="878"/>
        <v>38300</v>
      </c>
      <c r="Q1587" s="217">
        <f t="shared" si="879"/>
        <v>1700</v>
      </c>
      <c r="R1587" s="217">
        <f t="shared" si="891"/>
        <v>80</v>
      </c>
      <c r="S1587" s="217">
        <f t="shared" si="881"/>
        <v>18.05</v>
      </c>
      <c r="T1587" s="217">
        <f t="shared" si="882"/>
        <v>10</v>
      </c>
      <c r="U1587" s="217">
        <f t="shared" si="883"/>
        <v>0.55000000000000004</v>
      </c>
      <c r="V1587" s="217">
        <f t="shared" si="884"/>
        <v>20.3</v>
      </c>
      <c r="W1587" s="217">
        <f t="shared" si="885"/>
        <v>0.04</v>
      </c>
      <c r="X1587" s="217">
        <f t="shared" si="886"/>
        <v>128.94</v>
      </c>
      <c r="Y1587" s="218">
        <f t="shared" si="887"/>
        <v>1571.06</v>
      </c>
      <c r="Z1587" s="219">
        <v>1571.35</v>
      </c>
      <c r="AA1587" s="220">
        <f t="shared" si="888"/>
        <v>0.28999999999996362</v>
      </c>
      <c r="AB1587" s="221">
        <f t="shared" si="889"/>
        <v>9.2896174863387984E-2</v>
      </c>
      <c r="AC1587" s="222">
        <f t="shared" si="890"/>
        <v>3.3670000000000002E-3</v>
      </c>
      <c r="AD1587" s="217"/>
      <c r="AE1587" s="223" t="s">
        <v>403</v>
      </c>
      <c r="AF1587" s="119"/>
    </row>
    <row r="1588" spans="1:32">
      <c r="A1588" s="209">
        <v>44760</v>
      </c>
      <c r="B1588" s="152" t="s">
        <v>790</v>
      </c>
      <c r="C1588" s="152" t="str">
        <f t="shared" ca="1" si="874"/>
        <v>Indices</v>
      </c>
      <c r="D1588" s="152" t="str">
        <f ca="1">IFERROR(__xludf.DUMMYFUNCTION("split(B1588,"" "")"),"NIFTY")</f>
        <v>NIFTY</v>
      </c>
      <c r="E1588" s="224">
        <f ca="1">IFERROR(__xludf.DUMMYFUNCTION("""COMPUTED_VALUE"""),45128)</f>
        <v>45128</v>
      </c>
      <c r="F1588" s="152">
        <f ca="1">IFERROR(__xludf.DUMMYFUNCTION("""COMPUTED_VALUE"""),16100)</f>
        <v>16100</v>
      </c>
      <c r="G1588" s="152" t="str">
        <f ca="1">IFERROR(__xludf.DUMMYFUNCTION("""COMPUTED_VALUE"""),"PE")</f>
        <v>PE</v>
      </c>
      <c r="H1588" s="211">
        <v>50</v>
      </c>
      <c r="I1588" s="212">
        <v>1</v>
      </c>
      <c r="J1588" s="212">
        <v>1</v>
      </c>
      <c r="K1588" s="213">
        <f t="shared" si="875"/>
        <v>50</v>
      </c>
      <c r="L1588" s="214">
        <v>52</v>
      </c>
      <c r="M1588" s="215">
        <v>53.5</v>
      </c>
      <c r="N1588" s="216">
        <f t="shared" si="876"/>
        <v>2600</v>
      </c>
      <c r="O1588" s="216">
        <f t="shared" si="877"/>
        <v>2675</v>
      </c>
      <c r="P1588" s="217">
        <f t="shared" si="878"/>
        <v>5275</v>
      </c>
      <c r="Q1588" s="217">
        <f t="shared" si="879"/>
        <v>75</v>
      </c>
      <c r="R1588" s="217">
        <f t="shared" si="891"/>
        <v>40</v>
      </c>
      <c r="S1588" s="217">
        <f t="shared" si="881"/>
        <v>7.7</v>
      </c>
      <c r="T1588" s="217">
        <f t="shared" si="882"/>
        <v>1.34</v>
      </c>
      <c r="U1588" s="217">
        <f t="shared" si="883"/>
        <v>0.08</v>
      </c>
      <c r="V1588" s="217">
        <f t="shared" si="884"/>
        <v>2.8</v>
      </c>
      <c r="W1588" s="217">
        <f t="shared" si="885"/>
        <v>0.01</v>
      </c>
      <c r="X1588" s="217">
        <f t="shared" si="886"/>
        <v>51.93</v>
      </c>
      <c r="Y1588" s="218">
        <f t="shared" si="887"/>
        <v>23.07</v>
      </c>
      <c r="Z1588" s="219">
        <v>23</v>
      </c>
      <c r="AA1588" s="220">
        <f t="shared" si="888"/>
        <v>-7.0000000000000284E-2</v>
      </c>
      <c r="AB1588" s="221">
        <f t="shared" si="889"/>
        <v>2.8846153846153848E-2</v>
      </c>
      <c r="AC1588" s="222">
        <f t="shared" si="890"/>
        <v>9.8449999999999996E-3</v>
      </c>
      <c r="AD1588" s="217"/>
      <c r="AE1588" s="223" t="s">
        <v>403</v>
      </c>
      <c r="AF1588" s="119"/>
    </row>
    <row r="1589" spans="1:32" ht="12.75" customHeight="1">
      <c r="A1589" s="209">
        <v>44760</v>
      </c>
      <c r="B1589" s="152" t="s">
        <v>791</v>
      </c>
      <c r="C1589" s="152" t="str">
        <f t="shared" ca="1" si="874"/>
        <v>Indices</v>
      </c>
      <c r="D1589" s="152" t="str">
        <f ca="1">IFERROR(__xludf.DUMMYFUNCTION("split(B1589,"" "")"),"NIFTY")</f>
        <v>NIFTY</v>
      </c>
      <c r="E1589" s="224">
        <f ca="1">IFERROR(__xludf.DUMMYFUNCTION("""COMPUTED_VALUE"""),45128)</f>
        <v>45128</v>
      </c>
      <c r="F1589" s="152">
        <f ca="1">IFERROR(__xludf.DUMMYFUNCTION("""COMPUTED_VALUE"""),16150)</f>
        <v>16150</v>
      </c>
      <c r="G1589" s="152" t="str">
        <f ca="1">IFERROR(__xludf.DUMMYFUNCTION("""COMPUTED_VALUE"""),"CE")</f>
        <v>CE</v>
      </c>
      <c r="H1589" s="211">
        <v>50</v>
      </c>
      <c r="I1589" s="212">
        <v>1</v>
      </c>
      <c r="J1589" s="212">
        <v>1</v>
      </c>
      <c r="K1589" s="213">
        <f t="shared" si="875"/>
        <v>50</v>
      </c>
      <c r="L1589" s="214">
        <v>125</v>
      </c>
      <c r="M1589" s="215">
        <v>148.1</v>
      </c>
      <c r="N1589" s="216">
        <f t="shared" si="876"/>
        <v>6250</v>
      </c>
      <c r="O1589" s="216">
        <f t="shared" si="877"/>
        <v>7405</v>
      </c>
      <c r="P1589" s="217">
        <f t="shared" si="878"/>
        <v>13655</v>
      </c>
      <c r="Q1589" s="217">
        <f t="shared" si="879"/>
        <v>1154.9999999999998</v>
      </c>
      <c r="R1589" s="217">
        <f t="shared" si="891"/>
        <v>40</v>
      </c>
      <c r="S1589" s="217">
        <f t="shared" si="881"/>
        <v>8.5</v>
      </c>
      <c r="T1589" s="217">
        <f t="shared" si="882"/>
        <v>3.7</v>
      </c>
      <c r="U1589" s="217">
        <f t="shared" si="883"/>
        <v>0.19</v>
      </c>
      <c r="V1589" s="217">
        <f t="shared" si="884"/>
        <v>7.24</v>
      </c>
      <c r="W1589" s="217">
        <f t="shared" si="885"/>
        <v>0.01</v>
      </c>
      <c r="X1589" s="217">
        <f t="shared" si="886"/>
        <v>59.64</v>
      </c>
      <c r="Y1589" s="218">
        <f t="shared" si="887"/>
        <v>1095.3599999999999</v>
      </c>
      <c r="Z1589" s="219">
        <v>1095.71</v>
      </c>
      <c r="AA1589" s="220">
        <f t="shared" si="888"/>
        <v>0.35000000000013642</v>
      </c>
      <c r="AB1589" s="221">
        <f t="shared" si="889"/>
        <v>0.18479999999999996</v>
      </c>
      <c r="AC1589" s="222">
        <f t="shared" si="890"/>
        <v>4.3680000000000004E-3</v>
      </c>
      <c r="AD1589" s="217"/>
      <c r="AE1589" s="223" t="s">
        <v>403</v>
      </c>
      <c r="AF1589" s="119"/>
    </row>
    <row r="1590" spans="1:32" ht="10.5" customHeight="1">
      <c r="A1590" s="148">
        <v>44760</v>
      </c>
      <c r="B1590" s="152" t="s">
        <v>790</v>
      </c>
      <c r="C1590" s="152" t="str">
        <f t="shared" ca="1" si="874"/>
        <v>Indices</v>
      </c>
      <c r="D1590" s="152" t="str">
        <f ca="1">IFERROR(__xludf.DUMMYFUNCTION("split(B1590,"" "")"),"NIFTY")</f>
        <v>NIFTY</v>
      </c>
      <c r="E1590" s="224">
        <f ca="1">IFERROR(__xludf.DUMMYFUNCTION("""COMPUTED_VALUE"""),45128)</f>
        <v>45128</v>
      </c>
      <c r="F1590" s="152">
        <f ca="1">IFERROR(__xludf.DUMMYFUNCTION("""COMPUTED_VALUE"""),16100)</f>
        <v>16100</v>
      </c>
      <c r="G1590" s="152" t="str">
        <f ca="1">IFERROR(__xludf.DUMMYFUNCTION("""COMPUTED_VALUE"""),"PE")</f>
        <v>PE</v>
      </c>
      <c r="H1590" s="211">
        <v>50</v>
      </c>
      <c r="I1590" s="212">
        <v>1</v>
      </c>
      <c r="J1590" s="212">
        <v>3</v>
      </c>
      <c r="K1590" s="213">
        <f t="shared" si="875"/>
        <v>150</v>
      </c>
      <c r="L1590" s="214">
        <v>45</v>
      </c>
      <c r="M1590" s="215">
        <v>0</v>
      </c>
      <c r="N1590" s="216">
        <f t="shared" si="876"/>
        <v>6750</v>
      </c>
      <c r="O1590" s="216">
        <f t="shared" si="877"/>
        <v>0</v>
      </c>
      <c r="P1590" s="217">
        <f t="shared" si="878"/>
        <v>6750</v>
      </c>
      <c r="Q1590" s="217">
        <f t="shared" si="879"/>
        <v>-6750</v>
      </c>
      <c r="R1590" s="217">
        <f t="shared" si="891"/>
        <v>60</v>
      </c>
      <c r="S1590" s="217">
        <f t="shared" si="881"/>
        <v>11.44</v>
      </c>
      <c r="T1590" s="217">
        <f t="shared" si="882"/>
        <v>0</v>
      </c>
      <c r="U1590" s="217">
        <f t="shared" si="883"/>
        <v>0.2</v>
      </c>
      <c r="V1590" s="217">
        <f t="shared" si="884"/>
        <v>3.58</v>
      </c>
      <c r="W1590" s="217">
        <f t="shared" si="885"/>
        <v>0.01</v>
      </c>
      <c r="X1590" s="217">
        <f t="shared" si="886"/>
        <v>75.23</v>
      </c>
      <c r="Y1590" s="218">
        <f t="shared" si="887"/>
        <v>-6825.23</v>
      </c>
      <c r="Z1590" s="219">
        <v>-6825</v>
      </c>
      <c r="AA1590" s="220">
        <f t="shared" si="888"/>
        <v>0.22999999999956344</v>
      </c>
      <c r="AB1590" s="221">
        <f t="shared" si="889"/>
        <v>-1</v>
      </c>
      <c r="AC1590" s="222">
        <f t="shared" si="890"/>
        <v>1.1145E-2</v>
      </c>
      <c r="AD1590" s="217"/>
      <c r="AE1590" s="223" t="s">
        <v>403</v>
      </c>
      <c r="AF1590" s="119"/>
    </row>
    <row r="1591" spans="1:32" ht="12" customHeight="1">
      <c r="A1591" s="150">
        <v>44761</v>
      </c>
      <c r="B1591" s="152" t="s">
        <v>790</v>
      </c>
      <c r="C1591" s="152" t="str">
        <f t="shared" ca="1" si="874"/>
        <v>Indices</v>
      </c>
      <c r="D1591" s="152" t="str">
        <f ca="1">IFERROR(__xludf.DUMMYFUNCTION("split(B1591,"" "")"),"NIFTY")</f>
        <v>NIFTY</v>
      </c>
      <c r="E1591" s="224">
        <f ca="1">IFERROR(__xludf.DUMMYFUNCTION("""COMPUTED_VALUE"""),45128)</f>
        <v>45128</v>
      </c>
      <c r="F1591" s="152">
        <f ca="1">IFERROR(__xludf.DUMMYFUNCTION("""COMPUTED_VALUE"""),16100)</f>
        <v>16100</v>
      </c>
      <c r="G1591" s="152" t="str">
        <f ca="1">IFERROR(__xludf.DUMMYFUNCTION("""COMPUTED_VALUE"""),"PE")</f>
        <v>PE</v>
      </c>
      <c r="H1591" s="211">
        <v>50</v>
      </c>
      <c r="I1591" s="212">
        <v>3</v>
      </c>
      <c r="J1591" s="212">
        <v>1</v>
      </c>
      <c r="K1591" s="213">
        <f t="shared" si="875"/>
        <v>150</v>
      </c>
      <c r="L1591" s="214">
        <v>0</v>
      </c>
      <c r="M1591" s="215">
        <v>46.83</v>
      </c>
      <c r="N1591" s="216">
        <f t="shared" si="876"/>
        <v>0</v>
      </c>
      <c r="O1591" s="216">
        <f t="shared" si="877"/>
        <v>7024.5</v>
      </c>
      <c r="P1591" s="217">
        <f t="shared" si="878"/>
        <v>7024.5</v>
      </c>
      <c r="Q1591" s="217">
        <f t="shared" si="879"/>
        <v>7024.5</v>
      </c>
      <c r="R1591" s="217">
        <f t="shared" si="891"/>
        <v>20</v>
      </c>
      <c r="S1591" s="217">
        <f t="shared" si="881"/>
        <v>4.2699999999999996</v>
      </c>
      <c r="T1591" s="217">
        <f t="shared" si="882"/>
        <v>3.51</v>
      </c>
      <c r="U1591" s="217">
        <f t="shared" si="883"/>
        <v>0</v>
      </c>
      <c r="V1591" s="217">
        <f t="shared" si="884"/>
        <v>3.72</v>
      </c>
      <c r="W1591" s="217">
        <f t="shared" si="885"/>
        <v>0.01</v>
      </c>
      <c r="X1591" s="217">
        <f t="shared" si="886"/>
        <v>31.51</v>
      </c>
      <c r="Y1591" s="218">
        <f t="shared" si="887"/>
        <v>6992.99</v>
      </c>
      <c r="Z1591" s="219">
        <v>6993</v>
      </c>
      <c r="AA1591" s="220">
        <f t="shared" si="888"/>
        <v>1.0000000000218279E-2</v>
      </c>
      <c r="AB1591" s="221">
        <f t="shared" si="889"/>
        <v>0</v>
      </c>
      <c r="AC1591" s="222">
        <f t="shared" si="890"/>
        <v>4.4860000000000004E-3</v>
      </c>
      <c r="AD1591" s="217"/>
      <c r="AE1591" s="223" t="s">
        <v>403</v>
      </c>
      <c r="AF1591" s="119"/>
    </row>
    <row r="1592" spans="1:32">
      <c r="A1592" s="209">
        <v>44761</v>
      </c>
      <c r="B1592" s="152" t="s">
        <v>777</v>
      </c>
      <c r="C1592" s="152" t="str">
        <f t="shared" ca="1" si="874"/>
        <v>Stocks</v>
      </c>
      <c r="D1592" s="152" t="str">
        <f ca="1">IFERROR(__xludf.DUMMYFUNCTION("split(B1592,"" "")"),"VEDL")</f>
        <v>VEDL</v>
      </c>
      <c r="E1592" s="224" t="str">
        <f ca="1">IFERROR(__xludf.DUMMYFUNCTION("""COMPUTED_VALUE"""),"JUL")</f>
        <v>JUL</v>
      </c>
      <c r="F1592" s="152">
        <f ca="1">IFERROR(__xludf.DUMMYFUNCTION("""COMPUTED_VALUE"""),240)</f>
        <v>240</v>
      </c>
      <c r="G1592" s="152" t="str">
        <f ca="1">IFERROR(__xludf.DUMMYFUNCTION("""COMPUTED_VALUE"""),"CE")</f>
        <v>CE</v>
      </c>
      <c r="H1592" s="211">
        <v>1550</v>
      </c>
      <c r="I1592" s="212">
        <v>1</v>
      </c>
      <c r="J1592" s="212">
        <v>1</v>
      </c>
      <c r="K1592" s="213">
        <f t="shared" si="875"/>
        <v>1550</v>
      </c>
      <c r="L1592" s="214">
        <v>7.5</v>
      </c>
      <c r="M1592" s="215">
        <v>8.15</v>
      </c>
      <c r="N1592" s="216">
        <f t="shared" si="876"/>
        <v>11625</v>
      </c>
      <c r="O1592" s="216">
        <f t="shared" si="877"/>
        <v>12632.5</v>
      </c>
      <c r="P1592" s="217">
        <f t="shared" si="878"/>
        <v>24257.5</v>
      </c>
      <c r="Q1592" s="217">
        <f t="shared" si="879"/>
        <v>1007.5000000000006</v>
      </c>
      <c r="R1592" s="217">
        <f t="shared" si="891"/>
        <v>40</v>
      </c>
      <c r="S1592" s="217">
        <f t="shared" si="881"/>
        <v>9.51</v>
      </c>
      <c r="T1592" s="217">
        <f t="shared" si="882"/>
        <v>6.32</v>
      </c>
      <c r="U1592" s="217">
        <f t="shared" si="883"/>
        <v>0.35</v>
      </c>
      <c r="V1592" s="217">
        <f t="shared" si="884"/>
        <v>12.86</v>
      </c>
      <c r="W1592" s="217">
        <f t="shared" si="885"/>
        <v>0.02</v>
      </c>
      <c r="X1592" s="217">
        <f t="shared" si="886"/>
        <v>69.059999999999988</v>
      </c>
      <c r="Y1592" s="218">
        <f t="shared" si="887"/>
        <v>938.44</v>
      </c>
      <c r="Z1592" s="219">
        <v>938.38</v>
      </c>
      <c r="AA1592" s="220">
        <f t="shared" si="888"/>
        <v>-6.0000000000059117E-2</v>
      </c>
      <c r="AB1592" s="221">
        <f t="shared" si="889"/>
        <v>8.6666666666666711E-2</v>
      </c>
      <c r="AC1592" s="222">
        <f t="shared" si="890"/>
        <v>2.8470000000000001E-3</v>
      </c>
      <c r="AD1592" s="217"/>
      <c r="AE1592" s="223" t="s">
        <v>403</v>
      </c>
      <c r="AF1592" s="119"/>
    </row>
    <row r="1593" spans="1:32">
      <c r="A1593" s="209">
        <v>44761</v>
      </c>
      <c r="B1593" s="152" t="s">
        <v>791</v>
      </c>
      <c r="C1593" s="152" t="str">
        <f t="shared" ca="1" si="874"/>
        <v>Indices</v>
      </c>
      <c r="D1593" s="152" t="str">
        <f ca="1">IFERROR(__xludf.DUMMYFUNCTION("split(B1593,"" "")"),"NIFTY")</f>
        <v>NIFTY</v>
      </c>
      <c r="E1593" s="224">
        <f ca="1">IFERROR(__xludf.DUMMYFUNCTION("""COMPUTED_VALUE"""),45128)</f>
        <v>45128</v>
      </c>
      <c r="F1593" s="152">
        <f ca="1">IFERROR(__xludf.DUMMYFUNCTION("""COMPUTED_VALUE"""),16150)</f>
        <v>16150</v>
      </c>
      <c r="G1593" s="152" t="str">
        <f ca="1">IFERROR(__xludf.DUMMYFUNCTION("""COMPUTED_VALUE"""),"CE")</f>
        <v>CE</v>
      </c>
      <c r="H1593" s="211">
        <v>50</v>
      </c>
      <c r="I1593" s="212">
        <v>1</v>
      </c>
      <c r="J1593" s="212">
        <v>1</v>
      </c>
      <c r="K1593" s="213">
        <f t="shared" si="875"/>
        <v>50</v>
      </c>
      <c r="L1593" s="214">
        <v>145</v>
      </c>
      <c r="M1593" s="215">
        <v>160</v>
      </c>
      <c r="N1593" s="216">
        <f t="shared" si="876"/>
        <v>7250</v>
      </c>
      <c r="O1593" s="216">
        <f t="shared" si="877"/>
        <v>8000</v>
      </c>
      <c r="P1593" s="217">
        <f t="shared" si="878"/>
        <v>15250</v>
      </c>
      <c r="Q1593" s="217">
        <f t="shared" si="879"/>
        <v>750</v>
      </c>
      <c r="R1593" s="217">
        <f t="shared" si="891"/>
        <v>40</v>
      </c>
      <c r="S1593" s="217">
        <f t="shared" si="881"/>
        <v>8.65</v>
      </c>
      <c r="T1593" s="217">
        <f t="shared" si="882"/>
        <v>4</v>
      </c>
      <c r="U1593" s="217">
        <f t="shared" si="883"/>
        <v>0.22</v>
      </c>
      <c r="V1593" s="217">
        <f t="shared" si="884"/>
        <v>8.08</v>
      </c>
      <c r="W1593" s="217">
        <f t="shared" si="885"/>
        <v>0.02</v>
      </c>
      <c r="X1593" s="217">
        <f t="shared" si="886"/>
        <v>60.97</v>
      </c>
      <c r="Y1593" s="218">
        <f t="shared" si="887"/>
        <v>689.03</v>
      </c>
      <c r="Z1593" s="219">
        <v>689</v>
      </c>
      <c r="AA1593" s="220">
        <f t="shared" si="888"/>
        <v>-2.9999999999972715E-2</v>
      </c>
      <c r="AB1593" s="221">
        <f t="shared" si="889"/>
        <v>0.10344827586206896</v>
      </c>
      <c r="AC1593" s="222">
        <f t="shared" si="890"/>
        <v>3.9979999999999998E-3</v>
      </c>
      <c r="AD1593" s="217"/>
      <c r="AE1593" s="223" t="s">
        <v>403</v>
      </c>
      <c r="AF1593" s="119"/>
    </row>
    <row r="1594" spans="1:32">
      <c r="A1594" s="148">
        <v>44741</v>
      </c>
      <c r="B1594" s="152" t="s">
        <v>777</v>
      </c>
      <c r="C1594" s="152" t="str">
        <f t="shared" ca="1" si="874"/>
        <v>Stocks</v>
      </c>
      <c r="D1594" s="152" t="str">
        <f ca="1">IFERROR(__xludf.DUMMYFUNCTION("split(B1594,"" "")"),"VEDL")</f>
        <v>VEDL</v>
      </c>
      <c r="E1594" s="224" t="str">
        <f ca="1">IFERROR(__xludf.DUMMYFUNCTION("""COMPUTED_VALUE"""),"JUL")</f>
        <v>JUL</v>
      </c>
      <c r="F1594" s="152">
        <f ca="1">IFERROR(__xludf.DUMMYFUNCTION("""COMPUTED_VALUE"""),240)</f>
        <v>240</v>
      </c>
      <c r="G1594" s="152" t="str">
        <f ca="1">IFERROR(__xludf.DUMMYFUNCTION("""COMPUTED_VALUE"""),"CE")</f>
        <v>CE</v>
      </c>
      <c r="H1594" s="211">
        <v>1550</v>
      </c>
      <c r="I1594" s="212">
        <v>1</v>
      </c>
      <c r="J1594" s="212">
        <v>1</v>
      </c>
      <c r="K1594" s="213">
        <f t="shared" si="875"/>
        <v>1550</v>
      </c>
      <c r="L1594" s="214">
        <v>12</v>
      </c>
      <c r="M1594" s="215">
        <v>0</v>
      </c>
      <c r="N1594" s="216">
        <f t="shared" si="876"/>
        <v>18600</v>
      </c>
      <c r="O1594" s="216">
        <f t="shared" si="877"/>
        <v>0</v>
      </c>
      <c r="P1594" s="217">
        <f t="shared" si="878"/>
        <v>18600</v>
      </c>
      <c r="Q1594" s="217">
        <f t="shared" si="879"/>
        <v>-18600</v>
      </c>
      <c r="R1594" s="217">
        <f t="shared" si="891"/>
        <v>20</v>
      </c>
      <c r="S1594" s="217">
        <f t="shared" si="881"/>
        <v>5.37</v>
      </c>
      <c r="T1594" s="217">
        <f t="shared" si="882"/>
        <v>0</v>
      </c>
      <c r="U1594" s="217">
        <f t="shared" si="883"/>
        <v>0.56000000000000005</v>
      </c>
      <c r="V1594" s="217">
        <f t="shared" si="884"/>
        <v>9.86</v>
      </c>
      <c r="W1594" s="217">
        <f t="shared" si="885"/>
        <v>0.02</v>
      </c>
      <c r="X1594" s="217">
        <f t="shared" si="886"/>
        <v>35.81</v>
      </c>
      <c r="Y1594" s="218">
        <f t="shared" si="887"/>
        <v>-18635.810000000001</v>
      </c>
      <c r="Z1594" s="219">
        <v>-18636</v>
      </c>
      <c r="AA1594" s="220">
        <f t="shared" si="888"/>
        <v>-0.18999999999869033</v>
      </c>
      <c r="AB1594" s="221">
        <f t="shared" si="889"/>
        <v>-1</v>
      </c>
      <c r="AC1594" s="222">
        <f t="shared" si="890"/>
        <v>1.9250000000000001E-3</v>
      </c>
      <c r="AD1594" s="217"/>
      <c r="AE1594" s="223" t="s">
        <v>403</v>
      </c>
      <c r="AF1594" s="119"/>
    </row>
    <row r="1595" spans="1:32">
      <c r="A1595" s="150">
        <v>44762</v>
      </c>
      <c r="B1595" s="152" t="s">
        <v>777</v>
      </c>
      <c r="C1595" s="152" t="str">
        <f t="shared" ca="1" si="874"/>
        <v>Stocks</v>
      </c>
      <c r="D1595" s="152" t="str">
        <f ca="1">IFERROR(__xludf.DUMMYFUNCTION("split(B1595,"" "")"),"VEDL")</f>
        <v>VEDL</v>
      </c>
      <c r="E1595" s="152" t="str">
        <f ca="1">IFERROR(__xludf.DUMMYFUNCTION("""COMPUTED_VALUE"""),"JUL")</f>
        <v>JUL</v>
      </c>
      <c r="F1595" s="152">
        <f ca="1">IFERROR(__xludf.DUMMYFUNCTION("""COMPUTED_VALUE"""),240)</f>
        <v>240</v>
      </c>
      <c r="G1595" s="152" t="str">
        <f ca="1">IFERROR(__xludf.DUMMYFUNCTION("""COMPUTED_VALUE"""),"CE")</f>
        <v>CE</v>
      </c>
      <c r="H1595" s="211">
        <v>1550</v>
      </c>
      <c r="I1595" s="212">
        <v>1</v>
      </c>
      <c r="J1595" s="212">
        <v>1</v>
      </c>
      <c r="K1595" s="213">
        <f t="shared" si="875"/>
        <v>1550</v>
      </c>
      <c r="L1595" s="214">
        <v>0</v>
      </c>
      <c r="M1595" s="215">
        <v>12</v>
      </c>
      <c r="N1595" s="216">
        <f t="shared" si="876"/>
        <v>0</v>
      </c>
      <c r="O1595" s="216">
        <f t="shared" si="877"/>
        <v>18600</v>
      </c>
      <c r="P1595" s="217">
        <f t="shared" si="878"/>
        <v>18600</v>
      </c>
      <c r="Q1595" s="217">
        <f t="shared" si="879"/>
        <v>18600</v>
      </c>
      <c r="R1595" s="217">
        <f t="shared" si="891"/>
        <v>20</v>
      </c>
      <c r="S1595" s="217">
        <f t="shared" si="881"/>
        <v>5.37</v>
      </c>
      <c r="T1595" s="217">
        <f t="shared" si="882"/>
        <v>9.3000000000000007</v>
      </c>
      <c r="U1595" s="217">
        <f t="shared" si="883"/>
        <v>0</v>
      </c>
      <c r="V1595" s="217">
        <f t="shared" si="884"/>
        <v>9.86</v>
      </c>
      <c r="W1595" s="217">
        <f t="shared" si="885"/>
        <v>0.02</v>
      </c>
      <c r="X1595" s="217">
        <f t="shared" si="886"/>
        <v>44.550000000000004</v>
      </c>
      <c r="Y1595" s="218">
        <f t="shared" si="887"/>
        <v>18555.45</v>
      </c>
      <c r="Z1595" s="219">
        <v>18555.990000000002</v>
      </c>
      <c r="AA1595" s="220">
        <f t="shared" si="888"/>
        <v>0.54000000000087311</v>
      </c>
      <c r="AB1595" s="221">
        <f t="shared" si="889"/>
        <v>0</v>
      </c>
      <c r="AC1595" s="222">
        <f t="shared" si="890"/>
        <v>2.395E-3</v>
      </c>
      <c r="AD1595" s="217"/>
      <c r="AE1595" s="223" t="s">
        <v>403</v>
      </c>
      <c r="AF1595" s="119"/>
    </row>
    <row r="1596" spans="1:32">
      <c r="A1596" s="209">
        <v>44762</v>
      </c>
      <c r="B1596" s="152" t="s">
        <v>777</v>
      </c>
      <c r="C1596" s="152" t="str">
        <f t="shared" ca="1" si="874"/>
        <v>Stocks</v>
      </c>
      <c r="D1596" s="152" t="str">
        <f ca="1">IFERROR(__xludf.DUMMYFUNCTION("split(B1596,"" "")"),"VEDL")</f>
        <v>VEDL</v>
      </c>
      <c r="E1596" s="152" t="str">
        <f ca="1">IFERROR(__xludf.DUMMYFUNCTION("""COMPUTED_VALUE"""),"JUL")</f>
        <v>JUL</v>
      </c>
      <c r="F1596" s="152">
        <f ca="1">IFERROR(__xludf.DUMMYFUNCTION("""COMPUTED_VALUE"""),240)</f>
        <v>240</v>
      </c>
      <c r="G1596" s="152" t="str">
        <f ca="1">IFERROR(__xludf.DUMMYFUNCTION("""COMPUTED_VALUE"""),"CE")</f>
        <v>CE</v>
      </c>
      <c r="H1596" s="211">
        <v>1550</v>
      </c>
      <c r="I1596" s="212">
        <v>1</v>
      </c>
      <c r="J1596" s="212">
        <v>1</v>
      </c>
      <c r="K1596" s="213">
        <f t="shared" si="875"/>
        <v>1550</v>
      </c>
      <c r="L1596" s="214">
        <v>16</v>
      </c>
      <c r="M1596" s="215">
        <v>17.5</v>
      </c>
      <c r="N1596" s="216">
        <f t="shared" si="876"/>
        <v>24800</v>
      </c>
      <c r="O1596" s="216">
        <f t="shared" si="877"/>
        <v>27125</v>
      </c>
      <c r="P1596" s="217">
        <f t="shared" si="878"/>
        <v>51925</v>
      </c>
      <c r="Q1596" s="217">
        <f t="shared" si="879"/>
        <v>2325</v>
      </c>
      <c r="R1596" s="217">
        <f t="shared" si="891"/>
        <v>40</v>
      </c>
      <c r="S1596" s="217">
        <f t="shared" si="881"/>
        <v>12.15</v>
      </c>
      <c r="T1596" s="217">
        <f t="shared" si="882"/>
        <v>13.56</v>
      </c>
      <c r="U1596" s="217">
        <f t="shared" si="883"/>
        <v>0.74</v>
      </c>
      <c r="V1596" s="217">
        <f t="shared" si="884"/>
        <v>27.52</v>
      </c>
      <c r="W1596" s="217">
        <f t="shared" si="885"/>
        <v>0.05</v>
      </c>
      <c r="X1596" s="217">
        <f t="shared" si="886"/>
        <v>94.019999999999982</v>
      </c>
      <c r="Y1596" s="218">
        <f t="shared" si="887"/>
        <v>2230.98</v>
      </c>
      <c r="Z1596" s="219">
        <v>2231</v>
      </c>
      <c r="AA1596" s="220">
        <f t="shared" si="888"/>
        <v>1.999999999998181E-2</v>
      </c>
      <c r="AB1596" s="221">
        <f t="shared" si="889"/>
        <v>9.375E-2</v>
      </c>
      <c r="AC1596" s="222">
        <f t="shared" si="890"/>
        <v>1.8109999999999999E-3</v>
      </c>
      <c r="AD1596" s="217"/>
      <c r="AE1596" s="223" t="s">
        <v>403</v>
      </c>
      <c r="AF1596" s="119"/>
    </row>
    <row r="1597" spans="1:32">
      <c r="A1597" s="148">
        <v>44757</v>
      </c>
      <c r="B1597" s="152" t="s">
        <v>792</v>
      </c>
      <c r="C1597" s="152" t="str">
        <f t="shared" ca="1" si="874"/>
        <v>Stocks</v>
      </c>
      <c r="D1597" s="152" t="str">
        <f ca="1">IFERROR(__xludf.DUMMYFUNCTION("split(B1597,"" "")"),"ACC")</f>
        <v>ACC</v>
      </c>
      <c r="E1597" s="152" t="str">
        <f ca="1">IFERROR(__xludf.DUMMYFUNCTION("""COMPUTED_VALUE"""),"JUL")</f>
        <v>JUL</v>
      </c>
      <c r="F1597" s="152">
        <f ca="1">IFERROR(__xludf.DUMMYFUNCTION("""COMPUTED_VALUE"""),2160)</f>
        <v>2160</v>
      </c>
      <c r="G1597" s="152" t="str">
        <f ca="1">IFERROR(__xludf.DUMMYFUNCTION("""COMPUTED_VALUE"""),"PE")</f>
        <v>PE</v>
      </c>
      <c r="H1597" s="211">
        <v>250</v>
      </c>
      <c r="I1597" s="212">
        <v>1</v>
      </c>
      <c r="J1597" s="212">
        <v>2</v>
      </c>
      <c r="K1597" s="213">
        <f t="shared" si="875"/>
        <v>500</v>
      </c>
      <c r="L1597" s="214">
        <v>38.5</v>
      </c>
      <c r="M1597" s="215">
        <v>0</v>
      </c>
      <c r="N1597" s="216">
        <f t="shared" si="876"/>
        <v>19250</v>
      </c>
      <c r="O1597" s="216">
        <f t="shared" si="877"/>
        <v>0</v>
      </c>
      <c r="P1597" s="217">
        <f t="shared" si="878"/>
        <v>19250</v>
      </c>
      <c r="Q1597" s="217">
        <f t="shared" si="879"/>
        <v>-19250</v>
      </c>
      <c r="R1597" s="217">
        <f t="shared" si="891"/>
        <v>40</v>
      </c>
      <c r="S1597" s="217">
        <f t="shared" si="881"/>
        <v>9.0399999999999991</v>
      </c>
      <c r="T1597" s="217">
        <f t="shared" si="882"/>
        <v>0</v>
      </c>
      <c r="U1597" s="217">
        <f t="shared" si="883"/>
        <v>0.57999999999999996</v>
      </c>
      <c r="V1597" s="217">
        <f t="shared" si="884"/>
        <v>10.199999999999999</v>
      </c>
      <c r="W1597" s="217">
        <f t="shared" si="885"/>
        <v>0.02</v>
      </c>
      <c r="X1597" s="217">
        <f t="shared" si="886"/>
        <v>59.839999999999996</v>
      </c>
      <c r="Y1597" s="218">
        <f t="shared" si="887"/>
        <v>-19309.84</v>
      </c>
      <c r="Z1597" s="219">
        <v>-19310</v>
      </c>
      <c r="AA1597" s="220">
        <f t="shared" si="888"/>
        <v>-0.15999999999985448</v>
      </c>
      <c r="AB1597" s="221">
        <f t="shared" si="889"/>
        <v>-1</v>
      </c>
      <c r="AC1597" s="222">
        <f t="shared" si="890"/>
        <v>3.1089999999999998E-3</v>
      </c>
      <c r="AD1597" s="217"/>
      <c r="AE1597" s="223" t="s">
        <v>403</v>
      </c>
      <c r="AF1597" s="119"/>
    </row>
    <row r="1598" spans="1:32">
      <c r="A1598" s="150">
        <v>44762</v>
      </c>
      <c r="B1598" s="152" t="s">
        <v>792</v>
      </c>
      <c r="C1598" s="152" t="str">
        <f t="shared" ca="1" si="874"/>
        <v>Stocks</v>
      </c>
      <c r="D1598" s="152" t="str">
        <f ca="1">IFERROR(__xludf.DUMMYFUNCTION("split(B1598,"" "")"),"ACC")</f>
        <v>ACC</v>
      </c>
      <c r="E1598" s="152" t="str">
        <f ca="1">IFERROR(__xludf.DUMMYFUNCTION("""COMPUTED_VALUE"""),"JUL")</f>
        <v>JUL</v>
      </c>
      <c r="F1598" s="152">
        <f ca="1">IFERROR(__xludf.DUMMYFUNCTION("""COMPUTED_VALUE"""),2160)</f>
        <v>2160</v>
      </c>
      <c r="G1598" s="152" t="str">
        <f ca="1">IFERROR(__xludf.DUMMYFUNCTION("""COMPUTED_VALUE"""),"PE")</f>
        <v>PE</v>
      </c>
      <c r="H1598" s="211">
        <v>250</v>
      </c>
      <c r="I1598" s="212">
        <v>2</v>
      </c>
      <c r="J1598" s="212">
        <v>1</v>
      </c>
      <c r="K1598" s="213">
        <f t="shared" si="875"/>
        <v>500</v>
      </c>
      <c r="L1598" s="214">
        <v>0</v>
      </c>
      <c r="M1598" s="215">
        <v>19.25</v>
      </c>
      <c r="N1598" s="216">
        <f t="shared" si="876"/>
        <v>0</v>
      </c>
      <c r="O1598" s="216">
        <f t="shared" si="877"/>
        <v>9625</v>
      </c>
      <c r="P1598" s="217">
        <f t="shared" si="878"/>
        <v>9625</v>
      </c>
      <c r="Q1598" s="217">
        <f t="shared" si="879"/>
        <v>9625</v>
      </c>
      <c r="R1598" s="217">
        <f t="shared" si="891"/>
        <v>20</v>
      </c>
      <c r="S1598" s="217">
        <f t="shared" si="881"/>
        <v>4.5199999999999996</v>
      </c>
      <c r="T1598" s="217">
        <f t="shared" si="882"/>
        <v>4.8099999999999996</v>
      </c>
      <c r="U1598" s="217">
        <f t="shared" si="883"/>
        <v>0</v>
      </c>
      <c r="V1598" s="217">
        <f t="shared" si="884"/>
        <v>5.0999999999999996</v>
      </c>
      <c r="W1598" s="217">
        <f t="shared" si="885"/>
        <v>0.01</v>
      </c>
      <c r="X1598" s="217">
        <f t="shared" si="886"/>
        <v>34.44</v>
      </c>
      <c r="Y1598" s="218">
        <f t="shared" si="887"/>
        <v>9590.56</v>
      </c>
      <c r="Z1598" s="219">
        <v>9591</v>
      </c>
      <c r="AA1598" s="220">
        <f t="shared" si="888"/>
        <v>0.44000000000050932</v>
      </c>
      <c r="AB1598" s="221">
        <f t="shared" si="889"/>
        <v>0</v>
      </c>
      <c r="AC1598" s="222">
        <f t="shared" si="890"/>
        <v>3.578E-3</v>
      </c>
      <c r="AD1598" s="217"/>
      <c r="AE1598" s="223" t="s">
        <v>403</v>
      </c>
      <c r="AF1598" s="119"/>
    </row>
    <row r="1599" spans="1:32">
      <c r="A1599" s="209">
        <v>44762</v>
      </c>
      <c r="B1599" s="152" t="s">
        <v>792</v>
      </c>
      <c r="C1599" s="152" t="str">
        <f t="shared" ca="1" si="874"/>
        <v>Stocks</v>
      </c>
      <c r="D1599" s="152" t="str">
        <f ca="1">IFERROR(__xludf.DUMMYFUNCTION("split(B1599,"" "")"),"ACC")</f>
        <v>ACC</v>
      </c>
      <c r="E1599" s="152" t="str">
        <f ca="1">IFERROR(__xludf.DUMMYFUNCTION("""COMPUTED_VALUE"""),"JUL")</f>
        <v>JUL</v>
      </c>
      <c r="F1599" s="152">
        <f ca="1">IFERROR(__xludf.DUMMYFUNCTION("""COMPUTED_VALUE"""),2160)</f>
        <v>2160</v>
      </c>
      <c r="G1599" s="152" t="str">
        <f ca="1">IFERROR(__xludf.DUMMYFUNCTION("""COMPUTED_VALUE"""),"PE")</f>
        <v>PE</v>
      </c>
      <c r="H1599" s="211">
        <v>250</v>
      </c>
      <c r="I1599" s="212">
        <v>1</v>
      </c>
      <c r="J1599" s="212">
        <v>1</v>
      </c>
      <c r="K1599" s="213">
        <f t="shared" si="875"/>
        <v>250</v>
      </c>
      <c r="L1599" s="214">
        <v>17</v>
      </c>
      <c r="M1599" s="215">
        <v>20</v>
      </c>
      <c r="N1599" s="216">
        <f t="shared" si="876"/>
        <v>4250</v>
      </c>
      <c r="O1599" s="216">
        <f t="shared" si="877"/>
        <v>5000</v>
      </c>
      <c r="P1599" s="217">
        <f t="shared" si="878"/>
        <v>9250</v>
      </c>
      <c r="Q1599" s="217">
        <f t="shared" si="879"/>
        <v>750</v>
      </c>
      <c r="R1599" s="217">
        <f t="shared" si="891"/>
        <v>40</v>
      </c>
      <c r="S1599" s="217">
        <f t="shared" si="881"/>
        <v>8.08</v>
      </c>
      <c r="T1599" s="217">
        <f t="shared" si="882"/>
        <v>2.5</v>
      </c>
      <c r="U1599" s="217">
        <f t="shared" si="883"/>
        <v>0.13</v>
      </c>
      <c r="V1599" s="217">
        <f t="shared" si="884"/>
        <v>4.9000000000000004</v>
      </c>
      <c r="W1599" s="217">
        <f t="shared" si="885"/>
        <v>0.01</v>
      </c>
      <c r="X1599" s="217">
        <f t="shared" si="886"/>
        <v>55.62</v>
      </c>
      <c r="Y1599" s="218">
        <f t="shared" si="887"/>
        <v>694.38</v>
      </c>
      <c r="Z1599" s="219">
        <v>694</v>
      </c>
      <c r="AA1599" s="220">
        <f t="shared" si="888"/>
        <v>-0.37999999999999545</v>
      </c>
      <c r="AB1599" s="221">
        <f t="shared" si="889"/>
        <v>0.17647058823529413</v>
      </c>
      <c r="AC1599" s="222">
        <f t="shared" si="890"/>
        <v>6.0130000000000001E-3</v>
      </c>
      <c r="AD1599" s="217"/>
      <c r="AE1599" s="223" t="s">
        <v>403</v>
      </c>
      <c r="AF1599" s="119"/>
    </row>
    <row r="1600" spans="1:32">
      <c r="A1600" s="148">
        <v>44762</v>
      </c>
      <c r="B1600" s="152" t="s">
        <v>777</v>
      </c>
      <c r="C1600" s="152" t="str">
        <f t="shared" ca="1" si="874"/>
        <v>Stocks</v>
      </c>
      <c r="D1600" s="152" t="str">
        <f ca="1">IFERROR(__xludf.DUMMYFUNCTION("split(B1600,"" "")"),"VEDL")</f>
        <v>VEDL</v>
      </c>
      <c r="E1600" s="152" t="str">
        <f ca="1">IFERROR(__xludf.DUMMYFUNCTION("""COMPUTED_VALUE"""),"JUL")</f>
        <v>JUL</v>
      </c>
      <c r="F1600" s="152">
        <f ca="1">IFERROR(__xludf.DUMMYFUNCTION("""COMPUTED_VALUE"""),240)</f>
        <v>240</v>
      </c>
      <c r="G1600" s="152" t="str">
        <f ca="1">IFERROR(__xludf.DUMMYFUNCTION("""COMPUTED_VALUE"""),"CE")</f>
        <v>CE</v>
      </c>
      <c r="H1600" s="211">
        <v>1550</v>
      </c>
      <c r="I1600" s="212">
        <v>1</v>
      </c>
      <c r="J1600" s="212">
        <v>1</v>
      </c>
      <c r="K1600" s="213">
        <f t="shared" si="875"/>
        <v>1550</v>
      </c>
      <c r="L1600" s="214">
        <v>16</v>
      </c>
      <c r="M1600" s="215">
        <v>0</v>
      </c>
      <c r="N1600" s="216">
        <f t="shared" si="876"/>
        <v>24800</v>
      </c>
      <c r="O1600" s="216">
        <f t="shared" si="877"/>
        <v>0</v>
      </c>
      <c r="P1600" s="217">
        <f t="shared" si="878"/>
        <v>24800</v>
      </c>
      <c r="Q1600" s="217">
        <f t="shared" si="879"/>
        <v>-24800</v>
      </c>
      <c r="R1600" s="217">
        <f t="shared" si="891"/>
        <v>20</v>
      </c>
      <c r="S1600" s="217">
        <f t="shared" si="881"/>
        <v>5.97</v>
      </c>
      <c r="T1600" s="217">
        <f t="shared" si="882"/>
        <v>0</v>
      </c>
      <c r="U1600" s="217">
        <f t="shared" si="883"/>
        <v>0.74</v>
      </c>
      <c r="V1600" s="217">
        <f t="shared" si="884"/>
        <v>13.14</v>
      </c>
      <c r="W1600" s="217">
        <f t="shared" si="885"/>
        <v>0.02</v>
      </c>
      <c r="X1600" s="217">
        <f t="shared" si="886"/>
        <v>39.869999999999997</v>
      </c>
      <c r="Y1600" s="218">
        <f t="shared" si="887"/>
        <v>-24839.87</v>
      </c>
      <c r="Z1600" s="219">
        <v>-24840</v>
      </c>
      <c r="AA1600" s="220">
        <f t="shared" si="888"/>
        <v>-0.13000000000101863</v>
      </c>
      <c r="AB1600" s="221">
        <f t="shared" si="889"/>
        <v>-1</v>
      </c>
      <c r="AC1600" s="222">
        <f t="shared" si="890"/>
        <v>1.6080000000000001E-3</v>
      </c>
      <c r="AD1600" s="217"/>
      <c r="AE1600" s="223" t="s">
        <v>403</v>
      </c>
      <c r="AF1600" s="119"/>
    </row>
    <row r="1601" spans="1:32">
      <c r="A1601" s="150">
        <v>44763</v>
      </c>
      <c r="B1601" s="152" t="s">
        <v>777</v>
      </c>
      <c r="C1601" s="152" t="str">
        <f t="shared" ca="1" si="874"/>
        <v>Stocks</v>
      </c>
      <c r="D1601" s="152" t="str">
        <f ca="1">IFERROR(__xludf.DUMMYFUNCTION("split(B1601,"" "")"),"VEDL")</f>
        <v>VEDL</v>
      </c>
      <c r="E1601" s="152" t="str">
        <f ca="1">IFERROR(__xludf.DUMMYFUNCTION("""COMPUTED_VALUE"""),"JUL")</f>
        <v>JUL</v>
      </c>
      <c r="F1601" s="152">
        <f ca="1">IFERROR(__xludf.DUMMYFUNCTION("""COMPUTED_VALUE"""),240)</f>
        <v>240</v>
      </c>
      <c r="G1601" s="152" t="str">
        <f ca="1">IFERROR(__xludf.DUMMYFUNCTION("""COMPUTED_VALUE"""),"CE")</f>
        <v>CE</v>
      </c>
      <c r="H1601" s="211">
        <v>1550</v>
      </c>
      <c r="I1601" s="212">
        <v>1</v>
      </c>
      <c r="J1601" s="212">
        <v>1</v>
      </c>
      <c r="K1601" s="213">
        <f t="shared" si="875"/>
        <v>1550</v>
      </c>
      <c r="L1601" s="214">
        <v>0</v>
      </c>
      <c r="M1601" s="215">
        <v>16.3</v>
      </c>
      <c r="N1601" s="216">
        <f t="shared" si="876"/>
        <v>0</v>
      </c>
      <c r="O1601" s="216">
        <f t="shared" si="877"/>
        <v>25265</v>
      </c>
      <c r="P1601" s="217">
        <f t="shared" si="878"/>
        <v>25265</v>
      </c>
      <c r="Q1601" s="217">
        <f t="shared" si="879"/>
        <v>25265</v>
      </c>
      <c r="R1601" s="217">
        <f t="shared" si="891"/>
        <v>20</v>
      </c>
      <c r="S1601" s="217">
        <f t="shared" si="881"/>
        <v>6.01</v>
      </c>
      <c r="T1601" s="217">
        <f t="shared" si="882"/>
        <v>12.63</v>
      </c>
      <c r="U1601" s="217">
        <f t="shared" si="883"/>
        <v>0</v>
      </c>
      <c r="V1601" s="217">
        <f t="shared" si="884"/>
        <v>13.39</v>
      </c>
      <c r="W1601" s="217">
        <f t="shared" si="885"/>
        <v>0.03</v>
      </c>
      <c r="X1601" s="217">
        <f t="shared" si="886"/>
        <v>52.06</v>
      </c>
      <c r="Y1601" s="218">
        <f t="shared" si="887"/>
        <v>25212.94</v>
      </c>
      <c r="Z1601" s="219">
        <v>25212.57</v>
      </c>
      <c r="AA1601" s="220">
        <f t="shared" si="888"/>
        <v>-0.36999999999898137</v>
      </c>
      <c r="AB1601" s="221">
        <f t="shared" si="889"/>
        <v>0</v>
      </c>
      <c r="AC1601" s="222">
        <f t="shared" si="890"/>
        <v>2.0609999999999999E-3</v>
      </c>
      <c r="AD1601" s="217"/>
      <c r="AE1601" s="223" t="s">
        <v>403</v>
      </c>
      <c r="AF1601" s="119"/>
    </row>
    <row r="1602" spans="1:32">
      <c r="A1602" s="148">
        <v>44762</v>
      </c>
      <c r="B1602" s="152" t="s">
        <v>792</v>
      </c>
      <c r="C1602" s="152" t="str">
        <f t="shared" ca="1" si="874"/>
        <v>Stocks</v>
      </c>
      <c r="D1602" s="152" t="str">
        <f ca="1">IFERROR(__xludf.DUMMYFUNCTION("split(B1602,"" "")"),"ACC")</f>
        <v>ACC</v>
      </c>
      <c r="E1602" s="152" t="str">
        <f ca="1">IFERROR(__xludf.DUMMYFUNCTION("""COMPUTED_VALUE"""),"JUL")</f>
        <v>JUL</v>
      </c>
      <c r="F1602" s="152">
        <f ca="1">IFERROR(__xludf.DUMMYFUNCTION("""COMPUTED_VALUE"""),2160)</f>
        <v>2160</v>
      </c>
      <c r="G1602" s="152" t="str">
        <f ca="1">IFERROR(__xludf.DUMMYFUNCTION("""COMPUTED_VALUE"""),"PE")</f>
        <v>PE</v>
      </c>
      <c r="H1602" s="211">
        <v>250</v>
      </c>
      <c r="I1602" s="212">
        <v>1</v>
      </c>
      <c r="J1602" s="212">
        <v>1</v>
      </c>
      <c r="K1602" s="213">
        <f t="shared" si="875"/>
        <v>250</v>
      </c>
      <c r="L1602" s="214">
        <v>16</v>
      </c>
      <c r="M1602" s="215">
        <v>0</v>
      </c>
      <c r="N1602" s="216">
        <f t="shared" si="876"/>
        <v>4000</v>
      </c>
      <c r="O1602" s="216">
        <f t="shared" si="877"/>
        <v>0</v>
      </c>
      <c r="P1602" s="217">
        <f t="shared" si="878"/>
        <v>4000</v>
      </c>
      <c r="Q1602" s="217">
        <f t="shared" si="879"/>
        <v>-4000</v>
      </c>
      <c r="R1602" s="217">
        <f t="shared" si="891"/>
        <v>20</v>
      </c>
      <c r="S1602" s="217">
        <f t="shared" si="881"/>
        <v>3.98</v>
      </c>
      <c r="T1602" s="217">
        <f t="shared" si="882"/>
        <v>0</v>
      </c>
      <c r="U1602" s="217">
        <f t="shared" si="883"/>
        <v>0.12</v>
      </c>
      <c r="V1602" s="217">
        <f t="shared" si="884"/>
        <v>2.12</v>
      </c>
      <c r="W1602" s="217">
        <f t="shared" si="885"/>
        <v>0</v>
      </c>
      <c r="X1602" s="217">
        <f t="shared" si="886"/>
        <v>26.220000000000002</v>
      </c>
      <c r="Y1602" s="218">
        <f t="shared" si="887"/>
        <v>-4026.22</v>
      </c>
      <c r="Z1602" s="219">
        <v>-4026</v>
      </c>
      <c r="AA1602" s="220">
        <f t="shared" si="888"/>
        <v>0.21999999999979991</v>
      </c>
      <c r="AB1602" s="221">
        <f t="shared" si="889"/>
        <v>-1</v>
      </c>
      <c r="AC1602" s="222">
        <f t="shared" si="890"/>
        <v>6.5550000000000001E-3</v>
      </c>
      <c r="AD1602" s="217"/>
      <c r="AE1602" s="223" t="s">
        <v>403</v>
      </c>
      <c r="AF1602" s="119"/>
    </row>
    <row r="1603" spans="1:32">
      <c r="A1603" s="150">
        <v>44764</v>
      </c>
      <c r="B1603" s="152" t="s">
        <v>792</v>
      </c>
      <c r="C1603" s="152" t="str">
        <f t="shared" ca="1" si="874"/>
        <v>Stocks</v>
      </c>
      <c r="D1603" s="152" t="str">
        <f ca="1">IFERROR(__xludf.DUMMYFUNCTION("split(B1603,"" "")"),"ACC")</f>
        <v>ACC</v>
      </c>
      <c r="E1603" s="152" t="str">
        <f ca="1">IFERROR(__xludf.DUMMYFUNCTION("""COMPUTED_VALUE"""),"JUL")</f>
        <v>JUL</v>
      </c>
      <c r="F1603" s="152">
        <f ca="1">IFERROR(__xludf.DUMMYFUNCTION("""COMPUTED_VALUE"""),2160)</f>
        <v>2160</v>
      </c>
      <c r="G1603" s="152" t="str">
        <f ca="1">IFERROR(__xludf.DUMMYFUNCTION("""COMPUTED_VALUE"""),"PE")</f>
        <v>PE</v>
      </c>
      <c r="H1603" s="211">
        <v>250</v>
      </c>
      <c r="I1603" s="212">
        <v>1</v>
      </c>
      <c r="J1603" s="212">
        <v>1</v>
      </c>
      <c r="K1603" s="213">
        <f t="shared" si="875"/>
        <v>250</v>
      </c>
      <c r="L1603" s="214">
        <v>0</v>
      </c>
      <c r="M1603" s="215">
        <v>12</v>
      </c>
      <c r="N1603" s="216">
        <f t="shared" si="876"/>
        <v>0</v>
      </c>
      <c r="O1603" s="216">
        <f t="shared" si="877"/>
        <v>3000</v>
      </c>
      <c r="P1603" s="217">
        <f t="shared" si="878"/>
        <v>3000</v>
      </c>
      <c r="Q1603" s="217">
        <f t="shared" si="879"/>
        <v>3000</v>
      </c>
      <c r="R1603" s="217">
        <f t="shared" si="891"/>
        <v>20</v>
      </c>
      <c r="S1603" s="217">
        <f t="shared" si="881"/>
        <v>3.89</v>
      </c>
      <c r="T1603" s="217">
        <f t="shared" si="882"/>
        <v>1.5</v>
      </c>
      <c r="U1603" s="217">
        <f t="shared" si="883"/>
        <v>0</v>
      </c>
      <c r="V1603" s="217">
        <f t="shared" si="884"/>
        <v>1.59</v>
      </c>
      <c r="W1603" s="217">
        <f t="shared" si="885"/>
        <v>0</v>
      </c>
      <c r="X1603" s="217">
        <f t="shared" si="886"/>
        <v>26.98</v>
      </c>
      <c r="Y1603" s="218">
        <f t="shared" si="887"/>
        <v>2973.02</v>
      </c>
      <c r="Z1603" s="219">
        <v>2973</v>
      </c>
      <c r="AA1603" s="220">
        <f t="shared" si="888"/>
        <v>-1.999999999998181E-2</v>
      </c>
      <c r="AB1603" s="221">
        <f t="shared" si="889"/>
        <v>0</v>
      </c>
      <c r="AC1603" s="222">
        <f t="shared" si="890"/>
        <v>8.9929999999999993E-3</v>
      </c>
      <c r="AD1603" s="217"/>
      <c r="AE1603" s="223" t="s">
        <v>403</v>
      </c>
      <c r="AF1603" s="119"/>
    </row>
    <row r="1604" spans="1:32">
      <c r="A1604" s="209">
        <v>44764</v>
      </c>
      <c r="B1604" s="152" t="s">
        <v>793</v>
      </c>
      <c r="C1604" s="152" t="str">
        <f t="shared" ca="1" si="874"/>
        <v>Indices</v>
      </c>
      <c r="D1604" s="152" t="str">
        <f ca="1">IFERROR(__xludf.DUMMYFUNCTION("split(B1604,"" "")"),"NIFTY")</f>
        <v>NIFTY</v>
      </c>
      <c r="E1604" s="152" t="str">
        <f ca="1">IFERROR(__xludf.DUMMYFUNCTION("""COMPUTED_VALUE"""),"JUL")</f>
        <v>JUL</v>
      </c>
      <c r="F1604" s="152">
        <f ca="1">IFERROR(__xludf.DUMMYFUNCTION("""COMPUTED_VALUE"""),16700)</f>
        <v>16700</v>
      </c>
      <c r="G1604" s="152" t="str">
        <f ca="1">IFERROR(__xludf.DUMMYFUNCTION("""COMPUTED_VALUE"""),"PE")</f>
        <v>PE</v>
      </c>
      <c r="H1604" s="211">
        <v>50</v>
      </c>
      <c r="I1604" s="212">
        <v>1</v>
      </c>
      <c r="J1604" s="212">
        <v>3</v>
      </c>
      <c r="K1604" s="213">
        <f t="shared" si="875"/>
        <v>150</v>
      </c>
      <c r="L1604" s="214">
        <v>121.66670000000001</v>
      </c>
      <c r="M1604" s="215">
        <v>124.33329999999999</v>
      </c>
      <c r="N1604" s="216">
        <f t="shared" si="876"/>
        <v>18250.009999999998</v>
      </c>
      <c r="O1604" s="216">
        <f t="shared" si="877"/>
        <v>18650</v>
      </c>
      <c r="P1604" s="217">
        <f t="shared" si="878"/>
        <v>36900.009999999995</v>
      </c>
      <c r="Q1604" s="217">
        <f t="shared" si="879"/>
        <v>399.98999999999825</v>
      </c>
      <c r="R1604" s="217">
        <f t="shared" si="891"/>
        <v>120</v>
      </c>
      <c r="S1604" s="217">
        <f t="shared" si="881"/>
        <v>25.12</v>
      </c>
      <c r="T1604" s="217">
        <f t="shared" si="882"/>
        <v>9.33</v>
      </c>
      <c r="U1604" s="217">
        <f t="shared" si="883"/>
        <v>0.55000000000000004</v>
      </c>
      <c r="V1604" s="217">
        <f t="shared" si="884"/>
        <v>19.559999999999999</v>
      </c>
      <c r="W1604" s="217">
        <f t="shared" si="885"/>
        <v>0.04</v>
      </c>
      <c r="X1604" s="217">
        <f t="shared" si="886"/>
        <v>174.60000000000002</v>
      </c>
      <c r="Y1604" s="218">
        <f t="shared" si="887"/>
        <v>225.39</v>
      </c>
      <c r="Z1604" s="219">
        <v>224.8</v>
      </c>
      <c r="AA1604" s="220">
        <f t="shared" si="888"/>
        <v>-0.58999999999997499</v>
      </c>
      <c r="AB1604" s="221">
        <f t="shared" si="889"/>
        <v>2.1917254269245307E-2</v>
      </c>
      <c r="AC1604" s="222">
        <f t="shared" si="890"/>
        <v>4.7320000000000001E-3</v>
      </c>
      <c r="AD1604" s="217"/>
      <c r="AE1604" s="223" t="s">
        <v>403</v>
      </c>
      <c r="AF1604" s="119"/>
    </row>
    <row r="1605" spans="1:32">
      <c r="A1605" s="148">
        <v>44762</v>
      </c>
      <c r="B1605" s="152" t="s">
        <v>794</v>
      </c>
      <c r="C1605" s="152" t="str">
        <f t="shared" ca="1" si="874"/>
        <v>Stocks</v>
      </c>
      <c r="D1605" s="152" t="str">
        <f ca="1">IFERROR(__xludf.DUMMYFUNCTION("split(B1605,"" "")"),"COALINDIA")</f>
        <v>COALINDIA</v>
      </c>
      <c r="E1605" s="152" t="str">
        <f ca="1">IFERROR(__xludf.DUMMYFUNCTION("""COMPUTED_VALUE"""),"JUL")</f>
        <v>JUL</v>
      </c>
      <c r="F1605" s="152">
        <f ca="1">IFERROR(__xludf.DUMMYFUNCTION("""COMPUTED_VALUE"""),200)</f>
        <v>200</v>
      </c>
      <c r="G1605" s="152" t="str">
        <f ca="1">IFERROR(__xludf.DUMMYFUNCTION("""COMPUTED_VALUE"""),"CE")</f>
        <v>CE</v>
      </c>
      <c r="H1605" s="211">
        <v>4200</v>
      </c>
      <c r="I1605" s="212">
        <v>1</v>
      </c>
      <c r="J1605" s="212">
        <v>2</v>
      </c>
      <c r="K1605" s="213">
        <f t="shared" si="875"/>
        <v>8400</v>
      </c>
      <c r="L1605" s="214">
        <v>2.65</v>
      </c>
      <c r="M1605" s="215">
        <v>0</v>
      </c>
      <c r="N1605" s="216">
        <f t="shared" si="876"/>
        <v>22260</v>
      </c>
      <c r="O1605" s="216">
        <f t="shared" si="877"/>
        <v>0</v>
      </c>
      <c r="P1605" s="217">
        <f t="shared" si="878"/>
        <v>22260</v>
      </c>
      <c r="Q1605" s="217">
        <f t="shared" si="879"/>
        <v>-22260</v>
      </c>
      <c r="R1605" s="217">
        <f t="shared" si="891"/>
        <v>40</v>
      </c>
      <c r="S1605" s="217">
        <f t="shared" si="881"/>
        <v>9.32</v>
      </c>
      <c r="T1605" s="217">
        <f t="shared" si="882"/>
        <v>0</v>
      </c>
      <c r="U1605" s="217">
        <f t="shared" si="883"/>
        <v>0.67</v>
      </c>
      <c r="V1605" s="217">
        <f t="shared" si="884"/>
        <v>11.8</v>
      </c>
      <c r="W1605" s="217">
        <f t="shared" si="885"/>
        <v>0.02</v>
      </c>
      <c r="X1605" s="217">
        <f t="shared" si="886"/>
        <v>61.810000000000009</v>
      </c>
      <c r="Y1605" s="218">
        <f t="shared" si="887"/>
        <v>-22321.81</v>
      </c>
      <c r="Z1605" s="219">
        <v>-22322</v>
      </c>
      <c r="AA1605" s="220">
        <f t="shared" si="888"/>
        <v>-0.18999999999869033</v>
      </c>
      <c r="AB1605" s="221">
        <f t="shared" si="889"/>
        <v>-1</v>
      </c>
      <c r="AC1605" s="222">
        <f t="shared" si="890"/>
        <v>2.777E-3</v>
      </c>
      <c r="AD1605" s="217"/>
      <c r="AE1605" s="223" t="s">
        <v>403</v>
      </c>
      <c r="AF1605" s="119"/>
    </row>
    <row r="1606" spans="1:32">
      <c r="A1606" s="150">
        <v>44767</v>
      </c>
      <c r="B1606" s="152" t="s">
        <v>794</v>
      </c>
      <c r="C1606" s="152" t="str">
        <f t="shared" ca="1" si="874"/>
        <v>Stocks</v>
      </c>
      <c r="D1606" s="152" t="str">
        <f ca="1">IFERROR(__xludf.DUMMYFUNCTION("split(B1606,"" "")"),"COALINDIA")</f>
        <v>COALINDIA</v>
      </c>
      <c r="E1606" s="152" t="str">
        <f ca="1">IFERROR(__xludf.DUMMYFUNCTION("""COMPUTED_VALUE"""),"JUL")</f>
        <v>JUL</v>
      </c>
      <c r="F1606" s="152">
        <f ca="1">IFERROR(__xludf.DUMMYFUNCTION("""COMPUTED_VALUE"""),200)</f>
        <v>200</v>
      </c>
      <c r="G1606" s="152" t="str">
        <f ca="1">IFERROR(__xludf.DUMMYFUNCTION("""COMPUTED_VALUE"""),"CE")</f>
        <v>CE</v>
      </c>
      <c r="H1606" s="211">
        <v>4200</v>
      </c>
      <c r="I1606" s="212">
        <v>2</v>
      </c>
      <c r="J1606" s="212">
        <v>1</v>
      </c>
      <c r="K1606" s="213">
        <f t="shared" si="875"/>
        <v>8400</v>
      </c>
      <c r="L1606" s="214">
        <v>0</v>
      </c>
      <c r="M1606" s="215">
        <v>2.2000000000000002</v>
      </c>
      <c r="N1606" s="216">
        <f t="shared" si="876"/>
        <v>0</v>
      </c>
      <c r="O1606" s="216">
        <f t="shared" si="877"/>
        <v>18480</v>
      </c>
      <c r="P1606" s="217">
        <f t="shared" si="878"/>
        <v>18480</v>
      </c>
      <c r="Q1606" s="217">
        <f t="shared" si="879"/>
        <v>18480</v>
      </c>
      <c r="R1606" s="217">
        <f t="shared" si="891"/>
        <v>20</v>
      </c>
      <c r="S1606" s="217">
        <f t="shared" si="881"/>
        <v>5.36</v>
      </c>
      <c r="T1606" s="217">
        <f t="shared" si="882"/>
        <v>9.24</v>
      </c>
      <c r="U1606" s="217">
        <f t="shared" si="883"/>
        <v>0</v>
      </c>
      <c r="V1606" s="217">
        <f t="shared" si="884"/>
        <v>9.7899999999999991</v>
      </c>
      <c r="W1606" s="217">
        <f t="shared" si="885"/>
        <v>0.02</v>
      </c>
      <c r="X1606" s="217">
        <f t="shared" si="886"/>
        <v>44.410000000000004</v>
      </c>
      <c r="Y1606" s="218">
        <f t="shared" si="887"/>
        <v>18435.59</v>
      </c>
      <c r="Z1606" s="219">
        <v>18435.82</v>
      </c>
      <c r="AA1606" s="220">
        <f t="shared" si="888"/>
        <v>0.22999999999956344</v>
      </c>
      <c r="AB1606" s="221">
        <f t="shared" si="889"/>
        <v>0</v>
      </c>
      <c r="AC1606" s="222">
        <f t="shared" si="890"/>
        <v>2.4030000000000002E-3</v>
      </c>
      <c r="AD1606" s="217"/>
      <c r="AE1606" s="223" t="s">
        <v>403</v>
      </c>
      <c r="AF1606" s="119"/>
    </row>
    <row r="1607" spans="1:32">
      <c r="A1607" s="148">
        <v>44761</v>
      </c>
      <c r="B1607" s="152" t="s">
        <v>795</v>
      </c>
      <c r="C1607" s="152" t="str">
        <f t="shared" ca="1" si="874"/>
        <v>Stocks</v>
      </c>
      <c r="D1607" s="152" t="str">
        <f ca="1">IFERROR(__xludf.DUMMYFUNCTION("split(B1607,"" "")"),"SUNPHARMA")</f>
        <v>SUNPHARMA</v>
      </c>
      <c r="E1607" s="152" t="str">
        <f ca="1">IFERROR(__xludf.DUMMYFUNCTION("""COMPUTED_VALUE"""),"JUL")</f>
        <v>JUL</v>
      </c>
      <c r="F1607" s="152">
        <f ca="1">IFERROR(__xludf.DUMMYFUNCTION("""COMPUTED_VALUE"""),880)</f>
        <v>880</v>
      </c>
      <c r="G1607" s="152" t="str">
        <f ca="1">IFERROR(__xludf.DUMMYFUNCTION("""COMPUTED_VALUE"""),"CE")</f>
        <v>CE</v>
      </c>
      <c r="H1607" s="211">
        <v>700</v>
      </c>
      <c r="I1607" s="212">
        <v>1</v>
      </c>
      <c r="J1607" s="212">
        <v>1</v>
      </c>
      <c r="K1607" s="213">
        <f t="shared" si="875"/>
        <v>700</v>
      </c>
      <c r="L1607" s="214">
        <v>14.5</v>
      </c>
      <c r="M1607" s="215">
        <v>0</v>
      </c>
      <c r="N1607" s="216">
        <f t="shared" si="876"/>
        <v>10150</v>
      </c>
      <c r="O1607" s="216">
        <f t="shared" si="877"/>
        <v>0</v>
      </c>
      <c r="P1607" s="217">
        <f t="shared" si="878"/>
        <v>10150</v>
      </c>
      <c r="Q1607" s="217">
        <f t="shared" si="879"/>
        <v>-10150</v>
      </c>
      <c r="R1607" s="217">
        <f t="shared" si="891"/>
        <v>20</v>
      </c>
      <c r="S1607" s="217">
        <f t="shared" si="881"/>
        <v>4.57</v>
      </c>
      <c r="T1607" s="217">
        <f t="shared" si="882"/>
        <v>0</v>
      </c>
      <c r="U1607" s="217">
        <f t="shared" si="883"/>
        <v>0.3</v>
      </c>
      <c r="V1607" s="217">
        <f t="shared" si="884"/>
        <v>5.38</v>
      </c>
      <c r="W1607" s="217">
        <f t="shared" si="885"/>
        <v>0.01</v>
      </c>
      <c r="X1607" s="217">
        <f t="shared" si="886"/>
        <v>30.26</v>
      </c>
      <c r="Y1607" s="218">
        <f t="shared" si="887"/>
        <v>-10180.26</v>
      </c>
      <c r="Z1607" s="219">
        <v>-10180</v>
      </c>
      <c r="AA1607" s="220">
        <f t="shared" si="888"/>
        <v>0.26000000000021828</v>
      </c>
      <c r="AB1607" s="221">
        <f t="shared" si="889"/>
        <v>-1</v>
      </c>
      <c r="AC1607" s="222">
        <f t="shared" si="890"/>
        <v>2.9810000000000001E-3</v>
      </c>
      <c r="AD1607" s="217"/>
      <c r="AE1607" s="223" t="s">
        <v>403</v>
      </c>
      <c r="AF1607" s="119"/>
    </row>
    <row r="1608" spans="1:32">
      <c r="A1608" s="150">
        <v>44769</v>
      </c>
      <c r="B1608" s="152" t="s">
        <v>795</v>
      </c>
      <c r="C1608" s="152" t="str">
        <f t="shared" ca="1" si="874"/>
        <v>Stocks</v>
      </c>
      <c r="D1608" s="152" t="str">
        <f ca="1">IFERROR(__xludf.DUMMYFUNCTION("split(B1608,"" "")"),"SUNPHARMA")</f>
        <v>SUNPHARMA</v>
      </c>
      <c r="E1608" s="152" t="str">
        <f ca="1">IFERROR(__xludf.DUMMYFUNCTION("""COMPUTED_VALUE"""),"JUL")</f>
        <v>JUL</v>
      </c>
      <c r="F1608" s="152">
        <f ca="1">IFERROR(__xludf.DUMMYFUNCTION("""COMPUTED_VALUE"""),880)</f>
        <v>880</v>
      </c>
      <c r="G1608" s="152" t="str">
        <f ca="1">IFERROR(__xludf.DUMMYFUNCTION("""COMPUTED_VALUE"""),"CE")</f>
        <v>CE</v>
      </c>
      <c r="H1608" s="211">
        <v>700</v>
      </c>
      <c r="I1608" s="212">
        <v>1</v>
      </c>
      <c r="J1608" s="212">
        <v>1</v>
      </c>
      <c r="K1608" s="213">
        <f t="shared" si="875"/>
        <v>700</v>
      </c>
      <c r="L1608" s="214">
        <v>0</v>
      </c>
      <c r="M1608" s="215">
        <v>4.5</v>
      </c>
      <c r="N1608" s="216">
        <f t="shared" si="876"/>
        <v>0</v>
      </c>
      <c r="O1608" s="216">
        <f t="shared" si="877"/>
        <v>3150</v>
      </c>
      <c r="P1608" s="217">
        <f t="shared" si="878"/>
        <v>3150</v>
      </c>
      <c r="Q1608" s="217">
        <f t="shared" si="879"/>
        <v>3150</v>
      </c>
      <c r="R1608" s="217">
        <f t="shared" si="891"/>
        <v>20</v>
      </c>
      <c r="S1608" s="217">
        <f t="shared" si="881"/>
        <v>3.9</v>
      </c>
      <c r="T1608" s="217">
        <f t="shared" si="882"/>
        <v>1.58</v>
      </c>
      <c r="U1608" s="217">
        <f t="shared" si="883"/>
        <v>0</v>
      </c>
      <c r="V1608" s="217">
        <f t="shared" si="884"/>
        <v>1.67</v>
      </c>
      <c r="W1608" s="217">
        <f t="shared" si="885"/>
        <v>0</v>
      </c>
      <c r="X1608" s="217">
        <f t="shared" si="886"/>
        <v>27.15</v>
      </c>
      <c r="Y1608" s="218">
        <f t="shared" si="887"/>
        <v>3122.85</v>
      </c>
      <c r="Z1608" s="219">
        <v>3123</v>
      </c>
      <c r="AA1608" s="220">
        <f t="shared" si="888"/>
        <v>0.15000000000009095</v>
      </c>
      <c r="AB1608" s="221">
        <f t="shared" si="889"/>
        <v>0</v>
      </c>
      <c r="AC1608" s="222">
        <f t="shared" si="890"/>
        <v>8.6189999999999999E-3</v>
      </c>
      <c r="AD1608" s="217"/>
      <c r="AE1608" s="223" t="s">
        <v>403</v>
      </c>
      <c r="AF1608" s="119"/>
    </row>
    <row r="1609" spans="1:32">
      <c r="A1609" s="148">
        <v>44768</v>
      </c>
      <c r="B1609" s="152" t="s">
        <v>796</v>
      </c>
      <c r="C1609" s="152" t="str">
        <f t="shared" ca="1" si="874"/>
        <v>Indices</v>
      </c>
      <c r="D1609" s="152" t="str">
        <f ca="1">IFERROR(__xludf.DUMMYFUNCTION("split(B1609,"" "")"),"NIFTY")</f>
        <v>NIFTY</v>
      </c>
      <c r="E1609" s="152" t="str">
        <f ca="1">IFERROR(__xludf.DUMMYFUNCTION("""COMPUTED_VALUE"""),"JUL")</f>
        <v>JUL</v>
      </c>
      <c r="F1609" s="152">
        <f ca="1">IFERROR(__xludf.DUMMYFUNCTION("""COMPUTED_VALUE"""),16700)</f>
        <v>16700</v>
      </c>
      <c r="G1609" s="152" t="str">
        <f ca="1">IFERROR(__xludf.DUMMYFUNCTION("""COMPUTED_VALUE"""),"CE")</f>
        <v>CE</v>
      </c>
      <c r="H1609" s="211">
        <v>50</v>
      </c>
      <c r="I1609" s="212">
        <v>1</v>
      </c>
      <c r="J1609" s="212">
        <v>3</v>
      </c>
      <c r="K1609" s="213">
        <f t="shared" si="875"/>
        <v>150</v>
      </c>
      <c r="L1609" s="214">
        <v>25.666699999999999</v>
      </c>
      <c r="M1609" s="215">
        <v>0</v>
      </c>
      <c r="N1609" s="216">
        <f t="shared" si="876"/>
        <v>3850.01</v>
      </c>
      <c r="O1609" s="216">
        <f t="shared" si="877"/>
        <v>0</v>
      </c>
      <c r="P1609" s="217">
        <f t="shared" si="878"/>
        <v>3850.01</v>
      </c>
      <c r="Q1609" s="217">
        <f t="shared" si="879"/>
        <v>-3850.0049999999997</v>
      </c>
      <c r="R1609" s="217">
        <f t="shared" si="891"/>
        <v>60</v>
      </c>
      <c r="S1609" s="217">
        <f t="shared" si="881"/>
        <v>11.17</v>
      </c>
      <c r="T1609" s="217">
        <f t="shared" si="882"/>
        <v>0</v>
      </c>
      <c r="U1609" s="217">
        <f t="shared" si="883"/>
        <v>0.12</v>
      </c>
      <c r="V1609" s="217">
        <f t="shared" si="884"/>
        <v>2.04</v>
      </c>
      <c r="W1609" s="217">
        <f t="shared" si="885"/>
        <v>0</v>
      </c>
      <c r="X1609" s="217">
        <f t="shared" si="886"/>
        <v>73.330000000000013</v>
      </c>
      <c r="Y1609" s="218">
        <f t="shared" si="887"/>
        <v>-3923.34</v>
      </c>
      <c r="Z1609" s="219">
        <v>-3922.98</v>
      </c>
      <c r="AA1609" s="220">
        <f t="shared" si="888"/>
        <v>0.36000000000012733</v>
      </c>
      <c r="AB1609" s="221">
        <f t="shared" si="889"/>
        <v>-1</v>
      </c>
      <c r="AC1609" s="222">
        <f t="shared" si="890"/>
        <v>1.9047000000000001E-2</v>
      </c>
      <c r="AD1609" s="217"/>
      <c r="AE1609" s="223" t="s">
        <v>403</v>
      </c>
      <c r="AF1609" s="119"/>
    </row>
    <row r="1610" spans="1:32">
      <c r="A1610" s="150">
        <v>44769</v>
      </c>
      <c r="B1610" s="152" t="s">
        <v>796</v>
      </c>
      <c r="C1610" s="152" t="str">
        <f t="shared" ca="1" si="874"/>
        <v>Indices</v>
      </c>
      <c r="D1610" s="152" t="str">
        <f ca="1">IFERROR(__xludf.DUMMYFUNCTION("split(B1610,"" "")"),"NIFTY")</f>
        <v>NIFTY</v>
      </c>
      <c r="E1610" s="152" t="str">
        <f ca="1">IFERROR(__xludf.DUMMYFUNCTION("""COMPUTED_VALUE"""),"JUL")</f>
        <v>JUL</v>
      </c>
      <c r="F1610" s="152">
        <f ca="1">IFERROR(__xludf.DUMMYFUNCTION("""COMPUTED_VALUE"""),16700)</f>
        <v>16700</v>
      </c>
      <c r="G1610" s="152" t="str">
        <f ca="1">IFERROR(__xludf.DUMMYFUNCTION("""COMPUTED_VALUE"""),"CE")</f>
        <v>CE</v>
      </c>
      <c r="H1610" s="211">
        <v>50</v>
      </c>
      <c r="I1610" s="212">
        <v>3</v>
      </c>
      <c r="J1610" s="212">
        <v>1</v>
      </c>
      <c r="K1610" s="213">
        <f t="shared" si="875"/>
        <v>150</v>
      </c>
      <c r="L1610" s="214">
        <v>0</v>
      </c>
      <c r="M1610" s="215">
        <v>29</v>
      </c>
      <c r="N1610" s="216">
        <f t="shared" si="876"/>
        <v>0</v>
      </c>
      <c r="O1610" s="216">
        <f t="shared" si="877"/>
        <v>4350</v>
      </c>
      <c r="P1610" s="217">
        <f t="shared" si="878"/>
        <v>4350</v>
      </c>
      <c r="Q1610" s="217">
        <f t="shared" si="879"/>
        <v>4350</v>
      </c>
      <c r="R1610" s="217">
        <f t="shared" si="891"/>
        <v>20</v>
      </c>
      <c r="S1610" s="217">
        <f t="shared" si="881"/>
        <v>4.0199999999999996</v>
      </c>
      <c r="T1610" s="217">
        <f t="shared" si="882"/>
        <v>2.1800000000000002</v>
      </c>
      <c r="U1610" s="217">
        <f t="shared" si="883"/>
        <v>0</v>
      </c>
      <c r="V1610" s="217">
        <f t="shared" si="884"/>
        <v>2.31</v>
      </c>
      <c r="W1610" s="217">
        <f t="shared" si="885"/>
        <v>0</v>
      </c>
      <c r="X1610" s="217">
        <f t="shared" si="886"/>
        <v>28.509999999999998</v>
      </c>
      <c r="Y1610" s="218">
        <f t="shared" si="887"/>
        <v>4321.49</v>
      </c>
      <c r="Z1610" s="219">
        <v>4321.53</v>
      </c>
      <c r="AA1610" s="220">
        <f t="shared" si="888"/>
        <v>3.999999999996362E-2</v>
      </c>
      <c r="AB1610" s="221">
        <f t="shared" si="889"/>
        <v>0</v>
      </c>
      <c r="AC1610" s="222">
        <f t="shared" si="890"/>
        <v>6.5539999999999999E-3</v>
      </c>
      <c r="AD1610" s="217"/>
      <c r="AE1610" s="223" t="s">
        <v>403</v>
      </c>
      <c r="AF1610" s="119"/>
    </row>
    <row r="1611" spans="1:32">
      <c r="A1611" s="148">
        <v>44768</v>
      </c>
      <c r="B1611" s="152" t="s">
        <v>796</v>
      </c>
      <c r="C1611" s="152" t="str">
        <f t="shared" ca="1" si="874"/>
        <v>Indices</v>
      </c>
      <c r="D1611" s="152" t="str">
        <f ca="1">IFERROR(__xludf.DUMMYFUNCTION("split(B1611,"" "")"),"NIFTY")</f>
        <v>NIFTY</v>
      </c>
      <c r="E1611" s="152" t="str">
        <f ca="1">IFERROR(__xludf.DUMMYFUNCTION("""COMPUTED_VALUE"""),"JUL")</f>
        <v>JUL</v>
      </c>
      <c r="F1611" s="152">
        <f ca="1">IFERROR(__xludf.DUMMYFUNCTION("""COMPUTED_VALUE"""),16700)</f>
        <v>16700</v>
      </c>
      <c r="G1611" s="152" t="str">
        <f ca="1">IFERROR(__xludf.DUMMYFUNCTION("""COMPUTED_VALUE"""),"CE")</f>
        <v>CE</v>
      </c>
      <c r="H1611" s="211">
        <v>50</v>
      </c>
      <c r="I1611" s="212">
        <v>3</v>
      </c>
      <c r="J1611" s="212">
        <v>1</v>
      </c>
      <c r="K1611" s="213">
        <f t="shared" si="875"/>
        <v>150</v>
      </c>
      <c r="L1611" s="214">
        <v>17.75</v>
      </c>
      <c r="M1611" s="215">
        <v>0</v>
      </c>
      <c r="N1611" s="216">
        <f t="shared" si="876"/>
        <v>2662.5</v>
      </c>
      <c r="O1611" s="216">
        <f t="shared" si="877"/>
        <v>0</v>
      </c>
      <c r="P1611" s="217">
        <f t="shared" si="878"/>
        <v>2662.5</v>
      </c>
      <c r="Q1611" s="217">
        <f t="shared" si="879"/>
        <v>-2662.5</v>
      </c>
      <c r="R1611" s="217">
        <f t="shared" si="891"/>
        <v>20</v>
      </c>
      <c r="S1611" s="217">
        <f t="shared" si="881"/>
        <v>3.85</v>
      </c>
      <c r="T1611" s="217">
        <f t="shared" si="882"/>
        <v>0</v>
      </c>
      <c r="U1611" s="217">
        <f t="shared" si="883"/>
        <v>0.08</v>
      </c>
      <c r="V1611" s="217">
        <f t="shared" si="884"/>
        <v>1.41</v>
      </c>
      <c r="W1611" s="217">
        <f t="shared" si="885"/>
        <v>0</v>
      </c>
      <c r="X1611" s="217">
        <f t="shared" si="886"/>
        <v>25.34</v>
      </c>
      <c r="Y1611" s="218">
        <f t="shared" si="887"/>
        <v>-2687.84</v>
      </c>
      <c r="Z1611" s="219">
        <v>-2688</v>
      </c>
      <c r="AA1611" s="220">
        <f t="shared" si="888"/>
        <v>-0.15999999999985448</v>
      </c>
      <c r="AB1611" s="221">
        <f t="shared" si="889"/>
        <v>-1</v>
      </c>
      <c r="AC1611" s="222">
        <f t="shared" si="890"/>
        <v>9.5169999999999994E-3</v>
      </c>
      <c r="AD1611" s="217"/>
      <c r="AE1611" s="223" t="s">
        <v>403</v>
      </c>
      <c r="AF1611" s="119"/>
    </row>
    <row r="1612" spans="1:32">
      <c r="A1612" s="150">
        <v>44769</v>
      </c>
      <c r="B1612" s="152" t="s">
        <v>796</v>
      </c>
      <c r="C1612" s="152" t="str">
        <f t="shared" ca="1" si="874"/>
        <v>Indices</v>
      </c>
      <c r="D1612" s="152" t="str">
        <f ca="1">IFERROR(__xludf.DUMMYFUNCTION("split(B1612,"" "")"),"NIFTY")</f>
        <v>NIFTY</v>
      </c>
      <c r="E1612" s="152" t="str">
        <f ca="1">IFERROR(__xludf.DUMMYFUNCTION("""COMPUTED_VALUE"""),"JUL")</f>
        <v>JUL</v>
      </c>
      <c r="F1612" s="152">
        <f ca="1">IFERROR(__xludf.DUMMYFUNCTION("""COMPUTED_VALUE"""),16700)</f>
        <v>16700</v>
      </c>
      <c r="G1612" s="152" t="str">
        <f ca="1">IFERROR(__xludf.DUMMYFUNCTION("""COMPUTED_VALUE"""),"CE")</f>
        <v>CE</v>
      </c>
      <c r="H1612" s="211">
        <v>50</v>
      </c>
      <c r="I1612" s="212">
        <v>3</v>
      </c>
      <c r="J1612" s="212">
        <v>1</v>
      </c>
      <c r="K1612" s="213">
        <f t="shared" si="875"/>
        <v>150</v>
      </c>
      <c r="L1612" s="214">
        <v>0</v>
      </c>
      <c r="M1612" s="215">
        <v>21</v>
      </c>
      <c r="N1612" s="216">
        <f t="shared" si="876"/>
        <v>0</v>
      </c>
      <c r="O1612" s="216">
        <f t="shared" si="877"/>
        <v>3150</v>
      </c>
      <c r="P1612" s="217">
        <f t="shared" si="878"/>
        <v>3150</v>
      </c>
      <c r="Q1612" s="217">
        <f t="shared" si="879"/>
        <v>3150</v>
      </c>
      <c r="R1612" s="217">
        <f t="shared" si="891"/>
        <v>20</v>
      </c>
      <c r="S1612" s="217">
        <f t="shared" si="881"/>
        <v>3.9</v>
      </c>
      <c r="T1612" s="217">
        <f t="shared" si="882"/>
        <v>1.58</v>
      </c>
      <c r="U1612" s="217">
        <f t="shared" si="883"/>
        <v>0</v>
      </c>
      <c r="V1612" s="217">
        <f t="shared" si="884"/>
        <v>1.67</v>
      </c>
      <c r="W1612" s="217">
        <f t="shared" si="885"/>
        <v>0</v>
      </c>
      <c r="X1612" s="217">
        <f t="shared" si="886"/>
        <v>27.15</v>
      </c>
      <c r="Y1612" s="218">
        <f t="shared" si="887"/>
        <v>3122.85</v>
      </c>
      <c r="Z1612" s="219">
        <v>3123</v>
      </c>
      <c r="AA1612" s="220">
        <f t="shared" si="888"/>
        <v>0.15000000000009095</v>
      </c>
      <c r="AB1612" s="221">
        <f t="shared" si="889"/>
        <v>0</v>
      </c>
      <c r="AC1612" s="222">
        <f t="shared" si="890"/>
        <v>8.6189999999999999E-3</v>
      </c>
      <c r="AD1612" s="217"/>
      <c r="AE1612" s="223" t="s">
        <v>403</v>
      </c>
      <c r="AF1612" s="119"/>
    </row>
    <row r="1613" spans="1:32">
      <c r="A1613" s="148">
        <v>44770</v>
      </c>
      <c r="B1613" s="152" t="s">
        <v>793</v>
      </c>
      <c r="C1613" s="152" t="str">
        <f t="shared" ca="1" si="874"/>
        <v>Indices</v>
      </c>
      <c r="D1613" s="152" t="str">
        <f ca="1">IFERROR(__xludf.DUMMYFUNCTION("split(B1613,"" "")"),"NIFTY")</f>
        <v>NIFTY</v>
      </c>
      <c r="E1613" s="152" t="str">
        <f ca="1">IFERROR(__xludf.DUMMYFUNCTION("""COMPUTED_VALUE"""),"JUL")</f>
        <v>JUL</v>
      </c>
      <c r="F1613" s="152">
        <f ca="1">IFERROR(__xludf.DUMMYFUNCTION("""COMPUTED_VALUE"""),16700)</f>
        <v>16700</v>
      </c>
      <c r="G1613" s="152" t="str">
        <f ca="1">IFERROR(__xludf.DUMMYFUNCTION("""COMPUTED_VALUE"""),"PE")</f>
        <v>PE</v>
      </c>
      <c r="H1613" s="211">
        <v>50</v>
      </c>
      <c r="I1613" s="212">
        <v>1</v>
      </c>
      <c r="J1613" s="212">
        <v>3</v>
      </c>
      <c r="K1613" s="213">
        <f t="shared" si="875"/>
        <v>150</v>
      </c>
      <c r="L1613" s="214">
        <v>2.25</v>
      </c>
      <c r="M1613" s="215">
        <v>0</v>
      </c>
      <c r="N1613" s="216">
        <f t="shared" si="876"/>
        <v>337.5</v>
      </c>
      <c r="O1613" s="216">
        <f t="shared" si="877"/>
        <v>0</v>
      </c>
      <c r="P1613" s="217">
        <f t="shared" si="878"/>
        <v>337.5</v>
      </c>
      <c r="Q1613" s="217">
        <f t="shared" si="879"/>
        <v>-337.5</v>
      </c>
      <c r="R1613" s="217">
        <f t="shared" si="891"/>
        <v>60</v>
      </c>
      <c r="S1613" s="217">
        <f t="shared" si="881"/>
        <v>10.83</v>
      </c>
      <c r="T1613" s="217">
        <f t="shared" si="882"/>
        <v>0</v>
      </c>
      <c r="U1613" s="217">
        <f t="shared" si="883"/>
        <v>0.01</v>
      </c>
      <c r="V1613" s="217">
        <f t="shared" si="884"/>
        <v>0.18</v>
      </c>
      <c r="W1613" s="217">
        <f t="shared" si="885"/>
        <v>0</v>
      </c>
      <c r="X1613" s="217">
        <f t="shared" si="886"/>
        <v>71.02000000000001</v>
      </c>
      <c r="Y1613" s="218">
        <f t="shared" si="887"/>
        <v>-408.52</v>
      </c>
      <c r="Z1613" s="219">
        <v>-409</v>
      </c>
      <c r="AA1613" s="220">
        <f t="shared" si="888"/>
        <v>-0.48000000000001819</v>
      </c>
      <c r="AB1613" s="221">
        <f t="shared" si="889"/>
        <v>-1</v>
      </c>
      <c r="AC1613" s="222">
        <f t="shared" si="890"/>
        <v>0.21043000000000001</v>
      </c>
      <c r="AD1613" s="217"/>
      <c r="AE1613" s="223" t="s">
        <v>403</v>
      </c>
      <c r="AF1613" s="119"/>
    </row>
    <row r="1614" spans="1:32">
      <c r="A1614" s="148">
        <v>44770</v>
      </c>
      <c r="B1614" s="152" t="s">
        <v>793</v>
      </c>
      <c r="C1614" s="152" t="str">
        <f t="shared" ca="1" si="874"/>
        <v>Indices</v>
      </c>
      <c r="D1614" s="152" t="str">
        <f ca="1">IFERROR(__xludf.DUMMYFUNCTION("split(B1614,"" "")"),"NIFTY")</f>
        <v>NIFTY</v>
      </c>
      <c r="E1614" s="152" t="str">
        <f ca="1">IFERROR(__xludf.DUMMYFUNCTION("""COMPUTED_VALUE"""),"JUL")</f>
        <v>JUL</v>
      </c>
      <c r="F1614" s="152">
        <f ca="1">IFERROR(__xludf.DUMMYFUNCTION("""COMPUTED_VALUE"""),16700)</f>
        <v>16700</v>
      </c>
      <c r="G1614" s="152" t="str">
        <f ca="1">IFERROR(__xludf.DUMMYFUNCTION("""COMPUTED_VALUE"""),"PE")</f>
        <v>PE</v>
      </c>
      <c r="H1614" s="211">
        <v>50</v>
      </c>
      <c r="I1614" s="212">
        <v>2</v>
      </c>
      <c r="J1614" s="212">
        <v>2</v>
      </c>
      <c r="K1614" s="213">
        <f t="shared" si="875"/>
        <v>200</v>
      </c>
      <c r="L1614" s="214">
        <v>1.85</v>
      </c>
      <c r="M1614" s="215">
        <v>0</v>
      </c>
      <c r="N1614" s="216">
        <f t="shared" si="876"/>
        <v>370</v>
      </c>
      <c r="O1614" s="216">
        <f t="shared" si="877"/>
        <v>0</v>
      </c>
      <c r="P1614" s="217">
        <f t="shared" si="878"/>
        <v>370</v>
      </c>
      <c r="Q1614" s="217">
        <f t="shared" si="879"/>
        <v>-370</v>
      </c>
      <c r="R1614" s="217">
        <f t="shared" si="891"/>
        <v>40</v>
      </c>
      <c r="S1614" s="217">
        <f t="shared" si="881"/>
        <v>7.24</v>
      </c>
      <c r="T1614" s="217">
        <f t="shared" si="882"/>
        <v>0</v>
      </c>
      <c r="U1614" s="217">
        <f t="shared" si="883"/>
        <v>0.01</v>
      </c>
      <c r="V1614" s="217">
        <f t="shared" si="884"/>
        <v>0.2</v>
      </c>
      <c r="W1614" s="217">
        <f t="shared" si="885"/>
        <v>0</v>
      </c>
      <c r="X1614" s="217">
        <f t="shared" si="886"/>
        <v>47.45</v>
      </c>
      <c r="Y1614" s="218">
        <f t="shared" si="887"/>
        <v>-417.45</v>
      </c>
      <c r="Z1614" s="219">
        <v>-417.17</v>
      </c>
      <c r="AA1614" s="220">
        <f t="shared" si="888"/>
        <v>0.27999999999997272</v>
      </c>
      <c r="AB1614" s="221">
        <f t="shared" si="889"/>
        <v>-1</v>
      </c>
      <c r="AC1614" s="222">
        <f t="shared" si="890"/>
        <v>0.128243</v>
      </c>
      <c r="AD1614" s="217"/>
      <c r="AE1614" s="223" t="s">
        <v>403</v>
      </c>
      <c r="AF1614" s="119"/>
    </row>
    <row r="1615" spans="1:32">
      <c r="A1615" s="150">
        <v>44770</v>
      </c>
      <c r="B1615" s="152" t="s">
        <v>793</v>
      </c>
      <c r="C1615" s="152" t="str">
        <f t="shared" ca="1" si="874"/>
        <v>Indices</v>
      </c>
      <c r="D1615" s="152" t="str">
        <f ca="1">IFERROR(__xludf.DUMMYFUNCTION("split(B1615,"" "")"),"NIFTY")</f>
        <v>NIFTY</v>
      </c>
      <c r="E1615" s="152" t="str">
        <f ca="1">IFERROR(__xludf.DUMMYFUNCTION("""COMPUTED_VALUE"""),"JUL")</f>
        <v>JUL</v>
      </c>
      <c r="F1615" s="152">
        <f ca="1">IFERROR(__xludf.DUMMYFUNCTION("""COMPUTED_VALUE"""),16700)</f>
        <v>16700</v>
      </c>
      <c r="G1615" s="152" t="str">
        <f ca="1">IFERROR(__xludf.DUMMYFUNCTION("""COMPUTED_VALUE"""),"PE")</f>
        <v>PE</v>
      </c>
      <c r="H1615" s="211">
        <v>50</v>
      </c>
      <c r="I1615" s="212">
        <v>7</v>
      </c>
      <c r="J1615" s="212">
        <v>1</v>
      </c>
      <c r="K1615" s="213">
        <f t="shared" si="875"/>
        <v>350</v>
      </c>
      <c r="L1615" s="214">
        <v>0</v>
      </c>
      <c r="M1615" s="215">
        <v>0.15</v>
      </c>
      <c r="N1615" s="216">
        <f t="shared" si="876"/>
        <v>0</v>
      </c>
      <c r="O1615" s="216">
        <f t="shared" si="877"/>
        <v>52.5</v>
      </c>
      <c r="P1615" s="217">
        <f t="shared" si="878"/>
        <v>52.5</v>
      </c>
      <c r="Q1615" s="217">
        <f t="shared" si="879"/>
        <v>52.5</v>
      </c>
      <c r="R1615" s="217">
        <f t="shared" si="891"/>
        <v>20</v>
      </c>
      <c r="S1615" s="217">
        <f t="shared" si="881"/>
        <v>3.61</v>
      </c>
      <c r="T1615" s="217">
        <f t="shared" si="882"/>
        <v>0.03</v>
      </c>
      <c r="U1615" s="217">
        <f t="shared" si="883"/>
        <v>0</v>
      </c>
      <c r="V1615" s="217">
        <f t="shared" si="884"/>
        <v>0.03</v>
      </c>
      <c r="W1615" s="217">
        <f t="shared" si="885"/>
        <v>0</v>
      </c>
      <c r="X1615" s="217">
        <f t="shared" si="886"/>
        <v>23.67</v>
      </c>
      <c r="Y1615" s="218">
        <f t="shared" si="887"/>
        <v>28.83</v>
      </c>
      <c r="Z1615" s="219">
        <v>29</v>
      </c>
      <c r="AA1615" s="220">
        <f t="shared" si="888"/>
        <v>0.17000000000000171</v>
      </c>
      <c r="AB1615" s="221">
        <f t="shared" si="889"/>
        <v>0</v>
      </c>
      <c r="AC1615" s="222">
        <f t="shared" si="890"/>
        <v>0.45085700000000001</v>
      </c>
      <c r="AD1615" s="217"/>
      <c r="AE1615" s="223" t="s">
        <v>403</v>
      </c>
      <c r="AF1615" s="119"/>
    </row>
    <row r="1616" spans="1:32">
      <c r="A1616" s="209">
        <v>44770</v>
      </c>
      <c r="B1616" s="152" t="s">
        <v>796</v>
      </c>
      <c r="C1616" s="152" t="str">
        <f t="shared" ca="1" si="874"/>
        <v>Indices</v>
      </c>
      <c r="D1616" s="152" t="str">
        <f ca="1">IFERROR(__xludf.DUMMYFUNCTION("split(B1616,"" "")"),"NIFTY")</f>
        <v>NIFTY</v>
      </c>
      <c r="E1616" s="152" t="str">
        <f ca="1">IFERROR(__xludf.DUMMYFUNCTION("""COMPUTED_VALUE"""),"JUL")</f>
        <v>JUL</v>
      </c>
      <c r="F1616" s="152">
        <f ca="1">IFERROR(__xludf.DUMMYFUNCTION("""COMPUTED_VALUE"""),16700)</f>
        <v>16700</v>
      </c>
      <c r="G1616" s="152" t="str">
        <f ca="1">IFERROR(__xludf.DUMMYFUNCTION("""COMPUTED_VALUE"""),"CE")</f>
        <v>CE</v>
      </c>
      <c r="H1616" s="211">
        <v>50</v>
      </c>
      <c r="I1616" s="212">
        <v>1</v>
      </c>
      <c r="J1616" s="212">
        <v>1</v>
      </c>
      <c r="K1616" s="213">
        <f t="shared" si="875"/>
        <v>50</v>
      </c>
      <c r="L1616" s="214">
        <v>81</v>
      </c>
      <c r="M1616" s="215">
        <v>139</v>
      </c>
      <c r="N1616" s="216">
        <f t="shared" si="876"/>
        <v>4050</v>
      </c>
      <c r="O1616" s="216">
        <f t="shared" si="877"/>
        <v>6950</v>
      </c>
      <c r="P1616" s="217">
        <f t="shared" si="878"/>
        <v>11000</v>
      </c>
      <c r="Q1616" s="217">
        <f t="shared" si="879"/>
        <v>2900</v>
      </c>
      <c r="R1616" s="217">
        <f t="shared" si="891"/>
        <v>40</v>
      </c>
      <c r="S1616" s="217">
        <f t="shared" si="881"/>
        <v>8.25</v>
      </c>
      <c r="T1616" s="217">
        <f t="shared" si="882"/>
        <v>3.48</v>
      </c>
      <c r="U1616" s="217">
        <f t="shared" si="883"/>
        <v>0.12</v>
      </c>
      <c r="V1616" s="217">
        <f t="shared" si="884"/>
        <v>5.83</v>
      </c>
      <c r="W1616" s="217">
        <f t="shared" si="885"/>
        <v>0.01</v>
      </c>
      <c r="X1616" s="217">
        <f t="shared" si="886"/>
        <v>57.689999999999991</v>
      </c>
      <c r="Y1616" s="218">
        <f t="shared" si="887"/>
        <v>2842.31</v>
      </c>
      <c r="Z1616" s="219">
        <v>2842</v>
      </c>
      <c r="AA1616" s="220">
        <f t="shared" si="888"/>
        <v>-0.30999999999994543</v>
      </c>
      <c r="AB1616" s="221">
        <f t="shared" si="889"/>
        <v>0.71604938271604934</v>
      </c>
      <c r="AC1616" s="222">
        <f t="shared" si="890"/>
        <v>5.2449999999999997E-3</v>
      </c>
      <c r="AD1616" s="217"/>
      <c r="AE1616" s="223" t="s">
        <v>403</v>
      </c>
      <c r="AF1616" s="119"/>
    </row>
    <row r="1617" spans="1:32">
      <c r="A1617" s="148">
        <v>44771</v>
      </c>
      <c r="B1617" s="152" t="s">
        <v>797</v>
      </c>
      <c r="C1617" s="152" t="str">
        <f t="shared" ca="1" si="874"/>
        <v>Stocks</v>
      </c>
      <c r="D1617" s="152" t="str">
        <f ca="1">IFERROR(__xludf.DUMMYFUNCTION("split(B1617,"" "")"),"ICICI")</f>
        <v>ICICI</v>
      </c>
      <c r="E1617" s="152" t="str">
        <f ca="1">IFERROR(__xludf.DUMMYFUNCTION("""COMPUTED_VALUE"""),"AUG")</f>
        <v>AUG</v>
      </c>
      <c r="F1617" s="152">
        <f ca="1">IFERROR(__xludf.DUMMYFUNCTION("""COMPUTED_VALUE"""),820)</f>
        <v>820</v>
      </c>
      <c r="G1617" s="152" t="str">
        <f ca="1">IFERROR(__xludf.DUMMYFUNCTION("""COMPUTED_VALUE"""),"CE")</f>
        <v>CE</v>
      </c>
      <c r="H1617" s="211">
        <v>1375</v>
      </c>
      <c r="I1617" s="212">
        <v>1</v>
      </c>
      <c r="J1617" s="212">
        <v>1</v>
      </c>
      <c r="K1617" s="213">
        <f t="shared" si="875"/>
        <v>1375</v>
      </c>
      <c r="L1617" s="214">
        <v>20.3</v>
      </c>
      <c r="M1617" s="215">
        <v>0</v>
      </c>
      <c r="N1617" s="216">
        <f t="shared" si="876"/>
        <v>27912.5</v>
      </c>
      <c r="O1617" s="216">
        <f t="shared" si="877"/>
        <v>0</v>
      </c>
      <c r="P1617" s="217">
        <f t="shared" si="878"/>
        <v>27912.5</v>
      </c>
      <c r="Q1617" s="217">
        <f t="shared" si="879"/>
        <v>-27912.5</v>
      </c>
      <c r="R1617" s="217">
        <f t="shared" si="891"/>
        <v>20</v>
      </c>
      <c r="S1617" s="217">
        <f t="shared" si="881"/>
        <v>6.26</v>
      </c>
      <c r="T1617" s="217">
        <f t="shared" si="882"/>
        <v>0</v>
      </c>
      <c r="U1617" s="217">
        <f t="shared" si="883"/>
        <v>0.84</v>
      </c>
      <c r="V1617" s="217">
        <f t="shared" si="884"/>
        <v>14.79</v>
      </c>
      <c r="W1617" s="217">
        <f t="shared" si="885"/>
        <v>0.03</v>
      </c>
      <c r="X1617" s="217">
        <f t="shared" si="886"/>
        <v>41.92</v>
      </c>
      <c r="Y1617" s="218">
        <f t="shared" si="887"/>
        <v>-27954.42</v>
      </c>
      <c r="Z1617" s="219">
        <v>-27954.59</v>
      </c>
      <c r="AA1617" s="220">
        <f t="shared" si="888"/>
        <v>-0.17000000000189175</v>
      </c>
      <c r="AB1617" s="221">
        <f t="shared" si="889"/>
        <v>-1</v>
      </c>
      <c r="AC1617" s="222">
        <f t="shared" si="890"/>
        <v>1.5020000000000001E-3</v>
      </c>
      <c r="AD1617" s="217"/>
      <c r="AE1617" s="223" t="s">
        <v>403</v>
      </c>
      <c r="AF1617" s="119"/>
    </row>
    <row r="1618" spans="1:32">
      <c r="A1618" s="150">
        <v>44774</v>
      </c>
      <c r="B1618" s="152" t="s">
        <v>797</v>
      </c>
      <c r="C1618" s="152" t="str">
        <f t="shared" ca="1" si="874"/>
        <v>Stocks</v>
      </c>
      <c r="D1618" s="152" t="str">
        <f ca="1">IFERROR(__xludf.DUMMYFUNCTION("split(B1618,"" "")"),"ICICI")</f>
        <v>ICICI</v>
      </c>
      <c r="E1618" s="152" t="str">
        <f ca="1">IFERROR(__xludf.DUMMYFUNCTION("""COMPUTED_VALUE"""),"AUG")</f>
        <v>AUG</v>
      </c>
      <c r="F1618" s="152">
        <f ca="1">IFERROR(__xludf.DUMMYFUNCTION("""COMPUTED_VALUE"""),820)</f>
        <v>820</v>
      </c>
      <c r="G1618" s="152" t="str">
        <f ca="1">IFERROR(__xludf.DUMMYFUNCTION("""COMPUTED_VALUE"""),"CE")</f>
        <v>CE</v>
      </c>
      <c r="H1618" s="211">
        <v>1375</v>
      </c>
      <c r="I1618" s="212">
        <v>1</v>
      </c>
      <c r="J1618" s="212">
        <v>1</v>
      </c>
      <c r="K1618" s="213">
        <f t="shared" si="875"/>
        <v>1375</v>
      </c>
      <c r="L1618" s="214">
        <v>0</v>
      </c>
      <c r="M1618" s="215">
        <v>21.3</v>
      </c>
      <c r="N1618" s="216">
        <f t="shared" si="876"/>
        <v>0</v>
      </c>
      <c r="O1618" s="216">
        <f t="shared" si="877"/>
        <v>29287.5</v>
      </c>
      <c r="P1618" s="217">
        <f t="shared" si="878"/>
        <v>29287.5</v>
      </c>
      <c r="Q1618" s="217">
        <f t="shared" si="879"/>
        <v>29287.5</v>
      </c>
      <c r="R1618" s="217">
        <f t="shared" si="891"/>
        <v>20</v>
      </c>
      <c r="S1618" s="217">
        <f t="shared" si="881"/>
        <v>6.39</v>
      </c>
      <c r="T1618" s="217">
        <f t="shared" si="882"/>
        <v>14.64</v>
      </c>
      <c r="U1618" s="217">
        <f t="shared" si="883"/>
        <v>0</v>
      </c>
      <c r="V1618" s="217">
        <f t="shared" si="884"/>
        <v>15.52</v>
      </c>
      <c r="W1618" s="217">
        <f t="shared" si="885"/>
        <v>0.03</v>
      </c>
      <c r="X1618" s="217">
        <f t="shared" si="886"/>
        <v>56.58</v>
      </c>
      <c r="Y1618" s="218">
        <f t="shared" si="887"/>
        <v>29230.92</v>
      </c>
      <c r="Z1618" s="219">
        <v>29230.55</v>
      </c>
      <c r="AA1618" s="220">
        <f t="shared" si="888"/>
        <v>-0.36999999999898137</v>
      </c>
      <c r="AB1618" s="221">
        <f t="shared" si="889"/>
        <v>0</v>
      </c>
      <c r="AC1618" s="222">
        <f t="shared" si="890"/>
        <v>1.9319999999999999E-3</v>
      </c>
      <c r="AD1618" s="217"/>
      <c r="AE1618" s="223" t="s">
        <v>403</v>
      </c>
      <c r="AF1618" s="119"/>
    </row>
    <row r="1619" spans="1:32">
      <c r="A1619" s="148">
        <v>44776</v>
      </c>
      <c r="B1619" s="152" t="s">
        <v>798</v>
      </c>
      <c r="C1619" s="152" t="str">
        <f t="shared" ca="1" si="874"/>
        <v>Indices</v>
      </c>
      <c r="D1619" s="152" t="str">
        <f ca="1">IFERROR(__xludf.DUMMYFUNCTION("split(B1619,"" "")"),"NIFTY")</f>
        <v>NIFTY</v>
      </c>
      <c r="E1619" s="224">
        <f ca="1">IFERROR(__xludf.DUMMYFUNCTION("""COMPUTED_VALUE"""),45149)</f>
        <v>45149</v>
      </c>
      <c r="F1619" s="152">
        <f ca="1">IFERROR(__xludf.DUMMYFUNCTION("""COMPUTED_VALUE"""),17350)</f>
        <v>17350</v>
      </c>
      <c r="G1619" s="152" t="str">
        <f ca="1">IFERROR(__xludf.DUMMYFUNCTION("""COMPUTED_VALUE"""),"CE")</f>
        <v>CE</v>
      </c>
      <c r="H1619" s="211">
        <v>50</v>
      </c>
      <c r="I1619" s="212">
        <v>1</v>
      </c>
      <c r="J1619" s="212">
        <v>4</v>
      </c>
      <c r="K1619" s="213">
        <f t="shared" si="875"/>
        <v>200</v>
      </c>
      <c r="L1619" s="214">
        <v>156</v>
      </c>
      <c r="M1619" s="215">
        <v>0</v>
      </c>
      <c r="N1619" s="216">
        <f t="shared" si="876"/>
        <v>31200</v>
      </c>
      <c r="O1619" s="216">
        <f t="shared" si="877"/>
        <v>0</v>
      </c>
      <c r="P1619" s="217">
        <f t="shared" si="878"/>
        <v>31200</v>
      </c>
      <c r="Q1619" s="217">
        <f t="shared" si="879"/>
        <v>-31200</v>
      </c>
      <c r="R1619" s="217">
        <f t="shared" si="891"/>
        <v>80</v>
      </c>
      <c r="S1619" s="217">
        <f t="shared" si="881"/>
        <v>17.38</v>
      </c>
      <c r="T1619" s="217">
        <f t="shared" si="882"/>
        <v>0</v>
      </c>
      <c r="U1619" s="217">
        <f t="shared" si="883"/>
        <v>0.94</v>
      </c>
      <c r="V1619" s="217">
        <f t="shared" si="884"/>
        <v>16.54</v>
      </c>
      <c r="W1619" s="217">
        <f t="shared" si="885"/>
        <v>0.03</v>
      </c>
      <c r="X1619" s="217">
        <f t="shared" si="886"/>
        <v>114.88999999999999</v>
      </c>
      <c r="Y1619" s="218">
        <f t="shared" si="887"/>
        <v>-31314.89</v>
      </c>
      <c r="Z1619" s="219">
        <v>-31315</v>
      </c>
      <c r="AA1619" s="220">
        <f t="shared" si="888"/>
        <v>-0.11000000000058208</v>
      </c>
      <c r="AB1619" s="221">
        <f t="shared" si="889"/>
        <v>-1</v>
      </c>
      <c r="AC1619" s="222">
        <f t="shared" si="890"/>
        <v>3.6819999999999999E-3</v>
      </c>
      <c r="AD1619" s="217"/>
      <c r="AE1619" s="223" t="s">
        <v>403</v>
      </c>
      <c r="AF1619" s="119"/>
    </row>
    <row r="1620" spans="1:32">
      <c r="A1620" s="150">
        <v>44776</v>
      </c>
      <c r="B1620" s="152" t="s">
        <v>798</v>
      </c>
      <c r="C1620" s="152" t="str">
        <f t="shared" ca="1" si="874"/>
        <v>Indices</v>
      </c>
      <c r="D1620" s="152" t="str">
        <f ca="1">IFERROR(__xludf.DUMMYFUNCTION("split(B1620,"" "")"),"NIFTY")</f>
        <v>NIFTY</v>
      </c>
      <c r="E1620" s="224">
        <f ca="1">IFERROR(__xludf.DUMMYFUNCTION("""COMPUTED_VALUE"""),45149)</f>
        <v>45149</v>
      </c>
      <c r="F1620" s="152">
        <f ca="1">IFERROR(__xludf.DUMMYFUNCTION("""COMPUTED_VALUE"""),17350)</f>
        <v>17350</v>
      </c>
      <c r="G1620" s="152" t="str">
        <f ca="1">IFERROR(__xludf.DUMMYFUNCTION("""COMPUTED_VALUE"""),"CE")</f>
        <v>CE</v>
      </c>
      <c r="H1620" s="211">
        <v>50</v>
      </c>
      <c r="I1620" s="212">
        <v>4</v>
      </c>
      <c r="J1620" s="212">
        <v>1</v>
      </c>
      <c r="K1620" s="213">
        <f t="shared" si="875"/>
        <v>200</v>
      </c>
      <c r="L1620" s="214">
        <v>0</v>
      </c>
      <c r="M1620" s="215">
        <v>162</v>
      </c>
      <c r="N1620" s="216">
        <f t="shared" si="876"/>
        <v>0</v>
      </c>
      <c r="O1620" s="216">
        <f t="shared" si="877"/>
        <v>32400</v>
      </c>
      <c r="P1620" s="217">
        <f t="shared" si="878"/>
        <v>32400</v>
      </c>
      <c r="Q1620" s="217">
        <f t="shared" si="879"/>
        <v>32400</v>
      </c>
      <c r="R1620" s="217">
        <f t="shared" si="891"/>
        <v>20</v>
      </c>
      <c r="S1620" s="217">
        <f t="shared" si="881"/>
        <v>6.69</v>
      </c>
      <c r="T1620" s="217">
        <f t="shared" si="882"/>
        <v>16.2</v>
      </c>
      <c r="U1620" s="217">
        <f t="shared" si="883"/>
        <v>0</v>
      </c>
      <c r="V1620" s="217">
        <f t="shared" si="884"/>
        <v>17.170000000000002</v>
      </c>
      <c r="W1620" s="217">
        <f t="shared" si="885"/>
        <v>0.03</v>
      </c>
      <c r="X1620" s="217">
        <f t="shared" si="886"/>
        <v>60.09</v>
      </c>
      <c r="Y1620" s="218">
        <f t="shared" si="887"/>
        <v>32339.91</v>
      </c>
      <c r="Z1620" s="219">
        <v>32340</v>
      </c>
      <c r="AA1620" s="220">
        <f t="shared" si="888"/>
        <v>9.0000000000145519E-2</v>
      </c>
      <c r="AB1620" s="221">
        <f t="shared" si="889"/>
        <v>0</v>
      </c>
      <c r="AC1620" s="222">
        <f t="shared" si="890"/>
        <v>1.8550000000000001E-3</v>
      </c>
      <c r="AD1620" s="217"/>
      <c r="AE1620" s="223" t="s">
        <v>403</v>
      </c>
      <c r="AF1620" s="119"/>
    </row>
    <row r="1621" spans="1:32">
      <c r="A1621" s="209">
        <v>44776</v>
      </c>
      <c r="B1621" s="152" t="s">
        <v>798</v>
      </c>
      <c r="C1621" s="152" t="str">
        <f t="shared" ca="1" si="874"/>
        <v>Indices</v>
      </c>
      <c r="D1621" s="152" t="str">
        <f ca="1">IFERROR(__xludf.DUMMYFUNCTION("split(B1621,"" "")"),"NIFTY")</f>
        <v>NIFTY</v>
      </c>
      <c r="E1621" s="224">
        <f ca="1">IFERROR(__xludf.DUMMYFUNCTION("""COMPUTED_VALUE"""),45149)</f>
        <v>45149</v>
      </c>
      <c r="F1621" s="152">
        <f ca="1">IFERROR(__xludf.DUMMYFUNCTION("""COMPUTED_VALUE"""),17350)</f>
        <v>17350</v>
      </c>
      <c r="G1621" s="152" t="str">
        <f ca="1">IFERROR(__xludf.DUMMYFUNCTION("""COMPUTED_VALUE"""),"CE")</f>
        <v>CE</v>
      </c>
      <c r="H1621" s="211">
        <v>50</v>
      </c>
      <c r="I1621" s="212">
        <v>1</v>
      </c>
      <c r="J1621" s="212">
        <v>1</v>
      </c>
      <c r="K1621" s="213">
        <f t="shared" si="875"/>
        <v>50</v>
      </c>
      <c r="L1621" s="214">
        <v>150</v>
      </c>
      <c r="M1621" s="215">
        <v>158.05000000000001</v>
      </c>
      <c r="N1621" s="216">
        <f t="shared" si="876"/>
        <v>7500</v>
      </c>
      <c r="O1621" s="216">
        <f t="shared" si="877"/>
        <v>7902.5</v>
      </c>
      <c r="P1621" s="217">
        <f t="shared" si="878"/>
        <v>15402.5</v>
      </c>
      <c r="Q1621" s="217">
        <f t="shared" si="879"/>
        <v>402.50000000000057</v>
      </c>
      <c r="R1621" s="217">
        <f t="shared" si="891"/>
        <v>40</v>
      </c>
      <c r="S1621" s="217">
        <f t="shared" si="881"/>
        <v>8.67</v>
      </c>
      <c r="T1621" s="217">
        <f t="shared" si="882"/>
        <v>3.95</v>
      </c>
      <c r="U1621" s="217">
        <f t="shared" si="883"/>
        <v>0.23</v>
      </c>
      <c r="V1621" s="217">
        <f t="shared" si="884"/>
        <v>8.16</v>
      </c>
      <c r="W1621" s="217">
        <f t="shared" si="885"/>
        <v>0.02</v>
      </c>
      <c r="X1621" s="217">
        <f t="shared" si="886"/>
        <v>61.030000000000008</v>
      </c>
      <c r="Y1621" s="218">
        <f t="shared" si="887"/>
        <v>341.47</v>
      </c>
      <c r="Z1621" s="219">
        <v>341.8</v>
      </c>
      <c r="AA1621" s="220">
        <f t="shared" si="888"/>
        <v>0.32999999999998408</v>
      </c>
      <c r="AB1621" s="221">
        <f t="shared" si="889"/>
        <v>5.3666666666666744E-2</v>
      </c>
      <c r="AC1621" s="222">
        <f t="shared" si="890"/>
        <v>3.9620000000000002E-3</v>
      </c>
      <c r="AD1621" s="217"/>
      <c r="AE1621" s="223" t="s">
        <v>403</v>
      </c>
      <c r="AF1621" s="119"/>
    </row>
    <row r="1622" spans="1:32">
      <c r="A1622" s="148">
        <v>44777</v>
      </c>
      <c r="B1622" s="152" t="s">
        <v>799</v>
      </c>
      <c r="C1622" s="152" t="str">
        <f t="shared" ca="1" si="874"/>
        <v>Stocks</v>
      </c>
      <c r="D1622" s="152" t="str">
        <f ca="1">IFERROR(__xludf.DUMMYFUNCTION("split(B1622,"" "")"),"TORNTPOWER")</f>
        <v>TORNTPOWER</v>
      </c>
      <c r="E1622" s="224" t="str">
        <f ca="1">IFERROR(__xludf.DUMMYFUNCTION("""COMPUTED_VALUE"""),"AUG")</f>
        <v>AUG</v>
      </c>
      <c r="F1622" s="152">
        <f ca="1">IFERROR(__xludf.DUMMYFUNCTION("""COMPUTED_VALUE"""),530)</f>
        <v>530</v>
      </c>
      <c r="G1622" s="152" t="str">
        <f ca="1">IFERROR(__xludf.DUMMYFUNCTION("""COMPUTED_VALUE"""),"CE")</f>
        <v>CE</v>
      </c>
      <c r="H1622" s="211">
        <v>1500</v>
      </c>
      <c r="I1622" s="212">
        <v>1</v>
      </c>
      <c r="J1622" s="212">
        <v>1</v>
      </c>
      <c r="K1622" s="213">
        <f t="shared" si="875"/>
        <v>1500</v>
      </c>
      <c r="L1622" s="214">
        <v>22</v>
      </c>
      <c r="M1622" s="215">
        <v>0</v>
      </c>
      <c r="N1622" s="216">
        <f t="shared" si="876"/>
        <v>33000</v>
      </c>
      <c r="O1622" s="216">
        <f t="shared" si="877"/>
        <v>0</v>
      </c>
      <c r="P1622" s="217">
        <f t="shared" si="878"/>
        <v>33000</v>
      </c>
      <c r="Q1622" s="217">
        <f t="shared" si="879"/>
        <v>-33000</v>
      </c>
      <c r="R1622" s="217">
        <f t="shared" si="891"/>
        <v>20</v>
      </c>
      <c r="S1622" s="217">
        <f t="shared" si="881"/>
        <v>6.75</v>
      </c>
      <c r="T1622" s="217">
        <f t="shared" si="882"/>
        <v>0</v>
      </c>
      <c r="U1622" s="217">
        <f t="shared" si="883"/>
        <v>0.99</v>
      </c>
      <c r="V1622" s="217">
        <f t="shared" si="884"/>
        <v>17.489999999999998</v>
      </c>
      <c r="W1622" s="217">
        <f t="shared" si="885"/>
        <v>0.03</v>
      </c>
      <c r="X1622" s="217">
        <f t="shared" si="886"/>
        <v>45.26</v>
      </c>
      <c r="Y1622" s="218">
        <f t="shared" si="887"/>
        <v>-33045.26</v>
      </c>
      <c r="Z1622" s="219">
        <v>-33045</v>
      </c>
      <c r="AA1622" s="220">
        <f t="shared" si="888"/>
        <v>0.26000000000203727</v>
      </c>
      <c r="AB1622" s="221">
        <f t="shared" si="889"/>
        <v>-1</v>
      </c>
      <c r="AC1622" s="222">
        <f t="shared" si="890"/>
        <v>1.372E-3</v>
      </c>
      <c r="AD1622" s="217"/>
      <c r="AE1622" s="223" t="s">
        <v>403</v>
      </c>
      <c r="AF1622" s="119"/>
    </row>
    <row r="1623" spans="1:32">
      <c r="A1623" s="150">
        <v>44778</v>
      </c>
      <c r="B1623" s="152" t="s">
        <v>799</v>
      </c>
      <c r="C1623" s="152" t="str">
        <f t="shared" ca="1" si="874"/>
        <v>Stocks</v>
      </c>
      <c r="D1623" s="152" t="str">
        <f ca="1">IFERROR(__xludf.DUMMYFUNCTION("split(B1623,"" "")"),"TORNTPOWER")</f>
        <v>TORNTPOWER</v>
      </c>
      <c r="E1623" s="152" t="str">
        <f ca="1">IFERROR(__xludf.DUMMYFUNCTION("""COMPUTED_VALUE"""),"AUG")</f>
        <v>AUG</v>
      </c>
      <c r="F1623" s="152">
        <f ca="1">IFERROR(__xludf.DUMMYFUNCTION("""COMPUTED_VALUE"""),530)</f>
        <v>530</v>
      </c>
      <c r="G1623" s="152" t="str">
        <f ca="1">IFERROR(__xludf.DUMMYFUNCTION("""COMPUTED_VALUE"""),"CE")</f>
        <v>CE</v>
      </c>
      <c r="H1623" s="211">
        <v>1500</v>
      </c>
      <c r="I1623" s="212">
        <v>1</v>
      </c>
      <c r="J1623" s="212">
        <v>1</v>
      </c>
      <c r="K1623" s="213">
        <f t="shared" si="875"/>
        <v>1500</v>
      </c>
      <c r="L1623" s="214">
        <v>0</v>
      </c>
      <c r="M1623" s="215">
        <v>23</v>
      </c>
      <c r="N1623" s="216">
        <f t="shared" si="876"/>
        <v>0</v>
      </c>
      <c r="O1623" s="216">
        <f t="shared" si="877"/>
        <v>34500</v>
      </c>
      <c r="P1623" s="217">
        <f t="shared" si="878"/>
        <v>34500</v>
      </c>
      <c r="Q1623" s="217">
        <f t="shared" si="879"/>
        <v>34500</v>
      </c>
      <c r="R1623" s="217">
        <f t="shared" si="891"/>
        <v>20</v>
      </c>
      <c r="S1623" s="217">
        <f t="shared" si="881"/>
        <v>6.89</v>
      </c>
      <c r="T1623" s="217">
        <f t="shared" si="882"/>
        <v>17.25</v>
      </c>
      <c r="U1623" s="217">
        <f t="shared" si="883"/>
        <v>0</v>
      </c>
      <c r="V1623" s="217">
        <f t="shared" si="884"/>
        <v>18.29</v>
      </c>
      <c r="W1623" s="217">
        <f t="shared" si="885"/>
        <v>0.03</v>
      </c>
      <c r="X1623" s="217">
        <f t="shared" si="886"/>
        <v>62.46</v>
      </c>
      <c r="Y1623" s="218">
        <f t="shared" si="887"/>
        <v>34437.54</v>
      </c>
      <c r="Z1623" s="219">
        <v>34437.360000000001</v>
      </c>
      <c r="AA1623" s="220">
        <f t="shared" si="888"/>
        <v>-0.18000000000029104</v>
      </c>
      <c r="AB1623" s="221">
        <f t="shared" si="889"/>
        <v>0</v>
      </c>
      <c r="AC1623" s="222">
        <f t="shared" si="890"/>
        <v>1.81E-3</v>
      </c>
      <c r="AD1623" s="217"/>
      <c r="AE1623" s="223" t="s">
        <v>403</v>
      </c>
      <c r="AF1623" s="119"/>
    </row>
    <row r="1624" spans="1:32">
      <c r="A1624" s="148">
        <v>44777</v>
      </c>
      <c r="B1624" s="152" t="s">
        <v>800</v>
      </c>
      <c r="C1624" s="152" t="str">
        <f t="shared" ca="1" si="874"/>
        <v>Stocks</v>
      </c>
      <c r="D1624" s="152" t="str">
        <f ca="1">IFERROR(__xludf.DUMMYFUNCTION("split(B1624,"" "")"),"LUPIN")</f>
        <v>LUPIN</v>
      </c>
      <c r="E1624" s="152" t="str">
        <f ca="1">IFERROR(__xludf.DUMMYFUNCTION("""COMPUTED_VALUE"""),"AUG")</f>
        <v>AUG</v>
      </c>
      <c r="F1624" s="152">
        <f ca="1">IFERROR(__xludf.DUMMYFUNCTION("""COMPUTED_VALUE"""),670)</f>
        <v>670</v>
      </c>
      <c r="G1624" s="152" t="str">
        <f ca="1">IFERROR(__xludf.DUMMYFUNCTION("""COMPUTED_VALUE"""),"CE")</f>
        <v>CE</v>
      </c>
      <c r="H1624" s="211">
        <v>850</v>
      </c>
      <c r="I1624" s="212">
        <v>1</v>
      </c>
      <c r="J1624" s="212">
        <v>1</v>
      </c>
      <c r="K1624" s="213">
        <f t="shared" si="875"/>
        <v>850</v>
      </c>
      <c r="L1624" s="214">
        <v>18.5</v>
      </c>
      <c r="M1624" s="215">
        <v>0</v>
      </c>
      <c r="N1624" s="216">
        <f t="shared" si="876"/>
        <v>15725</v>
      </c>
      <c r="O1624" s="216">
        <f t="shared" si="877"/>
        <v>0</v>
      </c>
      <c r="P1624" s="217">
        <f t="shared" si="878"/>
        <v>15725</v>
      </c>
      <c r="Q1624" s="217">
        <f t="shared" si="879"/>
        <v>-15725</v>
      </c>
      <c r="R1624" s="217">
        <f t="shared" si="891"/>
        <v>20</v>
      </c>
      <c r="S1624" s="217">
        <f t="shared" si="881"/>
        <v>5.0999999999999996</v>
      </c>
      <c r="T1624" s="217">
        <f t="shared" si="882"/>
        <v>0</v>
      </c>
      <c r="U1624" s="217">
        <f t="shared" si="883"/>
        <v>0.47</v>
      </c>
      <c r="V1624" s="217">
        <f t="shared" si="884"/>
        <v>8.33</v>
      </c>
      <c r="W1624" s="217">
        <f t="shared" si="885"/>
        <v>0.02</v>
      </c>
      <c r="X1624" s="217">
        <f t="shared" si="886"/>
        <v>33.92</v>
      </c>
      <c r="Y1624" s="218">
        <f t="shared" si="887"/>
        <v>-15758.92</v>
      </c>
      <c r="Z1624" s="219">
        <v>-15758.73</v>
      </c>
      <c r="AA1624" s="220">
        <f t="shared" si="888"/>
        <v>0.19000000000050932</v>
      </c>
      <c r="AB1624" s="221">
        <f t="shared" si="889"/>
        <v>-1</v>
      </c>
      <c r="AC1624" s="222">
        <f t="shared" si="890"/>
        <v>2.1570000000000001E-3</v>
      </c>
      <c r="AD1624" s="217"/>
      <c r="AE1624" s="223" t="s">
        <v>403</v>
      </c>
      <c r="AF1624" s="119"/>
    </row>
    <row r="1625" spans="1:32">
      <c r="A1625" s="150">
        <v>44778</v>
      </c>
      <c r="B1625" s="152" t="s">
        <v>800</v>
      </c>
      <c r="C1625" s="152" t="str">
        <f t="shared" ca="1" si="874"/>
        <v>Stocks</v>
      </c>
      <c r="D1625" s="152" t="str">
        <f ca="1">IFERROR(__xludf.DUMMYFUNCTION("split(B1625,"" "")"),"LUPIN")</f>
        <v>LUPIN</v>
      </c>
      <c r="E1625" s="152" t="str">
        <f ca="1">IFERROR(__xludf.DUMMYFUNCTION("""COMPUTED_VALUE"""),"AUG")</f>
        <v>AUG</v>
      </c>
      <c r="F1625" s="152">
        <f ca="1">IFERROR(__xludf.DUMMYFUNCTION("""COMPUTED_VALUE"""),670)</f>
        <v>670</v>
      </c>
      <c r="G1625" s="152" t="str">
        <f ca="1">IFERROR(__xludf.DUMMYFUNCTION("""COMPUTED_VALUE"""),"CE")</f>
        <v>CE</v>
      </c>
      <c r="H1625" s="211">
        <v>850</v>
      </c>
      <c r="I1625" s="212">
        <v>1</v>
      </c>
      <c r="J1625" s="212">
        <v>1</v>
      </c>
      <c r="K1625" s="213">
        <f t="shared" si="875"/>
        <v>850</v>
      </c>
      <c r="L1625" s="214">
        <v>0</v>
      </c>
      <c r="M1625" s="215">
        <v>21.5</v>
      </c>
      <c r="N1625" s="216">
        <f t="shared" si="876"/>
        <v>0</v>
      </c>
      <c r="O1625" s="216">
        <f t="shared" si="877"/>
        <v>18275</v>
      </c>
      <c r="P1625" s="217">
        <f t="shared" si="878"/>
        <v>18275</v>
      </c>
      <c r="Q1625" s="217">
        <f t="shared" si="879"/>
        <v>18275</v>
      </c>
      <c r="R1625" s="217">
        <f t="shared" si="891"/>
        <v>20</v>
      </c>
      <c r="S1625" s="217">
        <f t="shared" si="881"/>
        <v>5.34</v>
      </c>
      <c r="T1625" s="217">
        <f t="shared" si="882"/>
        <v>9.14</v>
      </c>
      <c r="U1625" s="217">
        <f t="shared" si="883"/>
        <v>0</v>
      </c>
      <c r="V1625" s="217">
        <f t="shared" si="884"/>
        <v>9.69</v>
      </c>
      <c r="W1625" s="217">
        <f t="shared" si="885"/>
        <v>0.02</v>
      </c>
      <c r="X1625" s="217">
        <f t="shared" si="886"/>
        <v>44.190000000000005</v>
      </c>
      <c r="Y1625" s="218">
        <f t="shared" si="887"/>
        <v>18230.810000000001</v>
      </c>
      <c r="Z1625" s="219">
        <v>18231</v>
      </c>
      <c r="AA1625" s="220">
        <f t="shared" si="888"/>
        <v>0.18999999999869033</v>
      </c>
      <c r="AB1625" s="221">
        <f t="shared" si="889"/>
        <v>0</v>
      </c>
      <c r="AC1625" s="222">
        <f t="shared" si="890"/>
        <v>2.418E-3</v>
      </c>
      <c r="AD1625" s="217"/>
      <c r="AE1625" s="223" t="s">
        <v>403</v>
      </c>
      <c r="AF1625" s="119"/>
    </row>
    <row r="1626" spans="1:32">
      <c r="A1626" s="209">
        <v>44778</v>
      </c>
      <c r="B1626" s="152" t="s">
        <v>801</v>
      </c>
      <c r="C1626" s="152" t="str">
        <f t="shared" ca="1" si="874"/>
        <v>Indices</v>
      </c>
      <c r="D1626" s="152" t="str">
        <f ca="1">IFERROR(__xludf.DUMMYFUNCTION("split(B1626,"" "")"),"NIFTY")</f>
        <v>NIFTY</v>
      </c>
      <c r="E1626" s="224">
        <f ca="1">IFERROR(__xludf.DUMMYFUNCTION("""COMPUTED_VALUE"""),45149)</f>
        <v>45149</v>
      </c>
      <c r="F1626" s="152">
        <f ca="1">IFERROR(__xludf.DUMMYFUNCTION("""COMPUTED_VALUE"""),17400)</f>
        <v>17400</v>
      </c>
      <c r="G1626" s="152" t="str">
        <f ca="1">IFERROR(__xludf.DUMMYFUNCTION("""COMPUTED_VALUE"""),"CE")</f>
        <v>CE</v>
      </c>
      <c r="H1626" s="211">
        <v>50</v>
      </c>
      <c r="I1626" s="212">
        <v>1</v>
      </c>
      <c r="J1626" s="212">
        <v>2</v>
      </c>
      <c r="K1626" s="213">
        <f t="shared" si="875"/>
        <v>100</v>
      </c>
      <c r="L1626" s="214">
        <v>129</v>
      </c>
      <c r="M1626" s="215">
        <v>0</v>
      </c>
      <c r="N1626" s="216">
        <f t="shared" si="876"/>
        <v>12900</v>
      </c>
      <c r="O1626" s="216">
        <f t="shared" si="877"/>
        <v>0</v>
      </c>
      <c r="P1626" s="217">
        <f t="shared" si="878"/>
        <v>12900</v>
      </c>
      <c r="Q1626" s="217">
        <f t="shared" si="879"/>
        <v>-12900</v>
      </c>
      <c r="R1626" s="217">
        <f t="shared" si="891"/>
        <v>40</v>
      </c>
      <c r="S1626" s="217">
        <f t="shared" si="881"/>
        <v>8.43</v>
      </c>
      <c r="T1626" s="217">
        <f t="shared" si="882"/>
        <v>0</v>
      </c>
      <c r="U1626" s="217">
        <f t="shared" si="883"/>
        <v>0.39</v>
      </c>
      <c r="V1626" s="217">
        <f t="shared" si="884"/>
        <v>6.84</v>
      </c>
      <c r="W1626" s="217">
        <f t="shared" si="885"/>
        <v>0.01</v>
      </c>
      <c r="X1626" s="217">
        <f t="shared" si="886"/>
        <v>55.669999999999995</v>
      </c>
      <c r="Y1626" s="218">
        <f t="shared" si="887"/>
        <v>-12955.67</v>
      </c>
      <c r="Z1626" s="219">
        <v>-12956</v>
      </c>
      <c r="AA1626" s="220">
        <f t="shared" si="888"/>
        <v>-0.32999999999992724</v>
      </c>
      <c r="AB1626" s="221">
        <f t="shared" si="889"/>
        <v>-1</v>
      </c>
      <c r="AC1626" s="222">
        <f t="shared" si="890"/>
        <v>4.3160000000000004E-3</v>
      </c>
      <c r="AD1626" s="217"/>
      <c r="AE1626" s="223" t="s">
        <v>403</v>
      </c>
      <c r="AF1626" s="119"/>
    </row>
    <row r="1627" spans="1:32">
      <c r="A1627" s="209">
        <v>44778</v>
      </c>
      <c r="B1627" s="152" t="s">
        <v>801</v>
      </c>
      <c r="C1627" s="152" t="str">
        <f t="shared" ca="1" si="874"/>
        <v>Indices</v>
      </c>
      <c r="D1627" s="152" t="str">
        <f ca="1">IFERROR(__xludf.DUMMYFUNCTION("split(B1627,"" "")"),"NIFTY")</f>
        <v>NIFTY</v>
      </c>
      <c r="E1627" s="224">
        <f ca="1">IFERROR(__xludf.DUMMYFUNCTION("""COMPUTED_VALUE"""),45149)</f>
        <v>45149</v>
      </c>
      <c r="F1627" s="152">
        <f ca="1">IFERROR(__xludf.DUMMYFUNCTION("""COMPUTED_VALUE"""),17400)</f>
        <v>17400</v>
      </c>
      <c r="G1627" s="152" t="str">
        <f ca="1">IFERROR(__xludf.DUMMYFUNCTION("""COMPUTED_VALUE"""),"CE")</f>
        <v>CE</v>
      </c>
      <c r="H1627" s="211">
        <v>50</v>
      </c>
      <c r="I1627" s="212">
        <v>2</v>
      </c>
      <c r="J1627" s="212">
        <v>1</v>
      </c>
      <c r="K1627" s="213">
        <f t="shared" si="875"/>
        <v>100</v>
      </c>
      <c r="L1627" s="214">
        <v>0</v>
      </c>
      <c r="M1627" s="215">
        <v>138</v>
      </c>
      <c r="N1627" s="216">
        <f t="shared" si="876"/>
        <v>0</v>
      </c>
      <c r="O1627" s="216">
        <f t="shared" si="877"/>
        <v>13800</v>
      </c>
      <c r="P1627" s="217">
        <f t="shared" si="878"/>
        <v>13800</v>
      </c>
      <c r="Q1627" s="217">
        <f t="shared" si="879"/>
        <v>13800</v>
      </c>
      <c r="R1627" s="217">
        <f t="shared" si="891"/>
        <v>20</v>
      </c>
      <c r="S1627" s="217">
        <f t="shared" si="881"/>
        <v>4.92</v>
      </c>
      <c r="T1627" s="217">
        <f t="shared" si="882"/>
        <v>6.9</v>
      </c>
      <c r="U1627" s="217">
        <f t="shared" si="883"/>
        <v>0</v>
      </c>
      <c r="V1627" s="217">
        <f t="shared" si="884"/>
        <v>7.31</v>
      </c>
      <c r="W1627" s="217">
        <f t="shared" si="885"/>
        <v>0.01</v>
      </c>
      <c r="X1627" s="217">
        <f t="shared" si="886"/>
        <v>39.14</v>
      </c>
      <c r="Y1627" s="218">
        <f t="shared" si="887"/>
        <v>13760.86</v>
      </c>
      <c r="Z1627" s="219">
        <v>13761</v>
      </c>
      <c r="AA1627" s="220">
        <f t="shared" si="888"/>
        <v>0.13999999999941792</v>
      </c>
      <c r="AB1627" s="221">
        <f t="shared" si="889"/>
        <v>0</v>
      </c>
      <c r="AC1627" s="222">
        <f t="shared" si="890"/>
        <v>2.836E-3</v>
      </c>
      <c r="AD1627" s="217"/>
      <c r="AE1627" s="223" t="s">
        <v>403</v>
      </c>
      <c r="AF1627" s="119"/>
    </row>
    <row r="1628" spans="1:32">
      <c r="A1628" s="209">
        <v>44778</v>
      </c>
      <c r="B1628" s="152" t="s">
        <v>802</v>
      </c>
      <c r="C1628" s="152" t="str">
        <f t="shared" ca="1" si="874"/>
        <v>Stocks</v>
      </c>
      <c r="D1628" s="152" t="str">
        <f ca="1">IFERROR(__xludf.DUMMYFUNCTION("split(B1628,"" "")"),"NAVINFLUOR")</f>
        <v>NAVINFLUOR</v>
      </c>
      <c r="E1628" s="224" t="str">
        <f ca="1">IFERROR(__xludf.DUMMYFUNCTION("""COMPUTED_VALUE"""),"AUG")</f>
        <v>AUG</v>
      </c>
      <c r="F1628" s="152">
        <f ca="1">IFERROR(__xludf.DUMMYFUNCTION("""COMPUTED_VALUE"""),4500)</f>
        <v>4500</v>
      </c>
      <c r="G1628" s="152" t="str">
        <f ca="1">IFERROR(__xludf.DUMMYFUNCTION("""COMPUTED_VALUE"""),"CE")</f>
        <v>CE</v>
      </c>
      <c r="H1628" s="211">
        <v>225</v>
      </c>
      <c r="I1628" s="212">
        <v>1</v>
      </c>
      <c r="J1628" s="212">
        <v>1</v>
      </c>
      <c r="K1628" s="213">
        <f t="shared" si="875"/>
        <v>225</v>
      </c>
      <c r="L1628" s="214">
        <v>170</v>
      </c>
      <c r="M1628" s="215">
        <v>175</v>
      </c>
      <c r="N1628" s="216">
        <f t="shared" si="876"/>
        <v>38250</v>
      </c>
      <c r="O1628" s="216">
        <f t="shared" si="877"/>
        <v>39375</v>
      </c>
      <c r="P1628" s="217">
        <f t="shared" si="878"/>
        <v>77625</v>
      </c>
      <c r="Q1628" s="217">
        <f t="shared" si="879"/>
        <v>1125</v>
      </c>
      <c r="R1628" s="217">
        <f t="shared" si="891"/>
        <v>40</v>
      </c>
      <c r="S1628" s="217">
        <f t="shared" si="881"/>
        <v>14.61</v>
      </c>
      <c r="T1628" s="217">
        <f t="shared" si="882"/>
        <v>19.690000000000001</v>
      </c>
      <c r="U1628" s="217">
        <f t="shared" si="883"/>
        <v>1.1499999999999999</v>
      </c>
      <c r="V1628" s="217">
        <f t="shared" si="884"/>
        <v>41.14</v>
      </c>
      <c r="W1628" s="217">
        <f t="shared" si="885"/>
        <v>0.08</v>
      </c>
      <c r="X1628" s="217">
        <f t="shared" si="886"/>
        <v>116.67</v>
      </c>
      <c r="Y1628" s="218">
        <f t="shared" si="887"/>
        <v>1008.33</v>
      </c>
      <c r="Z1628" s="219">
        <v>1008</v>
      </c>
      <c r="AA1628" s="220">
        <f t="shared" si="888"/>
        <v>-0.33000000000004093</v>
      </c>
      <c r="AB1628" s="221">
        <f t="shared" si="889"/>
        <v>2.9411764705882353E-2</v>
      </c>
      <c r="AC1628" s="222">
        <f t="shared" si="890"/>
        <v>1.503E-3</v>
      </c>
      <c r="AD1628" s="217"/>
      <c r="AE1628" s="223" t="s">
        <v>403</v>
      </c>
      <c r="AF1628" s="119"/>
    </row>
    <row r="1629" spans="1:32">
      <c r="A1629" s="148">
        <v>44778</v>
      </c>
      <c r="B1629" s="152" t="s">
        <v>802</v>
      </c>
      <c r="C1629" s="152" t="str">
        <f t="shared" ca="1" si="874"/>
        <v>Stocks</v>
      </c>
      <c r="D1629" s="152" t="str">
        <f ca="1">IFERROR(__xludf.DUMMYFUNCTION("split(B1629,"" "")"),"NAVINFLUOR")</f>
        <v>NAVINFLUOR</v>
      </c>
      <c r="E1629" s="152" t="str">
        <f ca="1">IFERROR(__xludf.DUMMYFUNCTION("""COMPUTED_VALUE"""),"AUG")</f>
        <v>AUG</v>
      </c>
      <c r="F1629" s="152">
        <f ca="1">IFERROR(__xludf.DUMMYFUNCTION("""COMPUTED_VALUE"""),4500)</f>
        <v>4500</v>
      </c>
      <c r="G1629" s="152" t="str">
        <f ca="1">IFERROR(__xludf.DUMMYFUNCTION("""COMPUTED_VALUE"""),"CE")</f>
        <v>CE</v>
      </c>
      <c r="H1629" s="211">
        <v>225</v>
      </c>
      <c r="I1629" s="212">
        <v>1</v>
      </c>
      <c r="J1629" s="212">
        <v>1</v>
      </c>
      <c r="K1629" s="213">
        <f t="shared" si="875"/>
        <v>225</v>
      </c>
      <c r="L1629" s="214">
        <v>166</v>
      </c>
      <c r="M1629" s="215">
        <v>0</v>
      </c>
      <c r="N1629" s="216">
        <f t="shared" si="876"/>
        <v>37350</v>
      </c>
      <c r="O1629" s="216">
        <f t="shared" si="877"/>
        <v>0</v>
      </c>
      <c r="P1629" s="217">
        <f t="shared" si="878"/>
        <v>37350</v>
      </c>
      <c r="Q1629" s="217">
        <f t="shared" si="879"/>
        <v>-37350</v>
      </c>
      <c r="R1629" s="217">
        <f t="shared" si="891"/>
        <v>20</v>
      </c>
      <c r="S1629" s="217">
        <f t="shared" si="881"/>
        <v>7.16</v>
      </c>
      <c r="T1629" s="217">
        <f t="shared" si="882"/>
        <v>0</v>
      </c>
      <c r="U1629" s="217">
        <f t="shared" si="883"/>
        <v>1.1200000000000001</v>
      </c>
      <c r="V1629" s="217">
        <f t="shared" si="884"/>
        <v>19.8</v>
      </c>
      <c r="W1629" s="217">
        <f t="shared" si="885"/>
        <v>0.04</v>
      </c>
      <c r="X1629" s="217">
        <f t="shared" si="886"/>
        <v>48.12</v>
      </c>
      <c r="Y1629" s="218">
        <f t="shared" si="887"/>
        <v>-37398.120000000003</v>
      </c>
      <c r="Z1629" s="219">
        <v>-37398</v>
      </c>
      <c r="AA1629" s="220">
        <f t="shared" si="888"/>
        <v>0.12000000000261934</v>
      </c>
      <c r="AB1629" s="221">
        <f t="shared" si="889"/>
        <v>-1</v>
      </c>
      <c r="AC1629" s="222">
        <f t="shared" si="890"/>
        <v>1.2880000000000001E-3</v>
      </c>
      <c r="AD1629" s="217"/>
      <c r="AE1629" s="223" t="s">
        <v>403</v>
      </c>
      <c r="AF1629" s="119"/>
    </row>
    <row r="1630" spans="1:32">
      <c r="A1630" s="150">
        <v>44783</v>
      </c>
      <c r="B1630" s="152" t="s">
        <v>802</v>
      </c>
      <c r="C1630" s="152" t="str">
        <f t="shared" ca="1" si="874"/>
        <v>Stocks</v>
      </c>
      <c r="D1630" s="152" t="str">
        <f ca="1">IFERROR(__xludf.DUMMYFUNCTION("split(B1630,"" "")"),"NAVINFLUOR")</f>
        <v>NAVINFLUOR</v>
      </c>
      <c r="E1630" s="152" t="str">
        <f ca="1">IFERROR(__xludf.DUMMYFUNCTION("""COMPUTED_VALUE"""),"AUG")</f>
        <v>AUG</v>
      </c>
      <c r="F1630" s="152">
        <f ca="1">IFERROR(__xludf.DUMMYFUNCTION("""COMPUTED_VALUE"""),4500)</f>
        <v>4500</v>
      </c>
      <c r="G1630" s="152" t="str">
        <f ca="1">IFERROR(__xludf.DUMMYFUNCTION("""COMPUTED_VALUE"""),"CE")</f>
        <v>CE</v>
      </c>
      <c r="H1630" s="211">
        <v>225</v>
      </c>
      <c r="I1630" s="212">
        <v>1</v>
      </c>
      <c r="J1630" s="212">
        <v>1</v>
      </c>
      <c r="K1630" s="213">
        <f t="shared" si="875"/>
        <v>225</v>
      </c>
      <c r="L1630" s="214">
        <v>0</v>
      </c>
      <c r="M1630" s="215">
        <v>166</v>
      </c>
      <c r="N1630" s="216">
        <f t="shared" si="876"/>
        <v>0</v>
      </c>
      <c r="O1630" s="216">
        <f t="shared" si="877"/>
        <v>37350</v>
      </c>
      <c r="P1630" s="217">
        <f t="shared" si="878"/>
        <v>37350</v>
      </c>
      <c r="Q1630" s="217">
        <f t="shared" si="879"/>
        <v>37350</v>
      </c>
      <c r="R1630" s="217">
        <f t="shared" si="891"/>
        <v>20</v>
      </c>
      <c r="S1630" s="217">
        <f t="shared" si="881"/>
        <v>7.16</v>
      </c>
      <c r="T1630" s="217">
        <f t="shared" si="882"/>
        <v>18.68</v>
      </c>
      <c r="U1630" s="217">
        <f t="shared" si="883"/>
        <v>0</v>
      </c>
      <c r="V1630" s="217">
        <f t="shared" si="884"/>
        <v>19.8</v>
      </c>
      <c r="W1630" s="217">
        <f t="shared" si="885"/>
        <v>0.04</v>
      </c>
      <c r="X1630" s="217">
        <f t="shared" si="886"/>
        <v>65.680000000000007</v>
      </c>
      <c r="Y1630" s="218">
        <f t="shared" si="887"/>
        <v>37284.32</v>
      </c>
      <c r="Z1630" s="219">
        <v>37284.07</v>
      </c>
      <c r="AA1630" s="220">
        <f t="shared" si="888"/>
        <v>-0.25</v>
      </c>
      <c r="AB1630" s="221">
        <f t="shared" si="889"/>
        <v>0</v>
      </c>
      <c r="AC1630" s="222">
        <f t="shared" si="890"/>
        <v>1.7589999999999999E-3</v>
      </c>
      <c r="AD1630" s="217"/>
      <c r="AE1630" s="223" t="s">
        <v>403</v>
      </c>
      <c r="AF1630" s="119"/>
    </row>
    <row r="1631" spans="1:32">
      <c r="A1631" s="209">
        <v>44781</v>
      </c>
      <c r="B1631" s="152" t="s">
        <v>803</v>
      </c>
      <c r="C1631" s="152" t="str">
        <f t="shared" ca="1" si="874"/>
        <v>Indices</v>
      </c>
      <c r="D1631" s="152" t="str">
        <f ca="1">IFERROR(__xludf.DUMMYFUNCTION("split(B1631,"" "")"),"NIFTY")</f>
        <v>NIFTY</v>
      </c>
      <c r="E1631" s="224">
        <f ca="1">IFERROR(__xludf.DUMMYFUNCTION("""COMPUTED_VALUE"""),45149)</f>
        <v>45149</v>
      </c>
      <c r="F1631" s="152">
        <f ca="1">IFERROR(__xludf.DUMMYFUNCTION("""COMPUTED_VALUE"""),17450)</f>
        <v>17450</v>
      </c>
      <c r="G1631" s="152" t="str">
        <f ca="1">IFERROR(__xludf.DUMMYFUNCTION("""COMPUTED_VALUE"""),"PE")</f>
        <v>PE</v>
      </c>
      <c r="H1631" s="211">
        <v>50</v>
      </c>
      <c r="I1631" s="212">
        <v>1</v>
      </c>
      <c r="J1631" s="212">
        <v>2</v>
      </c>
      <c r="K1631" s="213">
        <f t="shared" si="875"/>
        <v>100</v>
      </c>
      <c r="L1631" s="214">
        <v>80</v>
      </c>
      <c r="M1631" s="215">
        <v>0</v>
      </c>
      <c r="N1631" s="216">
        <f t="shared" si="876"/>
        <v>8000</v>
      </c>
      <c r="O1631" s="216">
        <f t="shared" si="877"/>
        <v>0</v>
      </c>
      <c r="P1631" s="217">
        <f t="shared" si="878"/>
        <v>8000</v>
      </c>
      <c r="Q1631" s="217">
        <f t="shared" si="879"/>
        <v>-8000</v>
      </c>
      <c r="R1631" s="217">
        <f t="shared" si="891"/>
        <v>40</v>
      </c>
      <c r="S1631" s="217">
        <f t="shared" si="881"/>
        <v>7.96</v>
      </c>
      <c r="T1631" s="217">
        <f t="shared" si="882"/>
        <v>0</v>
      </c>
      <c r="U1631" s="217">
        <f t="shared" si="883"/>
        <v>0.24</v>
      </c>
      <c r="V1631" s="217">
        <f t="shared" si="884"/>
        <v>4.24</v>
      </c>
      <c r="W1631" s="217">
        <f t="shared" si="885"/>
        <v>0.01</v>
      </c>
      <c r="X1631" s="217">
        <f t="shared" si="886"/>
        <v>52.45</v>
      </c>
      <c r="Y1631" s="218">
        <f t="shared" si="887"/>
        <v>-8052.45</v>
      </c>
      <c r="Z1631" s="219">
        <v>-8052</v>
      </c>
      <c r="AA1631" s="220">
        <f t="shared" si="888"/>
        <v>0.4499999999998181</v>
      </c>
      <c r="AB1631" s="221">
        <f t="shared" si="889"/>
        <v>-1</v>
      </c>
      <c r="AC1631" s="222">
        <f t="shared" si="890"/>
        <v>6.5560000000000002E-3</v>
      </c>
      <c r="AD1631" s="217"/>
      <c r="AE1631" s="223" t="s">
        <v>403</v>
      </c>
      <c r="AF1631" s="119"/>
    </row>
    <row r="1632" spans="1:32">
      <c r="A1632" s="209">
        <v>44781</v>
      </c>
      <c r="B1632" s="152" t="s">
        <v>803</v>
      </c>
      <c r="C1632" s="152" t="str">
        <f t="shared" ca="1" si="874"/>
        <v>Indices</v>
      </c>
      <c r="D1632" s="152" t="str">
        <f ca="1">IFERROR(__xludf.DUMMYFUNCTION("split(B1632,"" "")"),"NIFTY")</f>
        <v>NIFTY</v>
      </c>
      <c r="E1632" s="224">
        <f ca="1">IFERROR(__xludf.DUMMYFUNCTION("""COMPUTED_VALUE"""),45149)</f>
        <v>45149</v>
      </c>
      <c r="F1632" s="152">
        <f ca="1">IFERROR(__xludf.DUMMYFUNCTION("""COMPUTED_VALUE"""),17450)</f>
        <v>17450</v>
      </c>
      <c r="G1632" s="152" t="str">
        <f ca="1">IFERROR(__xludf.DUMMYFUNCTION("""COMPUTED_VALUE"""),"PE")</f>
        <v>PE</v>
      </c>
      <c r="H1632" s="211">
        <v>50</v>
      </c>
      <c r="I1632" s="212">
        <v>2</v>
      </c>
      <c r="J1632" s="212">
        <v>1</v>
      </c>
      <c r="K1632" s="213">
        <f t="shared" si="875"/>
        <v>100</v>
      </c>
      <c r="L1632" s="214">
        <v>0</v>
      </c>
      <c r="M1632" s="215">
        <v>80</v>
      </c>
      <c r="N1632" s="216">
        <f t="shared" si="876"/>
        <v>0</v>
      </c>
      <c r="O1632" s="216">
        <f t="shared" si="877"/>
        <v>8000</v>
      </c>
      <c r="P1632" s="217">
        <f t="shared" si="878"/>
        <v>8000</v>
      </c>
      <c r="Q1632" s="217">
        <f t="shared" si="879"/>
        <v>8000</v>
      </c>
      <c r="R1632" s="217">
        <f t="shared" si="891"/>
        <v>20</v>
      </c>
      <c r="S1632" s="217">
        <f t="shared" si="881"/>
        <v>4.3600000000000003</v>
      </c>
      <c r="T1632" s="217">
        <f t="shared" si="882"/>
        <v>4</v>
      </c>
      <c r="U1632" s="217">
        <f t="shared" si="883"/>
        <v>0</v>
      </c>
      <c r="V1632" s="217">
        <f t="shared" si="884"/>
        <v>4.24</v>
      </c>
      <c r="W1632" s="217">
        <f t="shared" si="885"/>
        <v>0.01</v>
      </c>
      <c r="X1632" s="217">
        <f t="shared" si="886"/>
        <v>32.61</v>
      </c>
      <c r="Y1632" s="218">
        <f t="shared" si="887"/>
        <v>7967.39</v>
      </c>
      <c r="Z1632" s="219">
        <v>7967.17</v>
      </c>
      <c r="AA1632" s="220">
        <f t="shared" si="888"/>
        <v>-0.22000000000025466</v>
      </c>
      <c r="AB1632" s="221">
        <f t="shared" si="889"/>
        <v>0</v>
      </c>
      <c r="AC1632" s="222">
        <f t="shared" si="890"/>
        <v>4.0759999999999998E-3</v>
      </c>
      <c r="AD1632" s="217"/>
      <c r="AE1632" s="223" t="s">
        <v>403</v>
      </c>
      <c r="AF1632" s="119"/>
    </row>
    <row r="1633" spans="1:32">
      <c r="A1633" s="148">
        <v>44783</v>
      </c>
      <c r="B1633" s="152" t="s">
        <v>802</v>
      </c>
      <c r="C1633" s="152" t="str">
        <f t="shared" ca="1" si="874"/>
        <v>Stocks</v>
      </c>
      <c r="D1633" s="152" t="str">
        <f ca="1">IFERROR(__xludf.DUMMYFUNCTION("split(B1633,"" "")"),"NAVINFLUOR")</f>
        <v>NAVINFLUOR</v>
      </c>
      <c r="E1633" s="224" t="str">
        <f ca="1">IFERROR(__xludf.DUMMYFUNCTION("""COMPUTED_VALUE"""),"AUG")</f>
        <v>AUG</v>
      </c>
      <c r="F1633" s="152">
        <f ca="1">IFERROR(__xludf.DUMMYFUNCTION("""COMPUTED_VALUE"""),4500)</f>
        <v>4500</v>
      </c>
      <c r="G1633" s="152" t="str">
        <f ca="1">IFERROR(__xludf.DUMMYFUNCTION("""COMPUTED_VALUE"""),"CE")</f>
        <v>CE</v>
      </c>
      <c r="H1633" s="211">
        <v>225</v>
      </c>
      <c r="I1633" s="212">
        <v>1</v>
      </c>
      <c r="J1633" s="212">
        <v>1</v>
      </c>
      <c r="K1633" s="213">
        <f t="shared" si="875"/>
        <v>225</v>
      </c>
      <c r="L1633" s="214">
        <v>130</v>
      </c>
      <c r="M1633" s="215">
        <v>0</v>
      </c>
      <c r="N1633" s="216">
        <f t="shared" si="876"/>
        <v>29250</v>
      </c>
      <c r="O1633" s="216">
        <f t="shared" si="877"/>
        <v>0</v>
      </c>
      <c r="P1633" s="217">
        <f t="shared" si="878"/>
        <v>29250</v>
      </c>
      <c r="Q1633" s="217">
        <f t="shared" si="879"/>
        <v>-29250</v>
      </c>
      <c r="R1633" s="217">
        <f t="shared" si="891"/>
        <v>20</v>
      </c>
      <c r="S1633" s="217">
        <f t="shared" si="881"/>
        <v>6.39</v>
      </c>
      <c r="T1633" s="217">
        <f t="shared" si="882"/>
        <v>0</v>
      </c>
      <c r="U1633" s="217">
        <f t="shared" si="883"/>
        <v>0.88</v>
      </c>
      <c r="V1633" s="217">
        <f t="shared" si="884"/>
        <v>15.5</v>
      </c>
      <c r="W1633" s="217">
        <f t="shared" si="885"/>
        <v>0.03</v>
      </c>
      <c r="X1633" s="217">
        <f t="shared" si="886"/>
        <v>42.8</v>
      </c>
      <c r="Y1633" s="218">
        <f t="shared" si="887"/>
        <v>-29292.799999999999</v>
      </c>
      <c r="Z1633" s="219">
        <v>-29293</v>
      </c>
      <c r="AA1633" s="220">
        <f t="shared" si="888"/>
        <v>-0.2000000000007276</v>
      </c>
      <c r="AB1633" s="221">
        <f t="shared" si="889"/>
        <v>-1</v>
      </c>
      <c r="AC1633" s="222">
        <f t="shared" si="890"/>
        <v>1.4630000000000001E-3</v>
      </c>
      <c r="AD1633" s="217"/>
      <c r="AE1633" s="223" t="s">
        <v>403</v>
      </c>
      <c r="AF1633" s="119"/>
    </row>
    <row r="1634" spans="1:32">
      <c r="A1634" s="150">
        <v>44790</v>
      </c>
      <c r="B1634" s="152" t="s">
        <v>802</v>
      </c>
      <c r="C1634" s="152" t="str">
        <f t="shared" ca="1" si="874"/>
        <v>Stocks</v>
      </c>
      <c r="D1634" s="152" t="str">
        <f ca="1">IFERROR(__xludf.DUMMYFUNCTION("split(B1634,"" "")"),"NAVINFLUOR")</f>
        <v>NAVINFLUOR</v>
      </c>
      <c r="E1634" s="152" t="str">
        <f ca="1">IFERROR(__xludf.DUMMYFUNCTION("""COMPUTED_VALUE"""),"AUG")</f>
        <v>AUG</v>
      </c>
      <c r="F1634" s="152">
        <f ca="1">IFERROR(__xludf.DUMMYFUNCTION("""COMPUTED_VALUE"""),4500)</f>
        <v>4500</v>
      </c>
      <c r="G1634" s="152" t="str">
        <f ca="1">IFERROR(__xludf.DUMMYFUNCTION("""COMPUTED_VALUE"""),"CE")</f>
        <v>CE</v>
      </c>
      <c r="H1634" s="211">
        <v>225</v>
      </c>
      <c r="I1634" s="212">
        <v>1</v>
      </c>
      <c r="J1634" s="212">
        <v>1</v>
      </c>
      <c r="K1634" s="213">
        <f t="shared" si="875"/>
        <v>225</v>
      </c>
      <c r="L1634" s="214">
        <v>0</v>
      </c>
      <c r="M1634" s="215">
        <v>65</v>
      </c>
      <c r="N1634" s="216">
        <f t="shared" si="876"/>
        <v>0</v>
      </c>
      <c r="O1634" s="216">
        <f t="shared" si="877"/>
        <v>14625</v>
      </c>
      <c r="P1634" s="217">
        <f t="shared" si="878"/>
        <v>14625</v>
      </c>
      <c r="Q1634" s="217">
        <f t="shared" si="879"/>
        <v>14625</v>
      </c>
      <c r="R1634" s="217">
        <f t="shared" si="891"/>
        <v>20</v>
      </c>
      <c r="S1634" s="217">
        <f t="shared" si="881"/>
        <v>5</v>
      </c>
      <c r="T1634" s="217">
        <f t="shared" si="882"/>
        <v>7.31</v>
      </c>
      <c r="U1634" s="217">
        <f t="shared" si="883"/>
        <v>0</v>
      </c>
      <c r="V1634" s="217">
        <f t="shared" si="884"/>
        <v>7.75</v>
      </c>
      <c r="W1634" s="217">
        <f t="shared" si="885"/>
        <v>0.01</v>
      </c>
      <c r="X1634" s="217">
        <f t="shared" si="886"/>
        <v>40.07</v>
      </c>
      <c r="Y1634" s="218">
        <f t="shared" si="887"/>
        <v>14584.93</v>
      </c>
      <c r="Z1634" s="219">
        <v>14585</v>
      </c>
      <c r="AA1634" s="220">
        <f t="shared" si="888"/>
        <v>6.9999999999708962E-2</v>
      </c>
      <c r="AB1634" s="221">
        <f t="shared" si="889"/>
        <v>0</v>
      </c>
      <c r="AC1634" s="222">
        <f t="shared" si="890"/>
        <v>2.7399999999999998E-3</v>
      </c>
      <c r="AD1634" s="217"/>
      <c r="AE1634" s="223" t="s">
        <v>403</v>
      </c>
      <c r="AF1634" s="119"/>
    </row>
    <row r="1635" spans="1:32">
      <c r="A1635" s="209">
        <v>44790</v>
      </c>
      <c r="B1635" s="152" t="s">
        <v>802</v>
      </c>
      <c r="C1635" s="152" t="str">
        <f t="shared" ca="1" si="874"/>
        <v>Stocks</v>
      </c>
      <c r="D1635" s="152" t="str">
        <f ca="1">IFERROR(__xludf.DUMMYFUNCTION("split(B1635,"" "")"),"NAVINFLUOR")</f>
        <v>NAVINFLUOR</v>
      </c>
      <c r="E1635" s="152" t="str">
        <f ca="1">IFERROR(__xludf.DUMMYFUNCTION("""COMPUTED_VALUE"""),"AUG")</f>
        <v>AUG</v>
      </c>
      <c r="F1635" s="152">
        <f ca="1">IFERROR(__xludf.DUMMYFUNCTION("""COMPUTED_VALUE"""),4500)</f>
        <v>4500</v>
      </c>
      <c r="G1635" s="152" t="str">
        <f ca="1">IFERROR(__xludf.DUMMYFUNCTION("""COMPUTED_VALUE"""),"CE")</f>
        <v>CE</v>
      </c>
      <c r="H1635" s="211">
        <v>225</v>
      </c>
      <c r="I1635" s="212">
        <v>1</v>
      </c>
      <c r="J1635" s="212">
        <v>1</v>
      </c>
      <c r="K1635" s="213">
        <f t="shared" si="875"/>
        <v>225</v>
      </c>
      <c r="L1635" s="214">
        <v>80</v>
      </c>
      <c r="M1635" s="215">
        <v>81</v>
      </c>
      <c r="N1635" s="216">
        <f t="shared" si="876"/>
        <v>18000</v>
      </c>
      <c r="O1635" s="216">
        <f t="shared" si="877"/>
        <v>18225</v>
      </c>
      <c r="P1635" s="217">
        <f t="shared" si="878"/>
        <v>36225</v>
      </c>
      <c r="Q1635" s="217">
        <f t="shared" si="879"/>
        <v>225</v>
      </c>
      <c r="R1635" s="217">
        <f t="shared" si="891"/>
        <v>40</v>
      </c>
      <c r="S1635" s="217">
        <f t="shared" si="881"/>
        <v>10.66</v>
      </c>
      <c r="T1635" s="217">
        <f t="shared" si="882"/>
        <v>9.11</v>
      </c>
      <c r="U1635" s="217">
        <f t="shared" si="883"/>
        <v>0.54</v>
      </c>
      <c r="V1635" s="217">
        <f t="shared" si="884"/>
        <v>19.2</v>
      </c>
      <c r="W1635" s="217">
        <f t="shared" si="885"/>
        <v>0.04</v>
      </c>
      <c r="X1635" s="217">
        <f t="shared" si="886"/>
        <v>79.55</v>
      </c>
      <c r="Y1635" s="218">
        <f t="shared" si="887"/>
        <v>145.44999999999999</v>
      </c>
      <c r="Z1635" s="219">
        <v>145</v>
      </c>
      <c r="AA1635" s="220">
        <f t="shared" si="888"/>
        <v>-0.44999999999998863</v>
      </c>
      <c r="AB1635" s="221">
        <f t="shared" si="889"/>
        <v>1.2500000000000001E-2</v>
      </c>
      <c r="AC1635" s="222">
        <f t="shared" si="890"/>
        <v>2.196E-3</v>
      </c>
      <c r="AD1635" s="217"/>
      <c r="AE1635" s="223" t="s">
        <v>403</v>
      </c>
      <c r="AF1635" s="119"/>
    </row>
    <row r="1636" spans="1:32">
      <c r="A1636" s="209">
        <v>44790</v>
      </c>
      <c r="B1636" s="152" t="s">
        <v>804</v>
      </c>
      <c r="C1636" s="152" t="str">
        <f t="shared" ca="1" si="874"/>
        <v>Stocks</v>
      </c>
      <c r="D1636" s="152" t="str">
        <f ca="1">IFERROR(__xludf.DUMMYFUNCTION("split(B1636,"" "")"),"HDFCBANK")</f>
        <v>HDFCBANK</v>
      </c>
      <c r="E1636" s="152" t="str">
        <f ca="1">IFERROR(__xludf.DUMMYFUNCTION("""COMPUTED_VALUE"""),"AUG")</f>
        <v>AUG</v>
      </c>
      <c r="F1636" s="152">
        <f ca="1">IFERROR(__xludf.DUMMYFUNCTION("""COMPUTED_VALUE"""),1500)</f>
        <v>1500</v>
      </c>
      <c r="G1636" s="152" t="str">
        <f ca="1">IFERROR(__xludf.DUMMYFUNCTION("""COMPUTED_VALUE"""),"PE")</f>
        <v>PE</v>
      </c>
      <c r="H1636" s="211">
        <v>550</v>
      </c>
      <c r="I1636" s="212">
        <v>1</v>
      </c>
      <c r="J1636" s="212">
        <v>1</v>
      </c>
      <c r="K1636" s="213">
        <f t="shared" si="875"/>
        <v>550</v>
      </c>
      <c r="L1636" s="214">
        <v>15.75</v>
      </c>
      <c r="M1636" s="215">
        <v>16</v>
      </c>
      <c r="N1636" s="216">
        <f t="shared" si="876"/>
        <v>8662.5</v>
      </c>
      <c r="O1636" s="216">
        <f t="shared" si="877"/>
        <v>8800</v>
      </c>
      <c r="P1636" s="217">
        <f t="shared" si="878"/>
        <v>17462.5</v>
      </c>
      <c r="Q1636" s="217">
        <f t="shared" si="879"/>
        <v>137.5</v>
      </c>
      <c r="R1636" s="217">
        <f t="shared" si="891"/>
        <v>40</v>
      </c>
      <c r="S1636" s="217">
        <f t="shared" si="881"/>
        <v>8.8699999999999992</v>
      </c>
      <c r="T1636" s="217">
        <f t="shared" si="882"/>
        <v>4.4000000000000004</v>
      </c>
      <c r="U1636" s="217">
        <f t="shared" si="883"/>
        <v>0.26</v>
      </c>
      <c r="V1636" s="217">
        <f t="shared" si="884"/>
        <v>9.26</v>
      </c>
      <c r="W1636" s="217">
        <f t="shared" si="885"/>
        <v>0.02</v>
      </c>
      <c r="X1636" s="217">
        <f t="shared" si="886"/>
        <v>62.809999999999995</v>
      </c>
      <c r="Y1636" s="218">
        <f t="shared" si="887"/>
        <v>74.69</v>
      </c>
      <c r="Z1636" s="219">
        <v>75.069999999999993</v>
      </c>
      <c r="AA1636" s="220">
        <f t="shared" si="888"/>
        <v>0.37999999999999545</v>
      </c>
      <c r="AB1636" s="221">
        <f t="shared" si="889"/>
        <v>1.5873015873015872E-2</v>
      </c>
      <c r="AC1636" s="222">
        <f t="shared" si="890"/>
        <v>3.5969999999999999E-3</v>
      </c>
      <c r="AD1636" s="217"/>
      <c r="AE1636" s="223" t="s">
        <v>403</v>
      </c>
      <c r="AF1636" s="119"/>
    </row>
    <row r="1637" spans="1:32">
      <c r="A1637" s="209">
        <v>44790</v>
      </c>
      <c r="B1637" s="152" t="s">
        <v>805</v>
      </c>
      <c r="C1637" s="152" t="str">
        <f t="shared" ca="1" si="874"/>
        <v>Indices</v>
      </c>
      <c r="D1637" s="152" t="str">
        <f ca="1">IFERROR(__xludf.DUMMYFUNCTION("split(B1637,"" "")"),"NIFTY")</f>
        <v>NIFTY</v>
      </c>
      <c r="E1637" s="152" t="str">
        <f ca="1">IFERROR(__xludf.DUMMYFUNCTION("""COMPUTED_VALUE"""),"AUG")</f>
        <v>AUG</v>
      </c>
      <c r="F1637" s="152">
        <f ca="1">IFERROR(__xludf.DUMMYFUNCTION("""COMPUTED_VALUE"""),17900)</f>
        <v>17900</v>
      </c>
      <c r="G1637" s="152" t="str">
        <f ca="1">IFERROR(__xludf.DUMMYFUNCTION("""COMPUTED_VALUE"""),"PE")</f>
        <v>PE</v>
      </c>
      <c r="H1637" s="211">
        <v>50</v>
      </c>
      <c r="I1637" s="212">
        <v>1</v>
      </c>
      <c r="J1637" s="212">
        <v>1</v>
      </c>
      <c r="K1637" s="213">
        <f t="shared" si="875"/>
        <v>50</v>
      </c>
      <c r="L1637" s="214">
        <v>118</v>
      </c>
      <c r="M1637" s="215">
        <v>119</v>
      </c>
      <c r="N1637" s="216">
        <f t="shared" si="876"/>
        <v>5900</v>
      </c>
      <c r="O1637" s="216">
        <f t="shared" si="877"/>
        <v>5950</v>
      </c>
      <c r="P1637" s="217">
        <f t="shared" si="878"/>
        <v>11850</v>
      </c>
      <c r="Q1637" s="217">
        <f t="shared" si="879"/>
        <v>50</v>
      </c>
      <c r="R1637" s="217">
        <f t="shared" si="891"/>
        <v>40</v>
      </c>
      <c r="S1637" s="217">
        <f t="shared" si="881"/>
        <v>8.33</v>
      </c>
      <c r="T1637" s="217">
        <f t="shared" si="882"/>
        <v>2.98</v>
      </c>
      <c r="U1637" s="217">
        <f t="shared" si="883"/>
        <v>0.18</v>
      </c>
      <c r="V1637" s="217">
        <f t="shared" si="884"/>
        <v>6.28</v>
      </c>
      <c r="W1637" s="217">
        <f t="shared" si="885"/>
        <v>0.01</v>
      </c>
      <c r="X1637" s="217">
        <f t="shared" si="886"/>
        <v>57.779999999999994</v>
      </c>
      <c r="Y1637" s="218">
        <f t="shared" si="887"/>
        <v>-7.78</v>
      </c>
      <c r="Z1637" s="219">
        <v>-8</v>
      </c>
      <c r="AA1637" s="220">
        <f t="shared" si="888"/>
        <v>-0.21999999999999975</v>
      </c>
      <c r="AB1637" s="221">
        <f t="shared" si="889"/>
        <v>8.4745762711864406E-3</v>
      </c>
      <c r="AC1637" s="222">
        <f t="shared" si="890"/>
        <v>4.8760000000000001E-3</v>
      </c>
      <c r="AD1637" s="217"/>
      <c r="AE1637" s="223" t="s">
        <v>403</v>
      </c>
      <c r="AF1637" s="119"/>
    </row>
    <row r="1638" spans="1:32">
      <c r="A1638" s="209">
        <v>44791</v>
      </c>
      <c r="B1638" s="152" t="s">
        <v>806</v>
      </c>
      <c r="C1638" s="152" t="str">
        <f t="shared" ca="1" si="874"/>
        <v>Stocks</v>
      </c>
      <c r="D1638" s="152" t="str">
        <f ca="1">IFERROR(__xludf.DUMMYFUNCTION("split(B1638,"" "")"),"TECHM")</f>
        <v>TECHM</v>
      </c>
      <c r="E1638" s="152" t="str">
        <f ca="1">IFERROR(__xludf.DUMMYFUNCTION("""COMPUTED_VALUE"""),"AUG")</f>
        <v>AUG</v>
      </c>
      <c r="F1638" s="152">
        <f ca="1">IFERROR(__xludf.DUMMYFUNCTION("""COMPUTED_VALUE"""),1100)</f>
        <v>1100</v>
      </c>
      <c r="G1638" s="152" t="str">
        <f ca="1">IFERROR(__xludf.DUMMYFUNCTION("""COMPUTED_VALUE"""),"PE")</f>
        <v>PE</v>
      </c>
      <c r="H1638" s="211">
        <v>600</v>
      </c>
      <c r="I1638" s="212">
        <v>1</v>
      </c>
      <c r="J1638" s="212">
        <v>1</v>
      </c>
      <c r="K1638" s="213">
        <f t="shared" si="875"/>
        <v>600</v>
      </c>
      <c r="L1638" s="214">
        <v>17.55</v>
      </c>
      <c r="M1638" s="215">
        <v>19.350000000000001</v>
      </c>
      <c r="N1638" s="216">
        <f t="shared" si="876"/>
        <v>10530</v>
      </c>
      <c r="O1638" s="216">
        <f t="shared" si="877"/>
        <v>11610</v>
      </c>
      <c r="P1638" s="217">
        <f t="shared" si="878"/>
        <v>22140</v>
      </c>
      <c r="Q1638" s="217">
        <f t="shared" si="879"/>
        <v>1080.0000000000005</v>
      </c>
      <c r="R1638" s="217">
        <f t="shared" si="891"/>
        <v>40</v>
      </c>
      <c r="S1638" s="217">
        <f t="shared" si="881"/>
        <v>9.31</v>
      </c>
      <c r="T1638" s="217">
        <f t="shared" si="882"/>
        <v>5.81</v>
      </c>
      <c r="U1638" s="217">
        <f t="shared" si="883"/>
        <v>0.32</v>
      </c>
      <c r="V1638" s="217">
        <f t="shared" si="884"/>
        <v>11.73</v>
      </c>
      <c r="W1638" s="217">
        <f t="shared" si="885"/>
        <v>0.02</v>
      </c>
      <c r="X1638" s="217">
        <f t="shared" si="886"/>
        <v>67.19</v>
      </c>
      <c r="Y1638" s="218">
        <f t="shared" si="887"/>
        <v>1012.81</v>
      </c>
      <c r="Z1638" s="219">
        <v>1012.93</v>
      </c>
      <c r="AA1638" s="220">
        <f t="shared" si="888"/>
        <v>0.12000000000000455</v>
      </c>
      <c r="AB1638" s="221">
        <f t="shared" si="889"/>
        <v>0.1025641025641026</v>
      </c>
      <c r="AC1638" s="222">
        <f t="shared" si="890"/>
        <v>3.0349999999999999E-3</v>
      </c>
      <c r="AD1638" s="217"/>
      <c r="AE1638" s="223" t="s">
        <v>403</v>
      </c>
      <c r="AF1638" s="119"/>
    </row>
    <row r="1639" spans="1:32">
      <c r="A1639" s="209">
        <v>44792</v>
      </c>
      <c r="B1639" s="152" t="s">
        <v>807</v>
      </c>
      <c r="C1639" s="152" t="str">
        <f t="shared" ca="1" si="874"/>
        <v>Indices</v>
      </c>
      <c r="D1639" s="152" t="str">
        <f ca="1">IFERROR(__xludf.DUMMYFUNCTION("split(B1639,"" "")"),"NIFTY")</f>
        <v>NIFTY</v>
      </c>
      <c r="E1639" s="224">
        <f ca="1">IFERROR(__xludf.DUMMYFUNCTION("""COMPUTED_VALUE"""),45163)</f>
        <v>45163</v>
      </c>
      <c r="F1639" s="152">
        <f ca="1">IFERROR(__xludf.DUMMYFUNCTION("""COMPUTED_VALUE"""),17900)</f>
        <v>17900</v>
      </c>
      <c r="G1639" s="152" t="str">
        <f ca="1">IFERROR(__xludf.DUMMYFUNCTION("""COMPUTED_VALUE"""),"CE")</f>
        <v>CE</v>
      </c>
      <c r="H1639" s="211">
        <v>50</v>
      </c>
      <c r="I1639" s="212">
        <v>1</v>
      </c>
      <c r="J1639" s="212">
        <v>2</v>
      </c>
      <c r="K1639" s="213">
        <f t="shared" si="875"/>
        <v>100</v>
      </c>
      <c r="L1639" s="214">
        <v>70</v>
      </c>
      <c r="M1639" s="215">
        <v>79.5</v>
      </c>
      <c r="N1639" s="216">
        <f t="shared" si="876"/>
        <v>7000</v>
      </c>
      <c r="O1639" s="216">
        <f t="shared" si="877"/>
        <v>7950</v>
      </c>
      <c r="P1639" s="217">
        <f t="shared" si="878"/>
        <v>14950</v>
      </c>
      <c r="Q1639" s="217">
        <f t="shared" si="879"/>
        <v>950</v>
      </c>
      <c r="R1639" s="217">
        <f t="shared" si="891"/>
        <v>80</v>
      </c>
      <c r="S1639" s="217">
        <f t="shared" si="881"/>
        <v>15.83</v>
      </c>
      <c r="T1639" s="217">
        <f t="shared" si="882"/>
        <v>3.98</v>
      </c>
      <c r="U1639" s="217">
        <f t="shared" si="883"/>
        <v>0.21</v>
      </c>
      <c r="V1639" s="217">
        <f t="shared" si="884"/>
        <v>7.92</v>
      </c>
      <c r="W1639" s="217">
        <f t="shared" si="885"/>
        <v>0.01</v>
      </c>
      <c r="X1639" s="217">
        <f t="shared" si="886"/>
        <v>107.95</v>
      </c>
      <c r="Y1639" s="218">
        <f t="shared" si="887"/>
        <v>842.05</v>
      </c>
      <c r="Z1639" s="219">
        <v>841.93</v>
      </c>
      <c r="AA1639" s="220">
        <f t="shared" si="888"/>
        <v>-0.12000000000000455</v>
      </c>
      <c r="AB1639" s="221">
        <f t="shared" si="889"/>
        <v>0.1357142857142857</v>
      </c>
      <c r="AC1639" s="222">
        <f t="shared" si="890"/>
        <v>7.221E-3</v>
      </c>
      <c r="AD1639" s="217"/>
      <c r="AE1639" s="223" t="s">
        <v>404</v>
      </c>
      <c r="AF1639" s="119"/>
    </row>
    <row r="1640" spans="1:32">
      <c r="A1640" s="209">
        <v>44792</v>
      </c>
      <c r="B1640" s="152" t="s">
        <v>808</v>
      </c>
      <c r="C1640" s="152" t="str">
        <f t="shared" ca="1" si="874"/>
        <v>Stocks</v>
      </c>
      <c r="D1640" s="152" t="str">
        <f ca="1">IFERROR(__xludf.DUMMYFUNCTION("split(B1640,"" "")"),"VEDL")</f>
        <v>VEDL</v>
      </c>
      <c r="E1640" s="224" t="str">
        <f ca="1">IFERROR(__xludf.DUMMYFUNCTION("""COMPUTED_VALUE"""),"AUG")</f>
        <v>AUG</v>
      </c>
      <c r="F1640" s="152">
        <f ca="1">IFERROR(__xludf.DUMMYFUNCTION("""COMPUTED_VALUE"""),270)</f>
        <v>270</v>
      </c>
      <c r="G1640" s="152" t="str">
        <f ca="1">IFERROR(__xludf.DUMMYFUNCTION("""COMPUTED_VALUE"""),"CE")</f>
        <v>CE</v>
      </c>
      <c r="H1640" s="211">
        <v>1550</v>
      </c>
      <c r="I1640" s="212">
        <v>1</v>
      </c>
      <c r="J1640" s="212">
        <v>2</v>
      </c>
      <c r="K1640" s="213">
        <f t="shared" si="875"/>
        <v>3100</v>
      </c>
      <c r="L1640" s="214">
        <v>5.4749999999999996</v>
      </c>
      <c r="M1640" s="215">
        <v>4.75</v>
      </c>
      <c r="N1640" s="216">
        <f t="shared" si="876"/>
        <v>16972.5</v>
      </c>
      <c r="O1640" s="216">
        <f t="shared" si="877"/>
        <v>14725</v>
      </c>
      <c r="P1640" s="217">
        <f t="shared" si="878"/>
        <v>31697.5</v>
      </c>
      <c r="Q1640" s="217">
        <f t="shared" si="879"/>
        <v>-2247.4999999999991</v>
      </c>
      <c r="R1640" s="217">
        <f t="shared" si="891"/>
        <v>80</v>
      </c>
      <c r="S1640" s="217">
        <f t="shared" si="881"/>
        <v>17.420000000000002</v>
      </c>
      <c r="T1640" s="217">
        <f t="shared" si="882"/>
        <v>7.36</v>
      </c>
      <c r="U1640" s="217">
        <f t="shared" si="883"/>
        <v>0.51</v>
      </c>
      <c r="V1640" s="217">
        <f t="shared" si="884"/>
        <v>16.8</v>
      </c>
      <c r="W1640" s="217">
        <f t="shared" si="885"/>
        <v>0.03</v>
      </c>
      <c r="X1640" s="217">
        <f t="shared" si="886"/>
        <v>122.12</v>
      </c>
      <c r="Y1640" s="218">
        <f t="shared" si="887"/>
        <v>-2369.62</v>
      </c>
      <c r="Z1640" s="219">
        <v>-2369.7600000000002</v>
      </c>
      <c r="AA1640" s="220">
        <f t="shared" si="888"/>
        <v>-0.14000000000032742</v>
      </c>
      <c r="AB1640" s="221">
        <f t="shared" si="889"/>
        <v>-0.13242009132420085</v>
      </c>
      <c r="AC1640" s="222">
        <f t="shared" si="890"/>
        <v>3.8530000000000001E-3</v>
      </c>
      <c r="AD1640" s="217"/>
      <c r="AE1640" s="223" t="s">
        <v>403</v>
      </c>
      <c r="AF1640" s="119"/>
    </row>
    <row r="1641" spans="1:32">
      <c r="A1641" s="209">
        <v>44796</v>
      </c>
      <c r="B1641" s="152" t="s">
        <v>807</v>
      </c>
      <c r="C1641" s="152" t="str">
        <f t="shared" ca="1" si="874"/>
        <v>Indices</v>
      </c>
      <c r="D1641" s="152" t="str">
        <f ca="1">IFERROR(__xludf.DUMMYFUNCTION("split(B1641,"" "")"),"NIFTY")</f>
        <v>NIFTY</v>
      </c>
      <c r="E1641" s="224">
        <f ca="1">IFERROR(__xludf.DUMMYFUNCTION("""COMPUTED_VALUE"""),45163)</f>
        <v>45163</v>
      </c>
      <c r="F1641" s="152">
        <f ca="1">IFERROR(__xludf.DUMMYFUNCTION("""COMPUTED_VALUE"""),17900)</f>
        <v>17900</v>
      </c>
      <c r="G1641" s="152" t="str">
        <f ca="1">IFERROR(__xludf.DUMMYFUNCTION("""COMPUTED_VALUE"""),"CE")</f>
        <v>CE</v>
      </c>
      <c r="H1641" s="211">
        <v>50</v>
      </c>
      <c r="I1641" s="212">
        <v>1</v>
      </c>
      <c r="J1641" s="212">
        <v>1</v>
      </c>
      <c r="K1641" s="213">
        <f t="shared" si="875"/>
        <v>50</v>
      </c>
      <c r="L1641" s="214">
        <v>8</v>
      </c>
      <c r="M1641" s="215">
        <v>14</v>
      </c>
      <c r="N1641" s="216">
        <f t="shared" si="876"/>
        <v>400</v>
      </c>
      <c r="O1641" s="216">
        <f t="shared" si="877"/>
        <v>700</v>
      </c>
      <c r="P1641" s="217">
        <f t="shared" si="878"/>
        <v>1100</v>
      </c>
      <c r="Q1641" s="217">
        <f t="shared" si="879"/>
        <v>300</v>
      </c>
      <c r="R1641" s="217">
        <f t="shared" si="891"/>
        <v>40</v>
      </c>
      <c r="S1641" s="217">
        <f t="shared" si="881"/>
        <v>7.3</v>
      </c>
      <c r="T1641" s="217">
        <f t="shared" si="882"/>
        <v>0.35</v>
      </c>
      <c r="U1641" s="217">
        <f t="shared" si="883"/>
        <v>0.01</v>
      </c>
      <c r="V1641" s="217">
        <f t="shared" si="884"/>
        <v>0.57999999999999996</v>
      </c>
      <c r="W1641" s="217">
        <f t="shared" si="885"/>
        <v>0</v>
      </c>
      <c r="X1641" s="217">
        <f t="shared" si="886"/>
        <v>48.239999999999995</v>
      </c>
      <c r="Y1641" s="218">
        <f t="shared" si="887"/>
        <v>251.76</v>
      </c>
      <c r="Z1641" s="219">
        <v>252.11</v>
      </c>
      <c r="AA1641" s="220">
        <f t="shared" si="888"/>
        <v>0.35000000000002274</v>
      </c>
      <c r="AB1641" s="221">
        <f t="shared" si="889"/>
        <v>0.75</v>
      </c>
      <c r="AC1641" s="222">
        <f t="shared" si="890"/>
        <v>4.3854999999999998E-2</v>
      </c>
      <c r="AD1641" s="217"/>
      <c r="AE1641" s="223" t="s">
        <v>404</v>
      </c>
      <c r="AF1641" s="119"/>
    </row>
    <row r="1642" spans="1:32">
      <c r="A1642" s="209">
        <v>44796</v>
      </c>
      <c r="B1642" s="152" t="s">
        <v>809</v>
      </c>
      <c r="C1642" s="152" t="str">
        <f t="shared" ca="1" si="874"/>
        <v>Stocks</v>
      </c>
      <c r="D1642" s="152" t="str">
        <f ca="1">IFERROR(__xludf.DUMMYFUNCTION("split(B1642,"" "")"),"DIXON")</f>
        <v>DIXON</v>
      </c>
      <c r="E1642" s="224" t="str">
        <f ca="1">IFERROR(__xludf.DUMMYFUNCTION("""COMPUTED_VALUE"""),"AUG")</f>
        <v>AUG</v>
      </c>
      <c r="F1642" s="152">
        <f ca="1">IFERROR(__xludf.DUMMYFUNCTION("""COMPUTED_VALUE"""),4000)</f>
        <v>4000</v>
      </c>
      <c r="G1642" s="152" t="str">
        <f ca="1">IFERROR(__xludf.DUMMYFUNCTION("""COMPUTED_VALUE"""),"PE")</f>
        <v>PE</v>
      </c>
      <c r="H1642" s="211">
        <v>125</v>
      </c>
      <c r="I1642" s="212">
        <v>1</v>
      </c>
      <c r="J1642" s="212">
        <v>1</v>
      </c>
      <c r="K1642" s="213">
        <f t="shared" si="875"/>
        <v>125</v>
      </c>
      <c r="L1642" s="214">
        <v>68</v>
      </c>
      <c r="M1642" s="215">
        <v>43</v>
      </c>
      <c r="N1642" s="216">
        <f t="shared" si="876"/>
        <v>8500</v>
      </c>
      <c r="O1642" s="216">
        <f t="shared" si="877"/>
        <v>5375</v>
      </c>
      <c r="P1642" s="217">
        <f t="shared" si="878"/>
        <v>13875</v>
      </c>
      <c r="Q1642" s="217">
        <f t="shared" si="879"/>
        <v>-3125</v>
      </c>
      <c r="R1642" s="217">
        <f t="shared" si="891"/>
        <v>40</v>
      </c>
      <c r="S1642" s="217">
        <f t="shared" si="881"/>
        <v>8.52</v>
      </c>
      <c r="T1642" s="217">
        <f t="shared" si="882"/>
        <v>2.69</v>
      </c>
      <c r="U1642" s="217">
        <f t="shared" si="883"/>
        <v>0.26</v>
      </c>
      <c r="V1642" s="217">
        <f t="shared" si="884"/>
        <v>7.35</v>
      </c>
      <c r="W1642" s="217">
        <f t="shared" si="885"/>
        <v>0.01</v>
      </c>
      <c r="X1642" s="217">
        <f t="shared" si="886"/>
        <v>58.829999999999991</v>
      </c>
      <c r="Y1642" s="218">
        <f t="shared" si="887"/>
        <v>-3183.83</v>
      </c>
      <c r="Z1642" s="219">
        <v>-3183.89</v>
      </c>
      <c r="AA1642" s="220">
        <f t="shared" si="888"/>
        <v>-5.999999999994543E-2</v>
      </c>
      <c r="AB1642" s="221">
        <f t="shared" si="889"/>
        <v>-0.36764705882352944</v>
      </c>
      <c r="AC1642" s="222">
        <f t="shared" si="890"/>
        <v>4.2399999999999998E-3</v>
      </c>
      <c r="AD1642" s="217"/>
      <c r="AE1642" s="223" t="s">
        <v>403</v>
      </c>
      <c r="AF1642" s="119"/>
    </row>
    <row r="1643" spans="1:32">
      <c r="A1643" s="148">
        <v>44792</v>
      </c>
      <c r="B1643" s="152" t="s">
        <v>807</v>
      </c>
      <c r="C1643" s="152" t="str">
        <f t="shared" ca="1" si="874"/>
        <v>Indices</v>
      </c>
      <c r="D1643" s="152" t="str">
        <f ca="1">IFERROR(__xludf.DUMMYFUNCTION("split(B1643,"" "")"),"NIFTY")</f>
        <v>NIFTY</v>
      </c>
      <c r="E1643" s="224">
        <f ca="1">IFERROR(__xludf.DUMMYFUNCTION("""COMPUTED_VALUE"""),45163)</f>
        <v>45163</v>
      </c>
      <c r="F1643" s="152">
        <f ca="1">IFERROR(__xludf.DUMMYFUNCTION("""COMPUTED_VALUE"""),17900)</f>
        <v>17900</v>
      </c>
      <c r="G1643" s="152" t="str">
        <f ca="1">IFERROR(__xludf.DUMMYFUNCTION("""COMPUTED_VALUE"""),"CE")</f>
        <v>CE</v>
      </c>
      <c r="H1643" s="211">
        <v>50</v>
      </c>
      <c r="I1643" s="212">
        <v>1</v>
      </c>
      <c r="J1643" s="212">
        <v>4</v>
      </c>
      <c r="K1643" s="213">
        <f t="shared" si="875"/>
        <v>200</v>
      </c>
      <c r="L1643" s="214">
        <v>95</v>
      </c>
      <c r="M1643" s="215">
        <v>0</v>
      </c>
      <c r="N1643" s="216">
        <f t="shared" si="876"/>
        <v>19000</v>
      </c>
      <c r="O1643" s="216">
        <f t="shared" si="877"/>
        <v>0</v>
      </c>
      <c r="P1643" s="217">
        <f t="shared" si="878"/>
        <v>19000</v>
      </c>
      <c r="Q1643" s="217">
        <f t="shared" si="879"/>
        <v>-19000</v>
      </c>
      <c r="R1643" s="217">
        <f t="shared" si="891"/>
        <v>80</v>
      </c>
      <c r="S1643" s="217">
        <f t="shared" si="881"/>
        <v>16.21</v>
      </c>
      <c r="T1643" s="217">
        <f t="shared" si="882"/>
        <v>0</v>
      </c>
      <c r="U1643" s="217">
        <f t="shared" si="883"/>
        <v>0.56999999999999995</v>
      </c>
      <c r="V1643" s="217">
        <f t="shared" si="884"/>
        <v>10.07</v>
      </c>
      <c r="W1643" s="217">
        <f t="shared" si="885"/>
        <v>0.02</v>
      </c>
      <c r="X1643" s="217">
        <f t="shared" si="886"/>
        <v>106.86999999999999</v>
      </c>
      <c r="Y1643" s="218">
        <f t="shared" si="887"/>
        <v>-19106.87</v>
      </c>
      <c r="Z1643" s="219">
        <v>-19107</v>
      </c>
      <c r="AA1643" s="220">
        <f t="shared" si="888"/>
        <v>-0.13000000000101863</v>
      </c>
      <c r="AB1643" s="221">
        <f t="shared" si="889"/>
        <v>-1</v>
      </c>
      <c r="AC1643" s="222">
        <f t="shared" si="890"/>
        <v>5.6249999999999998E-3</v>
      </c>
      <c r="AD1643" s="217"/>
      <c r="AE1643" s="223" t="s">
        <v>404</v>
      </c>
      <c r="AF1643" s="119"/>
    </row>
    <row r="1644" spans="1:32">
      <c r="A1644" s="148">
        <v>44795</v>
      </c>
      <c r="B1644" s="152" t="s">
        <v>807</v>
      </c>
      <c r="C1644" s="152" t="str">
        <f t="shared" ca="1" si="874"/>
        <v>Indices</v>
      </c>
      <c r="D1644" s="152" t="str">
        <f ca="1">IFERROR(__xludf.DUMMYFUNCTION("split(B1644,"" "")"),"NIFTY")</f>
        <v>NIFTY</v>
      </c>
      <c r="E1644" s="224">
        <f ca="1">IFERROR(__xludf.DUMMYFUNCTION("""COMPUTED_VALUE"""),45163)</f>
        <v>45163</v>
      </c>
      <c r="F1644" s="152">
        <f ca="1">IFERROR(__xludf.DUMMYFUNCTION("""COMPUTED_VALUE"""),17900)</f>
        <v>17900</v>
      </c>
      <c r="G1644" s="152" t="str">
        <f ca="1">IFERROR(__xludf.DUMMYFUNCTION("""COMPUTED_VALUE"""),"CE")</f>
        <v>CE</v>
      </c>
      <c r="H1644" s="211">
        <v>50</v>
      </c>
      <c r="I1644" s="212">
        <v>1</v>
      </c>
      <c r="J1644" s="212">
        <v>3</v>
      </c>
      <c r="K1644" s="213">
        <f t="shared" si="875"/>
        <v>150</v>
      </c>
      <c r="L1644" s="214">
        <v>22.333300000000001</v>
      </c>
      <c r="M1644" s="215">
        <v>0</v>
      </c>
      <c r="N1644" s="216">
        <f t="shared" si="876"/>
        <v>3350</v>
      </c>
      <c r="O1644" s="216">
        <f t="shared" si="877"/>
        <v>0</v>
      </c>
      <c r="P1644" s="217">
        <f t="shared" si="878"/>
        <v>3350</v>
      </c>
      <c r="Q1644" s="217">
        <f t="shared" si="879"/>
        <v>-3349.9950000000003</v>
      </c>
      <c r="R1644" s="217">
        <f t="shared" si="891"/>
        <v>60</v>
      </c>
      <c r="S1644" s="217">
        <f t="shared" si="881"/>
        <v>11.12</v>
      </c>
      <c r="T1644" s="217">
        <f t="shared" si="882"/>
        <v>0</v>
      </c>
      <c r="U1644" s="217">
        <f t="shared" si="883"/>
        <v>0.1</v>
      </c>
      <c r="V1644" s="217">
        <f t="shared" si="884"/>
        <v>1.78</v>
      </c>
      <c r="W1644" s="217">
        <f t="shared" si="885"/>
        <v>0</v>
      </c>
      <c r="X1644" s="217">
        <f t="shared" si="886"/>
        <v>73</v>
      </c>
      <c r="Y1644" s="218">
        <f t="shared" si="887"/>
        <v>-3423</v>
      </c>
      <c r="Z1644" s="219">
        <v>-3422.9</v>
      </c>
      <c r="AA1644" s="220">
        <f t="shared" si="888"/>
        <v>9.9999999999909051E-2</v>
      </c>
      <c r="AB1644" s="221">
        <f t="shared" si="889"/>
        <v>-1</v>
      </c>
      <c r="AC1644" s="222">
        <f t="shared" si="890"/>
        <v>2.1791000000000001E-2</v>
      </c>
      <c r="AD1644" s="217"/>
      <c r="AE1644" s="223" t="s">
        <v>404</v>
      </c>
      <c r="AF1644" s="119"/>
    </row>
    <row r="1645" spans="1:32">
      <c r="A1645" s="148">
        <v>44797</v>
      </c>
      <c r="B1645" s="152" t="s">
        <v>807</v>
      </c>
      <c r="C1645" s="152" t="str">
        <f t="shared" ca="1" si="874"/>
        <v>Indices</v>
      </c>
      <c r="D1645" s="152" t="str">
        <f ca="1">IFERROR(__xludf.DUMMYFUNCTION("split(B1645,"" "")"),"NIFTY")</f>
        <v>NIFTY</v>
      </c>
      <c r="E1645" s="224">
        <f ca="1">IFERROR(__xludf.DUMMYFUNCTION("""COMPUTED_VALUE"""),45163)</f>
        <v>45163</v>
      </c>
      <c r="F1645" s="152">
        <f ca="1">IFERROR(__xludf.DUMMYFUNCTION("""COMPUTED_VALUE"""),17900)</f>
        <v>17900</v>
      </c>
      <c r="G1645" s="152" t="str">
        <f ca="1">IFERROR(__xludf.DUMMYFUNCTION("""COMPUTED_VALUE"""),"CE")</f>
        <v>CE</v>
      </c>
      <c r="H1645" s="211">
        <v>50</v>
      </c>
      <c r="I1645" s="212">
        <v>1</v>
      </c>
      <c r="J1645" s="212">
        <v>1</v>
      </c>
      <c r="K1645" s="213">
        <f t="shared" si="875"/>
        <v>50</v>
      </c>
      <c r="L1645" s="214">
        <v>5.5</v>
      </c>
      <c r="M1645" s="215">
        <v>0</v>
      </c>
      <c r="N1645" s="216">
        <f t="shared" si="876"/>
        <v>275</v>
      </c>
      <c r="O1645" s="216">
        <f t="shared" si="877"/>
        <v>0</v>
      </c>
      <c r="P1645" s="217">
        <f t="shared" si="878"/>
        <v>275</v>
      </c>
      <c r="Q1645" s="217">
        <f t="shared" si="879"/>
        <v>-275</v>
      </c>
      <c r="R1645" s="217">
        <f t="shared" si="891"/>
        <v>20</v>
      </c>
      <c r="S1645" s="217">
        <f t="shared" si="881"/>
        <v>3.63</v>
      </c>
      <c r="T1645" s="217">
        <f t="shared" si="882"/>
        <v>0</v>
      </c>
      <c r="U1645" s="217">
        <f t="shared" si="883"/>
        <v>0.01</v>
      </c>
      <c r="V1645" s="217">
        <f t="shared" si="884"/>
        <v>0.15</v>
      </c>
      <c r="W1645" s="217">
        <f t="shared" si="885"/>
        <v>0</v>
      </c>
      <c r="X1645" s="217">
        <f t="shared" si="886"/>
        <v>23.79</v>
      </c>
      <c r="Y1645" s="218">
        <f t="shared" si="887"/>
        <v>-298.79000000000002</v>
      </c>
      <c r="Z1645" s="219">
        <v>-299</v>
      </c>
      <c r="AA1645" s="220">
        <f t="shared" si="888"/>
        <v>-0.20999999999997954</v>
      </c>
      <c r="AB1645" s="221">
        <f t="shared" si="889"/>
        <v>-1</v>
      </c>
      <c r="AC1645" s="222">
        <f t="shared" si="890"/>
        <v>8.6509000000000003E-2</v>
      </c>
      <c r="AD1645" s="217"/>
      <c r="AE1645" s="223" t="s">
        <v>404</v>
      </c>
      <c r="AF1645" s="119"/>
    </row>
    <row r="1646" spans="1:32">
      <c r="A1646" s="150">
        <v>44797</v>
      </c>
      <c r="B1646" s="152" t="s">
        <v>807</v>
      </c>
      <c r="C1646" s="152" t="str">
        <f t="shared" ca="1" si="874"/>
        <v>Indices</v>
      </c>
      <c r="D1646" s="152" t="str">
        <f ca="1">IFERROR(__xludf.DUMMYFUNCTION("split(B1646,"" "")"),"NIFTY")</f>
        <v>NIFTY</v>
      </c>
      <c r="E1646" s="224">
        <f ca="1">IFERROR(__xludf.DUMMYFUNCTION("""COMPUTED_VALUE"""),45163)</f>
        <v>45163</v>
      </c>
      <c r="F1646" s="152">
        <f ca="1">IFERROR(__xludf.DUMMYFUNCTION("""COMPUTED_VALUE"""),17900)</f>
        <v>17900</v>
      </c>
      <c r="G1646" s="152" t="str">
        <f ca="1">IFERROR(__xludf.DUMMYFUNCTION("""COMPUTED_VALUE"""),"CE")</f>
        <v>CE</v>
      </c>
      <c r="H1646" s="211">
        <v>50</v>
      </c>
      <c r="I1646" s="212">
        <v>8</v>
      </c>
      <c r="J1646" s="212">
        <v>1</v>
      </c>
      <c r="K1646" s="213">
        <f t="shared" si="875"/>
        <v>400</v>
      </c>
      <c r="L1646" s="214">
        <v>0</v>
      </c>
      <c r="M1646" s="215">
        <v>4.0999999999999996</v>
      </c>
      <c r="N1646" s="216">
        <f t="shared" si="876"/>
        <v>0</v>
      </c>
      <c r="O1646" s="216">
        <f t="shared" si="877"/>
        <v>1640</v>
      </c>
      <c r="P1646" s="217">
        <f t="shared" si="878"/>
        <v>1640</v>
      </c>
      <c r="Q1646" s="217">
        <f t="shared" si="879"/>
        <v>1639.9999999999998</v>
      </c>
      <c r="R1646" s="217">
        <f t="shared" si="891"/>
        <v>20</v>
      </c>
      <c r="S1646" s="217">
        <f t="shared" si="881"/>
        <v>3.76</v>
      </c>
      <c r="T1646" s="217">
        <f t="shared" si="882"/>
        <v>0.82</v>
      </c>
      <c r="U1646" s="217">
        <f t="shared" si="883"/>
        <v>0</v>
      </c>
      <c r="V1646" s="217">
        <f t="shared" si="884"/>
        <v>0.87</v>
      </c>
      <c r="W1646" s="217">
        <f t="shared" si="885"/>
        <v>0</v>
      </c>
      <c r="X1646" s="217">
        <f t="shared" si="886"/>
        <v>25.45</v>
      </c>
      <c r="Y1646" s="218">
        <f t="shared" si="887"/>
        <v>1614.55</v>
      </c>
      <c r="Z1646" s="219">
        <v>1614.6</v>
      </c>
      <c r="AA1646" s="220">
        <f t="shared" si="888"/>
        <v>4.9999999999954525E-2</v>
      </c>
      <c r="AB1646" s="221">
        <f t="shared" si="889"/>
        <v>0</v>
      </c>
      <c r="AC1646" s="222">
        <f t="shared" si="890"/>
        <v>1.5518000000000001E-2</v>
      </c>
      <c r="AD1646" s="217"/>
      <c r="AE1646" s="223" t="s">
        <v>404</v>
      </c>
      <c r="AF1646" s="119"/>
    </row>
    <row r="1647" spans="1:32">
      <c r="A1647" s="209">
        <v>44799</v>
      </c>
      <c r="B1647" s="152" t="s">
        <v>810</v>
      </c>
      <c r="C1647" s="152" t="str">
        <f t="shared" ca="1" si="874"/>
        <v>Stocks</v>
      </c>
      <c r="D1647" s="152" t="str">
        <f ca="1">IFERROR(__xludf.DUMMYFUNCTION("split(B1647,"" "")"),"TATASTEEL")</f>
        <v>TATASTEEL</v>
      </c>
      <c r="E1647" s="224" t="str">
        <f ca="1">IFERROR(__xludf.DUMMYFUNCTION("""COMPUTED_VALUE"""),"SEP")</f>
        <v>SEP</v>
      </c>
      <c r="F1647" s="152">
        <f ca="1">IFERROR(__xludf.DUMMYFUNCTION("""COMPUTED_VALUE"""),108)</f>
        <v>108</v>
      </c>
      <c r="G1647" s="152" t="str">
        <f ca="1">IFERROR(__xludf.DUMMYFUNCTION("""COMPUTED_VALUE"""),"CE")</f>
        <v>CE</v>
      </c>
      <c r="H1647" s="211">
        <v>4250</v>
      </c>
      <c r="I1647" s="212">
        <v>1</v>
      </c>
      <c r="J1647" s="212">
        <v>1</v>
      </c>
      <c r="K1647" s="213">
        <f t="shared" si="875"/>
        <v>4250</v>
      </c>
      <c r="L1647" s="214">
        <v>5.5</v>
      </c>
      <c r="M1647" s="215">
        <v>5.95</v>
      </c>
      <c r="N1647" s="216">
        <f t="shared" si="876"/>
        <v>23375</v>
      </c>
      <c r="O1647" s="216">
        <f t="shared" si="877"/>
        <v>25287.5</v>
      </c>
      <c r="P1647" s="217">
        <f t="shared" si="878"/>
        <v>48662.5</v>
      </c>
      <c r="Q1647" s="217">
        <f t="shared" si="879"/>
        <v>1912.5000000000007</v>
      </c>
      <c r="R1647" s="217">
        <f t="shared" si="891"/>
        <v>40</v>
      </c>
      <c r="S1647" s="217">
        <f t="shared" si="881"/>
        <v>11.84</v>
      </c>
      <c r="T1647" s="217">
        <f t="shared" si="882"/>
        <v>12.64</v>
      </c>
      <c r="U1647" s="217">
        <f t="shared" si="883"/>
        <v>0.7</v>
      </c>
      <c r="V1647" s="217">
        <f t="shared" si="884"/>
        <v>25.79</v>
      </c>
      <c r="W1647" s="217">
        <f t="shared" si="885"/>
        <v>0.05</v>
      </c>
      <c r="X1647" s="217">
        <f t="shared" si="886"/>
        <v>91.02</v>
      </c>
      <c r="Y1647" s="218">
        <f t="shared" si="887"/>
        <v>1821.48</v>
      </c>
      <c r="Z1647" s="219">
        <v>1820.81</v>
      </c>
      <c r="AA1647" s="220">
        <f t="shared" si="888"/>
        <v>-0.67000000000007276</v>
      </c>
      <c r="AB1647" s="221">
        <f t="shared" si="889"/>
        <v>8.1818181818181845E-2</v>
      </c>
      <c r="AC1647" s="222">
        <f t="shared" si="890"/>
        <v>1.8699999999999999E-3</v>
      </c>
      <c r="AD1647" s="217"/>
      <c r="AE1647" s="223" t="s">
        <v>403</v>
      </c>
      <c r="AF1647" s="119"/>
    </row>
    <row r="1648" spans="1:32">
      <c r="A1648" s="209">
        <v>44802</v>
      </c>
      <c r="B1648" s="152" t="s">
        <v>811</v>
      </c>
      <c r="C1648" s="152" t="str">
        <f t="shared" ca="1" si="874"/>
        <v>Stocks</v>
      </c>
      <c r="D1648" s="152" t="str">
        <f ca="1">IFERROR(__xludf.DUMMYFUNCTION("split(B1648,"" "")"),"BIOCON")</f>
        <v>BIOCON</v>
      </c>
      <c r="E1648" s="152" t="str">
        <f ca="1">IFERROR(__xludf.DUMMYFUNCTION("""COMPUTED_VALUE"""),"SEP")</f>
        <v>SEP</v>
      </c>
      <c r="F1648" s="152">
        <f ca="1">IFERROR(__xludf.DUMMYFUNCTION("""COMPUTED_VALUE"""),305)</f>
        <v>305</v>
      </c>
      <c r="G1648" s="152" t="str">
        <f ca="1">IFERROR(__xludf.DUMMYFUNCTION("""COMPUTED_VALUE"""),"PE")</f>
        <v>PE</v>
      </c>
      <c r="H1648" s="211">
        <v>2300</v>
      </c>
      <c r="I1648" s="212">
        <v>1</v>
      </c>
      <c r="J1648" s="212">
        <v>1</v>
      </c>
      <c r="K1648" s="213">
        <f t="shared" si="875"/>
        <v>2300</v>
      </c>
      <c r="L1648" s="214">
        <v>10.3</v>
      </c>
      <c r="M1648" s="215">
        <v>10.5</v>
      </c>
      <c r="N1648" s="216">
        <f t="shared" si="876"/>
        <v>23690</v>
      </c>
      <c r="O1648" s="216">
        <f t="shared" si="877"/>
        <v>24150</v>
      </c>
      <c r="P1648" s="217">
        <f t="shared" si="878"/>
        <v>47840</v>
      </c>
      <c r="Q1648" s="217">
        <f t="shared" si="879"/>
        <v>459.99999999999835</v>
      </c>
      <c r="R1648" s="217">
        <f t="shared" si="891"/>
        <v>40</v>
      </c>
      <c r="S1648" s="217">
        <f t="shared" si="881"/>
        <v>11.76</v>
      </c>
      <c r="T1648" s="217">
        <f t="shared" si="882"/>
        <v>12.08</v>
      </c>
      <c r="U1648" s="217">
        <f t="shared" si="883"/>
        <v>0.71</v>
      </c>
      <c r="V1648" s="217">
        <f t="shared" si="884"/>
        <v>25.36</v>
      </c>
      <c r="W1648" s="217">
        <f t="shared" si="885"/>
        <v>0.05</v>
      </c>
      <c r="X1648" s="217">
        <f t="shared" si="886"/>
        <v>89.96</v>
      </c>
      <c r="Y1648" s="218">
        <f t="shared" si="887"/>
        <v>370.04</v>
      </c>
      <c r="Z1648" s="219">
        <v>369.82</v>
      </c>
      <c r="AA1648" s="220">
        <f t="shared" si="888"/>
        <v>-0.22000000000002728</v>
      </c>
      <c r="AB1648" s="221">
        <f t="shared" si="889"/>
        <v>1.9417475728155269E-2</v>
      </c>
      <c r="AC1648" s="222">
        <f t="shared" si="890"/>
        <v>1.8799999999999999E-3</v>
      </c>
      <c r="AD1648" s="217"/>
      <c r="AE1648" s="223" t="s">
        <v>403</v>
      </c>
      <c r="AF1648" s="119"/>
    </row>
    <row r="1649" spans="1:32">
      <c r="A1649" s="209">
        <v>44813</v>
      </c>
      <c r="B1649" s="152" t="s">
        <v>812</v>
      </c>
      <c r="C1649" s="152" t="str">
        <f t="shared" ca="1" si="874"/>
        <v>Indices</v>
      </c>
      <c r="D1649" s="152" t="str">
        <f ca="1">IFERROR(__xludf.DUMMYFUNCTION("split(B1649,"" "")"),"NIFTY")</f>
        <v>NIFTY</v>
      </c>
      <c r="E1649" s="224">
        <f ca="1">IFERROR(__xludf.DUMMYFUNCTION("""COMPUTED_VALUE"""),45184)</f>
        <v>45184</v>
      </c>
      <c r="F1649" s="152">
        <f ca="1">IFERROR(__xludf.DUMMYFUNCTION("""COMPUTED_VALUE"""),17850)</f>
        <v>17850</v>
      </c>
      <c r="G1649" s="152" t="str">
        <f ca="1">IFERROR(__xludf.DUMMYFUNCTION("""COMPUTED_VALUE"""),"CE")</f>
        <v>CE</v>
      </c>
      <c r="H1649" s="211">
        <v>50</v>
      </c>
      <c r="I1649" s="212">
        <v>1</v>
      </c>
      <c r="J1649" s="212">
        <v>3</v>
      </c>
      <c r="K1649" s="213">
        <f t="shared" si="875"/>
        <v>150</v>
      </c>
      <c r="L1649" s="214">
        <v>137.33330000000001</v>
      </c>
      <c r="M1649" s="215">
        <v>139</v>
      </c>
      <c r="N1649" s="216">
        <f t="shared" si="876"/>
        <v>20600</v>
      </c>
      <c r="O1649" s="216">
        <f t="shared" si="877"/>
        <v>20850</v>
      </c>
      <c r="P1649" s="217">
        <f t="shared" si="878"/>
        <v>41450</v>
      </c>
      <c r="Q1649" s="217">
        <f t="shared" si="879"/>
        <v>250.00499999999874</v>
      </c>
      <c r="R1649" s="217">
        <f t="shared" si="891"/>
        <v>120</v>
      </c>
      <c r="S1649" s="217">
        <f t="shared" si="881"/>
        <v>25.55</v>
      </c>
      <c r="T1649" s="217">
        <f t="shared" si="882"/>
        <v>10.43</v>
      </c>
      <c r="U1649" s="217">
        <f t="shared" si="883"/>
        <v>0.62</v>
      </c>
      <c r="V1649" s="217">
        <f t="shared" si="884"/>
        <v>21.97</v>
      </c>
      <c r="W1649" s="217">
        <f t="shared" si="885"/>
        <v>0.04</v>
      </c>
      <c r="X1649" s="217">
        <f t="shared" si="886"/>
        <v>178.61</v>
      </c>
      <c r="Y1649" s="218">
        <f t="shared" si="887"/>
        <v>71.39</v>
      </c>
      <c r="Z1649" s="219">
        <v>71.430000000000007</v>
      </c>
      <c r="AA1649" s="220">
        <f t="shared" si="888"/>
        <v>4.0000000000006253E-2</v>
      </c>
      <c r="AB1649" s="221">
        <f t="shared" si="889"/>
        <v>1.213616799421547E-2</v>
      </c>
      <c r="AC1649" s="222">
        <f t="shared" si="890"/>
        <v>4.3090000000000003E-3</v>
      </c>
      <c r="AD1649" s="217"/>
      <c r="AE1649" s="223" t="s">
        <v>403</v>
      </c>
      <c r="AF1649" s="119"/>
    </row>
    <row r="1650" spans="1:32">
      <c r="A1650" s="148">
        <v>44819</v>
      </c>
      <c r="B1650" s="152" t="s">
        <v>813</v>
      </c>
      <c r="C1650" s="152" t="str">
        <f t="shared" ca="1" si="874"/>
        <v>Stocks</v>
      </c>
      <c r="D1650" s="152" t="str">
        <f ca="1">IFERROR(__xludf.DUMMYFUNCTION("split(B1650,"" "")"),"BHARTIARTL")</f>
        <v>BHARTIARTL</v>
      </c>
      <c r="E1650" s="152" t="str">
        <f ca="1">IFERROR(__xludf.DUMMYFUNCTION("""COMPUTED_VALUE"""),"SEP")</f>
        <v>SEP</v>
      </c>
      <c r="F1650" s="152">
        <f ca="1">IFERROR(__xludf.DUMMYFUNCTION("""COMPUTED_VALUE"""),790)</f>
        <v>790</v>
      </c>
      <c r="G1650" s="152" t="str">
        <f ca="1">IFERROR(__xludf.DUMMYFUNCTION("""COMPUTED_VALUE"""),"CE")</f>
        <v>CE</v>
      </c>
      <c r="H1650" s="211">
        <v>950</v>
      </c>
      <c r="I1650" s="212">
        <v>1</v>
      </c>
      <c r="J1650" s="212">
        <v>1</v>
      </c>
      <c r="K1650" s="213">
        <f t="shared" si="875"/>
        <v>950</v>
      </c>
      <c r="L1650" s="214">
        <v>13.75</v>
      </c>
      <c r="M1650" s="215">
        <v>0</v>
      </c>
      <c r="N1650" s="216">
        <f t="shared" si="876"/>
        <v>13062.5</v>
      </c>
      <c r="O1650" s="216">
        <f t="shared" si="877"/>
        <v>0</v>
      </c>
      <c r="P1650" s="217">
        <f t="shared" si="878"/>
        <v>13062.5</v>
      </c>
      <c r="Q1650" s="217">
        <f t="shared" si="879"/>
        <v>-13062.5</v>
      </c>
      <c r="R1650" s="217">
        <f t="shared" si="891"/>
        <v>20</v>
      </c>
      <c r="S1650" s="217">
        <f t="shared" si="881"/>
        <v>4.8499999999999996</v>
      </c>
      <c r="T1650" s="217">
        <f t="shared" si="882"/>
        <v>0</v>
      </c>
      <c r="U1650" s="217">
        <f t="shared" si="883"/>
        <v>0.39</v>
      </c>
      <c r="V1650" s="217">
        <f t="shared" si="884"/>
        <v>6.92</v>
      </c>
      <c r="W1650" s="217">
        <f t="shared" si="885"/>
        <v>0.01</v>
      </c>
      <c r="X1650" s="217">
        <f t="shared" si="886"/>
        <v>32.17</v>
      </c>
      <c r="Y1650" s="218">
        <f t="shared" si="887"/>
        <v>-13094.67</v>
      </c>
      <c r="Z1650" s="219">
        <v>-13094.28</v>
      </c>
      <c r="AA1650" s="220">
        <f t="shared" si="888"/>
        <v>0.38999999999941792</v>
      </c>
      <c r="AB1650" s="221">
        <f t="shared" si="889"/>
        <v>-1</v>
      </c>
      <c r="AC1650" s="222">
        <f t="shared" si="890"/>
        <v>2.4629999999999999E-3</v>
      </c>
      <c r="AD1650" s="217"/>
      <c r="AE1650" s="223" t="s">
        <v>403</v>
      </c>
      <c r="AF1650" s="119"/>
    </row>
    <row r="1651" spans="1:32">
      <c r="A1651" s="150">
        <v>44823</v>
      </c>
      <c r="B1651" s="152" t="s">
        <v>813</v>
      </c>
      <c r="C1651" s="152" t="str">
        <f t="shared" ca="1" si="874"/>
        <v>Stocks</v>
      </c>
      <c r="D1651" s="152" t="str">
        <f ca="1">IFERROR(__xludf.DUMMYFUNCTION("split(B1651,"" "")"),"BHARTIARTL")</f>
        <v>BHARTIARTL</v>
      </c>
      <c r="E1651" s="152" t="str">
        <f ca="1">IFERROR(__xludf.DUMMYFUNCTION("""COMPUTED_VALUE"""),"SEP")</f>
        <v>SEP</v>
      </c>
      <c r="F1651" s="152">
        <f ca="1">IFERROR(__xludf.DUMMYFUNCTION("""COMPUTED_VALUE"""),790)</f>
        <v>790</v>
      </c>
      <c r="G1651" s="152" t="str">
        <f ca="1">IFERROR(__xludf.DUMMYFUNCTION("""COMPUTED_VALUE"""),"CE")</f>
        <v>CE</v>
      </c>
      <c r="H1651" s="211">
        <v>950</v>
      </c>
      <c r="I1651" s="212">
        <v>1</v>
      </c>
      <c r="J1651" s="212">
        <v>1</v>
      </c>
      <c r="K1651" s="213">
        <f t="shared" si="875"/>
        <v>950</v>
      </c>
      <c r="L1651" s="214">
        <v>0</v>
      </c>
      <c r="M1651" s="215">
        <v>8.25</v>
      </c>
      <c r="N1651" s="216">
        <f t="shared" si="876"/>
        <v>0</v>
      </c>
      <c r="O1651" s="216">
        <f t="shared" si="877"/>
        <v>7837.5</v>
      </c>
      <c r="P1651" s="217">
        <f t="shared" si="878"/>
        <v>7837.5</v>
      </c>
      <c r="Q1651" s="217">
        <f t="shared" si="879"/>
        <v>7837.5</v>
      </c>
      <c r="R1651" s="217">
        <f t="shared" si="891"/>
        <v>20</v>
      </c>
      <c r="S1651" s="217">
        <f t="shared" si="881"/>
        <v>4.3499999999999996</v>
      </c>
      <c r="T1651" s="217">
        <f t="shared" si="882"/>
        <v>3.92</v>
      </c>
      <c r="U1651" s="217">
        <f t="shared" si="883"/>
        <v>0</v>
      </c>
      <c r="V1651" s="217">
        <f t="shared" si="884"/>
        <v>4.1500000000000004</v>
      </c>
      <c r="W1651" s="217">
        <f t="shared" si="885"/>
        <v>0.01</v>
      </c>
      <c r="X1651" s="217">
        <f t="shared" si="886"/>
        <v>32.43</v>
      </c>
      <c r="Y1651" s="218">
        <f t="shared" si="887"/>
        <v>7805.07</v>
      </c>
      <c r="Z1651" s="219">
        <v>7804.99</v>
      </c>
      <c r="AA1651" s="220">
        <f t="shared" si="888"/>
        <v>-7.999999999992724E-2</v>
      </c>
      <c r="AB1651" s="221">
        <f t="shared" si="889"/>
        <v>0</v>
      </c>
      <c r="AC1651" s="222">
        <f t="shared" si="890"/>
        <v>4.1380000000000002E-3</v>
      </c>
      <c r="AD1651" s="217"/>
      <c r="AE1651" s="223" t="s">
        <v>403</v>
      </c>
      <c r="AF1651" s="119"/>
    </row>
    <row r="1652" spans="1:32">
      <c r="A1652" s="209">
        <v>44824</v>
      </c>
      <c r="B1652" s="152" t="s">
        <v>814</v>
      </c>
      <c r="C1652" s="152" t="str">
        <f t="shared" ca="1" si="874"/>
        <v>Stocks</v>
      </c>
      <c r="D1652" s="152" t="str">
        <f ca="1">IFERROR(__xludf.DUMMYFUNCTION("split(B1652,"" "")"),"SBIN")</f>
        <v>SBIN</v>
      </c>
      <c r="E1652" s="152" t="str">
        <f ca="1">IFERROR(__xludf.DUMMYFUNCTION("""COMPUTED_VALUE"""),"SEP")</f>
        <v>SEP</v>
      </c>
      <c r="F1652" s="152">
        <f ca="1">IFERROR(__xludf.DUMMYFUNCTION("""COMPUTED_VALUE"""),570)</f>
        <v>570</v>
      </c>
      <c r="G1652" s="152" t="str">
        <f ca="1">IFERROR(__xludf.DUMMYFUNCTION("""COMPUTED_VALUE"""),"CE")</f>
        <v>CE</v>
      </c>
      <c r="H1652" s="211">
        <v>1500</v>
      </c>
      <c r="I1652" s="212">
        <v>1</v>
      </c>
      <c r="J1652" s="212">
        <v>1</v>
      </c>
      <c r="K1652" s="213">
        <f t="shared" si="875"/>
        <v>1500</v>
      </c>
      <c r="L1652" s="214">
        <v>12.5</v>
      </c>
      <c r="M1652" s="215">
        <v>13.5</v>
      </c>
      <c r="N1652" s="216">
        <f t="shared" si="876"/>
        <v>18750</v>
      </c>
      <c r="O1652" s="216">
        <f t="shared" si="877"/>
        <v>20250</v>
      </c>
      <c r="P1652" s="217">
        <f t="shared" si="878"/>
        <v>39000</v>
      </c>
      <c r="Q1652" s="217">
        <f t="shared" si="879"/>
        <v>1500</v>
      </c>
      <c r="R1652" s="217">
        <f t="shared" si="891"/>
        <v>40</v>
      </c>
      <c r="S1652" s="217">
        <f t="shared" si="881"/>
        <v>10.92</v>
      </c>
      <c r="T1652" s="217">
        <f t="shared" si="882"/>
        <v>10.130000000000001</v>
      </c>
      <c r="U1652" s="217">
        <f t="shared" si="883"/>
        <v>0.56000000000000005</v>
      </c>
      <c r="V1652" s="217">
        <f t="shared" si="884"/>
        <v>20.67</v>
      </c>
      <c r="W1652" s="217">
        <f t="shared" si="885"/>
        <v>0.04</v>
      </c>
      <c r="X1652" s="217">
        <f t="shared" si="886"/>
        <v>82.320000000000007</v>
      </c>
      <c r="Y1652" s="218">
        <f t="shared" si="887"/>
        <v>1417.68</v>
      </c>
      <c r="Z1652" s="219">
        <v>1417.64</v>
      </c>
      <c r="AA1652" s="220">
        <f t="shared" si="888"/>
        <v>-3.999999999996362E-2</v>
      </c>
      <c r="AB1652" s="221">
        <f t="shared" si="889"/>
        <v>0.08</v>
      </c>
      <c r="AC1652" s="222">
        <f t="shared" si="890"/>
        <v>2.111E-3</v>
      </c>
      <c r="AD1652" s="217"/>
      <c r="AE1652" s="223" t="s">
        <v>403</v>
      </c>
      <c r="AF1652" s="119"/>
    </row>
    <row r="1653" spans="1:32">
      <c r="A1653" s="209">
        <v>44824</v>
      </c>
      <c r="B1653" s="152" t="s">
        <v>815</v>
      </c>
      <c r="C1653" s="152" t="str">
        <f t="shared" ca="1" si="874"/>
        <v>Indices</v>
      </c>
      <c r="D1653" s="152" t="str">
        <f ca="1">IFERROR(__xludf.DUMMYFUNCTION("split(B1653,"" "")"),"NIFTY")</f>
        <v>NIFTY</v>
      </c>
      <c r="E1653" s="224">
        <f ca="1">IFERROR(__xludf.DUMMYFUNCTION("""COMPUTED_VALUE"""),45191)</f>
        <v>45191</v>
      </c>
      <c r="F1653" s="152">
        <f ca="1">IFERROR(__xludf.DUMMYFUNCTION("""COMPUTED_VALUE"""),17900)</f>
        <v>17900</v>
      </c>
      <c r="G1653" s="152" t="str">
        <f ca="1">IFERROR(__xludf.DUMMYFUNCTION("""COMPUTED_VALUE"""),"PE")</f>
        <v>PE</v>
      </c>
      <c r="H1653" s="211">
        <v>50</v>
      </c>
      <c r="I1653" s="212">
        <v>1</v>
      </c>
      <c r="J1653" s="212">
        <v>1</v>
      </c>
      <c r="K1653" s="213">
        <f t="shared" si="875"/>
        <v>50</v>
      </c>
      <c r="L1653" s="214">
        <v>115</v>
      </c>
      <c r="M1653" s="215">
        <v>125</v>
      </c>
      <c r="N1653" s="216">
        <f t="shared" si="876"/>
        <v>5750</v>
      </c>
      <c r="O1653" s="216">
        <f t="shared" si="877"/>
        <v>6250</v>
      </c>
      <c r="P1653" s="217">
        <f t="shared" si="878"/>
        <v>12000</v>
      </c>
      <c r="Q1653" s="217">
        <f t="shared" si="879"/>
        <v>500</v>
      </c>
      <c r="R1653" s="217">
        <f t="shared" si="891"/>
        <v>40</v>
      </c>
      <c r="S1653" s="217">
        <f t="shared" si="881"/>
        <v>8.34</v>
      </c>
      <c r="T1653" s="217">
        <f t="shared" si="882"/>
        <v>3.13</v>
      </c>
      <c r="U1653" s="217">
        <f t="shared" si="883"/>
        <v>0.17</v>
      </c>
      <c r="V1653" s="217">
        <f t="shared" si="884"/>
        <v>6.36</v>
      </c>
      <c r="W1653" s="217">
        <f t="shared" si="885"/>
        <v>0.01</v>
      </c>
      <c r="X1653" s="217">
        <f t="shared" si="886"/>
        <v>58.010000000000005</v>
      </c>
      <c r="Y1653" s="218">
        <f t="shared" si="887"/>
        <v>441.99</v>
      </c>
      <c r="Z1653" s="219">
        <v>442</v>
      </c>
      <c r="AA1653" s="220">
        <f t="shared" si="888"/>
        <v>9.9999999999909051E-3</v>
      </c>
      <c r="AB1653" s="221">
        <f t="shared" si="889"/>
        <v>8.6956521739130432E-2</v>
      </c>
      <c r="AC1653" s="222">
        <f t="shared" si="890"/>
        <v>4.8339999999999998E-3</v>
      </c>
      <c r="AD1653" s="217"/>
      <c r="AE1653" s="223" t="s">
        <v>403</v>
      </c>
      <c r="AF1653" s="119"/>
    </row>
    <row r="1654" spans="1:32">
      <c r="A1654" s="209">
        <v>44825</v>
      </c>
      <c r="B1654" s="152" t="s">
        <v>816</v>
      </c>
      <c r="C1654" s="152" t="str">
        <f t="shared" ca="1" si="874"/>
        <v>Indices</v>
      </c>
      <c r="D1654" s="152" t="str">
        <f ca="1">IFERROR(__xludf.DUMMYFUNCTION("split(B1654,"" "")"),"NIFTY")</f>
        <v>NIFTY</v>
      </c>
      <c r="E1654" s="224">
        <f ca="1">IFERROR(__xludf.DUMMYFUNCTION("""COMPUTED_VALUE"""),45191)</f>
        <v>45191</v>
      </c>
      <c r="F1654" s="152">
        <f ca="1">IFERROR(__xludf.DUMMYFUNCTION("""COMPUTED_VALUE"""),17700)</f>
        <v>17700</v>
      </c>
      <c r="G1654" s="152" t="str">
        <f ca="1">IFERROR(__xludf.DUMMYFUNCTION("""COMPUTED_VALUE"""),"CE")</f>
        <v>CE</v>
      </c>
      <c r="H1654" s="211">
        <v>50</v>
      </c>
      <c r="I1654" s="212">
        <v>1</v>
      </c>
      <c r="J1654" s="212">
        <v>1</v>
      </c>
      <c r="K1654" s="213">
        <f t="shared" si="875"/>
        <v>50</v>
      </c>
      <c r="L1654" s="214">
        <v>120</v>
      </c>
      <c r="M1654" s="215">
        <v>155</v>
      </c>
      <c r="N1654" s="216">
        <f t="shared" si="876"/>
        <v>6000</v>
      </c>
      <c r="O1654" s="216">
        <f t="shared" si="877"/>
        <v>7750</v>
      </c>
      <c r="P1654" s="217">
        <f t="shared" si="878"/>
        <v>13750</v>
      </c>
      <c r="Q1654" s="217">
        <f t="shared" si="879"/>
        <v>1750</v>
      </c>
      <c r="R1654" s="217">
        <f t="shared" si="891"/>
        <v>40</v>
      </c>
      <c r="S1654" s="217">
        <f t="shared" si="881"/>
        <v>8.51</v>
      </c>
      <c r="T1654" s="217">
        <f t="shared" si="882"/>
        <v>3.88</v>
      </c>
      <c r="U1654" s="217">
        <f t="shared" si="883"/>
        <v>0.18</v>
      </c>
      <c r="V1654" s="217">
        <f t="shared" si="884"/>
        <v>7.29</v>
      </c>
      <c r="W1654" s="217">
        <f t="shared" si="885"/>
        <v>0.01</v>
      </c>
      <c r="X1654" s="217">
        <f t="shared" si="886"/>
        <v>59.87</v>
      </c>
      <c r="Y1654" s="218">
        <f t="shared" si="887"/>
        <v>1690.13</v>
      </c>
      <c r="Z1654" s="219">
        <v>1690</v>
      </c>
      <c r="AA1654" s="220">
        <f t="shared" si="888"/>
        <v>-0.13000000000010914</v>
      </c>
      <c r="AB1654" s="221">
        <f t="shared" si="889"/>
        <v>0.29166666666666669</v>
      </c>
      <c r="AC1654" s="222">
        <f t="shared" si="890"/>
        <v>4.3540000000000002E-3</v>
      </c>
      <c r="AD1654" s="217"/>
      <c r="AE1654" s="223" t="s">
        <v>403</v>
      </c>
      <c r="AF1654" s="119"/>
    </row>
    <row r="1655" spans="1:32">
      <c r="A1655" s="209">
        <v>44825</v>
      </c>
      <c r="B1655" s="152" t="s">
        <v>817</v>
      </c>
      <c r="C1655" s="152" t="str">
        <f t="shared" ca="1" si="874"/>
        <v>Stocks</v>
      </c>
      <c r="D1655" s="152" t="str">
        <f ca="1">IFERROR(__xludf.DUMMYFUNCTION("split(B1655,"" "")"),"INTELLECT")</f>
        <v>INTELLECT</v>
      </c>
      <c r="E1655" s="152" t="str">
        <f ca="1">IFERROR(__xludf.DUMMYFUNCTION("""COMPUTED_VALUE"""),"SEP")</f>
        <v>SEP</v>
      </c>
      <c r="F1655" s="152">
        <f ca="1">IFERROR(__xludf.DUMMYFUNCTION("""COMPUTED_VALUE"""),560)</f>
        <v>560</v>
      </c>
      <c r="G1655" s="152" t="str">
        <f ca="1">IFERROR(__xludf.DUMMYFUNCTION("""COMPUTED_VALUE"""),"PE")</f>
        <v>PE</v>
      </c>
      <c r="H1655" s="211">
        <v>750</v>
      </c>
      <c r="I1655" s="212">
        <v>1</v>
      </c>
      <c r="J1655" s="212">
        <v>1</v>
      </c>
      <c r="K1655" s="213">
        <f t="shared" si="875"/>
        <v>750</v>
      </c>
      <c r="L1655" s="214">
        <v>22.25</v>
      </c>
      <c r="M1655" s="215">
        <v>24</v>
      </c>
      <c r="N1655" s="216">
        <f t="shared" si="876"/>
        <v>16687.5</v>
      </c>
      <c r="O1655" s="216">
        <f t="shared" si="877"/>
        <v>18000</v>
      </c>
      <c r="P1655" s="217">
        <f t="shared" si="878"/>
        <v>34687.5</v>
      </c>
      <c r="Q1655" s="217">
        <f t="shared" si="879"/>
        <v>1312.5</v>
      </c>
      <c r="R1655" s="217">
        <f t="shared" si="891"/>
        <v>40</v>
      </c>
      <c r="S1655" s="217">
        <f t="shared" si="881"/>
        <v>10.51</v>
      </c>
      <c r="T1655" s="217">
        <f t="shared" si="882"/>
        <v>9</v>
      </c>
      <c r="U1655" s="217">
        <f t="shared" si="883"/>
        <v>0.5</v>
      </c>
      <c r="V1655" s="217">
        <f t="shared" si="884"/>
        <v>18.38</v>
      </c>
      <c r="W1655" s="217">
        <f t="shared" si="885"/>
        <v>0.03</v>
      </c>
      <c r="X1655" s="217">
        <f t="shared" si="886"/>
        <v>78.42</v>
      </c>
      <c r="Y1655" s="218">
        <f t="shared" si="887"/>
        <v>1234.08</v>
      </c>
      <c r="Z1655" s="219">
        <v>1234</v>
      </c>
      <c r="AA1655" s="220">
        <f t="shared" si="888"/>
        <v>-7.999999999992724E-2</v>
      </c>
      <c r="AB1655" s="221">
        <f t="shared" si="889"/>
        <v>7.8651685393258425E-2</v>
      </c>
      <c r="AC1655" s="222">
        <f t="shared" si="890"/>
        <v>2.261E-3</v>
      </c>
      <c r="AD1655" s="217"/>
      <c r="AE1655" s="223" t="s">
        <v>403</v>
      </c>
      <c r="AF1655" s="119"/>
    </row>
    <row r="1656" spans="1:32">
      <c r="A1656" s="209">
        <v>44825</v>
      </c>
      <c r="B1656" s="152" t="s">
        <v>818</v>
      </c>
      <c r="C1656" s="152" t="str">
        <f t="shared" ca="1" si="874"/>
        <v>Stocks</v>
      </c>
      <c r="D1656" s="152" t="str">
        <f ca="1">IFERROR(__xludf.DUMMYFUNCTION("split(B1656,"" "")"),"INFY")</f>
        <v>INFY</v>
      </c>
      <c r="E1656" s="152" t="str">
        <f ca="1">IFERROR(__xludf.DUMMYFUNCTION("""COMPUTED_VALUE"""),"SEP")</f>
        <v>SEP</v>
      </c>
      <c r="F1656" s="152">
        <f ca="1">IFERROR(__xludf.DUMMYFUNCTION("""COMPUTED_VALUE"""),1380)</f>
        <v>1380</v>
      </c>
      <c r="G1656" s="152" t="str">
        <f ca="1">IFERROR(__xludf.DUMMYFUNCTION("""COMPUTED_VALUE"""),"PE")</f>
        <v>PE</v>
      </c>
      <c r="H1656" s="211">
        <v>300</v>
      </c>
      <c r="I1656" s="212">
        <v>1</v>
      </c>
      <c r="J1656" s="212">
        <v>1</v>
      </c>
      <c r="K1656" s="213">
        <f t="shared" si="875"/>
        <v>300</v>
      </c>
      <c r="L1656" s="214">
        <v>29</v>
      </c>
      <c r="M1656" s="215">
        <v>28.5</v>
      </c>
      <c r="N1656" s="216">
        <f t="shared" si="876"/>
        <v>8700</v>
      </c>
      <c r="O1656" s="216">
        <f t="shared" si="877"/>
        <v>8550</v>
      </c>
      <c r="P1656" s="217">
        <f t="shared" si="878"/>
        <v>17250</v>
      </c>
      <c r="Q1656" s="217">
        <f t="shared" si="879"/>
        <v>-150</v>
      </c>
      <c r="R1656" s="217">
        <f t="shared" si="891"/>
        <v>40</v>
      </c>
      <c r="S1656" s="217">
        <f t="shared" si="881"/>
        <v>8.85</v>
      </c>
      <c r="T1656" s="217">
        <f t="shared" si="882"/>
        <v>4.28</v>
      </c>
      <c r="U1656" s="217">
        <f t="shared" si="883"/>
        <v>0.26</v>
      </c>
      <c r="V1656" s="217">
        <f t="shared" si="884"/>
        <v>9.14</v>
      </c>
      <c r="W1656" s="217">
        <f t="shared" si="885"/>
        <v>0.02</v>
      </c>
      <c r="X1656" s="217">
        <f t="shared" si="886"/>
        <v>62.550000000000004</v>
      </c>
      <c r="Y1656" s="218">
        <f t="shared" si="887"/>
        <v>-212.55</v>
      </c>
      <c r="Z1656" s="219">
        <v>-212.26</v>
      </c>
      <c r="AA1656" s="220">
        <f t="shared" si="888"/>
        <v>0.29000000000002046</v>
      </c>
      <c r="AB1656" s="221">
        <f t="shared" si="889"/>
        <v>-1.7241379310344827E-2</v>
      </c>
      <c r="AC1656" s="222">
        <f t="shared" si="890"/>
        <v>3.6259999999999999E-3</v>
      </c>
      <c r="AD1656" s="217"/>
      <c r="AE1656" s="223" t="s">
        <v>403</v>
      </c>
      <c r="AF1656" s="119"/>
    </row>
    <row r="1657" spans="1:32">
      <c r="A1657" s="209">
        <v>44826</v>
      </c>
      <c r="B1657" s="152" t="s">
        <v>819</v>
      </c>
      <c r="C1657" s="152" t="str">
        <f t="shared" ca="1" si="874"/>
        <v>Indices</v>
      </c>
      <c r="D1657" s="152" t="str">
        <f ca="1">IFERROR(__xludf.DUMMYFUNCTION("split(B1657,"" "")"),"BANKNIFTY")</f>
        <v>BANKNIFTY</v>
      </c>
      <c r="E1657" s="152" t="str">
        <f ca="1">IFERROR(__xludf.DUMMYFUNCTION("""COMPUTED_VALUE"""),"22:SEP")</f>
        <v>22:SEP</v>
      </c>
      <c r="F1657" s="152">
        <f ca="1">IFERROR(__xludf.DUMMYFUNCTION("""COMPUTED_VALUE"""),40700)</f>
        <v>40700</v>
      </c>
      <c r="G1657" s="152" t="str">
        <f ca="1">IFERROR(__xludf.DUMMYFUNCTION("""COMPUTED_VALUE"""),"CE")</f>
        <v>CE</v>
      </c>
      <c r="H1657" s="211">
        <v>25</v>
      </c>
      <c r="I1657" s="212">
        <v>1</v>
      </c>
      <c r="J1657" s="212">
        <v>6</v>
      </c>
      <c r="K1657" s="213">
        <f t="shared" si="875"/>
        <v>150</v>
      </c>
      <c r="L1657" s="214">
        <v>165.83330000000001</v>
      </c>
      <c r="M1657" s="215">
        <v>0</v>
      </c>
      <c r="N1657" s="216">
        <f t="shared" si="876"/>
        <v>24875</v>
      </c>
      <c r="O1657" s="216">
        <f t="shared" si="877"/>
        <v>0</v>
      </c>
      <c r="P1657" s="217">
        <f t="shared" si="878"/>
        <v>24875</v>
      </c>
      <c r="Q1657" s="217">
        <f t="shared" si="879"/>
        <v>-24874.995000000003</v>
      </c>
      <c r="R1657" s="217">
        <f t="shared" si="891"/>
        <v>120</v>
      </c>
      <c r="S1657" s="217">
        <f t="shared" si="881"/>
        <v>23.97</v>
      </c>
      <c r="T1657" s="217">
        <f t="shared" si="882"/>
        <v>0</v>
      </c>
      <c r="U1657" s="217">
        <f t="shared" si="883"/>
        <v>0.75</v>
      </c>
      <c r="V1657" s="217">
        <f t="shared" si="884"/>
        <v>13.18</v>
      </c>
      <c r="W1657" s="217">
        <f t="shared" si="885"/>
        <v>0.02</v>
      </c>
      <c r="X1657" s="217">
        <f t="shared" si="886"/>
        <v>157.92000000000002</v>
      </c>
      <c r="Y1657" s="218">
        <f t="shared" si="887"/>
        <v>-25032.92</v>
      </c>
      <c r="Z1657" s="219">
        <v>-25033</v>
      </c>
      <c r="AA1657" s="220">
        <f t="shared" si="888"/>
        <v>-8.000000000174623E-2</v>
      </c>
      <c r="AB1657" s="221">
        <f t="shared" si="889"/>
        <v>-1</v>
      </c>
      <c r="AC1657" s="222">
        <f t="shared" si="890"/>
        <v>6.3489999999999996E-3</v>
      </c>
      <c r="AD1657" s="217"/>
      <c r="AE1657" s="223" t="s">
        <v>403</v>
      </c>
      <c r="AF1657" s="119"/>
    </row>
    <row r="1658" spans="1:32">
      <c r="A1658" s="209">
        <v>44826</v>
      </c>
      <c r="B1658" s="152" t="s">
        <v>819</v>
      </c>
      <c r="C1658" s="152" t="str">
        <f t="shared" ca="1" si="874"/>
        <v>Indices</v>
      </c>
      <c r="D1658" s="152" t="str">
        <f ca="1">IFERROR(__xludf.DUMMYFUNCTION("split(B1658,"" "")"),"BANKNIFTY")</f>
        <v>BANKNIFTY</v>
      </c>
      <c r="E1658" s="152" t="str">
        <f ca="1">IFERROR(__xludf.DUMMYFUNCTION("""COMPUTED_VALUE"""),"22:SEP")</f>
        <v>22:SEP</v>
      </c>
      <c r="F1658" s="152">
        <f ca="1">IFERROR(__xludf.DUMMYFUNCTION("""COMPUTED_VALUE"""),40700)</f>
        <v>40700</v>
      </c>
      <c r="G1658" s="152" t="str">
        <f ca="1">IFERROR(__xludf.DUMMYFUNCTION("""COMPUTED_VALUE"""),"CE")</f>
        <v>CE</v>
      </c>
      <c r="H1658" s="211">
        <v>25</v>
      </c>
      <c r="I1658" s="212">
        <v>3</v>
      </c>
      <c r="J1658" s="212">
        <v>1</v>
      </c>
      <c r="K1658" s="213">
        <f t="shared" si="875"/>
        <v>75</v>
      </c>
      <c r="L1658" s="214">
        <v>0</v>
      </c>
      <c r="M1658" s="215">
        <v>250</v>
      </c>
      <c r="N1658" s="216">
        <f t="shared" si="876"/>
        <v>0</v>
      </c>
      <c r="O1658" s="216">
        <f t="shared" si="877"/>
        <v>18750</v>
      </c>
      <c r="P1658" s="217">
        <f t="shared" si="878"/>
        <v>18750</v>
      </c>
      <c r="Q1658" s="217">
        <f t="shared" si="879"/>
        <v>18750</v>
      </c>
      <c r="R1658" s="217">
        <f t="shared" si="891"/>
        <v>20</v>
      </c>
      <c r="S1658" s="217">
        <f t="shared" si="881"/>
        <v>5.39</v>
      </c>
      <c r="T1658" s="217">
        <f t="shared" si="882"/>
        <v>9.3800000000000008</v>
      </c>
      <c r="U1658" s="217">
        <f t="shared" si="883"/>
        <v>0</v>
      </c>
      <c r="V1658" s="217">
        <f t="shared" si="884"/>
        <v>9.94</v>
      </c>
      <c r="W1658" s="217">
        <f t="shared" si="885"/>
        <v>0.02</v>
      </c>
      <c r="X1658" s="217">
        <f t="shared" si="886"/>
        <v>44.730000000000004</v>
      </c>
      <c r="Y1658" s="218">
        <f t="shared" si="887"/>
        <v>18705.27</v>
      </c>
      <c r="Z1658" s="219">
        <v>18705.07</v>
      </c>
      <c r="AA1658" s="220">
        <f t="shared" si="888"/>
        <v>-0.2000000000007276</v>
      </c>
      <c r="AB1658" s="221">
        <f t="shared" si="889"/>
        <v>0</v>
      </c>
      <c r="AC1658" s="222">
        <f t="shared" si="890"/>
        <v>2.3860000000000001E-3</v>
      </c>
      <c r="AD1658" s="217"/>
      <c r="AE1658" s="223" t="s">
        <v>403</v>
      </c>
      <c r="AF1658" s="119"/>
    </row>
    <row r="1659" spans="1:32">
      <c r="A1659" s="209">
        <v>44826</v>
      </c>
      <c r="B1659" s="152" t="s">
        <v>819</v>
      </c>
      <c r="C1659" s="152" t="str">
        <f t="shared" ca="1" si="874"/>
        <v>Indices</v>
      </c>
      <c r="D1659" s="152" t="str">
        <f ca="1">IFERROR(__xludf.DUMMYFUNCTION("split(B1659,"" "")"),"BANKNIFTY")</f>
        <v>BANKNIFTY</v>
      </c>
      <c r="E1659" s="152" t="str">
        <f ca="1">IFERROR(__xludf.DUMMYFUNCTION("""COMPUTED_VALUE"""),"22:SEP")</f>
        <v>22:SEP</v>
      </c>
      <c r="F1659" s="152">
        <f ca="1">IFERROR(__xludf.DUMMYFUNCTION("""COMPUTED_VALUE"""),40700)</f>
        <v>40700</v>
      </c>
      <c r="G1659" s="152" t="str">
        <f ca="1">IFERROR(__xludf.DUMMYFUNCTION("""COMPUTED_VALUE"""),"CE")</f>
        <v>CE</v>
      </c>
      <c r="H1659" s="211">
        <v>25</v>
      </c>
      <c r="I1659" s="212">
        <v>3</v>
      </c>
      <c r="J1659" s="212">
        <v>1</v>
      </c>
      <c r="K1659" s="213">
        <f t="shared" si="875"/>
        <v>75</v>
      </c>
      <c r="L1659" s="214">
        <v>0</v>
      </c>
      <c r="M1659" s="215">
        <v>110</v>
      </c>
      <c r="N1659" s="216">
        <f t="shared" si="876"/>
        <v>0</v>
      </c>
      <c r="O1659" s="216">
        <f t="shared" si="877"/>
        <v>8250</v>
      </c>
      <c r="P1659" s="217">
        <f t="shared" si="878"/>
        <v>8250</v>
      </c>
      <c r="Q1659" s="217">
        <f t="shared" si="879"/>
        <v>8250</v>
      </c>
      <c r="R1659" s="217">
        <f t="shared" si="891"/>
        <v>20</v>
      </c>
      <c r="S1659" s="217">
        <f t="shared" si="881"/>
        <v>4.3899999999999997</v>
      </c>
      <c r="T1659" s="217">
        <f t="shared" si="882"/>
        <v>4.13</v>
      </c>
      <c r="U1659" s="217">
        <f t="shared" si="883"/>
        <v>0</v>
      </c>
      <c r="V1659" s="217">
        <f t="shared" si="884"/>
        <v>4.37</v>
      </c>
      <c r="W1659" s="217">
        <f t="shared" si="885"/>
        <v>0.01</v>
      </c>
      <c r="X1659" s="217">
        <f t="shared" si="886"/>
        <v>32.9</v>
      </c>
      <c r="Y1659" s="218">
        <f t="shared" si="887"/>
        <v>8217.1</v>
      </c>
      <c r="Z1659" s="219">
        <v>8217</v>
      </c>
      <c r="AA1659" s="220">
        <f t="shared" si="888"/>
        <v>-0.1000000000003638</v>
      </c>
      <c r="AB1659" s="221">
        <f t="shared" si="889"/>
        <v>0</v>
      </c>
      <c r="AC1659" s="222">
        <f t="shared" si="890"/>
        <v>3.9880000000000002E-3</v>
      </c>
      <c r="AD1659" s="217"/>
      <c r="AE1659" s="223" t="s">
        <v>403</v>
      </c>
      <c r="AF1659" s="119"/>
    </row>
    <row r="1660" spans="1:32">
      <c r="A1660" s="209">
        <v>44826</v>
      </c>
      <c r="B1660" s="152" t="s">
        <v>820</v>
      </c>
      <c r="C1660" s="152" t="str">
        <f t="shared" ca="1" si="874"/>
        <v>Indices</v>
      </c>
      <c r="D1660" s="152" t="str">
        <f ca="1">IFERROR(__xludf.DUMMYFUNCTION("split(B1660,"" "")"),"BANKNIFTY")</f>
        <v>BANKNIFTY</v>
      </c>
      <c r="E1660" s="152" t="str">
        <f ca="1">IFERROR(__xludf.DUMMYFUNCTION("""COMPUTED_VALUE"""),"22:SEP")</f>
        <v>22:SEP</v>
      </c>
      <c r="F1660" s="152">
        <f ca="1">IFERROR(__xludf.DUMMYFUNCTION("""COMPUTED_VALUE"""),40700)</f>
        <v>40700</v>
      </c>
      <c r="G1660" s="152" t="str">
        <f ca="1">IFERROR(__xludf.DUMMYFUNCTION("""COMPUTED_VALUE"""),"PE")</f>
        <v>PE</v>
      </c>
      <c r="H1660" s="211">
        <v>25</v>
      </c>
      <c r="I1660" s="212">
        <v>1</v>
      </c>
      <c r="J1660" s="212">
        <v>2</v>
      </c>
      <c r="K1660" s="213">
        <f t="shared" si="875"/>
        <v>50</v>
      </c>
      <c r="L1660" s="214">
        <v>40</v>
      </c>
      <c r="M1660" s="215">
        <v>0</v>
      </c>
      <c r="N1660" s="216">
        <f t="shared" si="876"/>
        <v>2000</v>
      </c>
      <c r="O1660" s="216">
        <f t="shared" si="877"/>
        <v>0</v>
      </c>
      <c r="P1660" s="217">
        <f t="shared" si="878"/>
        <v>2000</v>
      </c>
      <c r="Q1660" s="217">
        <f t="shared" si="879"/>
        <v>-2000</v>
      </c>
      <c r="R1660" s="217">
        <f t="shared" si="891"/>
        <v>40</v>
      </c>
      <c r="S1660" s="217">
        <f t="shared" si="881"/>
        <v>7.39</v>
      </c>
      <c r="T1660" s="217">
        <f t="shared" si="882"/>
        <v>0</v>
      </c>
      <c r="U1660" s="217">
        <f t="shared" si="883"/>
        <v>0.06</v>
      </c>
      <c r="V1660" s="217">
        <f t="shared" si="884"/>
        <v>1.06</v>
      </c>
      <c r="W1660" s="217">
        <f t="shared" si="885"/>
        <v>0</v>
      </c>
      <c r="X1660" s="217">
        <f t="shared" si="886"/>
        <v>48.510000000000005</v>
      </c>
      <c r="Y1660" s="218">
        <f t="shared" si="887"/>
        <v>-2048.5100000000002</v>
      </c>
      <c r="Z1660" s="219">
        <v>-2048</v>
      </c>
      <c r="AA1660" s="220">
        <f t="shared" si="888"/>
        <v>0.51000000000021828</v>
      </c>
      <c r="AB1660" s="221">
        <f t="shared" si="889"/>
        <v>-1</v>
      </c>
      <c r="AC1660" s="222">
        <f t="shared" si="890"/>
        <v>2.4254999999999999E-2</v>
      </c>
      <c r="AD1660" s="217"/>
      <c r="AE1660" s="223" t="s">
        <v>403</v>
      </c>
      <c r="AF1660" s="119"/>
    </row>
    <row r="1661" spans="1:32">
      <c r="A1661" s="209">
        <v>44826</v>
      </c>
      <c r="B1661" s="152" t="s">
        <v>820</v>
      </c>
      <c r="C1661" s="152" t="str">
        <f t="shared" ca="1" si="874"/>
        <v>Indices</v>
      </c>
      <c r="D1661" s="152" t="str">
        <f ca="1">IFERROR(__xludf.DUMMYFUNCTION("split(B1661,"" "")"),"BANKNIFTY")</f>
        <v>BANKNIFTY</v>
      </c>
      <c r="E1661" s="152" t="str">
        <f ca="1">IFERROR(__xludf.DUMMYFUNCTION("""COMPUTED_VALUE"""),"22:SEP")</f>
        <v>22:SEP</v>
      </c>
      <c r="F1661" s="152">
        <f ca="1">IFERROR(__xludf.DUMMYFUNCTION("""COMPUTED_VALUE"""),40700)</f>
        <v>40700</v>
      </c>
      <c r="G1661" s="152" t="str">
        <f ca="1">IFERROR(__xludf.DUMMYFUNCTION("""COMPUTED_VALUE"""),"PE")</f>
        <v>PE</v>
      </c>
      <c r="H1661" s="211">
        <v>25</v>
      </c>
      <c r="I1661" s="212">
        <v>2</v>
      </c>
      <c r="J1661" s="212">
        <v>1</v>
      </c>
      <c r="K1661" s="213">
        <f t="shared" si="875"/>
        <v>50</v>
      </c>
      <c r="L1661" s="214">
        <v>0</v>
      </c>
      <c r="M1661" s="215">
        <v>60</v>
      </c>
      <c r="N1661" s="216">
        <f t="shared" si="876"/>
        <v>0</v>
      </c>
      <c r="O1661" s="216">
        <f t="shared" si="877"/>
        <v>3000</v>
      </c>
      <c r="P1661" s="217">
        <f t="shared" si="878"/>
        <v>3000</v>
      </c>
      <c r="Q1661" s="217">
        <f t="shared" si="879"/>
        <v>3000</v>
      </c>
      <c r="R1661" s="217">
        <f t="shared" si="891"/>
        <v>20</v>
      </c>
      <c r="S1661" s="217">
        <f t="shared" si="881"/>
        <v>3.89</v>
      </c>
      <c r="T1661" s="217">
        <f t="shared" si="882"/>
        <v>1.5</v>
      </c>
      <c r="U1661" s="217">
        <f t="shared" si="883"/>
        <v>0</v>
      </c>
      <c r="V1661" s="217">
        <f t="shared" si="884"/>
        <v>1.59</v>
      </c>
      <c r="W1661" s="217">
        <f t="shared" si="885"/>
        <v>0</v>
      </c>
      <c r="X1661" s="217">
        <f t="shared" si="886"/>
        <v>26.98</v>
      </c>
      <c r="Y1661" s="218">
        <f t="shared" si="887"/>
        <v>2973.02</v>
      </c>
      <c r="Z1661" s="219">
        <v>2973</v>
      </c>
      <c r="AA1661" s="220">
        <f t="shared" si="888"/>
        <v>-1.999999999998181E-2</v>
      </c>
      <c r="AB1661" s="221">
        <f t="shared" si="889"/>
        <v>0</v>
      </c>
      <c r="AC1661" s="222">
        <f t="shared" si="890"/>
        <v>8.9929999999999993E-3</v>
      </c>
      <c r="AD1661" s="217"/>
      <c r="AE1661" s="223" t="s">
        <v>403</v>
      </c>
      <c r="AF1661" s="119"/>
    </row>
    <row r="1662" spans="1:32">
      <c r="A1662" s="209">
        <v>44826</v>
      </c>
      <c r="B1662" s="152" t="s">
        <v>821</v>
      </c>
      <c r="C1662" s="152" t="str">
        <f t="shared" ca="1" si="874"/>
        <v>Stocks</v>
      </c>
      <c r="D1662" s="152" t="str">
        <f ca="1">IFERROR(__xludf.DUMMYFUNCTION("split(B1662,"" "")"),"BSOFT")</f>
        <v>BSOFT</v>
      </c>
      <c r="E1662" s="152" t="str">
        <f ca="1">IFERROR(__xludf.DUMMYFUNCTION("""COMPUTED_VALUE"""),"SEP")</f>
        <v>SEP</v>
      </c>
      <c r="F1662" s="152">
        <f ca="1">IFERROR(__xludf.DUMMYFUNCTION("""COMPUTED_VALUE"""),300)</f>
        <v>300</v>
      </c>
      <c r="G1662" s="152" t="str">
        <f ca="1">IFERROR(__xludf.DUMMYFUNCTION("""COMPUTED_VALUE"""),"PE")</f>
        <v>PE</v>
      </c>
      <c r="H1662" s="211">
        <v>1300</v>
      </c>
      <c r="I1662" s="212">
        <v>1</v>
      </c>
      <c r="J1662" s="212">
        <v>1</v>
      </c>
      <c r="K1662" s="213">
        <f t="shared" si="875"/>
        <v>1300</v>
      </c>
      <c r="L1662" s="214">
        <v>9.25</v>
      </c>
      <c r="M1662" s="215">
        <v>8.1</v>
      </c>
      <c r="N1662" s="216">
        <f t="shared" si="876"/>
        <v>12025</v>
      </c>
      <c r="O1662" s="216">
        <f t="shared" si="877"/>
        <v>10530</v>
      </c>
      <c r="P1662" s="217">
        <f t="shared" si="878"/>
        <v>22555</v>
      </c>
      <c r="Q1662" s="217">
        <f t="shared" si="879"/>
        <v>-1495.0000000000005</v>
      </c>
      <c r="R1662" s="217">
        <f t="shared" si="891"/>
        <v>40</v>
      </c>
      <c r="S1662" s="217">
        <f t="shared" si="881"/>
        <v>9.35</v>
      </c>
      <c r="T1662" s="217">
        <f t="shared" si="882"/>
        <v>5.27</v>
      </c>
      <c r="U1662" s="217">
        <f t="shared" si="883"/>
        <v>0.36</v>
      </c>
      <c r="V1662" s="217">
        <f t="shared" si="884"/>
        <v>11.95</v>
      </c>
      <c r="W1662" s="217">
        <f t="shared" si="885"/>
        <v>0.02</v>
      </c>
      <c r="X1662" s="217">
        <f t="shared" si="886"/>
        <v>66.95</v>
      </c>
      <c r="Y1662" s="218">
        <f t="shared" si="887"/>
        <v>-1561.95</v>
      </c>
      <c r="Z1662" s="219">
        <v>-1562</v>
      </c>
      <c r="AA1662" s="220">
        <f t="shared" si="888"/>
        <v>-4.9999999999954525E-2</v>
      </c>
      <c r="AB1662" s="221">
        <f t="shared" si="889"/>
        <v>-0.12432432432432436</v>
      </c>
      <c r="AC1662" s="222">
        <f t="shared" si="890"/>
        <v>2.9680000000000002E-3</v>
      </c>
      <c r="AD1662" s="217"/>
      <c r="AE1662" s="223" t="s">
        <v>403</v>
      </c>
      <c r="AF1662" s="119"/>
    </row>
    <row r="1663" spans="1:32">
      <c r="A1663" s="209">
        <v>44826</v>
      </c>
      <c r="B1663" s="152" t="s">
        <v>822</v>
      </c>
      <c r="C1663" s="152" t="str">
        <f t="shared" ca="1" si="874"/>
        <v>Stocks</v>
      </c>
      <c r="D1663" s="152" t="str">
        <f ca="1">IFERROR(__xludf.DUMMYFUNCTION("split(B1663,"" "")"),"DLF")</f>
        <v>DLF</v>
      </c>
      <c r="E1663" s="152" t="str">
        <f ca="1">IFERROR(__xludf.DUMMYFUNCTION("""COMPUTED_VALUE"""),"SEP")</f>
        <v>SEP</v>
      </c>
      <c r="F1663" s="152">
        <f ca="1">IFERROR(__xludf.DUMMYFUNCTION("""COMPUTED_VALUE"""),380)</f>
        <v>380</v>
      </c>
      <c r="G1663" s="152" t="str">
        <f ca="1">IFERROR(__xludf.DUMMYFUNCTION("""COMPUTED_VALUE"""),"PE")</f>
        <v>PE</v>
      </c>
      <c r="H1663" s="211">
        <v>1650</v>
      </c>
      <c r="I1663" s="212">
        <v>1</v>
      </c>
      <c r="J1663" s="212">
        <v>1</v>
      </c>
      <c r="K1663" s="213">
        <f t="shared" si="875"/>
        <v>1650</v>
      </c>
      <c r="L1663" s="214">
        <v>11</v>
      </c>
      <c r="M1663" s="215">
        <v>8.5</v>
      </c>
      <c r="N1663" s="216">
        <f t="shared" si="876"/>
        <v>18150</v>
      </c>
      <c r="O1663" s="216">
        <f t="shared" si="877"/>
        <v>14025</v>
      </c>
      <c r="P1663" s="217">
        <f t="shared" si="878"/>
        <v>32175</v>
      </c>
      <c r="Q1663" s="217">
        <f t="shared" si="879"/>
        <v>-4125</v>
      </c>
      <c r="R1663" s="217">
        <f t="shared" si="891"/>
        <v>40</v>
      </c>
      <c r="S1663" s="217">
        <f t="shared" si="881"/>
        <v>10.27</v>
      </c>
      <c r="T1663" s="217">
        <f t="shared" si="882"/>
        <v>7.01</v>
      </c>
      <c r="U1663" s="217">
        <f t="shared" si="883"/>
        <v>0.54</v>
      </c>
      <c r="V1663" s="217">
        <f t="shared" si="884"/>
        <v>17.05</v>
      </c>
      <c r="W1663" s="217">
        <f t="shared" si="885"/>
        <v>0.03</v>
      </c>
      <c r="X1663" s="217">
        <f t="shared" si="886"/>
        <v>74.899999999999991</v>
      </c>
      <c r="Y1663" s="218">
        <f t="shared" si="887"/>
        <v>-4199.8999999999996</v>
      </c>
      <c r="Z1663" s="219">
        <v>-4200</v>
      </c>
      <c r="AA1663" s="220">
        <f t="shared" si="888"/>
        <v>-0.1000000000003638</v>
      </c>
      <c r="AB1663" s="221">
        <f t="shared" si="889"/>
        <v>-0.22727272727272727</v>
      </c>
      <c r="AC1663" s="222">
        <f t="shared" si="890"/>
        <v>2.3280000000000002E-3</v>
      </c>
      <c r="AD1663" s="217"/>
      <c r="AE1663" s="223" t="s">
        <v>403</v>
      </c>
      <c r="AF1663" s="119"/>
    </row>
    <row r="1664" spans="1:32">
      <c r="A1664" s="148">
        <v>44827</v>
      </c>
      <c r="B1664" s="152" t="s">
        <v>823</v>
      </c>
      <c r="C1664" s="152" t="str">
        <f t="shared" ca="1" si="874"/>
        <v>Indices</v>
      </c>
      <c r="D1664" s="152" t="str">
        <f ca="1">IFERROR(__xludf.DUMMYFUNCTION("split(B1664,"" "")"),"BANKNIFTY")</f>
        <v>BANKNIFTY</v>
      </c>
      <c r="E1664" s="152" t="str">
        <f ca="1">IFERROR(__xludf.DUMMYFUNCTION("""COMPUTED_VALUE"""),"SEP")</f>
        <v>SEP</v>
      </c>
      <c r="F1664" s="152">
        <f ca="1">IFERROR(__xludf.DUMMYFUNCTION("""COMPUTED_VALUE"""),39800)</f>
        <v>39800</v>
      </c>
      <c r="G1664" s="152" t="str">
        <f ca="1">IFERROR(__xludf.DUMMYFUNCTION("""COMPUTED_VALUE"""),"CE")</f>
        <v>CE</v>
      </c>
      <c r="H1664" s="211">
        <v>25</v>
      </c>
      <c r="I1664" s="212">
        <v>1</v>
      </c>
      <c r="J1664" s="212">
        <v>1</v>
      </c>
      <c r="K1664" s="213">
        <f t="shared" si="875"/>
        <v>25</v>
      </c>
      <c r="L1664" s="214">
        <v>545</v>
      </c>
      <c r="M1664" s="215">
        <v>0</v>
      </c>
      <c r="N1664" s="216">
        <f t="shared" si="876"/>
        <v>13625</v>
      </c>
      <c r="O1664" s="216">
        <f t="shared" si="877"/>
        <v>0</v>
      </c>
      <c r="P1664" s="217">
        <f t="shared" si="878"/>
        <v>13625</v>
      </c>
      <c r="Q1664" s="217">
        <f t="shared" si="879"/>
        <v>-13625</v>
      </c>
      <c r="R1664" s="217">
        <f t="shared" si="891"/>
        <v>20</v>
      </c>
      <c r="S1664" s="217">
        <f t="shared" si="881"/>
        <v>4.9000000000000004</v>
      </c>
      <c r="T1664" s="217">
        <f t="shared" si="882"/>
        <v>0</v>
      </c>
      <c r="U1664" s="217">
        <f t="shared" si="883"/>
        <v>0.41</v>
      </c>
      <c r="V1664" s="217">
        <f t="shared" si="884"/>
        <v>7.22</v>
      </c>
      <c r="W1664" s="217">
        <f t="shared" si="885"/>
        <v>0.01</v>
      </c>
      <c r="X1664" s="217">
        <f t="shared" si="886"/>
        <v>32.54</v>
      </c>
      <c r="Y1664" s="218">
        <f t="shared" si="887"/>
        <v>-13657.54</v>
      </c>
      <c r="Z1664" s="219">
        <v>-13656.42</v>
      </c>
      <c r="AA1664" s="220">
        <f t="shared" si="888"/>
        <v>1.1200000000008004</v>
      </c>
      <c r="AB1664" s="221">
        <f t="shared" si="889"/>
        <v>-1</v>
      </c>
      <c r="AC1664" s="222">
        <f t="shared" si="890"/>
        <v>2.3879999999999999E-3</v>
      </c>
      <c r="AD1664" s="217"/>
      <c r="AE1664" s="223" t="s">
        <v>403</v>
      </c>
      <c r="AF1664" s="119"/>
    </row>
    <row r="1665" spans="1:32">
      <c r="A1665" s="150">
        <v>44831</v>
      </c>
      <c r="B1665" s="152" t="s">
        <v>823</v>
      </c>
      <c r="C1665" s="152" t="str">
        <f t="shared" ca="1" si="874"/>
        <v>Indices</v>
      </c>
      <c r="D1665" s="152" t="str">
        <f ca="1">IFERROR(__xludf.DUMMYFUNCTION("split(B1665,"" "")"),"BANKNIFTY")</f>
        <v>BANKNIFTY</v>
      </c>
      <c r="E1665" s="152" t="str">
        <f ca="1">IFERROR(__xludf.DUMMYFUNCTION("""COMPUTED_VALUE"""),"SEP")</f>
        <v>SEP</v>
      </c>
      <c r="F1665" s="152">
        <f ca="1">IFERROR(__xludf.DUMMYFUNCTION("""COMPUTED_VALUE"""),39800)</f>
        <v>39800</v>
      </c>
      <c r="G1665" s="152" t="str">
        <f ca="1">IFERROR(__xludf.DUMMYFUNCTION("""COMPUTED_VALUE"""),"CE")</f>
        <v>CE</v>
      </c>
      <c r="H1665" s="211">
        <v>25</v>
      </c>
      <c r="I1665" s="212">
        <v>1</v>
      </c>
      <c r="J1665" s="212">
        <v>1</v>
      </c>
      <c r="K1665" s="213">
        <f t="shared" si="875"/>
        <v>25</v>
      </c>
      <c r="L1665" s="214">
        <v>0</v>
      </c>
      <c r="M1665" s="215">
        <v>44</v>
      </c>
      <c r="N1665" s="216">
        <f t="shared" si="876"/>
        <v>0</v>
      </c>
      <c r="O1665" s="216">
        <f t="shared" si="877"/>
        <v>1100</v>
      </c>
      <c r="P1665" s="217">
        <f t="shared" si="878"/>
        <v>1100</v>
      </c>
      <c r="Q1665" s="217">
        <f t="shared" si="879"/>
        <v>1100</v>
      </c>
      <c r="R1665" s="217">
        <f t="shared" si="891"/>
        <v>20</v>
      </c>
      <c r="S1665" s="217">
        <f t="shared" si="881"/>
        <v>3.7</v>
      </c>
      <c r="T1665" s="217">
        <f t="shared" si="882"/>
        <v>0.55000000000000004</v>
      </c>
      <c r="U1665" s="217">
        <f t="shared" si="883"/>
        <v>0</v>
      </c>
      <c r="V1665" s="217">
        <f t="shared" si="884"/>
        <v>0.57999999999999996</v>
      </c>
      <c r="W1665" s="217">
        <f t="shared" si="885"/>
        <v>0</v>
      </c>
      <c r="X1665" s="217">
        <f t="shared" si="886"/>
        <v>24.83</v>
      </c>
      <c r="Y1665" s="218">
        <f t="shared" si="887"/>
        <v>1075.17</v>
      </c>
      <c r="Z1665" s="219">
        <f>ROUND(Y1665,0)</f>
        <v>1075</v>
      </c>
      <c r="AA1665" s="220">
        <f t="shared" si="888"/>
        <v>-0.17000000000007276</v>
      </c>
      <c r="AB1665" s="221">
        <f t="shared" si="889"/>
        <v>0</v>
      </c>
      <c r="AC1665" s="222">
        <f t="shared" si="890"/>
        <v>2.2572999999999999E-2</v>
      </c>
      <c r="AD1665" s="217"/>
      <c r="AE1665" s="223" t="s">
        <v>403</v>
      </c>
      <c r="AF1665" s="119"/>
    </row>
    <row r="1666" spans="1:32">
      <c r="A1666" s="148">
        <v>44827</v>
      </c>
      <c r="B1666" s="152" t="s">
        <v>824</v>
      </c>
      <c r="C1666" s="152" t="str">
        <f t="shared" ca="1" si="874"/>
        <v>Indices</v>
      </c>
      <c r="D1666" s="152" t="str">
        <f ca="1">IFERROR(__xludf.DUMMYFUNCTION("split(B1666,"" "")"),"BANKNIFTY")</f>
        <v>BANKNIFTY</v>
      </c>
      <c r="E1666" s="152" t="str">
        <f ca="1">IFERROR(__xludf.DUMMYFUNCTION("""COMPUTED_VALUE"""),"SEP")</f>
        <v>SEP</v>
      </c>
      <c r="F1666" s="152">
        <f ca="1">IFERROR(__xludf.DUMMYFUNCTION("""COMPUTED_VALUE"""),40200)</f>
        <v>40200</v>
      </c>
      <c r="G1666" s="152" t="str">
        <f ca="1">IFERROR(__xludf.DUMMYFUNCTION("""COMPUTED_VALUE"""),"CE")</f>
        <v>CE</v>
      </c>
      <c r="H1666" s="211">
        <v>25</v>
      </c>
      <c r="I1666" s="212">
        <v>1</v>
      </c>
      <c r="J1666" s="212">
        <v>2</v>
      </c>
      <c r="K1666" s="213">
        <f t="shared" si="875"/>
        <v>50</v>
      </c>
      <c r="L1666" s="214">
        <v>532.5</v>
      </c>
      <c r="M1666" s="215">
        <v>0</v>
      </c>
      <c r="N1666" s="216">
        <f t="shared" si="876"/>
        <v>26625</v>
      </c>
      <c r="O1666" s="216">
        <f t="shared" si="877"/>
        <v>0</v>
      </c>
      <c r="P1666" s="217">
        <f t="shared" si="878"/>
        <v>26625</v>
      </c>
      <c r="Q1666" s="217">
        <f t="shared" si="879"/>
        <v>-26625</v>
      </c>
      <c r="R1666" s="217">
        <f t="shared" si="891"/>
        <v>40</v>
      </c>
      <c r="S1666" s="217">
        <f t="shared" si="881"/>
        <v>9.74</v>
      </c>
      <c r="T1666" s="217">
        <f t="shared" si="882"/>
        <v>0</v>
      </c>
      <c r="U1666" s="217">
        <f t="shared" si="883"/>
        <v>0.8</v>
      </c>
      <c r="V1666" s="217">
        <f t="shared" si="884"/>
        <v>14.11</v>
      </c>
      <c r="W1666" s="217">
        <f t="shared" si="885"/>
        <v>0.03</v>
      </c>
      <c r="X1666" s="217">
        <f t="shared" si="886"/>
        <v>64.680000000000007</v>
      </c>
      <c r="Y1666" s="218">
        <f t="shared" si="887"/>
        <v>-26689.68</v>
      </c>
      <c r="Z1666" s="219">
        <v>-26690</v>
      </c>
      <c r="AA1666" s="220">
        <f t="shared" si="888"/>
        <v>-0.31999999999970896</v>
      </c>
      <c r="AB1666" s="221">
        <f t="shared" si="889"/>
        <v>-1</v>
      </c>
      <c r="AC1666" s="222">
        <f t="shared" si="890"/>
        <v>2.4290000000000002E-3</v>
      </c>
      <c r="AD1666" s="217"/>
      <c r="AE1666" s="223" t="s">
        <v>403</v>
      </c>
      <c r="AF1666" s="119"/>
    </row>
    <row r="1667" spans="1:32">
      <c r="A1667" s="150">
        <v>44831</v>
      </c>
      <c r="B1667" s="152" t="s">
        <v>824</v>
      </c>
      <c r="C1667" s="152" t="str">
        <f t="shared" ca="1" si="874"/>
        <v>Indices</v>
      </c>
      <c r="D1667" s="152" t="str">
        <f ca="1">IFERROR(__xludf.DUMMYFUNCTION("split(B1667,"" "")"),"BANKNIFTY")</f>
        <v>BANKNIFTY</v>
      </c>
      <c r="E1667" s="152" t="str">
        <f ca="1">IFERROR(__xludf.DUMMYFUNCTION("""COMPUTED_VALUE"""),"SEP")</f>
        <v>SEP</v>
      </c>
      <c r="F1667" s="152">
        <f ca="1">IFERROR(__xludf.DUMMYFUNCTION("""COMPUTED_VALUE"""),40200)</f>
        <v>40200</v>
      </c>
      <c r="G1667" s="152" t="str">
        <f ca="1">IFERROR(__xludf.DUMMYFUNCTION("""COMPUTED_VALUE"""),"CE")</f>
        <v>CE</v>
      </c>
      <c r="H1667" s="211">
        <v>25</v>
      </c>
      <c r="I1667" s="212">
        <v>2</v>
      </c>
      <c r="J1667" s="212">
        <v>1</v>
      </c>
      <c r="K1667" s="213">
        <f t="shared" si="875"/>
        <v>50</v>
      </c>
      <c r="L1667" s="214">
        <v>0</v>
      </c>
      <c r="M1667" s="215">
        <v>24.5</v>
      </c>
      <c r="N1667" s="216">
        <f t="shared" si="876"/>
        <v>0</v>
      </c>
      <c r="O1667" s="216">
        <f t="shared" si="877"/>
        <v>1225</v>
      </c>
      <c r="P1667" s="217">
        <f t="shared" si="878"/>
        <v>1225</v>
      </c>
      <c r="Q1667" s="217">
        <f t="shared" si="879"/>
        <v>1225</v>
      </c>
      <c r="R1667" s="217">
        <f t="shared" si="891"/>
        <v>20</v>
      </c>
      <c r="S1667" s="217">
        <f t="shared" si="881"/>
        <v>3.72</v>
      </c>
      <c r="T1667" s="217">
        <f t="shared" si="882"/>
        <v>0.61</v>
      </c>
      <c r="U1667" s="217">
        <f t="shared" si="883"/>
        <v>0</v>
      </c>
      <c r="V1667" s="217">
        <f t="shared" si="884"/>
        <v>0.65</v>
      </c>
      <c r="W1667" s="217">
        <f t="shared" si="885"/>
        <v>0</v>
      </c>
      <c r="X1667" s="217">
        <f t="shared" si="886"/>
        <v>24.979999999999997</v>
      </c>
      <c r="Y1667" s="218">
        <f t="shared" si="887"/>
        <v>1200.02</v>
      </c>
      <c r="Z1667" s="219">
        <v>1200</v>
      </c>
      <c r="AA1667" s="220">
        <f t="shared" si="888"/>
        <v>-1.999999999998181E-2</v>
      </c>
      <c r="AB1667" s="221">
        <f t="shared" si="889"/>
        <v>0</v>
      </c>
      <c r="AC1667" s="222">
        <f t="shared" si="890"/>
        <v>2.0392E-2</v>
      </c>
      <c r="AD1667" s="217"/>
      <c r="AE1667" s="223" t="s">
        <v>403</v>
      </c>
      <c r="AF1667" s="119"/>
    </row>
    <row r="1668" spans="1:32">
      <c r="A1668" s="148">
        <v>44827</v>
      </c>
      <c r="B1668" s="152" t="s">
        <v>825</v>
      </c>
      <c r="C1668" s="152" t="str">
        <f t="shared" ca="1" si="874"/>
        <v>Indices</v>
      </c>
      <c r="D1668" s="152" t="str">
        <f ca="1">IFERROR(__xludf.DUMMYFUNCTION("split(B1668,"" "")"),"NIFTY")</f>
        <v>NIFTY</v>
      </c>
      <c r="E1668" s="152" t="str">
        <f ca="1">IFERROR(__xludf.DUMMYFUNCTION("""COMPUTED_VALUE"""),"SEP")</f>
        <v>SEP</v>
      </c>
      <c r="F1668" s="152">
        <f ca="1">IFERROR(__xludf.DUMMYFUNCTION("""COMPUTED_VALUE"""),17500)</f>
        <v>17500</v>
      </c>
      <c r="G1668" s="152" t="str">
        <f ca="1">IFERROR(__xludf.DUMMYFUNCTION("""COMPUTED_VALUE"""),"CE")</f>
        <v>CE</v>
      </c>
      <c r="H1668" s="211">
        <v>50</v>
      </c>
      <c r="I1668" s="212">
        <v>1</v>
      </c>
      <c r="J1668" s="212">
        <v>1</v>
      </c>
      <c r="K1668" s="213">
        <f t="shared" si="875"/>
        <v>50</v>
      </c>
      <c r="L1668" s="214">
        <v>185</v>
      </c>
      <c r="M1668" s="215">
        <v>0</v>
      </c>
      <c r="N1668" s="216">
        <f t="shared" si="876"/>
        <v>9250</v>
      </c>
      <c r="O1668" s="216">
        <f t="shared" si="877"/>
        <v>0</v>
      </c>
      <c r="P1668" s="217">
        <f t="shared" si="878"/>
        <v>9250</v>
      </c>
      <c r="Q1668" s="217">
        <f t="shared" si="879"/>
        <v>-9250</v>
      </c>
      <c r="R1668" s="217">
        <f t="shared" si="891"/>
        <v>20</v>
      </c>
      <c r="S1668" s="217">
        <f t="shared" si="881"/>
        <v>4.4800000000000004</v>
      </c>
      <c r="T1668" s="217">
        <f t="shared" si="882"/>
        <v>0</v>
      </c>
      <c r="U1668" s="217">
        <f t="shared" si="883"/>
        <v>0.28000000000000003</v>
      </c>
      <c r="V1668" s="217">
        <f t="shared" si="884"/>
        <v>4.9000000000000004</v>
      </c>
      <c r="W1668" s="217">
        <f t="shared" si="885"/>
        <v>0.01</v>
      </c>
      <c r="X1668" s="217">
        <f t="shared" si="886"/>
        <v>29.670000000000005</v>
      </c>
      <c r="Y1668" s="218">
        <f t="shared" si="887"/>
        <v>-9279.67</v>
      </c>
      <c r="Z1668" s="219">
        <v>-9280</v>
      </c>
      <c r="AA1668" s="220">
        <f t="shared" si="888"/>
        <v>-0.32999999999992724</v>
      </c>
      <c r="AB1668" s="221">
        <f t="shared" si="889"/>
        <v>-1</v>
      </c>
      <c r="AC1668" s="222">
        <f t="shared" si="890"/>
        <v>3.2079999999999999E-3</v>
      </c>
      <c r="AD1668" s="217"/>
      <c r="AE1668" s="223" t="s">
        <v>403</v>
      </c>
      <c r="AF1668" s="119"/>
    </row>
    <row r="1669" spans="1:32">
      <c r="A1669" s="150">
        <v>44832</v>
      </c>
      <c r="B1669" s="152" t="s">
        <v>825</v>
      </c>
      <c r="C1669" s="152" t="str">
        <f t="shared" ca="1" si="874"/>
        <v>Indices</v>
      </c>
      <c r="D1669" s="152" t="str">
        <f ca="1">IFERROR(__xludf.DUMMYFUNCTION("split(B1669,"" "")"),"NIFTY")</f>
        <v>NIFTY</v>
      </c>
      <c r="E1669" s="152" t="str">
        <f ca="1">IFERROR(__xludf.DUMMYFUNCTION("""COMPUTED_VALUE"""),"SEP")</f>
        <v>SEP</v>
      </c>
      <c r="F1669" s="152">
        <f ca="1">IFERROR(__xludf.DUMMYFUNCTION("""COMPUTED_VALUE"""),17500)</f>
        <v>17500</v>
      </c>
      <c r="G1669" s="152" t="str">
        <f ca="1">IFERROR(__xludf.DUMMYFUNCTION("""COMPUTED_VALUE"""),"CE")</f>
        <v>CE</v>
      </c>
      <c r="H1669" s="211">
        <v>50</v>
      </c>
      <c r="I1669" s="212">
        <v>1</v>
      </c>
      <c r="J1669" s="212">
        <v>1</v>
      </c>
      <c r="K1669" s="213">
        <f t="shared" si="875"/>
        <v>50</v>
      </c>
      <c r="L1669" s="214">
        <v>0</v>
      </c>
      <c r="M1669" s="215">
        <v>3.6</v>
      </c>
      <c r="N1669" s="216">
        <f t="shared" si="876"/>
        <v>0</v>
      </c>
      <c r="O1669" s="216">
        <f t="shared" si="877"/>
        <v>180</v>
      </c>
      <c r="P1669" s="217">
        <f t="shared" si="878"/>
        <v>180</v>
      </c>
      <c r="Q1669" s="217">
        <f t="shared" si="879"/>
        <v>180</v>
      </c>
      <c r="R1669" s="217">
        <f t="shared" si="891"/>
        <v>20</v>
      </c>
      <c r="S1669" s="217">
        <f t="shared" si="881"/>
        <v>3.62</v>
      </c>
      <c r="T1669" s="217">
        <f t="shared" si="882"/>
        <v>0.09</v>
      </c>
      <c r="U1669" s="217">
        <f t="shared" si="883"/>
        <v>0</v>
      </c>
      <c r="V1669" s="217">
        <f t="shared" si="884"/>
        <v>0.1</v>
      </c>
      <c r="W1669" s="217">
        <f t="shared" si="885"/>
        <v>0</v>
      </c>
      <c r="X1669" s="217">
        <f t="shared" si="886"/>
        <v>23.810000000000002</v>
      </c>
      <c r="Y1669" s="218">
        <f t="shared" si="887"/>
        <v>156.19</v>
      </c>
      <c r="Z1669" s="219">
        <v>156</v>
      </c>
      <c r="AA1669" s="220">
        <f t="shared" si="888"/>
        <v>-0.18999999999999773</v>
      </c>
      <c r="AB1669" s="221">
        <f t="shared" si="889"/>
        <v>0</v>
      </c>
      <c r="AC1669" s="222">
        <f t="shared" si="890"/>
        <v>0.13227800000000001</v>
      </c>
      <c r="AD1669" s="217"/>
      <c r="AE1669" s="223" t="s">
        <v>403</v>
      </c>
      <c r="AF1669" s="119"/>
    </row>
    <row r="1670" spans="1:32">
      <c r="A1670" s="209">
        <v>44830</v>
      </c>
      <c r="B1670" s="152" t="s">
        <v>826</v>
      </c>
      <c r="C1670" s="152" t="str">
        <f t="shared" ca="1" si="874"/>
        <v>Indices</v>
      </c>
      <c r="D1670" s="152" t="str">
        <f ca="1">IFERROR(__xludf.DUMMYFUNCTION("split(B1670,"" "")"),"NIFTY")</f>
        <v>NIFTY</v>
      </c>
      <c r="E1670" s="152" t="str">
        <f ca="1">IFERROR(__xludf.DUMMYFUNCTION("""COMPUTED_VALUE"""),"SEP")</f>
        <v>SEP</v>
      </c>
      <c r="F1670" s="152">
        <f ca="1">IFERROR(__xludf.DUMMYFUNCTION("""COMPUTED_VALUE"""),17200)</f>
        <v>17200</v>
      </c>
      <c r="G1670" s="152" t="str">
        <f ca="1">IFERROR(__xludf.DUMMYFUNCTION("""COMPUTED_VALUE"""),"CE")</f>
        <v>CE</v>
      </c>
      <c r="H1670" s="211">
        <v>50</v>
      </c>
      <c r="I1670" s="212">
        <v>1</v>
      </c>
      <c r="J1670" s="212">
        <v>4</v>
      </c>
      <c r="K1670" s="213">
        <f t="shared" si="875"/>
        <v>200</v>
      </c>
      <c r="L1670" s="214">
        <v>93.95</v>
      </c>
      <c r="M1670" s="215">
        <v>101</v>
      </c>
      <c r="N1670" s="216">
        <f t="shared" si="876"/>
        <v>18790</v>
      </c>
      <c r="O1670" s="216">
        <f t="shared" si="877"/>
        <v>20200</v>
      </c>
      <c r="P1670" s="217">
        <f t="shared" si="878"/>
        <v>38990</v>
      </c>
      <c r="Q1670" s="217">
        <f t="shared" si="879"/>
        <v>1409.9999999999995</v>
      </c>
      <c r="R1670" s="217">
        <f t="shared" si="891"/>
        <v>160</v>
      </c>
      <c r="S1670" s="217">
        <f t="shared" si="881"/>
        <v>32.520000000000003</v>
      </c>
      <c r="T1670" s="217">
        <f t="shared" si="882"/>
        <v>10.1</v>
      </c>
      <c r="U1670" s="217">
        <f t="shared" si="883"/>
        <v>0.56000000000000005</v>
      </c>
      <c r="V1670" s="217">
        <f t="shared" si="884"/>
        <v>20.66</v>
      </c>
      <c r="W1670" s="217">
        <f t="shared" si="885"/>
        <v>0.04</v>
      </c>
      <c r="X1670" s="217">
        <f t="shared" si="886"/>
        <v>223.88</v>
      </c>
      <c r="Y1670" s="218">
        <f t="shared" si="887"/>
        <v>1186.1199999999999</v>
      </c>
      <c r="Z1670" s="219">
        <v>1186.3499999999999</v>
      </c>
      <c r="AA1670" s="220">
        <f t="shared" si="888"/>
        <v>0.23000000000001819</v>
      </c>
      <c r="AB1670" s="221">
        <f t="shared" si="889"/>
        <v>7.503991484832355E-2</v>
      </c>
      <c r="AC1670" s="222">
        <f t="shared" si="890"/>
        <v>5.7419999999999997E-3</v>
      </c>
      <c r="AD1670" s="217"/>
      <c r="AE1670" s="223" t="s">
        <v>403</v>
      </c>
      <c r="AF1670" s="119"/>
    </row>
    <row r="1671" spans="1:32">
      <c r="A1671" s="148">
        <v>44830</v>
      </c>
      <c r="B1671" s="152" t="s">
        <v>826</v>
      </c>
      <c r="C1671" s="152" t="str">
        <f t="shared" ca="1" si="874"/>
        <v>Indices</v>
      </c>
      <c r="D1671" s="152" t="str">
        <f ca="1">IFERROR(__xludf.DUMMYFUNCTION("split(B1671,"" "")"),"NIFTY")</f>
        <v>NIFTY</v>
      </c>
      <c r="E1671" s="152" t="str">
        <f ca="1">IFERROR(__xludf.DUMMYFUNCTION("""COMPUTED_VALUE"""),"SEP")</f>
        <v>SEP</v>
      </c>
      <c r="F1671" s="152">
        <f ca="1">IFERROR(__xludf.DUMMYFUNCTION("""COMPUTED_VALUE"""),17200)</f>
        <v>17200</v>
      </c>
      <c r="G1671" s="152" t="str">
        <f ca="1">IFERROR(__xludf.DUMMYFUNCTION("""COMPUTED_VALUE"""),"CE")</f>
        <v>CE</v>
      </c>
      <c r="H1671" s="211">
        <v>50</v>
      </c>
      <c r="I1671" s="212">
        <v>1</v>
      </c>
      <c r="J1671" s="212">
        <v>1</v>
      </c>
      <c r="K1671" s="213">
        <f t="shared" si="875"/>
        <v>50</v>
      </c>
      <c r="L1671" s="214">
        <v>90</v>
      </c>
      <c r="M1671" s="215">
        <v>0</v>
      </c>
      <c r="N1671" s="216">
        <f t="shared" si="876"/>
        <v>4500</v>
      </c>
      <c r="O1671" s="216">
        <f t="shared" si="877"/>
        <v>0</v>
      </c>
      <c r="P1671" s="217">
        <f t="shared" si="878"/>
        <v>4500</v>
      </c>
      <c r="Q1671" s="217">
        <f t="shared" si="879"/>
        <v>-4500</v>
      </c>
      <c r="R1671" s="217">
        <f t="shared" si="891"/>
        <v>20</v>
      </c>
      <c r="S1671" s="217">
        <f t="shared" si="881"/>
        <v>4.03</v>
      </c>
      <c r="T1671" s="217">
        <f t="shared" si="882"/>
        <v>0</v>
      </c>
      <c r="U1671" s="217">
        <f t="shared" si="883"/>
        <v>0.14000000000000001</v>
      </c>
      <c r="V1671" s="217">
        <f t="shared" si="884"/>
        <v>2.39</v>
      </c>
      <c r="W1671" s="217">
        <f t="shared" si="885"/>
        <v>0</v>
      </c>
      <c r="X1671" s="217">
        <f t="shared" si="886"/>
        <v>26.560000000000002</v>
      </c>
      <c r="Y1671" s="218">
        <f t="shared" si="887"/>
        <v>-4526.5600000000004</v>
      </c>
      <c r="Z1671" s="219">
        <v>-4527</v>
      </c>
      <c r="AA1671" s="220">
        <f t="shared" si="888"/>
        <v>-0.43999999999959982</v>
      </c>
      <c r="AB1671" s="221">
        <f t="shared" si="889"/>
        <v>-1</v>
      </c>
      <c r="AC1671" s="222">
        <f t="shared" si="890"/>
        <v>5.9020000000000001E-3</v>
      </c>
      <c r="AD1671" s="217"/>
      <c r="AE1671" s="223" t="s">
        <v>403</v>
      </c>
      <c r="AF1671" s="119"/>
    </row>
    <row r="1672" spans="1:32">
      <c r="A1672" s="150">
        <v>44831</v>
      </c>
      <c r="B1672" s="152" t="s">
        <v>826</v>
      </c>
      <c r="C1672" s="152" t="str">
        <f t="shared" ca="1" si="874"/>
        <v>Indices</v>
      </c>
      <c r="D1672" s="152" t="str">
        <f ca="1">IFERROR(__xludf.DUMMYFUNCTION("split(B1672,"" "")"),"NIFTY")</f>
        <v>NIFTY</v>
      </c>
      <c r="E1672" s="152" t="str">
        <f ca="1">IFERROR(__xludf.DUMMYFUNCTION("""COMPUTED_VALUE"""),"SEP")</f>
        <v>SEP</v>
      </c>
      <c r="F1672" s="152">
        <f ca="1">IFERROR(__xludf.DUMMYFUNCTION("""COMPUTED_VALUE"""),17200)</f>
        <v>17200</v>
      </c>
      <c r="G1672" s="152" t="str">
        <f ca="1">IFERROR(__xludf.DUMMYFUNCTION("""COMPUTED_VALUE"""),"CE")</f>
        <v>CE</v>
      </c>
      <c r="H1672" s="211">
        <v>50</v>
      </c>
      <c r="I1672" s="212">
        <v>1</v>
      </c>
      <c r="J1672" s="212">
        <v>1</v>
      </c>
      <c r="K1672" s="213">
        <f t="shared" si="875"/>
        <v>50</v>
      </c>
      <c r="L1672" s="214">
        <v>0</v>
      </c>
      <c r="M1672" s="215">
        <v>104</v>
      </c>
      <c r="N1672" s="216">
        <f t="shared" si="876"/>
        <v>0</v>
      </c>
      <c r="O1672" s="216">
        <f t="shared" si="877"/>
        <v>5200</v>
      </c>
      <c r="P1672" s="217">
        <f t="shared" si="878"/>
        <v>5200</v>
      </c>
      <c r="Q1672" s="217">
        <f t="shared" si="879"/>
        <v>5200</v>
      </c>
      <c r="R1672" s="217">
        <f t="shared" si="891"/>
        <v>20</v>
      </c>
      <c r="S1672" s="217">
        <f t="shared" si="881"/>
        <v>4.0999999999999996</v>
      </c>
      <c r="T1672" s="217">
        <f t="shared" si="882"/>
        <v>2.6</v>
      </c>
      <c r="U1672" s="217">
        <f t="shared" si="883"/>
        <v>0</v>
      </c>
      <c r="V1672" s="217">
        <f t="shared" si="884"/>
        <v>2.76</v>
      </c>
      <c r="W1672" s="217">
        <f t="shared" si="885"/>
        <v>0.01</v>
      </c>
      <c r="X1672" s="217">
        <f t="shared" si="886"/>
        <v>29.470000000000002</v>
      </c>
      <c r="Y1672" s="218">
        <f t="shared" si="887"/>
        <v>5170.53</v>
      </c>
      <c r="Z1672" s="219">
        <v>5170.6000000000004</v>
      </c>
      <c r="AA1672" s="220">
        <f t="shared" si="888"/>
        <v>7.0000000000618456E-2</v>
      </c>
      <c r="AB1672" s="221">
        <f t="shared" si="889"/>
        <v>0</v>
      </c>
      <c r="AC1672" s="222">
        <f t="shared" si="890"/>
        <v>5.6670000000000002E-3</v>
      </c>
      <c r="AD1672" s="217"/>
      <c r="AE1672" s="223" t="s">
        <v>403</v>
      </c>
      <c r="AF1672" s="119"/>
    </row>
    <row r="1673" spans="1:32">
      <c r="A1673" s="148">
        <v>44831</v>
      </c>
      <c r="B1673" s="152" t="s">
        <v>826</v>
      </c>
      <c r="C1673" s="152" t="str">
        <f t="shared" ca="1" si="874"/>
        <v>Indices</v>
      </c>
      <c r="D1673" s="152" t="str">
        <f ca="1">IFERROR(__xludf.DUMMYFUNCTION("split(B1673,"" "")"),"NIFTY")</f>
        <v>NIFTY</v>
      </c>
      <c r="E1673" s="152" t="str">
        <f ca="1">IFERROR(__xludf.DUMMYFUNCTION("""COMPUTED_VALUE"""),"SEP")</f>
        <v>SEP</v>
      </c>
      <c r="F1673" s="152">
        <f ca="1">IFERROR(__xludf.DUMMYFUNCTION("""COMPUTED_VALUE"""),17200)</f>
        <v>17200</v>
      </c>
      <c r="G1673" s="152" t="str">
        <f ca="1">IFERROR(__xludf.DUMMYFUNCTION("""COMPUTED_VALUE"""),"CE")</f>
        <v>CE</v>
      </c>
      <c r="H1673" s="211">
        <v>50</v>
      </c>
      <c r="I1673" s="212">
        <v>1</v>
      </c>
      <c r="J1673" s="212">
        <v>3</v>
      </c>
      <c r="K1673" s="213">
        <f t="shared" si="875"/>
        <v>150</v>
      </c>
      <c r="L1673" s="214">
        <v>86</v>
      </c>
      <c r="M1673" s="215">
        <v>0</v>
      </c>
      <c r="N1673" s="216">
        <f t="shared" si="876"/>
        <v>12900</v>
      </c>
      <c r="O1673" s="216">
        <f t="shared" si="877"/>
        <v>0</v>
      </c>
      <c r="P1673" s="217">
        <f t="shared" si="878"/>
        <v>12900</v>
      </c>
      <c r="Q1673" s="217">
        <f t="shared" si="879"/>
        <v>-12900</v>
      </c>
      <c r="R1673" s="217">
        <f t="shared" si="891"/>
        <v>60</v>
      </c>
      <c r="S1673" s="217">
        <f t="shared" si="881"/>
        <v>12.03</v>
      </c>
      <c r="T1673" s="217">
        <f t="shared" si="882"/>
        <v>0</v>
      </c>
      <c r="U1673" s="217">
        <f t="shared" si="883"/>
        <v>0.39</v>
      </c>
      <c r="V1673" s="217">
        <f t="shared" si="884"/>
        <v>6.84</v>
      </c>
      <c r="W1673" s="217">
        <f t="shared" si="885"/>
        <v>0.01</v>
      </c>
      <c r="X1673" s="217">
        <f t="shared" si="886"/>
        <v>79.27000000000001</v>
      </c>
      <c r="Y1673" s="218">
        <f t="shared" si="887"/>
        <v>-12979.27</v>
      </c>
      <c r="Z1673" s="219">
        <v>-12979</v>
      </c>
      <c r="AA1673" s="220">
        <f t="shared" si="888"/>
        <v>0.27000000000043656</v>
      </c>
      <c r="AB1673" s="221">
        <f t="shared" si="889"/>
        <v>-1</v>
      </c>
      <c r="AC1673" s="222">
        <f t="shared" si="890"/>
        <v>6.1450000000000003E-3</v>
      </c>
      <c r="AD1673" s="217"/>
      <c r="AE1673" s="223" t="s">
        <v>403</v>
      </c>
      <c r="AF1673" s="119"/>
    </row>
    <row r="1674" spans="1:32">
      <c r="A1674" s="150">
        <v>44832</v>
      </c>
      <c r="B1674" s="152" t="s">
        <v>826</v>
      </c>
      <c r="C1674" s="152" t="str">
        <f t="shared" ca="1" si="874"/>
        <v>Indices</v>
      </c>
      <c r="D1674" s="152" t="str">
        <f ca="1">IFERROR(__xludf.DUMMYFUNCTION("split(B1674,"" "")"),"NIFTY")</f>
        <v>NIFTY</v>
      </c>
      <c r="E1674" s="152" t="str">
        <f ca="1">IFERROR(__xludf.DUMMYFUNCTION("""COMPUTED_VALUE"""),"SEP")</f>
        <v>SEP</v>
      </c>
      <c r="F1674" s="152">
        <f ca="1">IFERROR(__xludf.DUMMYFUNCTION("""COMPUTED_VALUE"""),17200)</f>
        <v>17200</v>
      </c>
      <c r="G1674" s="152" t="str">
        <f ca="1">IFERROR(__xludf.DUMMYFUNCTION("""COMPUTED_VALUE"""),"CE")</f>
        <v>CE</v>
      </c>
      <c r="H1674" s="211">
        <v>50</v>
      </c>
      <c r="I1674" s="212">
        <v>3</v>
      </c>
      <c r="J1674" s="212">
        <v>1</v>
      </c>
      <c r="K1674" s="213">
        <f t="shared" si="875"/>
        <v>150</v>
      </c>
      <c r="L1674" s="214">
        <v>0</v>
      </c>
      <c r="M1674" s="215">
        <v>15</v>
      </c>
      <c r="N1674" s="216">
        <f t="shared" si="876"/>
        <v>0</v>
      </c>
      <c r="O1674" s="216">
        <f t="shared" si="877"/>
        <v>2250</v>
      </c>
      <c r="P1674" s="217">
        <f t="shared" si="878"/>
        <v>2250</v>
      </c>
      <c r="Q1674" s="217">
        <f t="shared" si="879"/>
        <v>2250</v>
      </c>
      <c r="R1674" s="217">
        <f t="shared" si="891"/>
        <v>20</v>
      </c>
      <c r="S1674" s="217">
        <f t="shared" si="881"/>
        <v>3.81</v>
      </c>
      <c r="T1674" s="217">
        <f t="shared" si="882"/>
        <v>1.1299999999999999</v>
      </c>
      <c r="U1674" s="217">
        <f t="shared" si="883"/>
        <v>0</v>
      </c>
      <c r="V1674" s="217">
        <f t="shared" si="884"/>
        <v>1.19</v>
      </c>
      <c r="W1674" s="217">
        <f t="shared" si="885"/>
        <v>0</v>
      </c>
      <c r="X1674" s="217">
        <f t="shared" si="886"/>
        <v>26.13</v>
      </c>
      <c r="Y1674" s="218">
        <f t="shared" si="887"/>
        <v>2223.87</v>
      </c>
      <c r="Z1674" s="219">
        <v>2224.2800000000002</v>
      </c>
      <c r="AA1674" s="220">
        <f t="shared" si="888"/>
        <v>0.41000000000030923</v>
      </c>
      <c r="AB1674" s="221">
        <f t="shared" si="889"/>
        <v>0</v>
      </c>
      <c r="AC1674" s="222">
        <f t="shared" si="890"/>
        <v>1.1613E-2</v>
      </c>
      <c r="AD1674" s="217"/>
      <c r="AE1674" s="223" t="s">
        <v>403</v>
      </c>
      <c r="AF1674" s="119"/>
    </row>
    <row r="1675" spans="1:32">
      <c r="A1675" s="209">
        <v>44867</v>
      </c>
      <c r="B1675" s="152" t="s">
        <v>827</v>
      </c>
      <c r="C1675" s="152" t="str">
        <f t="shared" ca="1" si="874"/>
        <v>Stocks</v>
      </c>
      <c r="D1675" s="152" t="str">
        <f ca="1">IFERROR(__xludf.DUMMYFUNCTION("split(B1675,"" "")"),"SUNPHARMA")</f>
        <v>SUNPHARMA</v>
      </c>
      <c r="E1675" s="152" t="str">
        <f ca="1">IFERROR(__xludf.DUMMYFUNCTION("""COMPUTED_VALUE"""),"NOV")</f>
        <v>NOV</v>
      </c>
      <c r="F1675" s="152">
        <f ca="1">IFERROR(__xludf.DUMMYFUNCTION("""COMPUTED_VALUE"""),1030)</f>
        <v>1030</v>
      </c>
      <c r="G1675" s="152" t="str">
        <f ca="1">IFERROR(__xludf.DUMMYFUNCTION("""COMPUTED_VALUE"""),"CE")</f>
        <v>CE</v>
      </c>
      <c r="H1675" s="211">
        <v>700</v>
      </c>
      <c r="I1675" s="212">
        <v>1</v>
      </c>
      <c r="J1675" s="212">
        <v>1</v>
      </c>
      <c r="K1675" s="213">
        <f t="shared" si="875"/>
        <v>700</v>
      </c>
      <c r="L1675" s="214">
        <v>28</v>
      </c>
      <c r="M1675" s="215">
        <v>35</v>
      </c>
      <c r="N1675" s="216">
        <f t="shared" si="876"/>
        <v>19600</v>
      </c>
      <c r="O1675" s="216">
        <f t="shared" si="877"/>
        <v>24500</v>
      </c>
      <c r="P1675" s="217">
        <f t="shared" si="878"/>
        <v>44100</v>
      </c>
      <c r="Q1675" s="217">
        <f t="shared" si="879"/>
        <v>4900</v>
      </c>
      <c r="R1675" s="217">
        <f t="shared" si="891"/>
        <v>40</v>
      </c>
      <c r="S1675" s="217">
        <f t="shared" si="881"/>
        <v>11.41</v>
      </c>
      <c r="T1675" s="217">
        <f t="shared" si="882"/>
        <v>12.25</v>
      </c>
      <c r="U1675" s="217">
        <f t="shared" si="883"/>
        <v>0.59</v>
      </c>
      <c r="V1675" s="217">
        <f t="shared" si="884"/>
        <v>23.37</v>
      </c>
      <c r="W1675" s="217">
        <f t="shared" si="885"/>
        <v>0.04</v>
      </c>
      <c r="X1675" s="217">
        <f t="shared" si="886"/>
        <v>87.660000000000011</v>
      </c>
      <c r="Y1675" s="218">
        <f t="shared" si="887"/>
        <v>4812.34</v>
      </c>
      <c r="Z1675" s="219">
        <v>4812.17</v>
      </c>
      <c r="AA1675" s="220">
        <f t="shared" si="888"/>
        <v>-0.17000000000007276</v>
      </c>
      <c r="AB1675" s="221">
        <f t="shared" si="889"/>
        <v>0.25</v>
      </c>
      <c r="AC1675" s="222">
        <f t="shared" si="890"/>
        <v>1.9880000000000002E-3</v>
      </c>
      <c r="AD1675" s="217"/>
      <c r="AE1675" s="223" t="s">
        <v>403</v>
      </c>
      <c r="AF1675" s="119"/>
    </row>
    <row r="1676" spans="1:32">
      <c r="A1676" s="209">
        <v>44868</v>
      </c>
      <c r="B1676" s="152" t="s">
        <v>828</v>
      </c>
      <c r="C1676" s="152" t="str">
        <f t="shared" ca="1" si="874"/>
        <v>Stocks</v>
      </c>
      <c r="D1676" s="152" t="str">
        <f ca="1">IFERROR(__xludf.DUMMYFUNCTION("split(B1676,"" "")"),"BATAINDIA")</f>
        <v>BATAINDIA</v>
      </c>
      <c r="E1676" s="152" t="str">
        <f ca="1">IFERROR(__xludf.DUMMYFUNCTION("""COMPUTED_VALUE"""),"NOV")</f>
        <v>NOV</v>
      </c>
      <c r="F1676" s="152">
        <f ca="1">IFERROR(__xludf.DUMMYFUNCTION("""COMPUTED_VALUE"""),1860)</f>
        <v>1860</v>
      </c>
      <c r="G1676" s="152" t="str">
        <f ca="1">IFERROR(__xludf.DUMMYFUNCTION("""COMPUTED_VALUE"""),"PE")</f>
        <v>PE</v>
      </c>
      <c r="H1676" s="211">
        <v>275</v>
      </c>
      <c r="I1676" s="212">
        <v>1</v>
      </c>
      <c r="J1676" s="212">
        <v>1</v>
      </c>
      <c r="K1676" s="213">
        <f t="shared" si="875"/>
        <v>275</v>
      </c>
      <c r="L1676" s="214">
        <v>57.35</v>
      </c>
      <c r="M1676" s="215">
        <v>50.4</v>
      </c>
      <c r="N1676" s="216">
        <f t="shared" si="876"/>
        <v>15771.25</v>
      </c>
      <c r="O1676" s="216">
        <f t="shared" si="877"/>
        <v>13860</v>
      </c>
      <c r="P1676" s="217">
        <f t="shared" si="878"/>
        <v>29631.25</v>
      </c>
      <c r="Q1676" s="217">
        <f t="shared" si="879"/>
        <v>-1911.2500000000007</v>
      </c>
      <c r="R1676" s="217">
        <f t="shared" si="891"/>
        <v>40</v>
      </c>
      <c r="S1676" s="217">
        <f t="shared" si="881"/>
        <v>10.029999999999999</v>
      </c>
      <c r="T1676" s="217">
        <f t="shared" si="882"/>
        <v>6.93</v>
      </c>
      <c r="U1676" s="217">
        <f t="shared" si="883"/>
        <v>0.47</v>
      </c>
      <c r="V1676" s="217">
        <f t="shared" si="884"/>
        <v>15.7</v>
      </c>
      <c r="W1676" s="217">
        <f t="shared" si="885"/>
        <v>0.03</v>
      </c>
      <c r="X1676" s="217">
        <f t="shared" si="886"/>
        <v>73.16</v>
      </c>
      <c r="Y1676" s="218">
        <f t="shared" si="887"/>
        <v>-1984.41</v>
      </c>
      <c r="Z1676" s="219">
        <v>-1984</v>
      </c>
      <c r="AA1676" s="220">
        <f t="shared" si="888"/>
        <v>0.41000000000008185</v>
      </c>
      <c r="AB1676" s="221">
        <f t="shared" si="889"/>
        <v>-0.12118570183086316</v>
      </c>
      <c r="AC1676" s="222">
        <f t="shared" si="890"/>
        <v>2.4689999999999998E-3</v>
      </c>
      <c r="AD1676" s="217"/>
      <c r="AE1676" s="223" t="s">
        <v>403</v>
      </c>
      <c r="AF1676" s="119"/>
    </row>
    <row r="1677" spans="1:32">
      <c r="A1677" s="209">
        <v>44868</v>
      </c>
      <c r="B1677" s="152" t="s">
        <v>829</v>
      </c>
      <c r="C1677" s="152" t="str">
        <f t="shared" ca="1" si="874"/>
        <v>Stocks</v>
      </c>
      <c r="D1677" s="152" t="str">
        <f ca="1">IFERROR(__xludf.DUMMYFUNCTION("split(B1677,"" "")"),"VEDL")</f>
        <v>VEDL</v>
      </c>
      <c r="E1677" s="152" t="str">
        <f ca="1">IFERROR(__xludf.DUMMYFUNCTION("""COMPUTED_VALUE"""),"NOV")</f>
        <v>NOV</v>
      </c>
      <c r="F1677" s="152">
        <f ca="1">IFERROR(__xludf.DUMMYFUNCTION("""COMPUTED_VALUE"""),300)</f>
        <v>300</v>
      </c>
      <c r="G1677" s="152" t="str">
        <f ca="1">IFERROR(__xludf.DUMMYFUNCTION("""COMPUTED_VALUE"""),"PE")</f>
        <v>PE</v>
      </c>
      <c r="H1677" s="211">
        <v>1550</v>
      </c>
      <c r="I1677" s="212">
        <v>1</v>
      </c>
      <c r="J1677" s="212">
        <v>1</v>
      </c>
      <c r="K1677" s="213">
        <f t="shared" si="875"/>
        <v>1550</v>
      </c>
      <c r="L1677" s="214">
        <v>11.1</v>
      </c>
      <c r="M1677" s="215">
        <v>9.4499999999999993</v>
      </c>
      <c r="N1677" s="216">
        <f t="shared" si="876"/>
        <v>17205</v>
      </c>
      <c r="O1677" s="216">
        <f t="shared" si="877"/>
        <v>14647.5</v>
      </c>
      <c r="P1677" s="217">
        <f t="shared" si="878"/>
        <v>31852.5</v>
      </c>
      <c r="Q1677" s="217">
        <f t="shared" si="879"/>
        <v>-2557.5000000000005</v>
      </c>
      <c r="R1677" s="217">
        <f t="shared" si="891"/>
        <v>40</v>
      </c>
      <c r="S1677" s="217">
        <f t="shared" si="881"/>
        <v>10.24</v>
      </c>
      <c r="T1677" s="217">
        <f t="shared" si="882"/>
        <v>7.32</v>
      </c>
      <c r="U1677" s="217">
        <f t="shared" si="883"/>
        <v>0.52</v>
      </c>
      <c r="V1677" s="217">
        <f t="shared" si="884"/>
        <v>16.88</v>
      </c>
      <c r="W1677" s="217">
        <f t="shared" si="885"/>
        <v>0.03</v>
      </c>
      <c r="X1677" s="217">
        <f t="shared" si="886"/>
        <v>74.990000000000009</v>
      </c>
      <c r="Y1677" s="218">
        <f t="shared" si="887"/>
        <v>-2632.49</v>
      </c>
      <c r="Z1677" s="219">
        <v>-2632.67</v>
      </c>
      <c r="AA1677" s="220">
        <f t="shared" si="888"/>
        <v>-0.18000000000029104</v>
      </c>
      <c r="AB1677" s="221">
        <f t="shared" si="889"/>
        <v>-0.14864864864864868</v>
      </c>
      <c r="AC1677" s="222">
        <f t="shared" si="890"/>
        <v>2.3540000000000002E-3</v>
      </c>
      <c r="AD1677" s="217"/>
      <c r="AE1677" s="223" t="s">
        <v>403</v>
      </c>
      <c r="AF1677" s="119"/>
    </row>
    <row r="1678" spans="1:32">
      <c r="A1678" s="209">
        <v>44869</v>
      </c>
      <c r="B1678" s="152" t="s">
        <v>830</v>
      </c>
      <c r="C1678" s="152" t="str">
        <f t="shared" ca="1" si="874"/>
        <v>Stocks</v>
      </c>
      <c r="D1678" s="152" t="str">
        <f ca="1">IFERROR(__xludf.DUMMYFUNCTION("split(B1678,"" "")"),"FEDERALBNK")</f>
        <v>FEDERALBNK</v>
      </c>
      <c r="E1678" s="152" t="str">
        <f ca="1">IFERROR(__xludf.DUMMYFUNCTION("""COMPUTED_VALUE"""),"NOV")</f>
        <v>NOV</v>
      </c>
      <c r="F1678" s="152">
        <f ca="1">IFERROR(__xludf.DUMMYFUNCTION("""COMPUTED_VALUE"""),137)</f>
        <v>137</v>
      </c>
      <c r="G1678" s="152" t="str">
        <f ca="1">IFERROR(__xludf.DUMMYFUNCTION("""COMPUTED_VALUE"""),"CE")</f>
        <v>CE</v>
      </c>
      <c r="H1678" s="211">
        <v>5000</v>
      </c>
      <c r="I1678" s="212">
        <v>1</v>
      </c>
      <c r="J1678" s="212">
        <v>1</v>
      </c>
      <c r="K1678" s="213">
        <f t="shared" si="875"/>
        <v>5000</v>
      </c>
      <c r="L1678" s="214">
        <v>4.6500000000000004</v>
      </c>
      <c r="M1678" s="215">
        <v>3.75</v>
      </c>
      <c r="N1678" s="216">
        <f t="shared" si="876"/>
        <v>23250</v>
      </c>
      <c r="O1678" s="216">
        <f t="shared" si="877"/>
        <v>18750</v>
      </c>
      <c r="P1678" s="217">
        <f t="shared" si="878"/>
        <v>42000</v>
      </c>
      <c r="Q1678" s="217">
        <f t="shared" si="879"/>
        <v>-4500.0000000000018</v>
      </c>
      <c r="R1678" s="217">
        <f t="shared" si="891"/>
        <v>40</v>
      </c>
      <c r="S1678" s="217">
        <f t="shared" si="881"/>
        <v>11.21</v>
      </c>
      <c r="T1678" s="217">
        <f t="shared" si="882"/>
        <v>9.3800000000000008</v>
      </c>
      <c r="U1678" s="217">
        <f t="shared" si="883"/>
        <v>0.7</v>
      </c>
      <c r="V1678" s="217">
        <f t="shared" si="884"/>
        <v>22.26</v>
      </c>
      <c r="W1678" s="217">
        <f t="shared" si="885"/>
        <v>0.04</v>
      </c>
      <c r="X1678" s="217">
        <f t="shared" si="886"/>
        <v>83.590000000000018</v>
      </c>
      <c r="Y1678" s="218">
        <f t="shared" si="887"/>
        <v>-4583.59</v>
      </c>
      <c r="Z1678" s="219">
        <v>-4583.5200000000004</v>
      </c>
      <c r="AA1678" s="220">
        <f t="shared" si="888"/>
        <v>6.9999999999708962E-2</v>
      </c>
      <c r="AB1678" s="221">
        <f t="shared" si="889"/>
        <v>-0.19354838709677424</v>
      </c>
      <c r="AC1678" s="222">
        <f t="shared" si="890"/>
        <v>1.99E-3</v>
      </c>
      <c r="AD1678" s="217"/>
      <c r="AE1678" s="223" t="s">
        <v>403</v>
      </c>
      <c r="AF1678" s="119"/>
    </row>
    <row r="1679" spans="1:32">
      <c r="A1679" s="209">
        <v>44872</v>
      </c>
      <c r="B1679" s="152" t="s">
        <v>831</v>
      </c>
      <c r="C1679" s="152" t="str">
        <f t="shared" ca="1" si="874"/>
        <v>Stocks</v>
      </c>
      <c r="D1679" s="152" t="str">
        <f ca="1">IFERROR(__xludf.DUMMYFUNCTION("split(B1679,"" "")"),"MGL")</f>
        <v>MGL</v>
      </c>
      <c r="E1679" s="152" t="str">
        <f ca="1">IFERROR(__xludf.DUMMYFUNCTION("""COMPUTED_VALUE"""),"NOV")</f>
        <v>NOV</v>
      </c>
      <c r="F1679" s="152">
        <f ca="1">IFERROR(__xludf.DUMMYFUNCTION("""COMPUTED_VALUE"""),900)</f>
        <v>900</v>
      </c>
      <c r="G1679" s="152" t="str">
        <f ca="1">IFERROR(__xludf.DUMMYFUNCTION("""COMPUTED_VALUE"""),"CE")</f>
        <v>CE</v>
      </c>
      <c r="H1679" s="211">
        <v>800</v>
      </c>
      <c r="I1679" s="212">
        <v>1</v>
      </c>
      <c r="J1679" s="212">
        <v>1</v>
      </c>
      <c r="K1679" s="213">
        <f t="shared" si="875"/>
        <v>800</v>
      </c>
      <c r="L1679" s="214">
        <v>22.1</v>
      </c>
      <c r="M1679" s="215">
        <v>17.25</v>
      </c>
      <c r="N1679" s="216">
        <f t="shared" si="876"/>
        <v>17680</v>
      </c>
      <c r="O1679" s="216">
        <f t="shared" si="877"/>
        <v>13800</v>
      </c>
      <c r="P1679" s="217">
        <f t="shared" si="878"/>
        <v>31480</v>
      </c>
      <c r="Q1679" s="217">
        <f t="shared" si="879"/>
        <v>-3880.0000000000009</v>
      </c>
      <c r="R1679" s="217">
        <f t="shared" si="891"/>
        <v>40</v>
      </c>
      <c r="S1679" s="217">
        <f t="shared" si="881"/>
        <v>10.199999999999999</v>
      </c>
      <c r="T1679" s="217">
        <f t="shared" si="882"/>
        <v>6.9</v>
      </c>
      <c r="U1679" s="217">
        <f t="shared" si="883"/>
        <v>0.53</v>
      </c>
      <c r="V1679" s="217">
        <f t="shared" si="884"/>
        <v>16.68</v>
      </c>
      <c r="W1679" s="217">
        <f t="shared" si="885"/>
        <v>0.03</v>
      </c>
      <c r="X1679" s="217">
        <f t="shared" si="886"/>
        <v>74.34</v>
      </c>
      <c r="Y1679" s="218">
        <f t="shared" si="887"/>
        <v>-3954.34</v>
      </c>
      <c r="Z1679" s="219">
        <v>-3954.27</v>
      </c>
      <c r="AA1679" s="220">
        <f t="shared" si="888"/>
        <v>7.0000000000163709E-2</v>
      </c>
      <c r="AB1679" s="221">
        <f t="shared" si="889"/>
        <v>-0.21945701357466069</v>
      </c>
      <c r="AC1679" s="222">
        <f t="shared" si="890"/>
        <v>2.3609999999999998E-3</v>
      </c>
      <c r="AD1679" s="217"/>
      <c r="AE1679" s="223" t="s">
        <v>403</v>
      </c>
      <c r="AF1679" s="119"/>
    </row>
    <row r="1680" spans="1:32">
      <c r="A1680" s="209">
        <v>44872</v>
      </c>
      <c r="B1680" s="152" t="s">
        <v>832</v>
      </c>
      <c r="C1680" s="152" t="str">
        <f t="shared" ca="1" si="874"/>
        <v>Stocks</v>
      </c>
      <c r="D1680" s="152" t="str">
        <f ca="1">IFERROR(__xludf.DUMMYFUNCTION("split(B1680,"" "")"),"HINDALCO")</f>
        <v>HINDALCO</v>
      </c>
      <c r="E1680" s="152" t="str">
        <f ca="1">IFERROR(__xludf.DUMMYFUNCTION("""COMPUTED_VALUE"""),"NOV")</f>
        <v>NOV</v>
      </c>
      <c r="F1680" s="152">
        <f ca="1">IFERROR(__xludf.DUMMYFUNCTION("""COMPUTED_VALUE"""),430)</f>
        <v>430</v>
      </c>
      <c r="G1680" s="152" t="str">
        <f ca="1">IFERROR(__xludf.DUMMYFUNCTION("""COMPUTED_VALUE"""),"CE")</f>
        <v>CE</v>
      </c>
      <c r="H1680" s="211">
        <v>1075</v>
      </c>
      <c r="I1680" s="212">
        <v>1</v>
      </c>
      <c r="J1680" s="212">
        <v>1</v>
      </c>
      <c r="K1680" s="213">
        <f t="shared" si="875"/>
        <v>1075</v>
      </c>
      <c r="L1680" s="214">
        <v>14.75</v>
      </c>
      <c r="M1680" s="215">
        <v>18.5</v>
      </c>
      <c r="N1680" s="216">
        <f t="shared" si="876"/>
        <v>15856.25</v>
      </c>
      <c r="O1680" s="216">
        <f t="shared" si="877"/>
        <v>19887.5</v>
      </c>
      <c r="P1680" s="217">
        <f t="shared" si="878"/>
        <v>35743.75</v>
      </c>
      <c r="Q1680" s="217">
        <f t="shared" si="879"/>
        <v>4031.25</v>
      </c>
      <c r="R1680" s="217">
        <f t="shared" si="891"/>
        <v>40</v>
      </c>
      <c r="S1680" s="217">
        <f t="shared" si="881"/>
        <v>10.61</v>
      </c>
      <c r="T1680" s="217">
        <f t="shared" si="882"/>
        <v>9.94</v>
      </c>
      <c r="U1680" s="217">
        <f t="shared" si="883"/>
        <v>0.48</v>
      </c>
      <c r="V1680" s="217">
        <f t="shared" si="884"/>
        <v>18.940000000000001</v>
      </c>
      <c r="W1680" s="217">
        <f t="shared" si="885"/>
        <v>0.04</v>
      </c>
      <c r="X1680" s="217">
        <f t="shared" si="886"/>
        <v>80.010000000000005</v>
      </c>
      <c r="Y1680" s="218">
        <f t="shared" si="887"/>
        <v>3951.24</v>
      </c>
      <c r="Z1680" s="219">
        <v>3951</v>
      </c>
      <c r="AA1680" s="220">
        <f t="shared" si="888"/>
        <v>-0.23999999999978172</v>
      </c>
      <c r="AB1680" s="221">
        <f t="shared" si="889"/>
        <v>0.25423728813559321</v>
      </c>
      <c r="AC1680" s="222">
        <f t="shared" si="890"/>
        <v>2.238E-3</v>
      </c>
      <c r="AD1680" s="217"/>
      <c r="AE1680" s="223" t="s">
        <v>403</v>
      </c>
      <c r="AF1680" s="119"/>
    </row>
    <row r="1681" spans="1:32">
      <c r="A1681" s="209">
        <v>44874</v>
      </c>
      <c r="B1681" s="152" t="s">
        <v>833</v>
      </c>
      <c r="C1681" s="152" t="str">
        <f t="shared" ca="1" si="874"/>
        <v>Stocks</v>
      </c>
      <c r="D1681" s="152" t="str">
        <f ca="1">IFERROR(__xludf.DUMMYFUNCTION("split(B1681,"" "")"),"HEROMOTOCO")</f>
        <v>HEROMOTOCO</v>
      </c>
      <c r="E1681" s="152" t="str">
        <f ca="1">IFERROR(__xludf.DUMMYFUNCTION("""COMPUTED_VALUE"""),"NOV")</f>
        <v>NOV</v>
      </c>
      <c r="F1681" s="152">
        <f ca="1">IFERROR(__xludf.DUMMYFUNCTION("""COMPUTED_VALUE"""),2600)</f>
        <v>2600</v>
      </c>
      <c r="G1681" s="152" t="str">
        <f ca="1">IFERROR(__xludf.DUMMYFUNCTION("""COMPUTED_VALUE"""),"CE")</f>
        <v>CE</v>
      </c>
      <c r="H1681" s="211">
        <v>300</v>
      </c>
      <c r="I1681" s="212">
        <v>1</v>
      </c>
      <c r="J1681" s="212">
        <v>1</v>
      </c>
      <c r="K1681" s="213">
        <f t="shared" si="875"/>
        <v>300</v>
      </c>
      <c r="L1681" s="214">
        <v>62</v>
      </c>
      <c r="M1681" s="215">
        <v>67</v>
      </c>
      <c r="N1681" s="216">
        <f t="shared" si="876"/>
        <v>18600</v>
      </c>
      <c r="O1681" s="216">
        <f t="shared" si="877"/>
        <v>20100</v>
      </c>
      <c r="P1681" s="217">
        <f t="shared" si="878"/>
        <v>38700</v>
      </c>
      <c r="Q1681" s="217">
        <f t="shared" si="879"/>
        <v>1500</v>
      </c>
      <c r="R1681" s="217">
        <f t="shared" si="891"/>
        <v>40</v>
      </c>
      <c r="S1681" s="217">
        <f t="shared" si="881"/>
        <v>10.89</v>
      </c>
      <c r="T1681" s="217">
        <f t="shared" si="882"/>
        <v>10.050000000000001</v>
      </c>
      <c r="U1681" s="217">
        <f t="shared" si="883"/>
        <v>0.56000000000000005</v>
      </c>
      <c r="V1681" s="217">
        <f t="shared" si="884"/>
        <v>20.51</v>
      </c>
      <c r="W1681" s="217">
        <f t="shared" si="885"/>
        <v>0.04</v>
      </c>
      <c r="X1681" s="217">
        <f t="shared" si="886"/>
        <v>82.050000000000011</v>
      </c>
      <c r="Y1681" s="218">
        <f t="shared" si="887"/>
        <v>1417.95</v>
      </c>
      <c r="Z1681" s="219">
        <v>1417.55</v>
      </c>
      <c r="AA1681" s="220">
        <f t="shared" si="888"/>
        <v>-0.40000000000009095</v>
      </c>
      <c r="AB1681" s="221">
        <f t="shared" si="889"/>
        <v>8.0645161290322578E-2</v>
      </c>
      <c r="AC1681" s="222">
        <f t="shared" si="890"/>
        <v>2.1199999999999999E-3</v>
      </c>
      <c r="AD1681" s="217"/>
      <c r="AE1681" s="223" t="s">
        <v>403</v>
      </c>
      <c r="AF1681" s="119"/>
    </row>
    <row r="1682" spans="1:32">
      <c r="A1682" s="209">
        <v>44875</v>
      </c>
      <c r="B1682" s="152" t="s">
        <v>834</v>
      </c>
      <c r="C1682" s="152" t="str">
        <f t="shared" ca="1" si="874"/>
        <v>Stocks</v>
      </c>
      <c r="D1682" s="152" t="str">
        <f ca="1">IFERROR(__xludf.DUMMYFUNCTION("split(B1682,"" "")"),"PIDILITIND")</f>
        <v>PIDILITIND</v>
      </c>
      <c r="E1682" s="152" t="str">
        <f ca="1">IFERROR(__xludf.DUMMYFUNCTION("""COMPUTED_VALUE"""),"NOV")</f>
        <v>NOV</v>
      </c>
      <c r="F1682" s="152">
        <f ca="1">IFERROR(__xludf.DUMMYFUNCTION("""COMPUTED_VALUE"""),2650)</f>
        <v>2650</v>
      </c>
      <c r="G1682" s="152" t="str">
        <f ca="1">IFERROR(__xludf.DUMMYFUNCTION("""COMPUTED_VALUE"""),"PE")</f>
        <v>PE</v>
      </c>
      <c r="H1682" s="211">
        <v>250</v>
      </c>
      <c r="I1682" s="212">
        <v>1</v>
      </c>
      <c r="J1682" s="212">
        <v>1</v>
      </c>
      <c r="K1682" s="213">
        <f t="shared" si="875"/>
        <v>250</v>
      </c>
      <c r="L1682" s="214">
        <v>60</v>
      </c>
      <c r="M1682" s="215">
        <v>69</v>
      </c>
      <c r="N1682" s="216">
        <f t="shared" si="876"/>
        <v>15000</v>
      </c>
      <c r="O1682" s="216">
        <f t="shared" si="877"/>
        <v>17250</v>
      </c>
      <c r="P1682" s="217">
        <f t="shared" si="878"/>
        <v>32250</v>
      </c>
      <c r="Q1682" s="217">
        <f t="shared" si="879"/>
        <v>2250</v>
      </c>
      <c r="R1682" s="217">
        <f t="shared" si="891"/>
        <v>40</v>
      </c>
      <c r="S1682" s="217">
        <f t="shared" si="881"/>
        <v>10.28</v>
      </c>
      <c r="T1682" s="217">
        <f t="shared" si="882"/>
        <v>8.6300000000000008</v>
      </c>
      <c r="U1682" s="217">
        <f t="shared" si="883"/>
        <v>0.45</v>
      </c>
      <c r="V1682" s="217">
        <f t="shared" si="884"/>
        <v>17.09</v>
      </c>
      <c r="W1682" s="217">
        <f t="shared" si="885"/>
        <v>0.03</v>
      </c>
      <c r="X1682" s="217">
        <f t="shared" si="886"/>
        <v>76.48</v>
      </c>
      <c r="Y1682" s="218">
        <f t="shared" si="887"/>
        <v>2173.52</v>
      </c>
      <c r="Z1682" s="219">
        <v>2173.59</v>
      </c>
      <c r="AA1682" s="220">
        <f t="shared" si="888"/>
        <v>7.0000000000163709E-2</v>
      </c>
      <c r="AB1682" s="221">
        <f t="shared" si="889"/>
        <v>0.15</v>
      </c>
      <c r="AC1682" s="222">
        <f t="shared" si="890"/>
        <v>2.3709999999999998E-3</v>
      </c>
      <c r="AD1682" s="217"/>
      <c r="AE1682" s="223" t="s">
        <v>403</v>
      </c>
      <c r="AF1682" s="119"/>
    </row>
    <row r="1683" spans="1:32">
      <c r="A1683" s="148">
        <v>44880</v>
      </c>
      <c r="B1683" s="152" t="s">
        <v>835</v>
      </c>
      <c r="C1683" s="152" t="str">
        <f t="shared" ca="1" si="874"/>
        <v>Stocks</v>
      </c>
      <c r="D1683" s="152" t="str">
        <f ca="1">IFERROR(__xludf.DUMMYFUNCTION("split(B1683,"" "")"),"LUPIN")</f>
        <v>LUPIN</v>
      </c>
      <c r="E1683" s="152" t="str">
        <f ca="1">IFERROR(__xludf.DUMMYFUNCTION("""COMPUTED_VALUE"""),"NOV")</f>
        <v>NOV</v>
      </c>
      <c r="F1683" s="152">
        <f ca="1">IFERROR(__xludf.DUMMYFUNCTION("""COMPUTED_VALUE"""),760)</f>
        <v>760</v>
      </c>
      <c r="G1683" s="152" t="str">
        <f ca="1">IFERROR(__xludf.DUMMYFUNCTION("""COMPUTED_VALUE"""),"CE")</f>
        <v>CE</v>
      </c>
      <c r="H1683" s="211">
        <v>850</v>
      </c>
      <c r="I1683" s="212">
        <v>1</v>
      </c>
      <c r="J1683" s="212">
        <v>1</v>
      </c>
      <c r="K1683" s="213">
        <f t="shared" si="875"/>
        <v>850</v>
      </c>
      <c r="L1683" s="214">
        <v>16</v>
      </c>
      <c r="M1683" s="215">
        <v>0</v>
      </c>
      <c r="N1683" s="216">
        <f t="shared" si="876"/>
        <v>13600</v>
      </c>
      <c r="O1683" s="216">
        <f t="shared" si="877"/>
        <v>0</v>
      </c>
      <c r="P1683" s="217">
        <f t="shared" si="878"/>
        <v>13600</v>
      </c>
      <c r="Q1683" s="217">
        <f t="shared" si="879"/>
        <v>-13600</v>
      </c>
      <c r="R1683" s="217">
        <f t="shared" si="891"/>
        <v>20</v>
      </c>
      <c r="S1683" s="217">
        <f t="shared" si="881"/>
        <v>4.9000000000000004</v>
      </c>
      <c r="T1683" s="217">
        <f t="shared" si="882"/>
        <v>0</v>
      </c>
      <c r="U1683" s="217">
        <f t="shared" si="883"/>
        <v>0.41</v>
      </c>
      <c r="V1683" s="217">
        <f t="shared" si="884"/>
        <v>7.21</v>
      </c>
      <c r="W1683" s="217">
        <f t="shared" si="885"/>
        <v>0.01</v>
      </c>
      <c r="X1683" s="217">
        <f t="shared" si="886"/>
        <v>32.529999999999994</v>
      </c>
      <c r="Y1683" s="218">
        <f t="shared" si="887"/>
        <v>-13632.53</v>
      </c>
      <c r="Z1683" s="219">
        <v>-13633.22</v>
      </c>
      <c r="AA1683" s="220">
        <f t="shared" si="888"/>
        <v>-0.68999999999869033</v>
      </c>
      <c r="AB1683" s="221">
        <f t="shared" si="889"/>
        <v>-1</v>
      </c>
      <c r="AC1683" s="222">
        <f t="shared" si="890"/>
        <v>2.392E-3</v>
      </c>
      <c r="AD1683" s="217"/>
      <c r="AE1683" s="223" t="s">
        <v>403</v>
      </c>
      <c r="AF1683" s="119"/>
    </row>
    <row r="1684" spans="1:32">
      <c r="A1684" s="150">
        <v>44881</v>
      </c>
      <c r="B1684" s="152" t="s">
        <v>835</v>
      </c>
      <c r="C1684" s="152" t="str">
        <f t="shared" ca="1" si="874"/>
        <v>Stocks</v>
      </c>
      <c r="D1684" s="152" t="str">
        <f ca="1">IFERROR(__xludf.DUMMYFUNCTION("split(B1684,"" "")"),"LUPIN")</f>
        <v>LUPIN</v>
      </c>
      <c r="E1684" s="152" t="str">
        <f ca="1">IFERROR(__xludf.DUMMYFUNCTION("""COMPUTED_VALUE"""),"NOV")</f>
        <v>NOV</v>
      </c>
      <c r="F1684" s="152">
        <f ca="1">IFERROR(__xludf.DUMMYFUNCTION("""COMPUTED_VALUE"""),760)</f>
        <v>760</v>
      </c>
      <c r="G1684" s="152" t="str">
        <f ca="1">IFERROR(__xludf.DUMMYFUNCTION("""COMPUTED_VALUE"""),"CE")</f>
        <v>CE</v>
      </c>
      <c r="H1684" s="211">
        <v>850</v>
      </c>
      <c r="I1684" s="212">
        <v>1</v>
      </c>
      <c r="J1684" s="212">
        <v>1</v>
      </c>
      <c r="K1684" s="213">
        <f t="shared" si="875"/>
        <v>850</v>
      </c>
      <c r="L1684" s="214">
        <v>0</v>
      </c>
      <c r="M1684" s="215">
        <v>6.75</v>
      </c>
      <c r="N1684" s="216">
        <f t="shared" si="876"/>
        <v>0</v>
      </c>
      <c r="O1684" s="216">
        <f t="shared" si="877"/>
        <v>5737.5</v>
      </c>
      <c r="P1684" s="217">
        <f t="shared" si="878"/>
        <v>5737.5</v>
      </c>
      <c r="Q1684" s="217">
        <f t="shared" si="879"/>
        <v>5737.5</v>
      </c>
      <c r="R1684" s="217">
        <f t="shared" si="891"/>
        <v>20</v>
      </c>
      <c r="S1684" s="217">
        <f t="shared" si="881"/>
        <v>4.1500000000000004</v>
      </c>
      <c r="T1684" s="217">
        <f t="shared" si="882"/>
        <v>2.87</v>
      </c>
      <c r="U1684" s="217">
        <f t="shared" si="883"/>
        <v>0</v>
      </c>
      <c r="V1684" s="217">
        <f t="shared" si="884"/>
        <v>3.04</v>
      </c>
      <c r="W1684" s="217">
        <f t="shared" si="885"/>
        <v>0.01</v>
      </c>
      <c r="X1684" s="217">
        <f t="shared" si="886"/>
        <v>30.07</v>
      </c>
      <c r="Y1684" s="218">
        <f t="shared" si="887"/>
        <v>5707.43</v>
      </c>
      <c r="Z1684" s="219">
        <v>5707.83</v>
      </c>
      <c r="AA1684" s="220">
        <f t="shared" si="888"/>
        <v>0.3999999999996362</v>
      </c>
      <c r="AB1684" s="221">
        <f t="shared" si="889"/>
        <v>0</v>
      </c>
      <c r="AC1684" s="222">
        <f t="shared" si="890"/>
        <v>5.241E-3</v>
      </c>
      <c r="AD1684" s="217"/>
      <c r="AE1684" s="223" t="s">
        <v>403</v>
      </c>
      <c r="AF1684" s="119"/>
    </row>
    <row r="1685" spans="1:32">
      <c r="A1685" s="148">
        <v>44880</v>
      </c>
      <c r="B1685" s="152" t="s">
        <v>836</v>
      </c>
      <c r="C1685" s="152" t="str">
        <f t="shared" ca="1" si="874"/>
        <v>Stocks</v>
      </c>
      <c r="D1685" s="152" t="str">
        <f ca="1">IFERROR(__xludf.DUMMYFUNCTION("split(B1685,"" "")"),"TATAMOTORS")</f>
        <v>TATAMOTORS</v>
      </c>
      <c r="E1685" s="152" t="str">
        <f ca="1">IFERROR(__xludf.DUMMYFUNCTION("""COMPUTED_VALUE"""),"NOV")</f>
        <v>NOV</v>
      </c>
      <c r="F1685" s="152">
        <f ca="1">IFERROR(__xludf.DUMMYFUNCTION("""COMPUTED_VALUE"""),440)</f>
        <v>440</v>
      </c>
      <c r="G1685" s="152" t="str">
        <f ca="1">IFERROR(__xludf.DUMMYFUNCTION("""COMPUTED_VALUE"""),"CE")</f>
        <v>CE</v>
      </c>
      <c r="H1685" s="211">
        <v>1425</v>
      </c>
      <c r="I1685" s="212">
        <v>1</v>
      </c>
      <c r="J1685" s="212">
        <v>1</v>
      </c>
      <c r="K1685" s="213">
        <f t="shared" si="875"/>
        <v>1425</v>
      </c>
      <c r="L1685" s="214">
        <v>8.4</v>
      </c>
      <c r="M1685" s="215">
        <v>0</v>
      </c>
      <c r="N1685" s="216">
        <f t="shared" si="876"/>
        <v>11970</v>
      </c>
      <c r="O1685" s="216">
        <f t="shared" si="877"/>
        <v>0</v>
      </c>
      <c r="P1685" s="217">
        <f t="shared" si="878"/>
        <v>11970</v>
      </c>
      <c r="Q1685" s="217">
        <f t="shared" si="879"/>
        <v>-11970</v>
      </c>
      <c r="R1685" s="217">
        <f t="shared" si="891"/>
        <v>20</v>
      </c>
      <c r="S1685" s="217">
        <f t="shared" si="881"/>
        <v>4.74</v>
      </c>
      <c r="T1685" s="217">
        <f t="shared" si="882"/>
        <v>0</v>
      </c>
      <c r="U1685" s="217">
        <f t="shared" si="883"/>
        <v>0.36</v>
      </c>
      <c r="V1685" s="217">
        <f t="shared" si="884"/>
        <v>6.34</v>
      </c>
      <c r="W1685" s="217">
        <f t="shared" si="885"/>
        <v>0.01</v>
      </c>
      <c r="X1685" s="217">
        <f t="shared" si="886"/>
        <v>31.450000000000003</v>
      </c>
      <c r="Y1685" s="218">
        <f t="shared" si="887"/>
        <v>-12001.45</v>
      </c>
      <c r="Z1685" s="219">
        <v>-12001</v>
      </c>
      <c r="AA1685" s="220">
        <f t="shared" si="888"/>
        <v>0.4500000000007276</v>
      </c>
      <c r="AB1685" s="221">
        <f t="shared" si="889"/>
        <v>-1</v>
      </c>
      <c r="AC1685" s="222">
        <f t="shared" si="890"/>
        <v>2.627E-3</v>
      </c>
      <c r="AD1685" s="217"/>
      <c r="AE1685" s="223" t="s">
        <v>403</v>
      </c>
      <c r="AF1685" s="119"/>
    </row>
    <row r="1686" spans="1:32">
      <c r="A1686" s="150">
        <v>44881</v>
      </c>
      <c r="B1686" s="152" t="s">
        <v>836</v>
      </c>
      <c r="C1686" s="152" t="str">
        <f t="shared" ca="1" si="874"/>
        <v>Stocks</v>
      </c>
      <c r="D1686" s="152" t="str">
        <f ca="1">IFERROR(__xludf.DUMMYFUNCTION("split(B1686,"" "")"),"TATAMOTORS")</f>
        <v>TATAMOTORS</v>
      </c>
      <c r="E1686" s="152" t="str">
        <f ca="1">IFERROR(__xludf.DUMMYFUNCTION("""COMPUTED_VALUE"""),"NOV")</f>
        <v>NOV</v>
      </c>
      <c r="F1686" s="152">
        <f ca="1">IFERROR(__xludf.DUMMYFUNCTION("""COMPUTED_VALUE"""),440)</f>
        <v>440</v>
      </c>
      <c r="G1686" s="152" t="str">
        <f ca="1">IFERROR(__xludf.DUMMYFUNCTION("""COMPUTED_VALUE"""),"CE")</f>
        <v>CE</v>
      </c>
      <c r="H1686" s="211">
        <v>1425</v>
      </c>
      <c r="I1686" s="212">
        <v>1</v>
      </c>
      <c r="J1686" s="212">
        <v>1</v>
      </c>
      <c r="K1686" s="213">
        <f t="shared" si="875"/>
        <v>1425</v>
      </c>
      <c r="L1686" s="214">
        <v>0</v>
      </c>
      <c r="M1686" s="215">
        <v>4.9000000000000004</v>
      </c>
      <c r="N1686" s="216">
        <f t="shared" si="876"/>
        <v>0</v>
      </c>
      <c r="O1686" s="216">
        <f t="shared" si="877"/>
        <v>6982.5</v>
      </c>
      <c r="P1686" s="217">
        <f t="shared" si="878"/>
        <v>6982.5</v>
      </c>
      <c r="Q1686" s="217">
        <f t="shared" si="879"/>
        <v>6982.5000000000009</v>
      </c>
      <c r="R1686" s="217">
        <f t="shared" si="891"/>
        <v>20</v>
      </c>
      <c r="S1686" s="217">
        <f t="shared" si="881"/>
        <v>4.2699999999999996</v>
      </c>
      <c r="T1686" s="217">
        <f t="shared" si="882"/>
        <v>3.49</v>
      </c>
      <c r="U1686" s="217">
        <f t="shared" si="883"/>
        <v>0</v>
      </c>
      <c r="V1686" s="217">
        <f t="shared" si="884"/>
        <v>3.7</v>
      </c>
      <c r="W1686" s="217">
        <f t="shared" si="885"/>
        <v>0.01</v>
      </c>
      <c r="X1686" s="217">
        <f t="shared" si="886"/>
        <v>31.47</v>
      </c>
      <c r="Y1686" s="218">
        <f t="shared" si="887"/>
        <v>6951.03</v>
      </c>
      <c r="Z1686" s="219">
        <v>6951</v>
      </c>
      <c r="AA1686" s="220">
        <f t="shared" si="888"/>
        <v>-2.9999999999745341E-2</v>
      </c>
      <c r="AB1686" s="221">
        <f t="shared" si="889"/>
        <v>0</v>
      </c>
      <c r="AC1686" s="222">
        <f t="shared" si="890"/>
        <v>4.5069999999999997E-3</v>
      </c>
      <c r="AD1686" s="217"/>
      <c r="AE1686" s="223" t="s">
        <v>403</v>
      </c>
      <c r="AF1686" s="119"/>
    </row>
    <row r="1687" spans="1:32">
      <c r="A1687" s="209">
        <v>44882</v>
      </c>
      <c r="B1687" s="152" t="s">
        <v>837</v>
      </c>
      <c r="C1687" s="152" t="str">
        <f t="shared" ca="1" si="874"/>
        <v>Stocks</v>
      </c>
      <c r="D1687" s="152" t="str">
        <f ca="1">IFERROR(__xludf.DUMMYFUNCTION("split(B1687,"" "")"),"FEDERALBNK")</f>
        <v>FEDERALBNK</v>
      </c>
      <c r="E1687" s="152" t="str">
        <f ca="1">IFERROR(__xludf.DUMMYFUNCTION("""COMPUTED_VALUE"""),"NOV")</f>
        <v>NOV</v>
      </c>
      <c r="F1687" s="152">
        <f ca="1">IFERROR(__xludf.DUMMYFUNCTION("""COMPUTED_VALUE"""),133)</f>
        <v>133</v>
      </c>
      <c r="G1687" s="152" t="str">
        <f ca="1">IFERROR(__xludf.DUMMYFUNCTION("""COMPUTED_VALUE"""),"PE")</f>
        <v>PE</v>
      </c>
      <c r="H1687" s="211">
        <v>5000</v>
      </c>
      <c r="I1687" s="212">
        <v>1</v>
      </c>
      <c r="J1687" s="212">
        <v>1</v>
      </c>
      <c r="K1687" s="213">
        <f t="shared" si="875"/>
        <v>5000</v>
      </c>
      <c r="L1687" s="214">
        <v>2.2000000000000002</v>
      </c>
      <c r="M1687" s="215">
        <v>1.75</v>
      </c>
      <c r="N1687" s="216">
        <f t="shared" si="876"/>
        <v>11000</v>
      </c>
      <c r="O1687" s="216">
        <f t="shared" si="877"/>
        <v>8750</v>
      </c>
      <c r="P1687" s="217">
        <f t="shared" si="878"/>
        <v>19750</v>
      </c>
      <c r="Q1687" s="217">
        <f t="shared" si="879"/>
        <v>-2250.0000000000009</v>
      </c>
      <c r="R1687" s="217">
        <f t="shared" si="891"/>
        <v>40</v>
      </c>
      <c r="S1687" s="217">
        <f t="shared" si="881"/>
        <v>9.08</v>
      </c>
      <c r="T1687" s="217">
        <f t="shared" si="882"/>
        <v>4.38</v>
      </c>
      <c r="U1687" s="217">
        <f t="shared" si="883"/>
        <v>0.33</v>
      </c>
      <c r="V1687" s="217">
        <f t="shared" si="884"/>
        <v>10.47</v>
      </c>
      <c r="W1687" s="217">
        <f t="shared" si="885"/>
        <v>0.02</v>
      </c>
      <c r="X1687" s="217">
        <f t="shared" si="886"/>
        <v>64.28</v>
      </c>
      <c r="Y1687" s="218">
        <f t="shared" si="887"/>
        <v>-2314.2800000000002</v>
      </c>
      <c r="Z1687" s="219">
        <v>-2314.3200000000002</v>
      </c>
      <c r="AA1687" s="220">
        <f t="shared" si="888"/>
        <v>-3.999999999996362E-2</v>
      </c>
      <c r="AB1687" s="221">
        <f t="shared" si="889"/>
        <v>-0.20454545454545461</v>
      </c>
      <c r="AC1687" s="222">
        <f t="shared" si="890"/>
        <v>3.2550000000000001E-3</v>
      </c>
      <c r="AD1687" s="217"/>
      <c r="AE1687" s="223" t="s">
        <v>403</v>
      </c>
      <c r="AF1687" s="119"/>
    </row>
    <row r="1688" spans="1:32">
      <c r="A1688" s="209">
        <v>44882</v>
      </c>
      <c r="B1688" s="152" t="s">
        <v>838</v>
      </c>
      <c r="C1688" s="152" t="str">
        <f t="shared" ca="1" si="874"/>
        <v>Indices</v>
      </c>
      <c r="D1688" s="152" t="str">
        <f ca="1">IFERROR(__xludf.DUMMYFUNCTION("split(B1688,"" "")"),"BANKNIFTY")</f>
        <v>BANKNIFTY</v>
      </c>
      <c r="E1688" s="224">
        <f ca="1">IFERROR(__xludf.DUMMYFUNCTION("""COMPUTED_VALUE"""),45247)</f>
        <v>45247</v>
      </c>
      <c r="F1688" s="152">
        <f ca="1">IFERROR(__xludf.DUMMYFUNCTION("""COMPUTED_VALUE"""),42600)</f>
        <v>42600</v>
      </c>
      <c r="G1688" s="152" t="str">
        <f ca="1">IFERROR(__xludf.DUMMYFUNCTION("""COMPUTED_VALUE"""),"CE")</f>
        <v>CE</v>
      </c>
      <c r="H1688" s="211">
        <v>25</v>
      </c>
      <c r="I1688" s="212">
        <v>1</v>
      </c>
      <c r="J1688" s="212">
        <v>1</v>
      </c>
      <c r="K1688" s="213">
        <f t="shared" si="875"/>
        <v>25</v>
      </c>
      <c r="L1688" s="214">
        <v>30</v>
      </c>
      <c r="M1688" s="215">
        <v>20.65</v>
      </c>
      <c r="N1688" s="216">
        <f t="shared" si="876"/>
        <v>750</v>
      </c>
      <c r="O1688" s="216">
        <f t="shared" si="877"/>
        <v>516.25</v>
      </c>
      <c r="P1688" s="217">
        <f t="shared" si="878"/>
        <v>1266.25</v>
      </c>
      <c r="Q1688" s="217">
        <f t="shared" si="879"/>
        <v>-233.75000000000003</v>
      </c>
      <c r="R1688" s="217">
        <f t="shared" si="891"/>
        <v>40</v>
      </c>
      <c r="S1688" s="217">
        <f t="shared" si="881"/>
        <v>7.32</v>
      </c>
      <c r="T1688" s="217">
        <f t="shared" si="882"/>
        <v>0.26</v>
      </c>
      <c r="U1688" s="217">
        <f t="shared" si="883"/>
        <v>0.02</v>
      </c>
      <c r="V1688" s="217">
        <f t="shared" si="884"/>
        <v>0.67</v>
      </c>
      <c r="W1688" s="217">
        <f t="shared" si="885"/>
        <v>0</v>
      </c>
      <c r="X1688" s="217">
        <f t="shared" si="886"/>
        <v>48.27</v>
      </c>
      <c r="Y1688" s="218">
        <f t="shared" si="887"/>
        <v>-282.02</v>
      </c>
      <c r="Z1688" s="219">
        <v>-282</v>
      </c>
      <c r="AA1688" s="220">
        <f t="shared" si="888"/>
        <v>1.999999999998181E-2</v>
      </c>
      <c r="AB1688" s="221">
        <f t="shared" si="889"/>
        <v>-0.3116666666666667</v>
      </c>
      <c r="AC1688" s="222">
        <f t="shared" si="890"/>
        <v>3.8120000000000001E-2</v>
      </c>
      <c r="AD1688" s="217"/>
      <c r="AE1688" s="223" t="s">
        <v>403</v>
      </c>
      <c r="AF1688" s="119"/>
    </row>
    <row r="1689" spans="1:32">
      <c r="A1689" s="209">
        <v>44883</v>
      </c>
      <c r="B1689" s="152" t="s">
        <v>839</v>
      </c>
      <c r="C1689" s="152" t="str">
        <f t="shared" ca="1" si="874"/>
        <v>Stocks</v>
      </c>
      <c r="D1689" s="152" t="str">
        <f ca="1">IFERROR(__xludf.DUMMYFUNCTION("split(B1689,"" "")"),"DLF")</f>
        <v>DLF</v>
      </c>
      <c r="E1689" s="152" t="str">
        <f ca="1">IFERROR(__xludf.DUMMYFUNCTION("""COMPUTED_VALUE"""),"NOV")</f>
        <v>NOV</v>
      </c>
      <c r="F1689" s="152">
        <f ca="1">IFERROR(__xludf.DUMMYFUNCTION("""COMPUTED_VALUE"""),400)</f>
        <v>400</v>
      </c>
      <c r="G1689" s="152" t="str">
        <f ca="1">IFERROR(__xludf.DUMMYFUNCTION("""COMPUTED_VALUE"""),"PE")</f>
        <v>PE</v>
      </c>
      <c r="H1689" s="211">
        <v>1650</v>
      </c>
      <c r="I1689" s="212">
        <v>1</v>
      </c>
      <c r="J1689" s="212">
        <v>1</v>
      </c>
      <c r="K1689" s="213">
        <f t="shared" si="875"/>
        <v>1650</v>
      </c>
      <c r="L1689" s="214">
        <v>6</v>
      </c>
      <c r="M1689" s="215">
        <v>6.1</v>
      </c>
      <c r="N1689" s="216">
        <f t="shared" si="876"/>
        <v>9900</v>
      </c>
      <c r="O1689" s="216">
        <f t="shared" si="877"/>
        <v>10065</v>
      </c>
      <c r="P1689" s="217">
        <f t="shared" si="878"/>
        <v>19965</v>
      </c>
      <c r="Q1689" s="217">
        <f t="shared" si="879"/>
        <v>164.9999999999994</v>
      </c>
      <c r="R1689" s="217">
        <f t="shared" si="891"/>
        <v>40</v>
      </c>
      <c r="S1689" s="217">
        <f t="shared" si="881"/>
        <v>9.1</v>
      </c>
      <c r="T1689" s="217">
        <f t="shared" si="882"/>
        <v>5.03</v>
      </c>
      <c r="U1689" s="217">
        <f t="shared" si="883"/>
        <v>0.3</v>
      </c>
      <c r="V1689" s="217">
        <f t="shared" si="884"/>
        <v>10.58</v>
      </c>
      <c r="W1689" s="217">
        <f t="shared" si="885"/>
        <v>0.02</v>
      </c>
      <c r="X1689" s="217">
        <f t="shared" si="886"/>
        <v>65.03</v>
      </c>
      <c r="Y1689" s="218">
        <f t="shared" si="887"/>
        <v>99.97</v>
      </c>
      <c r="Z1689" s="219">
        <v>100.29</v>
      </c>
      <c r="AA1689" s="220">
        <f t="shared" si="888"/>
        <v>0.32000000000000739</v>
      </c>
      <c r="AB1689" s="221">
        <f t="shared" si="889"/>
        <v>1.6666666666666607E-2</v>
      </c>
      <c r="AC1689" s="222">
        <f t="shared" si="890"/>
        <v>3.2569999999999999E-3</v>
      </c>
      <c r="AD1689" s="217"/>
      <c r="AE1689" s="223" t="s">
        <v>403</v>
      </c>
      <c r="AF1689" s="119"/>
    </row>
    <row r="1690" spans="1:32">
      <c r="A1690" s="209">
        <v>44888</v>
      </c>
      <c r="B1690" s="152" t="s">
        <v>840</v>
      </c>
      <c r="C1690" s="152" t="str">
        <f t="shared" ca="1" si="874"/>
        <v>Stocks</v>
      </c>
      <c r="D1690" s="152" t="str">
        <f ca="1">IFERROR(__xludf.DUMMYFUNCTION("split(B1690,"" "")"),"LTTS")</f>
        <v>LTTS</v>
      </c>
      <c r="E1690" s="152" t="str">
        <f ca="1">IFERROR(__xludf.DUMMYFUNCTION("""COMPUTED_VALUE"""),"DEC")</f>
        <v>DEC</v>
      </c>
      <c r="F1690" s="152">
        <f ca="1">IFERROR(__xludf.DUMMYFUNCTION("""COMPUTED_VALUE"""),3900)</f>
        <v>3900</v>
      </c>
      <c r="G1690" s="152" t="str">
        <f ca="1">IFERROR(__xludf.DUMMYFUNCTION("""COMPUTED_VALUE"""),"CE")</f>
        <v>CE</v>
      </c>
      <c r="H1690" s="211">
        <v>200</v>
      </c>
      <c r="I1690" s="212">
        <v>1</v>
      </c>
      <c r="J1690" s="212">
        <v>1</v>
      </c>
      <c r="K1690" s="213">
        <f t="shared" si="875"/>
        <v>200</v>
      </c>
      <c r="L1690" s="214">
        <v>93</v>
      </c>
      <c r="M1690" s="215">
        <v>95.25</v>
      </c>
      <c r="N1690" s="216">
        <f t="shared" si="876"/>
        <v>18600</v>
      </c>
      <c r="O1690" s="216">
        <f t="shared" si="877"/>
        <v>19050</v>
      </c>
      <c r="P1690" s="217">
        <f t="shared" si="878"/>
        <v>37650</v>
      </c>
      <c r="Q1690" s="217">
        <f t="shared" si="879"/>
        <v>450</v>
      </c>
      <c r="R1690" s="217">
        <f t="shared" si="891"/>
        <v>40</v>
      </c>
      <c r="S1690" s="217">
        <f t="shared" si="881"/>
        <v>10.79</v>
      </c>
      <c r="T1690" s="217">
        <f t="shared" si="882"/>
        <v>9.5299999999999994</v>
      </c>
      <c r="U1690" s="217">
        <f t="shared" si="883"/>
        <v>0.56000000000000005</v>
      </c>
      <c r="V1690" s="217">
        <f t="shared" si="884"/>
        <v>19.95</v>
      </c>
      <c r="W1690" s="217">
        <f t="shared" si="885"/>
        <v>0.04</v>
      </c>
      <c r="X1690" s="217">
        <f t="shared" si="886"/>
        <v>80.87</v>
      </c>
      <c r="Y1690" s="218">
        <f t="shared" si="887"/>
        <v>369.13</v>
      </c>
      <c r="Z1690" s="219">
        <v>368.21</v>
      </c>
      <c r="AA1690" s="220">
        <f t="shared" si="888"/>
        <v>-0.92000000000001592</v>
      </c>
      <c r="AB1690" s="221">
        <f t="shared" si="889"/>
        <v>2.4193548387096774E-2</v>
      </c>
      <c r="AC1690" s="222">
        <f t="shared" si="890"/>
        <v>2.1480000000000002E-3</v>
      </c>
      <c r="AD1690" s="217"/>
      <c r="AE1690" s="223" t="s">
        <v>403</v>
      </c>
      <c r="AF1690" s="119"/>
    </row>
    <row r="1691" spans="1:32">
      <c r="A1691" s="209">
        <v>44890</v>
      </c>
      <c r="B1691" s="152" t="s">
        <v>841</v>
      </c>
      <c r="C1691" s="152" t="str">
        <f t="shared" ca="1" si="874"/>
        <v>Stocks</v>
      </c>
      <c r="D1691" s="152" t="str">
        <f ca="1">IFERROR(__xludf.DUMMYFUNCTION("split(B1691,"" "")"),"INFY")</f>
        <v>INFY</v>
      </c>
      <c r="E1691" s="152" t="str">
        <f ca="1">IFERROR(__xludf.DUMMYFUNCTION("""COMPUTED_VALUE"""),"DEC")</f>
        <v>DEC</v>
      </c>
      <c r="F1691" s="152">
        <f ca="1">IFERROR(__xludf.DUMMYFUNCTION("""COMPUTED_VALUE"""),1640)</f>
        <v>1640</v>
      </c>
      <c r="G1691" s="152" t="str">
        <f ca="1">IFERROR(__xludf.DUMMYFUNCTION("""COMPUTED_VALUE"""),"CE")</f>
        <v>CE</v>
      </c>
      <c r="H1691" s="211">
        <v>300</v>
      </c>
      <c r="I1691" s="212">
        <v>1</v>
      </c>
      <c r="J1691" s="212">
        <v>2</v>
      </c>
      <c r="K1691" s="213">
        <f t="shared" si="875"/>
        <v>600</v>
      </c>
      <c r="L1691" s="214">
        <v>39.5</v>
      </c>
      <c r="M1691" s="215">
        <v>41</v>
      </c>
      <c r="N1691" s="216">
        <f t="shared" si="876"/>
        <v>23700</v>
      </c>
      <c r="O1691" s="216">
        <f t="shared" si="877"/>
        <v>24600</v>
      </c>
      <c r="P1691" s="217">
        <f t="shared" si="878"/>
        <v>48300</v>
      </c>
      <c r="Q1691" s="217">
        <f t="shared" si="879"/>
        <v>900</v>
      </c>
      <c r="R1691" s="217">
        <f t="shared" ref="R1691:R1692" si="892">IF(AND(L1691&lt;&gt;0,M1691&lt;&gt;0,AE1691="Kotak"),0,IF(AND(L1691="",M1691=""),0,IF(L1691=0,0,L$1804*J1691)+IF(M1691=0,0,L$1804*J1691)))</f>
        <v>80</v>
      </c>
      <c r="S1691" s="217">
        <f t="shared" si="881"/>
        <v>19.010000000000002</v>
      </c>
      <c r="T1691" s="217">
        <f t="shared" si="882"/>
        <v>12.3</v>
      </c>
      <c r="U1691" s="217">
        <f t="shared" si="883"/>
        <v>0.71</v>
      </c>
      <c r="V1691" s="217">
        <f t="shared" si="884"/>
        <v>25.6</v>
      </c>
      <c r="W1691" s="217">
        <f t="shared" si="885"/>
        <v>0.05</v>
      </c>
      <c r="X1691" s="217">
        <f t="shared" si="886"/>
        <v>137.67000000000002</v>
      </c>
      <c r="Y1691" s="218">
        <f t="shared" si="887"/>
        <v>762.33</v>
      </c>
      <c r="Z1691" s="219">
        <v>762.34</v>
      </c>
      <c r="AA1691" s="220">
        <f t="shared" si="888"/>
        <v>9.9999999999909051E-3</v>
      </c>
      <c r="AB1691" s="221">
        <f t="shared" si="889"/>
        <v>3.7974683544303799E-2</v>
      </c>
      <c r="AC1691" s="222">
        <f t="shared" si="890"/>
        <v>2.8500000000000001E-3</v>
      </c>
      <c r="AD1691" s="217"/>
      <c r="AE1691" s="223" t="s">
        <v>403</v>
      </c>
      <c r="AF1691" s="119"/>
    </row>
    <row r="1692" spans="1:32">
      <c r="A1692" s="209">
        <v>44893</v>
      </c>
      <c r="B1692" s="152" t="s">
        <v>842</v>
      </c>
      <c r="C1692" s="152" t="str">
        <f t="shared" ca="1" si="874"/>
        <v>Stocks</v>
      </c>
      <c r="D1692" s="152" t="str">
        <f ca="1">IFERROR(__xludf.DUMMYFUNCTION("split(B1692,"" "")"),"EXIDEIND")</f>
        <v>EXIDEIND</v>
      </c>
      <c r="E1692" s="152" t="str">
        <f ca="1">IFERROR(__xludf.DUMMYFUNCTION("""COMPUTED_VALUE"""),"DEC")</f>
        <v>DEC</v>
      </c>
      <c r="F1692" s="152">
        <f ca="1">IFERROR(__xludf.DUMMYFUNCTION("""COMPUTED_VALUE"""),185)</f>
        <v>185</v>
      </c>
      <c r="G1692" s="152" t="str">
        <f ca="1">IFERROR(__xludf.DUMMYFUNCTION("""COMPUTED_VALUE"""),"CE")</f>
        <v>CE</v>
      </c>
      <c r="H1692" s="211">
        <v>3600</v>
      </c>
      <c r="I1692" s="212">
        <v>1</v>
      </c>
      <c r="J1692" s="212">
        <v>2</v>
      </c>
      <c r="K1692" s="213">
        <f t="shared" si="875"/>
        <v>7200</v>
      </c>
      <c r="L1692" s="214">
        <v>7.625</v>
      </c>
      <c r="M1692" s="215">
        <v>7.6749999999999998</v>
      </c>
      <c r="N1692" s="216">
        <f t="shared" si="876"/>
        <v>54900</v>
      </c>
      <c r="O1692" s="216">
        <f t="shared" si="877"/>
        <v>55260</v>
      </c>
      <c r="P1692" s="217">
        <f t="shared" si="878"/>
        <v>110160</v>
      </c>
      <c r="Q1692" s="217">
        <f t="shared" si="879"/>
        <v>359.99999999999875</v>
      </c>
      <c r="R1692" s="217">
        <f t="shared" si="892"/>
        <v>80</v>
      </c>
      <c r="S1692" s="217">
        <f t="shared" si="881"/>
        <v>24.91</v>
      </c>
      <c r="T1692" s="217">
        <f t="shared" si="882"/>
        <v>27.63</v>
      </c>
      <c r="U1692" s="217">
        <f t="shared" si="883"/>
        <v>1.65</v>
      </c>
      <c r="V1692" s="217">
        <f t="shared" si="884"/>
        <v>58.38</v>
      </c>
      <c r="W1692" s="217">
        <f t="shared" si="885"/>
        <v>0.11</v>
      </c>
      <c r="X1692" s="217">
        <f t="shared" si="886"/>
        <v>192.68</v>
      </c>
      <c r="Y1692" s="218">
        <f t="shared" si="887"/>
        <v>167.32</v>
      </c>
      <c r="Z1692" s="219">
        <v>166.58</v>
      </c>
      <c r="AA1692" s="220">
        <f t="shared" si="888"/>
        <v>-0.73999999999998067</v>
      </c>
      <c r="AB1692" s="221">
        <f t="shared" si="889"/>
        <v>6.5573770491803044E-3</v>
      </c>
      <c r="AC1692" s="222">
        <f t="shared" si="890"/>
        <v>1.7489999999999999E-3</v>
      </c>
      <c r="AD1692" s="217"/>
      <c r="AE1692" s="223" t="s">
        <v>403</v>
      </c>
      <c r="AF1692" s="119"/>
    </row>
    <row r="1693" spans="1:32">
      <c r="A1693" s="209">
        <v>44894</v>
      </c>
      <c r="B1693" s="152" t="s">
        <v>843</v>
      </c>
      <c r="C1693" s="152" t="str">
        <f t="shared" ca="1" si="874"/>
        <v>Stocks</v>
      </c>
      <c r="D1693" s="152" t="str">
        <f ca="1">IFERROR(__xludf.DUMMYFUNCTION("split(B1693,"" "")"),"TATAMOTORS")</f>
        <v>TATAMOTORS</v>
      </c>
      <c r="E1693" s="152" t="str">
        <f ca="1">IFERROR(__xludf.DUMMYFUNCTION("""COMPUTED_VALUE"""),"DEC")</f>
        <v>DEC</v>
      </c>
      <c r="F1693" s="152">
        <f ca="1">IFERROR(__xludf.DUMMYFUNCTION("""COMPUTED_VALUE"""),435)</f>
        <v>435</v>
      </c>
      <c r="G1693" s="152" t="str">
        <f ca="1">IFERROR(__xludf.DUMMYFUNCTION("""COMPUTED_VALUE"""),"PE")</f>
        <v>PE</v>
      </c>
      <c r="H1693" s="211">
        <v>1425</v>
      </c>
      <c r="I1693" s="212">
        <v>1</v>
      </c>
      <c r="J1693" s="212">
        <v>3</v>
      </c>
      <c r="K1693" s="213">
        <f t="shared" si="875"/>
        <v>4275</v>
      </c>
      <c r="L1693" s="214">
        <v>12.716666999999999</v>
      </c>
      <c r="M1693" s="215">
        <v>13</v>
      </c>
      <c r="N1693" s="216">
        <f t="shared" si="876"/>
        <v>54363.75</v>
      </c>
      <c r="O1693" s="216">
        <f t="shared" si="877"/>
        <v>55575</v>
      </c>
      <c r="P1693" s="217">
        <f t="shared" si="878"/>
        <v>109938.75</v>
      </c>
      <c r="Q1693" s="217">
        <f t="shared" si="879"/>
        <v>1211.248575000003</v>
      </c>
      <c r="R1693" s="217">
        <f>IF(AND(L1693&lt;&gt;0,M1693&lt;&gt;0,AE1693="Kotak"),0,IF(AND(L1693="",M1693=""),0,IF(L1693=0,0,L$1804*J1693)+IF(M1693=0,0,L$1804*J1693)))-40</f>
        <v>80</v>
      </c>
      <c r="S1693" s="217">
        <f t="shared" si="881"/>
        <v>24.89</v>
      </c>
      <c r="T1693" s="217">
        <f t="shared" si="882"/>
        <v>27.79</v>
      </c>
      <c r="U1693" s="217">
        <f t="shared" si="883"/>
        <v>1.63</v>
      </c>
      <c r="V1693" s="217">
        <f t="shared" si="884"/>
        <v>58.27</v>
      </c>
      <c r="W1693" s="217">
        <f t="shared" si="885"/>
        <v>0.11</v>
      </c>
      <c r="X1693" s="217">
        <f t="shared" si="886"/>
        <v>192.69000000000003</v>
      </c>
      <c r="Y1693" s="218">
        <f t="shared" si="887"/>
        <v>1018.56</v>
      </c>
      <c r="Z1693" s="219">
        <v>1018.25</v>
      </c>
      <c r="AA1693" s="220">
        <f t="shared" si="888"/>
        <v>-0.30999999999994543</v>
      </c>
      <c r="AB1693" s="221">
        <f t="shared" si="889"/>
        <v>2.2280445025414344E-2</v>
      </c>
      <c r="AC1693" s="222">
        <f t="shared" si="890"/>
        <v>1.753E-3</v>
      </c>
      <c r="AD1693" s="217"/>
      <c r="AE1693" s="223" t="s">
        <v>403</v>
      </c>
      <c r="AF1693" s="119"/>
    </row>
    <row r="1694" spans="1:32">
      <c r="A1694" s="209">
        <v>44894</v>
      </c>
      <c r="B1694" s="152" t="s">
        <v>844</v>
      </c>
      <c r="C1694" s="152" t="str">
        <f t="shared" ca="1" si="874"/>
        <v>Stocks</v>
      </c>
      <c r="D1694" s="152" t="str">
        <f ca="1">IFERROR(__xludf.DUMMYFUNCTION("split(B1694,"" "")"),"BANDHANBNK")</f>
        <v>BANDHANBNK</v>
      </c>
      <c r="E1694" s="152" t="str">
        <f ca="1">IFERROR(__xludf.DUMMYFUNCTION("""COMPUTED_VALUE"""),"DEC")</f>
        <v>DEC</v>
      </c>
      <c r="F1694" s="152">
        <f ca="1">IFERROR(__xludf.DUMMYFUNCTION("""COMPUTED_VALUE"""),240)</f>
        <v>240</v>
      </c>
      <c r="G1694" s="152" t="str">
        <f ca="1">IFERROR(__xludf.DUMMYFUNCTION("""COMPUTED_VALUE"""),"CE")</f>
        <v>CE</v>
      </c>
      <c r="H1694" s="211">
        <v>1800</v>
      </c>
      <c r="I1694" s="212">
        <v>1</v>
      </c>
      <c r="J1694" s="212">
        <v>1</v>
      </c>
      <c r="K1694" s="213">
        <f t="shared" si="875"/>
        <v>1800</v>
      </c>
      <c r="L1694" s="214">
        <v>6.6</v>
      </c>
      <c r="M1694" s="215">
        <v>7.6</v>
      </c>
      <c r="N1694" s="216">
        <f t="shared" si="876"/>
        <v>11880</v>
      </c>
      <c r="O1694" s="216">
        <f t="shared" si="877"/>
        <v>13680</v>
      </c>
      <c r="P1694" s="217">
        <f t="shared" si="878"/>
        <v>25560</v>
      </c>
      <c r="Q1694" s="217">
        <f t="shared" si="879"/>
        <v>1800</v>
      </c>
      <c r="R1694" s="217">
        <f t="shared" ref="R1694:R1697" si="893">IF(AND(L1694&lt;&gt;0,M1694&lt;&gt;0,AE1694="Kotak"),0,IF(AND(L1694="",M1694=""),0,IF(L1694=0,0,L$1804*J1694)+IF(M1694=0,0,L$1804*J1694)))</f>
        <v>40</v>
      </c>
      <c r="S1694" s="217">
        <f t="shared" si="881"/>
        <v>9.64</v>
      </c>
      <c r="T1694" s="217">
        <f t="shared" si="882"/>
        <v>6.84</v>
      </c>
      <c r="U1694" s="217">
        <f t="shared" si="883"/>
        <v>0.36</v>
      </c>
      <c r="V1694" s="217">
        <f t="shared" si="884"/>
        <v>13.55</v>
      </c>
      <c r="W1694" s="217">
        <f t="shared" si="885"/>
        <v>0.03</v>
      </c>
      <c r="X1694" s="217">
        <f t="shared" si="886"/>
        <v>70.42</v>
      </c>
      <c r="Y1694" s="218">
        <f t="shared" si="887"/>
        <v>1729.58</v>
      </c>
      <c r="Z1694" s="219">
        <v>1729.5</v>
      </c>
      <c r="AA1694" s="220">
        <f t="shared" si="888"/>
        <v>-7.999999999992724E-2</v>
      </c>
      <c r="AB1694" s="221">
        <f t="shared" si="889"/>
        <v>0.15151515151515152</v>
      </c>
      <c r="AC1694" s="222">
        <f t="shared" si="890"/>
        <v>2.7550000000000001E-3</v>
      </c>
      <c r="AD1694" s="217"/>
      <c r="AE1694" s="223" t="s">
        <v>403</v>
      </c>
      <c r="AF1694" s="119"/>
    </row>
    <row r="1695" spans="1:32">
      <c r="A1695" s="209">
        <v>44895</v>
      </c>
      <c r="B1695" s="152" t="s">
        <v>845</v>
      </c>
      <c r="C1695" s="152" t="str">
        <f t="shared" ca="1" si="874"/>
        <v>Stocks</v>
      </c>
      <c r="D1695" s="152" t="str">
        <f ca="1">IFERROR(__xludf.DUMMYFUNCTION("split(B1695,"" "")"),"WIPRO")</f>
        <v>WIPRO</v>
      </c>
      <c r="E1695" s="152" t="str">
        <f ca="1">IFERROR(__xludf.DUMMYFUNCTION("""COMPUTED_VALUE"""),"DEC")</f>
        <v>DEC</v>
      </c>
      <c r="F1695" s="152">
        <f ca="1">IFERROR(__xludf.DUMMYFUNCTION("""COMPUTED_VALUE"""),405)</f>
        <v>405</v>
      </c>
      <c r="G1695" s="152" t="str">
        <f ca="1">IFERROR(__xludf.DUMMYFUNCTION("""COMPUTED_VALUE"""),"CE")</f>
        <v>CE</v>
      </c>
      <c r="H1695" s="211">
        <v>1000</v>
      </c>
      <c r="I1695" s="212">
        <v>1</v>
      </c>
      <c r="J1695" s="212">
        <v>1</v>
      </c>
      <c r="K1695" s="213">
        <f t="shared" si="875"/>
        <v>1000</v>
      </c>
      <c r="L1695" s="214">
        <v>11.2</v>
      </c>
      <c r="M1695" s="215">
        <v>11.75</v>
      </c>
      <c r="N1695" s="216">
        <f t="shared" si="876"/>
        <v>11200</v>
      </c>
      <c r="O1695" s="216">
        <f t="shared" si="877"/>
        <v>11750</v>
      </c>
      <c r="P1695" s="217">
        <f t="shared" si="878"/>
        <v>22950</v>
      </c>
      <c r="Q1695" s="217">
        <f t="shared" si="879"/>
        <v>550.00000000000068</v>
      </c>
      <c r="R1695" s="217">
        <f t="shared" si="893"/>
        <v>40</v>
      </c>
      <c r="S1695" s="217">
        <f t="shared" si="881"/>
        <v>9.39</v>
      </c>
      <c r="T1695" s="217">
        <f t="shared" si="882"/>
        <v>5.88</v>
      </c>
      <c r="U1695" s="217">
        <f t="shared" si="883"/>
        <v>0.34</v>
      </c>
      <c r="V1695" s="217">
        <f t="shared" si="884"/>
        <v>12.16</v>
      </c>
      <c r="W1695" s="217">
        <f t="shared" si="885"/>
        <v>0.02</v>
      </c>
      <c r="X1695" s="217">
        <f t="shared" si="886"/>
        <v>67.790000000000006</v>
      </c>
      <c r="Y1695" s="218">
        <f t="shared" si="887"/>
        <v>482.21</v>
      </c>
      <c r="Z1695" s="219">
        <v>482.42</v>
      </c>
      <c r="AA1695" s="220">
        <f t="shared" si="888"/>
        <v>0.21000000000003638</v>
      </c>
      <c r="AB1695" s="221">
        <f t="shared" si="889"/>
        <v>4.9107142857142926E-2</v>
      </c>
      <c r="AC1695" s="222">
        <f t="shared" si="890"/>
        <v>2.954E-3</v>
      </c>
      <c r="AD1695" s="217"/>
      <c r="AE1695" s="223" t="s">
        <v>403</v>
      </c>
      <c r="AF1695" s="119"/>
    </row>
    <row r="1696" spans="1:32">
      <c r="A1696" s="209">
        <v>44896</v>
      </c>
      <c r="B1696" s="152" t="s">
        <v>846</v>
      </c>
      <c r="C1696" s="152" t="str">
        <f t="shared" ca="1" si="874"/>
        <v>Stocks</v>
      </c>
      <c r="D1696" s="152" t="str">
        <f ca="1">IFERROR(__xludf.DUMMYFUNCTION("split(B1696,"" "")"),"NATIONALUM")</f>
        <v>NATIONALUM</v>
      </c>
      <c r="E1696" s="152" t="str">
        <f ca="1">IFERROR(__xludf.DUMMYFUNCTION("""COMPUTED_VALUE"""),"DEC")</f>
        <v>DEC</v>
      </c>
      <c r="F1696" s="152">
        <f ca="1">IFERROR(__xludf.DUMMYFUNCTION("""COMPUTED_VALUE"""),78)</f>
        <v>78</v>
      </c>
      <c r="G1696" s="152" t="str">
        <f ca="1">IFERROR(__xludf.DUMMYFUNCTION("""COMPUTED_VALUE"""),"CE")</f>
        <v>CE</v>
      </c>
      <c r="H1696" s="211">
        <v>4250</v>
      </c>
      <c r="I1696" s="212">
        <v>1</v>
      </c>
      <c r="J1696" s="212">
        <v>1</v>
      </c>
      <c r="K1696" s="213">
        <f t="shared" si="875"/>
        <v>4250</v>
      </c>
      <c r="L1696" s="214">
        <v>2.9</v>
      </c>
      <c r="M1696" s="215">
        <v>3.15</v>
      </c>
      <c r="N1696" s="216">
        <f t="shared" si="876"/>
        <v>12325</v>
      </c>
      <c r="O1696" s="216">
        <f t="shared" si="877"/>
        <v>13387.5</v>
      </c>
      <c r="P1696" s="217">
        <f t="shared" si="878"/>
        <v>25712.5</v>
      </c>
      <c r="Q1696" s="217">
        <f t="shared" si="879"/>
        <v>1062.5</v>
      </c>
      <c r="R1696" s="217">
        <f t="shared" si="893"/>
        <v>40</v>
      </c>
      <c r="S1696" s="217">
        <f t="shared" si="881"/>
        <v>9.65</v>
      </c>
      <c r="T1696" s="217">
        <f t="shared" si="882"/>
        <v>6.69</v>
      </c>
      <c r="U1696" s="217">
        <f t="shared" si="883"/>
        <v>0.37</v>
      </c>
      <c r="V1696" s="217">
        <f t="shared" si="884"/>
        <v>13.63</v>
      </c>
      <c r="W1696" s="217">
        <f t="shared" si="885"/>
        <v>0.03</v>
      </c>
      <c r="X1696" s="217">
        <f t="shared" si="886"/>
        <v>70.36999999999999</v>
      </c>
      <c r="Y1696" s="218">
        <f t="shared" si="887"/>
        <v>992.13</v>
      </c>
      <c r="Z1696" s="219">
        <v>992.19</v>
      </c>
      <c r="AA1696" s="220">
        <f t="shared" si="888"/>
        <v>6.0000000000059117E-2</v>
      </c>
      <c r="AB1696" s="221">
        <f t="shared" si="889"/>
        <v>8.6206896551724144E-2</v>
      </c>
      <c r="AC1696" s="222">
        <f t="shared" si="890"/>
        <v>2.7369999999999998E-3</v>
      </c>
      <c r="AD1696" s="217"/>
      <c r="AE1696" s="223" t="s">
        <v>403</v>
      </c>
      <c r="AF1696" s="119"/>
    </row>
    <row r="1697" spans="1:32">
      <c r="A1697" s="209">
        <v>44900</v>
      </c>
      <c r="B1697" s="152" t="s">
        <v>847</v>
      </c>
      <c r="C1697" s="152" t="str">
        <f t="shared" ca="1" si="874"/>
        <v>Stocks</v>
      </c>
      <c r="D1697" s="152" t="str">
        <f ca="1">IFERROR(__xludf.DUMMYFUNCTION("split(B1697,"" "")"),"VOLTAS")</f>
        <v>VOLTAS</v>
      </c>
      <c r="E1697" s="152" t="str">
        <f ca="1">IFERROR(__xludf.DUMMYFUNCTION("""COMPUTED_VALUE"""),"DEC")</f>
        <v>DEC</v>
      </c>
      <c r="F1697" s="152">
        <f ca="1">IFERROR(__xludf.DUMMYFUNCTION("""COMPUTED_VALUE"""),860)</f>
        <v>860</v>
      </c>
      <c r="G1697" s="152" t="str">
        <f ca="1">IFERROR(__xludf.DUMMYFUNCTION("""COMPUTED_VALUE"""),"CE")</f>
        <v>CE</v>
      </c>
      <c r="H1697" s="211">
        <v>500</v>
      </c>
      <c r="I1697" s="212">
        <v>1</v>
      </c>
      <c r="J1697" s="212">
        <v>1</v>
      </c>
      <c r="K1697" s="213">
        <f t="shared" si="875"/>
        <v>500</v>
      </c>
      <c r="L1697" s="214">
        <v>24.5</v>
      </c>
      <c r="M1697" s="215">
        <v>25</v>
      </c>
      <c r="N1697" s="216">
        <f t="shared" si="876"/>
        <v>12250</v>
      </c>
      <c r="O1697" s="216">
        <f t="shared" si="877"/>
        <v>12500</v>
      </c>
      <c r="P1697" s="217">
        <f t="shared" si="878"/>
        <v>24750</v>
      </c>
      <c r="Q1697" s="217">
        <f t="shared" si="879"/>
        <v>250</v>
      </c>
      <c r="R1697" s="217">
        <f t="shared" si="893"/>
        <v>40</v>
      </c>
      <c r="S1697" s="217">
        <f t="shared" si="881"/>
        <v>9.56</v>
      </c>
      <c r="T1697" s="217">
        <f t="shared" si="882"/>
        <v>6.25</v>
      </c>
      <c r="U1697" s="217">
        <f t="shared" si="883"/>
        <v>0.37</v>
      </c>
      <c r="V1697" s="217">
        <f t="shared" si="884"/>
        <v>13.12</v>
      </c>
      <c r="W1697" s="217">
        <f t="shared" si="885"/>
        <v>0.02</v>
      </c>
      <c r="X1697" s="217">
        <f t="shared" si="886"/>
        <v>69.319999999999993</v>
      </c>
      <c r="Y1697" s="218">
        <f t="shared" si="887"/>
        <v>180.68</v>
      </c>
      <c r="Z1697" s="219">
        <v>181.29</v>
      </c>
      <c r="AA1697" s="220">
        <f t="shared" si="888"/>
        <v>0.60999999999998522</v>
      </c>
      <c r="AB1697" s="221">
        <f t="shared" si="889"/>
        <v>2.0408163265306121E-2</v>
      </c>
      <c r="AC1697" s="222">
        <f t="shared" si="890"/>
        <v>2.8010000000000001E-3</v>
      </c>
      <c r="AD1697" s="217"/>
      <c r="AE1697" s="223" t="s">
        <v>403</v>
      </c>
      <c r="AF1697" s="119"/>
    </row>
    <row r="1698" spans="1:32">
      <c r="A1698" s="209">
        <v>44902</v>
      </c>
      <c r="B1698" s="152" t="s">
        <v>848</v>
      </c>
      <c r="C1698" s="152" t="str">
        <f t="shared" ca="1" si="874"/>
        <v>Stocks</v>
      </c>
      <c r="D1698" s="152" t="str">
        <f ca="1">IFERROR(__xludf.DUMMYFUNCTION("split(B1698,"" "")"),"ASIANPAINT")</f>
        <v>ASIANPAINT</v>
      </c>
      <c r="E1698" s="152" t="str">
        <f ca="1">IFERROR(__xludf.DUMMYFUNCTION("""COMPUTED_VALUE"""),"DEC")</f>
        <v>DEC</v>
      </c>
      <c r="F1698" s="152">
        <f ca="1">IFERROR(__xludf.DUMMYFUNCTION("""COMPUTED_VALUE"""),3200)</f>
        <v>3200</v>
      </c>
      <c r="G1698" s="152" t="str">
        <f ca="1">IFERROR(__xludf.DUMMYFUNCTION("""COMPUTED_VALUE"""),"CE")</f>
        <v>CE</v>
      </c>
      <c r="H1698" s="211">
        <v>200</v>
      </c>
      <c r="I1698" s="212">
        <v>1</v>
      </c>
      <c r="J1698" s="212">
        <v>1</v>
      </c>
      <c r="K1698" s="213">
        <f t="shared" si="875"/>
        <v>200</v>
      </c>
      <c r="L1698" s="214">
        <v>73</v>
      </c>
      <c r="M1698" s="215">
        <v>82</v>
      </c>
      <c r="N1698" s="216">
        <f t="shared" si="876"/>
        <v>14600</v>
      </c>
      <c r="O1698" s="216">
        <f t="shared" si="877"/>
        <v>16400</v>
      </c>
      <c r="P1698" s="217">
        <f t="shared" si="878"/>
        <v>31000</v>
      </c>
      <c r="Q1698" s="217">
        <f t="shared" si="879"/>
        <v>1800</v>
      </c>
      <c r="R1698" s="217">
        <f t="shared" ref="R1698:R1738" si="894">IF(AND(L1698&lt;&gt;0,M1698&lt;&gt;0,AE1698="Kotak"),0.01,IF(AND(L1698="",M1698=""),0,IF(L1698=0,0,L$1804*J1698)+IF(M1698=0,0,L$1804*J1698)))</f>
        <v>0.01</v>
      </c>
      <c r="S1698" s="217">
        <f t="shared" si="881"/>
        <v>2.96</v>
      </c>
      <c r="T1698" s="217">
        <f t="shared" si="882"/>
        <v>8.1999999999999993</v>
      </c>
      <c r="U1698" s="217">
        <f t="shared" si="883"/>
        <v>0.44</v>
      </c>
      <c r="V1698" s="217">
        <f t="shared" si="884"/>
        <v>16.43</v>
      </c>
      <c r="W1698" s="217">
        <f t="shared" si="885"/>
        <v>0.03</v>
      </c>
      <c r="X1698" s="217">
        <f t="shared" si="886"/>
        <v>28.07</v>
      </c>
      <c r="Y1698" s="218">
        <f t="shared" si="887"/>
        <v>1771.93</v>
      </c>
      <c r="Z1698" s="219">
        <v>1772.58</v>
      </c>
      <c r="AA1698" s="220">
        <f t="shared" si="888"/>
        <v>0.64999999999986358</v>
      </c>
      <c r="AB1698" s="221">
        <f t="shared" si="889"/>
        <v>0.12328767123287671</v>
      </c>
      <c r="AC1698" s="222">
        <f t="shared" si="890"/>
        <v>9.0499999999999999E-4</v>
      </c>
      <c r="AD1698" s="217"/>
      <c r="AE1698" s="223" t="s">
        <v>405</v>
      </c>
      <c r="AF1698" s="119"/>
    </row>
    <row r="1699" spans="1:32">
      <c r="A1699" s="209">
        <v>44903</v>
      </c>
      <c r="B1699" s="152" t="s">
        <v>849</v>
      </c>
      <c r="C1699" s="152" t="str">
        <f t="shared" ca="1" si="874"/>
        <v>Stocks</v>
      </c>
      <c r="D1699" s="152" t="str">
        <f ca="1">IFERROR(__xludf.DUMMYFUNCTION("split(B1699,"" "")"),"ICICIBANK")</f>
        <v>ICICIBANK</v>
      </c>
      <c r="E1699" s="152" t="str">
        <f ca="1">IFERROR(__xludf.DUMMYFUNCTION("""COMPUTED_VALUE"""),"DEC")</f>
        <v>DEC</v>
      </c>
      <c r="F1699" s="152">
        <f ca="1">IFERROR(__xludf.DUMMYFUNCTION("""COMPUTED_VALUE"""),930)</f>
        <v>930</v>
      </c>
      <c r="G1699" s="152" t="str">
        <f ca="1">IFERROR(__xludf.DUMMYFUNCTION("""COMPUTED_VALUE"""),"CE")</f>
        <v>CE</v>
      </c>
      <c r="H1699" s="211">
        <v>1375</v>
      </c>
      <c r="I1699" s="212">
        <v>1</v>
      </c>
      <c r="J1699" s="212">
        <v>1</v>
      </c>
      <c r="K1699" s="213">
        <f t="shared" si="875"/>
        <v>1375</v>
      </c>
      <c r="L1699" s="214">
        <v>19</v>
      </c>
      <c r="M1699" s="215">
        <v>20.75</v>
      </c>
      <c r="N1699" s="216">
        <f t="shared" si="876"/>
        <v>26125</v>
      </c>
      <c r="O1699" s="216">
        <f t="shared" si="877"/>
        <v>28531.25</v>
      </c>
      <c r="P1699" s="217">
        <f t="shared" si="878"/>
        <v>54656.25</v>
      </c>
      <c r="Q1699" s="217">
        <f t="shared" si="879"/>
        <v>2406.25</v>
      </c>
      <c r="R1699" s="217">
        <f t="shared" si="894"/>
        <v>0.01</v>
      </c>
      <c r="S1699" s="217">
        <f t="shared" si="881"/>
        <v>5.22</v>
      </c>
      <c r="T1699" s="217">
        <f t="shared" si="882"/>
        <v>14.27</v>
      </c>
      <c r="U1699" s="217">
        <f t="shared" si="883"/>
        <v>0.78</v>
      </c>
      <c r="V1699" s="217">
        <f t="shared" si="884"/>
        <v>28.97</v>
      </c>
      <c r="W1699" s="217">
        <f t="shared" si="885"/>
        <v>0.05</v>
      </c>
      <c r="X1699" s="217">
        <f t="shared" si="886"/>
        <v>49.3</v>
      </c>
      <c r="Y1699" s="218">
        <f t="shared" si="887"/>
        <v>2356.9499999999998</v>
      </c>
      <c r="Z1699" s="219">
        <v>2357.0100000000002</v>
      </c>
      <c r="AA1699" s="220">
        <f t="shared" si="888"/>
        <v>6.0000000000400178E-2</v>
      </c>
      <c r="AB1699" s="221">
        <f t="shared" si="889"/>
        <v>9.2105263157894732E-2</v>
      </c>
      <c r="AC1699" s="222">
        <f t="shared" si="890"/>
        <v>9.0200000000000002E-4</v>
      </c>
      <c r="AD1699" s="217"/>
      <c r="AE1699" s="223" t="s">
        <v>405</v>
      </c>
      <c r="AF1699" s="119"/>
    </row>
    <row r="1700" spans="1:32">
      <c r="A1700" s="148">
        <v>44904</v>
      </c>
      <c r="B1700" s="152" t="s">
        <v>850</v>
      </c>
      <c r="C1700" s="152" t="str">
        <f t="shared" ca="1" si="874"/>
        <v>Stocks</v>
      </c>
      <c r="D1700" s="152" t="str">
        <f ca="1">IFERROR(__xludf.DUMMYFUNCTION("split(B1700,"" "")"),"INFY")</f>
        <v>INFY</v>
      </c>
      <c r="E1700" s="152" t="str">
        <f ca="1">IFERROR(__xludf.DUMMYFUNCTION("""COMPUTED_VALUE"""),"DEC")</f>
        <v>DEC</v>
      </c>
      <c r="F1700" s="152">
        <f ca="1">IFERROR(__xludf.DUMMYFUNCTION("""COMPUTED_VALUE"""),1620)</f>
        <v>1620</v>
      </c>
      <c r="G1700" s="152" t="str">
        <f ca="1">IFERROR(__xludf.DUMMYFUNCTION("""COMPUTED_VALUE"""),"CE")</f>
        <v>CE</v>
      </c>
      <c r="H1700" s="211">
        <v>300</v>
      </c>
      <c r="I1700" s="212">
        <v>1</v>
      </c>
      <c r="J1700" s="212">
        <v>1</v>
      </c>
      <c r="K1700" s="213">
        <f t="shared" si="875"/>
        <v>300</v>
      </c>
      <c r="L1700" s="214">
        <v>34</v>
      </c>
      <c r="M1700" s="215">
        <v>0</v>
      </c>
      <c r="N1700" s="216">
        <f t="shared" si="876"/>
        <v>10200</v>
      </c>
      <c r="O1700" s="216">
        <f t="shared" si="877"/>
        <v>0</v>
      </c>
      <c r="P1700" s="217">
        <f t="shared" si="878"/>
        <v>10200</v>
      </c>
      <c r="Q1700" s="217">
        <f t="shared" si="879"/>
        <v>-10200</v>
      </c>
      <c r="R1700" s="217">
        <f t="shared" si="894"/>
        <v>20</v>
      </c>
      <c r="S1700" s="217">
        <f t="shared" si="881"/>
        <v>4.57</v>
      </c>
      <c r="T1700" s="217">
        <f t="shared" si="882"/>
        <v>0</v>
      </c>
      <c r="U1700" s="217">
        <f t="shared" si="883"/>
        <v>0.31</v>
      </c>
      <c r="V1700" s="217">
        <f t="shared" si="884"/>
        <v>5.41</v>
      </c>
      <c r="W1700" s="217">
        <f t="shared" si="885"/>
        <v>0.01</v>
      </c>
      <c r="X1700" s="217">
        <f t="shared" si="886"/>
        <v>30.3</v>
      </c>
      <c r="Y1700" s="218">
        <f t="shared" si="887"/>
        <v>-10230.299999999999</v>
      </c>
      <c r="Z1700" s="219">
        <v>-10230.6</v>
      </c>
      <c r="AA1700" s="220">
        <f t="shared" si="888"/>
        <v>-0.30000000000109139</v>
      </c>
      <c r="AB1700" s="221">
        <f t="shared" si="889"/>
        <v>-1</v>
      </c>
      <c r="AC1700" s="222">
        <f t="shared" si="890"/>
        <v>2.9710000000000001E-3</v>
      </c>
      <c r="AD1700" s="217"/>
      <c r="AE1700" s="223" t="s">
        <v>405</v>
      </c>
      <c r="AF1700" s="119"/>
    </row>
    <row r="1701" spans="1:32">
      <c r="A1701" s="150">
        <v>44908</v>
      </c>
      <c r="B1701" s="152" t="s">
        <v>850</v>
      </c>
      <c r="C1701" s="152" t="str">
        <f t="shared" ca="1" si="874"/>
        <v>Stocks</v>
      </c>
      <c r="D1701" s="152" t="str">
        <f ca="1">IFERROR(__xludf.DUMMYFUNCTION("split(B1701,"" "")"),"INFY")</f>
        <v>INFY</v>
      </c>
      <c r="E1701" s="152" t="str">
        <f ca="1">IFERROR(__xludf.DUMMYFUNCTION("""COMPUTED_VALUE"""),"DEC")</f>
        <v>DEC</v>
      </c>
      <c r="F1701" s="152">
        <f ca="1">IFERROR(__xludf.DUMMYFUNCTION("""COMPUTED_VALUE"""),1620)</f>
        <v>1620</v>
      </c>
      <c r="G1701" s="152" t="str">
        <f ca="1">IFERROR(__xludf.DUMMYFUNCTION("""COMPUTED_VALUE"""),"CE")</f>
        <v>CE</v>
      </c>
      <c r="H1701" s="211">
        <v>300</v>
      </c>
      <c r="I1701" s="212">
        <v>1</v>
      </c>
      <c r="J1701" s="212">
        <v>1</v>
      </c>
      <c r="K1701" s="213">
        <f t="shared" si="875"/>
        <v>300</v>
      </c>
      <c r="L1701" s="214">
        <v>0</v>
      </c>
      <c r="M1701" s="215">
        <v>9.3000000000000007</v>
      </c>
      <c r="N1701" s="216">
        <f t="shared" si="876"/>
        <v>0</v>
      </c>
      <c r="O1701" s="216">
        <f t="shared" si="877"/>
        <v>2790</v>
      </c>
      <c r="P1701" s="217">
        <f t="shared" si="878"/>
        <v>2790</v>
      </c>
      <c r="Q1701" s="217">
        <f t="shared" si="879"/>
        <v>2790</v>
      </c>
      <c r="R1701" s="217">
        <f t="shared" si="894"/>
        <v>20</v>
      </c>
      <c r="S1701" s="217">
        <f t="shared" si="881"/>
        <v>3.87</v>
      </c>
      <c r="T1701" s="217">
        <f t="shared" si="882"/>
        <v>1.4</v>
      </c>
      <c r="U1701" s="217">
        <f t="shared" si="883"/>
        <v>0</v>
      </c>
      <c r="V1701" s="217">
        <f t="shared" si="884"/>
        <v>1.48</v>
      </c>
      <c r="W1701" s="217">
        <f t="shared" si="885"/>
        <v>0</v>
      </c>
      <c r="X1701" s="217">
        <f t="shared" si="886"/>
        <v>26.75</v>
      </c>
      <c r="Y1701" s="218">
        <f t="shared" si="887"/>
        <v>2763.25</v>
      </c>
      <c r="Z1701" s="219">
        <v>2763</v>
      </c>
      <c r="AA1701" s="220">
        <f t="shared" si="888"/>
        <v>-0.25</v>
      </c>
      <c r="AB1701" s="221">
        <f t="shared" si="889"/>
        <v>0</v>
      </c>
      <c r="AC1701" s="222">
        <f t="shared" si="890"/>
        <v>9.5879999999999993E-3</v>
      </c>
      <c r="AD1701" s="217"/>
      <c r="AE1701" s="223" t="s">
        <v>405</v>
      </c>
      <c r="AF1701" s="119"/>
    </row>
    <row r="1702" spans="1:32">
      <c r="A1702" s="148">
        <v>44904</v>
      </c>
      <c r="B1702" s="152" t="s">
        <v>851</v>
      </c>
      <c r="C1702" s="152" t="str">
        <f t="shared" ca="1" si="874"/>
        <v>Stocks</v>
      </c>
      <c r="D1702" s="152" t="str">
        <f ca="1">IFERROR(__xludf.DUMMYFUNCTION("split(B1702,"" "")"),"WIPRO")</f>
        <v>WIPRO</v>
      </c>
      <c r="E1702" s="152" t="str">
        <f ca="1">IFERROR(__xludf.DUMMYFUNCTION("""COMPUTED_VALUE"""),"DEC")</f>
        <v>DEC</v>
      </c>
      <c r="F1702" s="152">
        <f ca="1">IFERROR(__xludf.DUMMYFUNCTION("""COMPUTED_VALUE"""),410)</f>
        <v>410</v>
      </c>
      <c r="G1702" s="152" t="str">
        <f ca="1">IFERROR(__xludf.DUMMYFUNCTION("""COMPUTED_VALUE"""),"CE")</f>
        <v>CE</v>
      </c>
      <c r="H1702" s="211">
        <v>1000</v>
      </c>
      <c r="I1702" s="212">
        <v>1</v>
      </c>
      <c r="J1702" s="212">
        <v>1</v>
      </c>
      <c r="K1702" s="213">
        <f t="shared" si="875"/>
        <v>1000</v>
      </c>
      <c r="L1702" s="214">
        <v>8</v>
      </c>
      <c r="M1702" s="215">
        <v>0</v>
      </c>
      <c r="N1702" s="216">
        <f t="shared" si="876"/>
        <v>8000</v>
      </c>
      <c r="O1702" s="216">
        <f t="shared" si="877"/>
        <v>0</v>
      </c>
      <c r="P1702" s="217">
        <f t="shared" si="878"/>
        <v>8000</v>
      </c>
      <c r="Q1702" s="217">
        <f t="shared" si="879"/>
        <v>-8000</v>
      </c>
      <c r="R1702" s="217">
        <f t="shared" si="894"/>
        <v>20</v>
      </c>
      <c r="S1702" s="217">
        <f t="shared" si="881"/>
        <v>4.3600000000000003</v>
      </c>
      <c r="T1702" s="217">
        <f t="shared" si="882"/>
        <v>0</v>
      </c>
      <c r="U1702" s="217">
        <f t="shared" si="883"/>
        <v>0.24</v>
      </c>
      <c r="V1702" s="217">
        <f t="shared" si="884"/>
        <v>4.24</v>
      </c>
      <c r="W1702" s="217">
        <f t="shared" si="885"/>
        <v>0.01</v>
      </c>
      <c r="X1702" s="217">
        <f t="shared" si="886"/>
        <v>28.849999999999998</v>
      </c>
      <c r="Y1702" s="218">
        <f t="shared" si="887"/>
        <v>-8028.85</v>
      </c>
      <c r="Z1702" s="219">
        <v>-8029</v>
      </c>
      <c r="AA1702" s="220">
        <f t="shared" si="888"/>
        <v>-0.1499999999996362</v>
      </c>
      <c r="AB1702" s="221">
        <f t="shared" si="889"/>
        <v>-1</v>
      </c>
      <c r="AC1702" s="222">
        <f t="shared" si="890"/>
        <v>3.6059999999999998E-3</v>
      </c>
      <c r="AD1702" s="217"/>
      <c r="AE1702" s="223" t="s">
        <v>405</v>
      </c>
      <c r="AF1702" s="119"/>
    </row>
    <row r="1703" spans="1:32">
      <c r="A1703" s="150">
        <v>44908</v>
      </c>
      <c r="B1703" s="152" t="s">
        <v>851</v>
      </c>
      <c r="C1703" s="152" t="str">
        <f t="shared" ca="1" si="874"/>
        <v>Stocks</v>
      </c>
      <c r="D1703" s="152" t="str">
        <f ca="1">IFERROR(__xludf.DUMMYFUNCTION("split(B1703,"" "")"),"WIPRO")</f>
        <v>WIPRO</v>
      </c>
      <c r="E1703" s="152" t="str">
        <f ca="1">IFERROR(__xludf.DUMMYFUNCTION("""COMPUTED_VALUE"""),"DEC")</f>
        <v>DEC</v>
      </c>
      <c r="F1703" s="152">
        <f ca="1">IFERROR(__xludf.DUMMYFUNCTION("""COMPUTED_VALUE"""),410)</f>
        <v>410</v>
      </c>
      <c r="G1703" s="152" t="str">
        <f ca="1">IFERROR(__xludf.DUMMYFUNCTION("""COMPUTED_VALUE"""),"CE")</f>
        <v>CE</v>
      </c>
      <c r="H1703" s="211">
        <v>1000</v>
      </c>
      <c r="I1703" s="212">
        <v>1</v>
      </c>
      <c r="J1703" s="212">
        <v>1</v>
      </c>
      <c r="K1703" s="213">
        <f t="shared" si="875"/>
        <v>1000</v>
      </c>
      <c r="L1703" s="214">
        <v>0</v>
      </c>
      <c r="M1703" s="215">
        <v>4</v>
      </c>
      <c r="N1703" s="216">
        <f t="shared" si="876"/>
        <v>0</v>
      </c>
      <c r="O1703" s="216">
        <f t="shared" si="877"/>
        <v>4000</v>
      </c>
      <c r="P1703" s="217">
        <f t="shared" si="878"/>
        <v>4000</v>
      </c>
      <c r="Q1703" s="217">
        <f t="shared" si="879"/>
        <v>4000</v>
      </c>
      <c r="R1703" s="217">
        <f t="shared" si="894"/>
        <v>20</v>
      </c>
      <c r="S1703" s="217">
        <f t="shared" si="881"/>
        <v>3.98</v>
      </c>
      <c r="T1703" s="217">
        <f t="shared" si="882"/>
        <v>2</v>
      </c>
      <c r="U1703" s="217">
        <f t="shared" si="883"/>
        <v>0</v>
      </c>
      <c r="V1703" s="217">
        <f t="shared" si="884"/>
        <v>2.12</v>
      </c>
      <c r="W1703" s="217">
        <f t="shared" si="885"/>
        <v>0</v>
      </c>
      <c r="X1703" s="217">
        <f t="shared" si="886"/>
        <v>28.1</v>
      </c>
      <c r="Y1703" s="218">
        <f t="shared" si="887"/>
        <v>3971.9</v>
      </c>
      <c r="Z1703" s="219">
        <v>3972.54</v>
      </c>
      <c r="AA1703" s="220">
        <f t="shared" si="888"/>
        <v>0.63999999999987267</v>
      </c>
      <c r="AB1703" s="221">
        <f t="shared" si="889"/>
        <v>0</v>
      </c>
      <c r="AC1703" s="222">
        <f t="shared" si="890"/>
        <v>7.025E-3</v>
      </c>
      <c r="AD1703" s="217"/>
      <c r="AE1703" s="223" t="s">
        <v>405</v>
      </c>
      <c r="AF1703" s="119"/>
    </row>
    <row r="1704" spans="1:32">
      <c r="A1704" s="209">
        <v>44910</v>
      </c>
      <c r="B1704" s="152" t="s">
        <v>852</v>
      </c>
      <c r="C1704" s="152" t="str">
        <f t="shared" ca="1" si="874"/>
        <v>Stocks</v>
      </c>
      <c r="D1704" s="152" t="str">
        <f ca="1">IFERROR(__xludf.DUMMYFUNCTION("split(B1704,"" "")"),"ICICIBANK")</f>
        <v>ICICIBANK</v>
      </c>
      <c r="E1704" s="152" t="str">
        <f ca="1">IFERROR(__xludf.DUMMYFUNCTION("""COMPUTED_VALUE"""),"DEC")</f>
        <v>DEC</v>
      </c>
      <c r="F1704" s="152">
        <f ca="1">IFERROR(__xludf.DUMMYFUNCTION("""COMPUTED_VALUE"""),920)</f>
        <v>920</v>
      </c>
      <c r="G1704" s="152" t="str">
        <f ca="1">IFERROR(__xludf.DUMMYFUNCTION("""COMPUTED_VALUE"""),"PE")</f>
        <v>PE</v>
      </c>
      <c r="H1704" s="211">
        <v>1375</v>
      </c>
      <c r="I1704" s="212">
        <v>1</v>
      </c>
      <c r="J1704" s="212">
        <v>3</v>
      </c>
      <c r="K1704" s="213">
        <f t="shared" si="875"/>
        <v>4125</v>
      </c>
      <c r="L1704" s="214">
        <v>13.25</v>
      </c>
      <c r="M1704" s="215">
        <v>13.783334</v>
      </c>
      <c r="N1704" s="216">
        <f t="shared" si="876"/>
        <v>54656.25</v>
      </c>
      <c r="O1704" s="216">
        <f t="shared" si="877"/>
        <v>56856.25</v>
      </c>
      <c r="P1704" s="217">
        <f t="shared" si="878"/>
        <v>111512.5</v>
      </c>
      <c r="Q1704" s="217">
        <f t="shared" si="879"/>
        <v>2200.0027500000001</v>
      </c>
      <c r="R1704" s="217">
        <f t="shared" si="894"/>
        <v>0.01</v>
      </c>
      <c r="S1704" s="217">
        <f t="shared" si="881"/>
        <v>10.64</v>
      </c>
      <c r="T1704" s="217">
        <f t="shared" si="882"/>
        <v>28.43</v>
      </c>
      <c r="U1704" s="217">
        <f t="shared" si="883"/>
        <v>1.64</v>
      </c>
      <c r="V1704" s="217">
        <f t="shared" si="884"/>
        <v>59.1</v>
      </c>
      <c r="W1704" s="217">
        <f t="shared" si="885"/>
        <v>0.11</v>
      </c>
      <c r="X1704" s="217">
        <f t="shared" si="886"/>
        <v>99.929999999999993</v>
      </c>
      <c r="Y1704" s="218">
        <f t="shared" si="887"/>
        <v>2100.0700000000002</v>
      </c>
      <c r="Z1704" s="219">
        <v>2100.13</v>
      </c>
      <c r="AA1704" s="220">
        <f t="shared" si="888"/>
        <v>5.999999999994543E-2</v>
      </c>
      <c r="AB1704" s="221">
        <f t="shared" si="889"/>
        <v>4.025162264150943E-2</v>
      </c>
      <c r="AC1704" s="222">
        <f t="shared" si="890"/>
        <v>8.9599999999999999E-4</v>
      </c>
      <c r="AD1704" s="217"/>
      <c r="AE1704" s="223" t="s">
        <v>405</v>
      </c>
      <c r="AF1704" s="119"/>
    </row>
    <row r="1705" spans="1:32">
      <c r="A1705" s="209">
        <v>44911</v>
      </c>
      <c r="B1705" s="152" t="s">
        <v>853</v>
      </c>
      <c r="C1705" s="152" t="str">
        <f t="shared" ca="1" si="874"/>
        <v>Stocks</v>
      </c>
      <c r="D1705" s="152" t="str">
        <f ca="1">IFERROR(__xludf.DUMMYFUNCTION("split(B1705,"" "")"),"JINDALSTEL")</f>
        <v>JINDALSTEL</v>
      </c>
      <c r="E1705" s="152" t="str">
        <f ca="1">IFERROR(__xludf.DUMMYFUNCTION("""COMPUTED_VALUE"""),"DEC")</f>
        <v>DEC</v>
      </c>
      <c r="F1705" s="152">
        <f ca="1">IFERROR(__xludf.DUMMYFUNCTION("""COMPUTED_VALUE"""),540)</f>
        <v>540</v>
      </c>
      <c r="G1705" s="152" t="str">
        <f ca="1">IFERROR(__xludf.DUMMYFUNCTION("""COMPUTED_VALUE"""),"PE")</f>
        <v>PE</v>
      </c>
      <c r="H1705" s="211">
        <v>1250</v>
      </c>
      <c r="I1705" s="212">
        <v>1</v>
      </c>
      <c r="J1705" s="212">
        <v>2</v>
      </c>
      <c r="K1705" s="213">
        <f t="shared" si="875"/>
        <v>2500</v>
      </c>
      <c r="L1705" s="214">
        <v>10.75</v>
      </c>
      <c r="M1705" s="215">
        <v>12.35</v>
      </c>
      <c r="N1705" s="216">
        <f t="shared" si="876"/>
        <v>26875</v>
      </c>
      <c r="O1705" s="216">
        <f t="shared" si="877"/>
        <v>30875</v>
      </c>
      <c r="P1705" s="217">
        <f t="shared" si="878"/>
        <v>57750</v>
      </c>
      <c r="Q1705" s="217">
        <f t="shared" si="879"/>
        <v>3999.9999999999991</v>
      </c>
      <c r="R1705" s="217">
        <f t="shared" si="894"/>
        <v>0.01</v>
      </c>
      <c r="S1705" s="217">
        <f t="shared" si="881"/>
        <v>5.51</v>
      </c>
      <c r="T1705" s="217">
        <f t="shared" si="882"/>
        <v>15.44</v>
      </c>
      <c r="U1705" s="217">
        <f t="shared" si="883"/>
        <v>0.81</v>
      </c>
      <c r="V1705" s="217">
        <f t="shared" si="884"/>
        <v>30.61</v>
      </c>
      <c r="W1705" s="217">
        <f t="shared" si="885"/>
        <v>0.06</v>
      </c>
      <c r="X1705" s="217">
        <f t="shared" si="886"/>
        <v>52.44</v>
      </c>
      <c r="Y1705" s="218">
        <f t="shared" si="887"/>
        <v>3947.56</v>
      </c>
      <c r="Z1705" s="219">
        <v>3947.81</v>
      </c>
      <c r="AA1705" s="220">
        <f t="shared" si="888"/>
        <v>0.25</v>
      </c>
      <c r="AB1705" s="221">
        <f t="shared" si="889"/>
        <v>0.14883720930232555</v>
      </c>
      <c r="AC1705" s="222">
        <f t="shared" si="890"/>
        <v>9.0799999999999995E-4</v>
      </c>
      <c r="AD1705" s="217"/>
      <c r="AE1705" s="223" t="s">
        <v>405</v>
      </c>
      <c r="AF1705" s="119"/>
    </row>
    <row r="1706" spans="1:32">
      <c r="A1706" s="209">
        <v>44914</v>
      </c>
      <c r="B1706" s="152" t="s">
        <v>854</v>
      </c>
      <c r="C1706" s="152" t="str">
        <f t="shared" ca="1" si="874"/>
        <v>Stocks</v>
      </c>
      <c r="D1706" s="152" t="str">
        <f ca="1">IFERROR(__xludf.DUMMYFUNCTION("split(B1706,"" "")"),"INDIACEM")</f>
        <v>INDIACEM</v>
      </c>
      <c r="E1706" s="152" t="str">
        <f ca="1">IFERROR(__xludf.DUMMYFUNCTION("""COMPUTED_VALUE"""),"DEC")</f>
        <v>DEC</v>
      </c>
      <c r="F1706" s="152">
        <f ca="1">IFERROR(__xludf.DUMMYFUNCTION("""COMPUTED_VALUE"""),230)</f>
        <v>230</v>
      </c>
      <c r="G1706" s="152" t="str">
        <f ca="1">IFERROR(__xludf.DUMMYFUNCTION("""COMPUTED_VALUE"""),"PE")</f>
        <v>PE</v>
      </c>
      <c r="H1706" s="211">
        <v>2900</v>
      </c>
      <c r="I1706" s="212">
        <v>1</v>
      </c>
      <c r="J1706" s="212">
        <v>1</v>
      </c>
      <c r="K1706" s="213">
        <f t="shared" si="875"/>
        <v>2900</v>
      </c>
      <c r="L1706" s="214">
        <v>6.5</v>
      </c>
      <c r="M1706" s="215">
        <v>5</v>
      </c>
      <c r="N1706" s="216">
        <f t="shared" si="876"/>
        <v>18850</v>
      </c>
      <c r="O1706" s="216">
        <f t="shared" si="877"/>
        <v>14500</v>
      </c>
      <c r="P1706" s="217">
        <f t="shared" si="878"/>
        <v>33350</v>
      </c>
      <c r="Q1706" s="217">
        <f t="shared" si="879"/>
        <v>-4350</v>
      </c>
      <c r="R1706" s="217">
        <f t="shared" si="894"/>
        <v>0.01</v>
      </c>
      <c r="S1706" s="217">
        <f t="shared" si="881"/>
        <v>3.18</v>
      </c>
      <c r="T1706" s="217">
        <f t="shared" si="882"/>
        <v>7.25</v>
      </c>
      <c r="U1706" s="217">
        <f t="shared" si="883"/>
        <v>0.56999999999999995</v>
      </c>
      <c r="V1706" s="217">
        <f t="shared" si="884"/>
        <v>17.68</v>
      </c>
      <c r="W1706" s="217">
        <f t="shared" si="885"/>
        <v>0.03</v>
      </c>
      <c r="X1706" s="217">
        <f t="shared" si="886"/>
        <v>28.72</v>
      </c>
      <c r="Y1706" s="218">
        <f t="shared" si="887"/>
        <v>-4378.72</v>
      </c>
      <c r="Z1706" s="219">
        <v>-4378.8999999999996</v>
      </c>
      <c r="AA1706" s="220">
        <f t="shared" si="888"/>
        <v>-0.17999999999938154</v>
      </c>
      <c r="AB1706" s="221">
        <f t="shared" si="889"/>
        <v>-0.23076923076923078</v>
      </c>
      <c r="AC1706" s="222">
        <f t="shared" si="890"/>
        <v>8.61E-4</v>
      </c>
      <c r="AD1706" s="217"/>
      <c r="AE1706" s="223" t="s">
        <v>405</v>
      </c>
      <c r="AF1706" s="119"/>
    </row>
    <row r="1707" spans="1:32">
      <c r="A1707" s="209">
        <v>44915</v>
      </c>
      <c r="B1707" s="152" t="s">
        <v>855</v>
      </c>
      <c r="C1707" s="152" t="str">
        <f t="shared" ca="1" si="874"/>
        <v>Indices</v>
      </c>
      <c r="D1707" s="152" t="str">
        <f ca="1">IFERROR(__xludf.DUMMYFUNCTION("split(B1707,"" "")"),"NIFTY")</f>
        <v>NIFTY</v>
      </c>
      <c r="E1707" s="224">
        <f ca="1">IFERROR(__xludf.DUMMYFUNCTION("""COMPUTED_VALUE"""),45289)</f>
        <v>45289</v>
      </c>
      <c r="F1707" s="152">
        <f ca="1">IFERROR(__xludf.DUMMYFUNCTION("""COMPUTED_VALUE"""),18200)</f>
        <v>18200</v>
      </c>
      <c r="G1707" s="152" t="str">
        <f ca="1">IFERROR(__xludf.DUMMYFUNCTION("""COMPUTED_VALUE"""),"CE")</f>
        <v>CE</v>
      </c>
      <c r="H1707" s="211">
        <v>50</v>
      </c>
      <c r="I1707" s="212">
        <v>1</v>
      </c>
      <c r="J1707" s="212">
        <v>1</v>
      </c>
      <c r="K1707" s="213">
        <f t="shared" si="875"/>
        <v>50</v>
      </c>
      <c r="L1707" s="214">
        <v>188</v>
      </c>
      <c r="M1707" s="215">
        <v>200</v>
      </c>
      <c r="N1707" s="216">
        <f t="shared" si="876"/>
        <v>9400</v>
      </c>
      <c r="O1707" s="216">
        <f t="shared" si="877"/>
        <v>10000</v>
      </c>
      <c r="P1707" s="217">
        <f t="shared" si="878"/>
        <v>19400</v>
      </c>
      <c r="Q1707" s="217">
        <f t="shared" si="879"/>
        <v>600</v>
      </c>
      <c r="R1707" s="217">
        <f t="shared" si="894"/>
        <v>0.01</v>
      </c>
      <c r="S1707" s="217">
        <f t="shared" si="881"/>
        <v>1.85</v>
      </c>
      <c r="T1707" s="217">
        <f t="shared" si="882"/>
        <v>5</v>
      </c>
      <c r="U1707" s="217">
        <f t="shared" si="883"/>
        <v>0.28000000000000003</v>
      </c>
      <c r="V1707" s="217">
        <f t="shared" si="884"/>
        <v>10.28</v>
      </c>
      <c r="W1707" s="217">
        <f t="shared" si="885"/>
        <v>0.02</v>
      </c>
      <c r="X1707" s="217">
        <f t="shared" si="886"/>
        <v>17.440000000000001</v>
      </c>
      <c r="Y1707" s="218">
        <f t="shared" si="887"/>
        <v>582.55999999999995</v>
      </c>
      <c r="Z1707" s="219">
        <v>582.85</v>
      </c>
      <c r="AA1707" s="220">
        <f t="shared" si="888"/>
        <v>0.29000000000007731</v>
      </c>
      <c r="AB1707" s="221">
        <f t="shared" si="889"/>
        <v>6.3829787234042548E-2</v>
      </c>
      <c r="AC1707" s="222">
        <f t="shared" si="890"/>
        <v>8.9899999999999995E-4</v>
      </c>
      <c r="AD1707" s="217"/>
      <c r="AE1707" s="223" t="s">
        <v>405</v>
      </c>
      <c r="AF1707" s="119"/>
    </row>
    <row r="1708" spans="1:32">
      <c r="A1708" s="148">
        <v>44916</v>
      </c>
      <c r="B1708" s="152" t="s">
        <v>856</v>
      </c>
      <c r="C1708" s="152" t="str">
        <f t="shared" ca="1" si="874"/>
        <v>Stocks</v>
      </c>
      <c r="D1708" s="152" t="str">
        <f ca="1">IFERROR(__xludf.DUMMYFUNCTION("split(B1708,"" "")"),"HDFCBANK")</f>
        <v>HDFCBANK</v>
      </c>
      <c r="E1708" s="152" t="str">
        <f ca="1">IFERROR(__xludf.DUMMYFUNCTION("""COMPUTED_VALUE"""),"DEC")</f>
        <v>DEC</v>
      </c>
      <c r="F1708" s="152">
        <f ca="1">IFERROR(__xludf.DUMMYFUNCTION("""COMPUTED_VALUE"""),1640)</f>
        <v>1640</v>
      </c>
      <c r="G1708" s="152" t="str">
        <f ca="1">IFERROR(__xludf.DUMMYFUNCTION("""COMPUTED_VALUE"""),"CE")</f>
        <v>CE</v>
      </c>
      <c r="H1708" s="211">
        <v>550</v>
      </c>
      <c r="I1708" s="212">
        <v>1</v>
      </c>
      <c r="J1708" s="212">
        <v>2</v>
      </c>
      <c r="K1708" s="213">
        <f t="shared" si="875"/>
        <v>1100</v>
      </c>
      <c r="L1708" s="214">
        <v>16.625</v>
      </c>
      <c r="M1708" s="215">
        <v>0</v>
      </c>
      <c r="N1708" s="216">
        <f t="shared" si="876"/>
        <v>18287.5</v>
      </c>
      <c r="O1708" s="216">
        <f t="shared" si="877"/>
        <v>0</v>
      </c>
      <c r="P1708" s="217">
        <f t="shared" si="878"/>
        <v>18287.5</v>
      </c>
      <c r="Q1708" s="217">
        <f t="shared" si="879"/>
        <v>-18287.5</v>
      </c>
      <c r="R1708" s="217">
        <f t="shared" si="894"/>
        <v>40</v>
      </c>
      <c r="S1708" s="217">
        <f t="shared" si="881"/>
        <v>8.94</v>
      </c>
      <c r="T1708" s="217">
        <f t="shared" si="882"/>
        <v>0</v>
      </c>
      <c r="U1708" s="217">
        <f t="shared" si="883"/>
        <v>0.55000000000000004</v>
      </c>
      <c r="V1708" s="217">
        <f t="shared" si="884"/>
        <v>9.69</v>
      </c>
      <c r="W1708" s="217">
        <f t="shared" si="885"/>
        <v>0.02</v>
      </c>
      <c r="X1708" s="217">
        <f t="shared" si="886"/>
        <v>59.199999999999996</v>
      </c>
      <c r="Y1708" s="218">
        <f t="shared" si="887"/>
        <v>-18346.7</v>
      </c>
      <c r="Z1708" s="219">
        <v>-18347.16</v>
      </c>
      <c r="AA1708" s="220">
        <f t="shared" si="888"/>
        <v>-0.45999999999912689</v>
      </c>
      <c r="AB1708" s="221">
        <f t="shared" si="889"/>
        <v>-1</v>
      </c>
      <c r="AC1708" s="222">
        <f t="shared" si="890"/>
        <v>3.2369999999999999E-3</v>
      </c>
      <c r="AD1708" s="217"/>
      <c r="AE1708" s="223" t="s">
        <v>405</v>
      </c>
      <c r="AF1708" s="119"/>
    </row>
    <row r="1709" spans="1:32">
      <c r="A1709" s="150">
        <v>44917</v>
      </c>
      <c r="B1709" s="152" t="s">
        <v>856</v>
      </c>
      <c r="C1709" s="152" t="str">
        <f t="shared" ca="1" si="874"/>
        <v>Stocks</v>
      </c>
      <c r="D1709" s="152" t="str">
        <f ca="1">IFERROR(__xludf.DUMMYFUNCTION("split(B1709,"" "")"),"HDFCBANK")</f>
        <v>HDFCBANK</v>
      </c>
      <c r="E1709" s="152" t="str">
        <f ca="1">IFERROR(__xludf.DUMMYFUNCTION("""COMPUTED_VALUE"""),"DEC")</f>
        <v>DEC</v>
      </c>
      <c r="F1709" s="152">
        <f ca="1">IFERROR(__xludf.DUMMYFUNCTION("""COMPUTED_VALUE"""),1640)</f>
        <v>1640</v>
      </c>
      <c r="G1709" s="152" t="str">
        <f ca="1">IFERROR(__xludf.DUMMYFUNCTION("""COMPUTED_VALUE"""),"CE")</f>
        <v>CE</v>
      </c>
      <c r="H1709" s="211">
        <v>550</v>
      </c>
      <c r="I1709" s="212">
        <v>2</v>
      </c>
      <c r="J1709" s="212">
        <v>1</v>
      </c>
      <c r="K1709" s="213">
        <f t="shared" si="875"/>
        <v>1100</v>
      </c>
      <c r="L1709" s="214">
        <v>0</v>
      </c>
      <c r="M1709" s="215">
        <v>8</v>
      </c>
      <c r="N1709" s="216">
        <f t="shared" si="876"/>
        <v>0</v>
      </c>
      <c r="O1709" s="216">
        <f t="shared" si="877"/>
        <v>8800</v>
      </c>
      <c r="P1709" s="217">
        <f t="shared" si="878"/>
        <v>8800</v>
      </c>
      <c r="Q1709" s="217">
        <f t="shared" si="879"/>
        <v>8800</v>
      </c>
      <c r="R1709" s="217">
        <f t="shared" si="894"/>
        <v>20</v>
      </c>
      <c r="S1709" s="217">
        <f t="shared" si="881"/>
        <v>4.4400000000000004</v>
      </c>
      <c r="T1709" s="217">
        <f t="shared" si="882"/>
        <v>4.4000000000000004</v>
      </c>
      <c r="U1709" s="217">
        <f t="shared" si="883"/>
        <v>0</v>
      </c>
      <c r="V1709" s="217">
        <f t="shared" si="884"/>
        <v>4.66</v>
      </c>
      <c r="W1709" s="217">
        <f t="shared" si="885"/>
        <v>0.01</v>
      </c>
      <c r="X1709" s="217">
        <f t="shared" si="886"/>
        <v>33.51</v>
      </c>
      <c r="Y1709" s="218">
        <f t="shared" si="887"/>
        <v>8766.49</v>
      </c>
      <c r="Z1709" s="219">
        <v>8766.89</v>
      </c>
      <c r="AA1709" s="220">
        <f t="shared" si="888"/>
        <v>0.3999999999996362</v>
      </c>
      <c r="AB1709" s="221">
        <f t="shared" si="889"/>
        <v>0</v>
      </c>
      <c r="AC1709" s="222">
        <f t="shared" si="890"/>
        <v>3.8080000000000002E-3</v>
      </c>
      <c r="AD1709" s="217"/>
      <c r="AE1709" s="223" t="s">
        <v>405</v>
      </c>
      <c r="AF1709" s="119"/>
    </row>
    <row r="1710" spans="1:32">
      <c r="A1710" s="209">
        <v>44918</v>
      </c>
      <c r="B1710" s="152" t="s">
        <v>857</v>
      </c>
      <c r="C1710" s="152" t="str">
        <f t="shared" ca="1" si="874"/>
        <v>Stocks</v>
      </c>
      <c r="D1710" s="152" t="str">
        <f ca="1">IFERROR(__xludf.DUMMYFUNCTION("split(B1710,"" "")"),"WIPRO")</f>
        <v>WIPRO</v>
      </c>
      <c r="E1710" s="152" t="str">
        <f ca="1">IFERROR(__xludf.DUMMYFUNCTION("""COMPUTED_VALUE"""),"DEC")</f>
        <v>DEC</v>
      </c>
      <c r="F1710" s="152">
        <f ca="1">IFERROR(__xludf.DUMMYFUNCTION("""COMPUTED_VALUE"""),390)</f>
        <v>390</v>
      </c>
      <c r="G1710" s="152" t="str">
        <f ca="1">IFERROR(__xludf.DUMMYFUNCTION("""COMPUTED_VALUE"""),"PE")</f>
        <v>PE</v>
      </c>
      <c r="H1710" s="211">
        <v>1000</v>
      </c>
      <c r="I1710" s="212">
        <v>1</v>
      </c>
      <c r="J1710" s="212">
        <v>1</v>
      </c>
      <c r="K1710" s="213">
        <f t="shared" si="875"/>
        <v>1000</v>
      </c>
      <c r="L1710" s="214">
        <v>6</v>
      </c>
      <c r="M1710" s="215">
        <v>9.5</v>
      </c>
      <c r="N1710" s="216">
        <f t="shared" si="876"/>
        <v>6000</v>
      </c>
      <c r="O1710" s="216">
        <f t="shared" si="877"/>
        <v>9500</v>
      </c>
      <c r="P1710" s="217">
        <f t="shared" si="878"/>
        <v>15500</v>
      </c>
      <c r="Q1710" s="217">
        <f t="shared" si="879"/>
        <v>3500</v>
      </c>
      <c r="R1710" s="217">
        <f t="shared" si="894"/>
        <v>0.01</v>
      </c>
      <c r="S1710" s="217">
        <f t="shared" si="881"/>
        <v>1.48</v>
      </c>
      <c r="T1710" s="217">
        <f t="shared" si="882"/>
        <v>4.75</v>
      </c>
      <c r="U1710" s="217">
        <f t="shared" si="883"/>
        <v>0.18</v>
      </c>
      <c r="V1710" s="217">
        <f t="shared" si="884"/>
        <v>8.2200000000000006</v>
      </c>
      <c r="W1710" s="217">
        <f t="shared" si="885"/>
        <v>0.02</v>
      </c>
      <c r="X1710" s="217">
        <f t="shared" si="886"/>
        <v>14.66</v>
      </c>
      <c r="Y1710" s="218">
        <f t="shared" si="887"/>
        <v>3485.34</v>
      </c>
      <c r="Z1710" s="219">
        <v>3485.24</v>
      </c>
      <c r="AA1710" s="220">
        <f t="shared" si="888"/>
        <v>-0.1000000000003638</v>
      </c>
      <c r="AB1710" s="221">
        <f t="shared" si="889"/>
        <v>0.58333333333333337</v>
      </c>
      <c r="AC1710" s="222">
        <f t="shared" si="890"/>
        <v>9.4600000000000001E-4</v>
      </c>
      <c r="AD1710" s="217"/>
      <c r="AE1710" s="223" t="s">
        <v>405</v>
      </c>
      <c r="AF1710" s="119"/>
    </row>
    <row r="1711" spans="1:32">
      <c r="A1711" s="209">
        <v>44918</v>
      </c>
      <c r="B1711" s="152" t="s">
        <v>858</v>
      </c>
      <c r="C1711" s="152" t="str">
        <f t="shared" ca="1" si="874"/>
        <v>Stocks</v>
      </c>
      <c r="D1711" s="152" t="str">
        <f ca="1">IFERROR(__xludf.DUMMYFUNCTION("split(B1711,"" "")"),"HAVELLS")</f>
        <v>HAVELLS</v>
      </c>
      <c r="E1711" s="152" t="str">
        <f ca="1">IFERROR(__xludf.DUMMYFUNCTION("""COMPUTED_VALUE"""),"DEC")</f>
        <v>DEC</v>
      </c>
      <c r="F1711" s="152">
        <f ca="1">IFERROR(__xludf.DUMMYFUNCTION("""COMPUTED_VALUE"""),1180)</f>
        <v>1180</v>
      </c>
      <c r="G1711" s="152" t="str">
        <f ca="1">IFERROR(__xludf.DUMMYFUNCTION("""COMPUTED_VALUE"""),"CE")</f>
        <v>CE</v>
      </c>
      <c r="H1711" s="211">
        <v>500</v>
      </c>
      <c r="I1711" s="212">
        <v>1</v>
      </c>
      <c r="J1711" s="212">
        <v>1</v>
      </c>
      <c r="K1711" s="213">
        <f t="shared" si="875"/>
        <v>500</v>
      </c>
      <c r="L1711" s="214">
        <v>1.65</v>
      </c>
      <c r="M1711" s="215">
        <v>1.7</v>
      </c>
      <c r="N1711" s="216">
        <f t="shared" si="876"/>
        <v>825</v>
      </c>
      <c r="O1711" s="216">
        <f t="shared" si="877"/>
        <v>850</v>
      </c>
      <c r="P1711" s="217">
        <f t="shared" si="878"/>
        <v>1675</v>
      </c>
      <c r="Q1711" s="217">
        <f t="shared" si="879"/>
        <v>25.000000000000021</v>
      </c>
      <c r="R1711" s="217">
        <f t="shared" si="894"/>
        <v>0.01</v>
      </c>
      <c r="S1711" s="217">
        <f t="shared" si="881"/>
        <v>0.16</v>
      </c>
      <c r="T1711" s="217">
        <f t="shared" si="882"/>
        <v>0.43</v>
      </c>
      <c r="U1711" s="217">
        <f t="shared" si="883"/>
        <v>0.02</v>
      </c>
      <c r="V1711" s="217">
        <f t="shared" si="884"/>
        <v>0.89</v>
      </c>
      <c r="W1711" s="217">
        <f t="shared" si="885"/>
        <v>0</v>
      </c>
      <c r="X1711" s="217">
        <f t="shared" si="886"/>
        <v>1.51</v>
      </c>
      <c r="Y1711" s="218">
        <f t="shared" si="887"/>
        <v>23.49</v>
      </c>
      <c r="Z1711" s="219">
        <v>24</v>
      </c>
      <c r="AA1711" s="220">
        <f t="shared" si="888"/>
        <v>0.51000000000000156</v>
      </c>
      <c r="AB1711" s="221">
        <f t="shared" si="889"/>
        <v>3.0303030303030332E-2</v>
      </c>
      <c r="AC1711" s="222">
        <f t="shared" si="890"/>
        <v>9.01E-4</v>
      </c>
      <c r="AD1711" s="217"/>
      <c r="AE1711" s="223" t="s">
        <v>405</v>
      </c>
      <c r="AF1711" s="119"/>
    </row>
    <row r="1712" spans="1:32">
      <c r="A1712" s="209">
        <v>44921</v>
      </c>
      <c r="B1712" s="152" t="s">
        <v>859</v>
      </c>
      <c r="C1712" s="152" t="str">
        <f t="shared" ca="1" si="874"/>
        <v>Stocks</v>
      </c>
      <c r="D1712" s="152" t="str">
        <f ca="1">IFERROR(__xludf.DUMMYFUNCTION("split(B1712,"" "")"),"TATAMOTORS")</f>
        <v>TATAMOTORS</v>
      </c>
      <c r="E1712" s="152" t="str">
        <f ca="1">IFERROR(__xludf.DUMMYFUNCTION("""COMPUTED_VALUE"""),"DEC")</f>
        <v>DEC</v>
      </c>
      <c r="F1712" s="152">
        <f ca="1">IFERROR(__xludf.DUMMYFUNCTION("""COMPUTED_VALUE"""),380)</f>
        <v>380</v>
      </c>
      <c r="G1712" s="152" t="str">
        <f ca="1">IFERROR(__xludf.DUMMYFUNCTION("""COMPUTED_VALUE"""),"CE")</f>
        <v>CE</v>
      </c>
      <c r="H1712" s="211">
        <v>1425</v>
      </c>
      <c r="I1712" s="212">
        <v>1</v>
      </c>
      <c r="J1712" s="212">
        <v>1</v>
      </c>
      <c r="K1712" s="213">
        <f t="shared" si="875"/>
        <v>1425</v>
      </c>
      <c r="L1712" s="214">
        <v>6</v>
      </c>
      <c r="M1712" s="215">
        <v>6.6</v>
      </c>
      <c r="N1712" s="216">
        <f t="shared" si="876"/>
        <v>8550</v>
      </c>
      <c r="O1712" s="216">
        <f t="shared" si="877"/>
        <v>9405</v>
      </c>
      <c r="P1712" s="217">
        <f t="shared" si="878"/>
        <v>17955</v>
      </c>
      <c r="Q1712" s="217">
        <f t="shared" si="879"/>
        <v>854.99999999999955</v>
      </c>
      <c r="R1712" s="217">
        <f t="shared" si="894"/>
        <v>0.01</v>
      </c>
      <c r="S1712" s="217">
        <f t="shared" si="881"/>
        <v>1.72</v>
      </c>
      <c r="T1712" s="217">
        <f t="shared" si="882"/>
        <v>4.7</v>
      </c>
      <c r="U1712" s="217">
        <f t="shared" si="883"/>
        <v>0.26</v>
      </c>
      <c r="V1712" s="217">
        <f t="shared" si="884"/>
        <v>9.52</v>
      </c>
      <c r="W1712" s="217">
        <f t="shared" si="885"/>
        <v>0.02</v>
      </c>
      <c r="X1712" s="217">
        <f t="shared" si="886"/>
        <v>16.23</v>
      </c>
      <c r="Y1712" s="218">
        <f t="shared" si="887"/>
        <v>838.77</v>
      </c>
      <c r="Z1712" s="219">
        <v>838.75</v>
      </c>
      <c r="AA1712" s="220">
        <f t="shared" si="888"/>
        <v>-1.999999999998181E-2</v>
      </c>
      <c r="AB1712" s="221">
        <f t="shared" si="889"/>
        <v>9.9999999999999936E-2</v>
      </c>
      <c r="AC1712" s="222">
        <f t="shared" si="890"/>
        <v>9.0399999999999996E-4</v>
      </c>
      <c r="AD1712" s="217"/>
      <c r="AE1712" s="223" t="s">
        <v>405</v>
      </c>
      <c r="AF1712" s="119"/>
    </row>
    <row r="1713" spans="1:32">
      <c r="A1713" s="209">
        <v>44922</v>
      </c>
      <c r="B1713" s="152" t="s">
        <v>860</v>
      </c>
      <c r="C1713" s="152" t="str">
        <f t="shared" ca="1" si="874"/>
        <v>Stocks</v>
      </c>
      <c r="D1713" s="152" t="str">
        <f ca="1">IFERROR(__xludf.DUMMYFUNCTION("split(B1713,"" "")"),"DLF")</f>
        <v>DLF</v>
      </c>
      <c r="E1713" s="152" t="str">
        <f ca="1">IFERROR(__xludf.DUMMYFUNCTION("""COMPUTED_VALUE"""),"DEC")</f>
        <v>DEC</v>
      </c>
      <c r="F1713" s="152">
        <f ca="1">IFERROR(__xludf.DUMMYFUNCTION("""COMPUTED_VALUE"""),370)</f>
        <v>370</v>
      </c>
      <c r="G1713" s="152" t="str">
        <f ca="1">IFERROR(__xludf.DUMMYFUNCTION("""COMPUTED_VALUE"""),"PE")</f>
        <v>PE</v>
      </c>
      <c r="H1713" s="211">
        <v>1650</v>
      </c>
      <c r="I1713" s="212">
        <v>1</v>
      </c>
      <c r="J1713" s="212">
        <v>3</v>
      </c>
      <c r="K1713" s="213">
        <f t="shared" si="875"/>
        <v>4950</v>
      </c>
      <c r="L1713" s="214">
        <v>4.4832999999999998</v>
      </c>
      <c r="M1713" s="215">
        <v>4.7332999999999998</v>
      </c>
      <c r="N1713" s="216">
        <f t="shared" si="876"/>
        <v>22192.34</v>
      </c>
      <c r="O1713" s="216">
        <f t="shared" si="877"/>
        <v>23429.84</v>
      </c>
      <c r="P1713" s="217">
        <f t="shared" si="878"/>
        <v>45622.18</v>
      </c>
      <c r="Q1713" s="217">
        <f t="shared" si="879"/>
        <v>1237.5</v>
      </c>
      <c r="R1713" s="217">
        <f t="shared" si="894"/>
        <v>0.01</v>
      </c>
      <c r="S1713" s="217">
        <f t="shared" si="881"/>
        <v>4.3499999999999996</v>
      </c>
      <c r="T1713" s="217">
        <f t="shared" si="882"/>
        <v>11.71</v>
      </c>
      <c r="U1713" s="217">
        <f t="shared" si="883"/>
        <v>0.67</v>
      </c>
      <c r="V1713" s="217">
        <f t="shared" si="884"/>
        <v>24.18</v>
      </c>
      <c r="W1713" s="217">
        <f t="shared" si="885"/>
        <v>0.05</v>
      </c>
      <c r="X1713" s="217">
        <f t="shared" si="886"/>
        <v>40.97</v>
      </c>
      <c r="Y1713" s="218">
        <f t="shared" si="887"/>
        <v>1196.53</v>
      </c>
      <c r="Z1713" s="219">
        <v>1195.9100000000001</v>
      </c>
      <c r="AA1713" s="220">
        <f t="shared" si="888"/>
        <v>-0.61999999999989086</v>
      </c>
      <c r="AB1713" s="221">
        <f t="shared" si="889"/>
        <v>5.5762496375437738E-2</v>
      </c>
      <c r="AC1713" s="222">
        <f t="shared" si="890"/>
        <v>8.9800000000000004E-4</v>
      </c>
      <c r="AD1713" s="217"/>
      <c r="AE1713" s="223" t="s">
        <v>405</v>
      </c>
      <c r="AF1713" s="119"/>
    </row>
    <row r="1714" spans="1:32">
      <c r="A1714" s="148">
        <v>44923</v>
      </c>
      <c r="B1714" s="152" t="s">
        <v>861</v>
      </c>
      <c r="C1714" s="152" t="str">
        <f t="shared" ca="1" si="874"/>
        <v>Stocks</v>
      </c>
      <c r="D1714" s="152" t="str">
        <f ca="1">IFERROR(__xludf.DUMMYFUNCTION("split(B1714,"" "")"),"WIPRO")</f>
        <v>WIPRO</v>
      </c>
      <c r="E1714" s="152" t="str">
        <f ca="1">IFERROR(__xludf.DUMMYFUNCTION("""COMPUTED_VALUE"""),"JAN")</f>
        <v>JAN</v>
      </c>
      <c r="F1714" s="152">
        <f ca="1">IFERROR(__xludf.DUMMYFUNCTION("""COMPUTED_VALUE"""),385)</f>
        <v>385</v>
      </c>
      <c r="G1714" s="152" t="str">
        <f ca="1">IFERROR(__xludf.DUMMYFUNCTION("""COMPUTED_VALUE"""),"PE")</f>
        <v>PE</v>
      </c>
      <c r="H1714" s="211">
        <v>1500</v>
      </c>
      <c r="I1714" s="212">
        <v>1</v>
      </c>
      <c r="J1714" s="212">
        <v>1</v>
      </c>
      <c r="K1714" s="213">
        <f t="shared" si="875"/>
        <v>1500</v>
      </c>
      <c r="L1714" s="214">
        <v>11.25</v>
      </c>
      <c r="M1714" s="215">
        <v>0</v>
      </c>
      <c r="N1714" s="216">
        <f t="shared" si="876"/>
        <v>16875</v>
      </c>
      <c r="O1714" s="216">
        <f t="shared" si="877"/>
        <v>0</v>
      </c>
      <c r="P1714" s="217">
        <f t="shared" si="878"/>
        <v>16875</v>
      </c>
      <c r="Q1714" s="217">
        <f t="shared" si="879"/>
        <v>-16875</v>
      </c>
      <c r="R1714" s="217">
        <f t="shared" si="894"/>
        <v>20</v>
      </c>
      <c r="S1714" s="217">
        <f t="shared" si="881"/>
        <v>5.21</v>
      </c>
      <c r="T1714" s="217">
        <f t="shared" si="882"/>
        <v>0</v>
      </c>
      <c r="U1714" s="217">
        <f t="shared" si="883"/>
        <v>0.51</v>
      </c>
      <c r="V1714" s="217">
        <f t="shared" si="884"/>
        <v>8.94</v>
      </c>
      <c r="W1714" s="217">
        <f t="shared" si="885"/>
        <v>0.02</v>
      </c>
      <c r="X1714" s="217">
        <f t="shared" si="886"/>
        <v>34.680000000000007</v>
      </c>
      <c r="Y1714" s="218">
        <f t="shared" si="887"/>
        <v>-16909.68</v>
      </c>
      <c r="Z1714" s="219">
        <v>-16910.169999999998</v>
      </c>
      <c r="AA1714" s="220">
        <f t="shared" si="888"/>
        <v>-0.48999999999796273</v>
      </c>
      <c r="AB1714" s="221">
        <f t="shared" si="889"/>
        <v>-1</v>
      </c>
      <c r="AC1714" s="222">
        <f t="shared" si="890"/>
        <v>2.055E-3</v>
      </c>
      <c r="AD1714" s="217"/>
      <c r="AE1714" s="223" t="s">
        <v>405</v>
      </c>
      <c r="AF1714" s="119"/>
    </row>
    <row r="1715" spans="1:32">
      <c r="A1715" s="150">
        <v>44924</v>
      </c>
      <c r="B1715" s="152" t="s">
        <v>861</v>
      </c>
      <c r="C1715" s="152" t="str">
        <f t="shared" ca="1" si="874"/>
        <v>Stocks</v>
      </c>
      <c r="D1715" s="152" t="str">
        <f ca="1">IFERROR(__xludf.DUMMYFUNCTION("split(B1715,"" "")"),"WIPRO")</f>
        <v>WIPRO</v>
      </c>
      <c r="E1715" s="152" t="str">
        <f ca="1">IFERROR(__xludf.DUMMYFUNCTION("""COMPUTED_VALUE"""),"JAN")</f>
        <v>JAN</v>
      </c>
      <c r="F1715" s="152">
        <f ca="1">IFERROR(__xludf.DUMMYFUNCTION("""COMPUTED_VALUE"""),385)</f>
        <v>385</v>
      </c>
      <c r="G1715" s="152" t="str">
        <f ca="1">IFERROR(__xludf.DUMMYFUNCTION("""COMPUTED_VALUE"""),"PE")</f>
        <v>PE</v>
      </c>
      <c r="H1715" s="211">
        <v>1500</v>
      </c>
      <c r="I1715" s="212">
        <v>1</v>
      </c>
      <c r="J1715" s="212">
        <v>1</v>
      </c>
      <c r="K1715" s="213">
        <f t="shared" si="875"/>
        <v>1500</v>
      </c>
      <c r="L1715" s="214">
        <v>0</v>
      </c>
      <c r="M1715" s="215">
        <v>9.6</v>
      </c>
      <c r="N1715" s="216">
        <f t="shared" si="876"/>
        <v>0</v>
      </c>
      <c r="O1715" s="216">
        <f t="shared" si="877"/>
        <v>14400</v>
      </c>
      <c r="P1715" s="217">
        <f t="shared" si="878"/>
        <v>14400</v>
      </c>
      <c r="Q1715" s="217">
        <f t="shared" si="879"/>
        <v>14400</v>
      </c>
      <c r="R1715" s="217">
        <f t="shared" si="894"/>
        <v>20</v>
      </c>
      <c r="S1715" s="217">
        <f t="shared" si="881"/>
        <v>4.97</v>
      </c>
      <c r="T1715" s="217">
        <f t="shared" si="882"/>
        <v>7.2</v>
      </c>
      <c r="U1715" s="217">
        <f t="shared" si="883"/>
        <v>0</v>
      </c>
      <c r="V1715" s="217">
        <f t="shared" si="884"/>
        <v>7.63</v>
      </c>
      <c r="W1715" s="217">
        <f t="shared" si="885"/>
        <v>0.01</v>
      </c>
      <c r="X1715" s="217">
        <f t="shared" si="886"/>
        <v>39.81</v>
      </c>
      <c r="Y1715" s="218">
        <f t="shared" si="887"/>
        <v>14360.19</v>
      </c>
      <c r="Z1715" s="219">
        <v>14360.37</v>
      </c>
      <c r="AA1715" s="220">
        <f t="shared" si="888"/>
        <v>0.18000000000029104</v>
      </c>
      <c r="AB1715" s="221">
        <f t="shared" si="889"/>
        <v>0</v>
      </c>
      <c r="AC1715" s="222">
        <f t="shared" si="890"/>
        <v>2.7650000000000001E-3</v>
      </c>
      <c r="AD1715" s="217"/>
      <c r="AE1715" s="223" t="s">
        <v>405</v>
      </c>
      <c r="AF1715" s="119"/>
    </row>
    <row r="1716" spans="1:32">
      <c r="A1716" s="209">
        <v>44930</v>
      </c>
      <c r="B1716" s="152" t="s">
        <v>862</v>
      </c>
      <c r="C1716" s="152" t="str">
        <f t="shared" ca="1" si="874"/>
        <v>Indices</v>
      </c>
      <c r="D1716" s="152" t="str">
        <f ca="1">IFERROR(__xludf.DUMMYFUNCTION("split(B1716,"" "")"),"BANKNIFTY")</f>
        <v>BANKNIFTY</v>
      </c>
      <c r="E1716" s="210">
        <f ca="1">IFERROR(__xludf.DUMMYFUNCTION("""COMPUTED_VALUE"""),44931)</f>
        <v>44931</v>
      </c>
      <c r="F1716" s="152">
        <f ca="1">IFERROR(__xludf.DUMMYFUNCTION("""COMPUTED_VALUE"""),43600)</f>
        <v>43600</v>
      </c>
      <c r="G1716" s="152" t="str">
        <f ca="1">IFERROR(__xludf.DUMMYFUNCTION("""COMPUTED_VALUE"""),"CE")</f>
        <v>CE</v>
      </c>
      <c r="H1716" s="211">
        <v>25</v>
      </c>
      <c r="I1716" s="212">
        <v>1</v>
      </c>
      <c r="J1716" s="212">
        <v>3</v>
      </c>
      <c r="K1716" s="213">
        <f t="shared" si="875"/>
        <v>75</v>
      </c>
      <c r="L1716" s="214">
        <v>123.33329999999999</v>
      </c>
      <c r="M1716" s="215">
        <v>79.400000000000006</v>
      </c>
      <c r="N1716" s="216">
        <f t="shared" si="876"/>
        <v>9250</v>
      </c>
      <c r="O1716" s="216">
        <f t="shared" si="877"/>
        <v>5955</v>
      </c>
      <c r="P1716" s="217">
        <f t="shared" si="878"/>
        <v>15205</v>
      </c>
      <c r="Q1716" s="217">
        <f t="shared" si="879"/>
        <v>-3294.997499999999</v>
      </c>
      <c r="R1716" s="217">
        <f t="shared" si="894"/>
        <v>0.01</v>
      </c>
      <c r="S1716" s="217">
        <f t="shared" si="881"/>
        <v>1.45</v>
      </c>
      <c r="T1716" s="217">
        <f t="shared" si="882"/>
        <v>2.98</v>
      </c>
      <c r="U1716" s="217">
        <f t="shared" si="883"/>
        <v>0.28000000000000003</v>
      </c>
      <c r="V1716" s="217">
        <f t="shared" si="884"/>
        <v>8.06</v>
      </c>
      <c r="W1716" s="217">
        <f t="shared" si="885"/>
        <v>0.02</v>
      </c>
      <c r="X1716" s="217">
        <f t="shared" si="886"/>
        <v>12.8</v>
      </c>
      <c r="Y1716" s="218">
        <f t="shared" si="887"/>
        <v>-3307.8</v>
      </c>
      <c r="Z1716" s="219">
        <v>-3307.52</v>
      </c>
      <c r="AA1716" s="220">
        <f t="shared" si="888"/>
        <v>0.28000000000020009</v>
      </c>
      <c r="AB1716" s="221">
        <f t="shared" si="889"/>
        <v>-0.35621604222055187</v>
      </c>
      <c r="AC1716" s="222">
        <f t="shared" si="890"/>
        <v>8.4199999999999998E-4</v>
      </c>
      <c r="AD1716" s="217"/>
      <c r="AE1716" s="223" t="s">
        <v>405</v>
      </c>
      <c r="AF1716" s="119"/>
    </row>
    <row r="1717" spans="1:32">
      <c r="A1717" s="209">
        <v>44931</v>
      </c>
      <c r="B1717" s="152" t="s">
        <v>863</v>
      </c>
      <c r="C1717" s="152" t="str">
        <f t="shared" ca="1" si="874"/>
        <v>Indices</v>
      </c>
      <c r="D1717" s="152" t="str">
        <f ca="1">IFERROR(__xludf.DUMMYFUNCTION("split(B1717,"" "")"),"NIFTY")</f>
        <v>NIFTY</v>
      </c>
      <c r="E1717" s="210">
        <f ca="1">IFERROR(__xludf.DUMMYFUNCTION("""COMPUTED_VALUE"""),44931)</f>
        <v>44931</v>
      </c>
      <c r="F1717" s="152">
        <f ca="1">IFERROR(__xludf.DUMMYFUNCTION("""COMPUTED_VALUE"""),17950)</f>
        <v>17950</v>
      </c>
      <c r="G1717" s="152" t="str">
        <f ca="1">IFERROR(__xludf.DUMMYFUNCTION("""COMPUTED_VALUE"""),"PE")</f>
        <v>PE</v>
      </c>
      <c r="H1717" s="211">
        <v>50</v>
      </c>
      <c r="I1717" s="212">
        <v>1</v>
      </c>
      <c r="J1717" s="212">
        <v>2</v>
      </c>
      <c r="K1717" s="213">
        <f t="shared" si="875"/>
        <v>100</v>
      </c>
      <c r="L1717" s="214">
        <v>11.2</v>
      </c>
      <c r="M1717" s="215">
        <v>0.25</v>
      </c>
      <c r="N1717" s="216">
        <f t="shared" si="876"/>
        <v>1120</v>
      </c>
      <c r="O1717" s="216">
        <f t="shared" si="877"/>
        <v>25</v>
      </c>
      <c r="P1717" s="217">
        <f t="shared" si="878"/>
        <v>1145</v>
      </c>
      <c r="Q1717" s="217">
        <f t="shared" si="879"/>
        <v>-1095</v>
      </c>
      <c r="R1717" s="217">
        <f t="shared" si="894"/>
        <v>0.01</v>
      </c>
      <c r="S1717" s="217">
        <f t="shared" si="881"/>
        <v>0.11</v>
      </c>
      <c r="T1717" s="217">
        <f t="shared" si="882"/>
        <v>0.01</v>
      </c>
      <c r="U1717" s="217">
        <f t="shared" si="883"/>
        <v>0.03</v>
      </c>
      <c r="V1717" s="217">
        <f t="shared" si="884"/>
        <v>0.61</v>
      </c>
      <c r="W1717" s="217">
        <f t="shared" si="885"/>
        <v>0</v>
      </c>
      <c r="X1717" s="217">
        <f t="shared" si="886"/>
        <v>0.77</v>
      </c>
      <c r="Y1717" s="218">
        <f t="shared" si="887"/>
        <v>-1095.77</v>
      </c>
      <c r="Z1717" s="219">
        <v>-1095.72</v>
      </c>
      <c r="AA1717" s="220">
        <f t="shared" si="888"/>
        <v>4.9999999999954525E-2</v>
      </c>
      <c r="AB1717" s="221">
        <f t="shared" si="889"/>
        <v>-0.9776785714285714</v>
      </c>
      <c r="AC1717" s="222">
        <f t="shared" si="890"/>
        <v>6.7199999999999996E-4</v>
      </c>
      <c r="AD1717" s="217"/>
      <c r="AE1717" s="223" t="s">
        <v>405</v>
      </c>
      <c r="AF1717" s="119"/>
    </row>
    <row r="1718" spans="1:32">
      <c r="A1718" s="209">
        <v>44932</v>
      </c>
      <c r="B1718" s="152" t="s">
        <v>864</v>
      </c>
      <c r="C1718" s="152" t="str">
        <f t="shared" ca="1" si="874"/>
        <v>Indices</v>
      </c>
      <c r="D1718" s="152" t="str">
        <f ca="1">IFERROR(__xludf.DUMMYFUNCTION("split(B1718,"" "")"),"BANKNIFTY")</f>
        <v>BANKNIFTY</v>
      </c>
      <c r="E1718" s="224">
        <f ca="1">IFERROR(__xludf.DUMMYFUNCTION("""COMPUTED_VALUE"""),44938)</f>
        <v>44938</v>
      </c>
      <c r="F1718" s="152">
        <f ca="1">IFERROR(__xludf.DUMMYFUNCTION("""COMPUTED_VALUE"""),42200)</f>
        <v>42200</v>
      </c>
      <c r="G1718" s="152" t="str">
        <f ca="1">IFERROR(__xludf.DUMMYFUNCTION("""COMPUTED_VALUE"""),"CE")</f>
        <v>CE</v>
      </c>
      <c r="H1718" s="211">
        <v>25</v>
      </c>
      <c r="I1718" s="212">
        <v>1</v>
      </c>
      <c r="J1718" s="212">
        <v>1</v>
      </c>
      <c r="K1718" s="213">
        <f t="shared" si="875"/>
        <v>25</v>
      </c>
      <c r="L1718" s="214">
        <v>425</v>
      </c>
      <c r="M1718" s="215">
        <v>437.15</v>
      </c>
      <c r="N1718" s="216">
        <f t="shared" si="876"/>
        <v>10625</v>
      </c>
      <c r="O1718" s="216">
        <f t="shared" si="877"/>
        <v>10928.75</v>
      </c>
      <c r="P1718" s="217">
        <f t="shared" si="878"/>
        <v>21553.75</v>
      </c>
      <c r="Q1718" s="217">
        <f t="shared" si="879"/>
        <v>303.74999999999943</v>
      </c>
      <c r="R1718" s="217">
        <f t="shared" si="894"/>
        <v>0.01</v>
      </c>
      <c r="S1718" s="217">
        <f t="shared" si="881"/>
        <v>2.06</v>
      </c>
      <c r="T1718" s="217">
        <f t="shared" si="882"/>
        <v>5.46</v>
      </c>
      <c r="U1718" s="217">
        <f t="shared" si="883"/>
        <v>0.32</v>
      </c>
      <c r="V1718" s="217">
        <f t="shared" si="884"/>
        <v>11.42</v>
      </c>
      <c r="W1718" s="217">
        <f t="shared" si="885"/>
        <v>0.02</v>
      </c>
      <c r="X1718" s="217">
        <f t="shared" si="886"/>
        <v>19.29</v>
      </c>
      <c r="Y1718" s="218">
        <f t="shared" si="887"/>
        <v>284.45999999999998</v>
      </c>
      <c r="Z1718" s="219">
        <v>284.37</v>
      </c>
      <c r="AA1718" s="220">
        <f t="shared" si="888"/>
        <v>-8.9999999999974989E-2</v>
      </c>
      <c r="AB1718" s="221">
        <f t="shared" si="889"/>
        <v>2.8588235294117595E-2</v>
      </c>
      <c r="AC1718" s="222">
        <f t="shared" si="890"/>
        <v>8.9499999999999996E-4</v>
      </c>
      <c r="AD1718" s="217"/>
      <c r="AE1718" s="223" t="s">
        <v>405</v>
      </c>
      <c r="AF1718" s="119"/>
    </row>
    <row r="1719" spans="1:32">
      <c r="A1719" s="148">
        <v>44932</v>
      </c>
      <c r="B1719" s="152" t="s">
        <v>864</v>
      </c>
      <c r="C1719" s="152" t="str">
        <f t="shared" ca="1" si="874"/>
        <v>Indices</v>
      </c>
      <c r="D1719" s="152" t="str">
        <f ca="1">IFERROR(__xludf.DUMMYFUNCTION("split(B1719,"" "")"),"BANKNIFTY")</f>
        <v>BANKNIFTY</v>
      </c>
      <c r="E1719" s="224">
        <f ca="1">IFERROR(__xludf.DUMMYFUNCTION("""COMPUTED_VALUE"""),44938)</f>
        <v>44938</v>
      </c>
      <c r="F1719" s="152">
        <f ca="1">IFERROR(__xludf.DUMMYFUNCTION("""COMPUTED_VALUE"""),42200)</f>
        <v>42200</v>
      </c>
      <c r="G1719" s="152" t="str">
        <f ca="1">IFERROR(__xludf.DUMMYFUNCTION("""COMPUTED_VALUE"""),"CE")</f>
        <v>CE</v>
      </c>
      <c r="H1719" s="211">
        <v>25</v>
      </c>
      <c r="I1719" s="212">
        <v>1</v>
      </c>
      <c r="J1719" s="212">
        <v>1</v>
      </c>
      <c r="K1719" s="213">
        <f t="shared" si="875"/>
        <v>25</v>
      </c>
      <c r="L1719" s="214">
        <v>400</v>
      </c>
      <c r="M1719" s="215">
        <v>0</v>
      </c>
      <c r="N1719" s="216">
        <f t="shared" si="876"/>
        <v>10000</v>
      </c>
      <c r="O1719" s="216">
        <f t="shared" si="877"/>
        <v>0</v>
      </c>
      <c r="P1719" s="217">
        <f t="shared" si="878"/>
        <v>10000</v>
      </c>
      <c r="Q1719" s="217">
        <f t="shared" si="879"/>
        <v>-10000</v>
      </c>
      <c r="R1719" s="217">
        <f t="shared" si="894"/>
        <v>20</v>
      </c>
      <c r="S1719" s="217">
        <f t="shared" si="881"/>
        <v>4.55</v>
      </c>
      <c r="T1719" s="217">
        <f t="shared" si="882"/>
        <v>0</v>
      </c>
      <c r="U1719" s="217">
        <f t="shared" si="883"/>
        <v>0.3</v>
      </c>
      <c r="V1719" s="217">
        <f t="shared" si="884"/>
        <v>5.3</v>
      </c>
      <c r="W1719" s="217">
        <f t="shared" si="885"/>
        <v>0.01</v>
      </c>
      <c r="X1719" s="217">
        <f t="shared" si="886"/>
        <v>30.160000000000004</v>
      </c>
      <c r="Y1719" s="218">
        <f t="shared" si="887"/>
        <v>-10030.16</v>
      </c>
      <c r="Z1719" s="219">
        <v>-10030</v>
      </c>
      <c r="AA1719" s="220">
        <f t="shared" si="888"/>
        <v>0.15999999999985448</v>
      </c>
      <c r="AB1719" s="221">
        <f t="shared" si="889"/>
        <v>-1</v>
      </c>
      <c r="AC1719" s="222">
        <f t="shared" si="890"/>
        <v>3.016E-3</v>
      </c>
      <c r="AD1719" s="217"/>
      <c r="AE1719" s="223" t="s">
        <v>405</v>
      </c>
      <c r="AF1719" s="119"/>
    </row>
    <row r="1720" spans="1:32">
      <c r="A1720" s="150">
        <v>44935</v>
      </c>
      <c r="B1720" s="152" t="s">
        <v>864</v>
      </c>
      <c r="C1720" s="152" t="str">
        <f t="shared" ca="1" si="874"/>
        <v>Indices</v>
      </c>
      <c r="D1720" s="152" t="str">
        <f ca="1">IFERROR(__xludf.DUMMYFUNCTION("split(B1720,"" "")"),"BANKNIFTY")</f>
        <v>BANKNIFTY</v>
      </c>
      <c r="E1720" s="224">
        <f ca="1">IFERROR(__xludf.DUMMYFUNCTION("""COMPUTED_VALUE"""),44938)</f>
        <v>44938</v>
      </c>
      <c r="F1720" s="152">
        <f ca="1">IFERROR(__xludf.DUMMYFUNCTION("""COMPUTED_VALUE"""),42200)</f>
        <v>42200</v>
      </c>
      <c r="G1720" s="152" t="str">
        <f ca="1">IFERROR(__xludf.DUMMYFUNCTION("""COMPUTED_VALUE"""),"CE")</f>
        <v>CE</v>
      </c>
      <c r="H1720" s="211">
        <v>25</v>
      </c>
      <c r="I1720" s="212">
        <v>1</v>
      </c>
      <c r="J1720" s="212">
        <v>1</v>
      </c>
      <c r="K1720" s="213">
        <f t="shared" si="875"/>
        <v>25</v>
      </c>
      <c r="L1720" s="214">
        <v>0</v>
      </c>
      <c r="M1720" s="215">
        <v>425</v>
      </c>
      <c r="N1720" s="216">
        <f t="shared" si="876"/>
        <v>0</v>
      </c>
      <c r="O1720" s="216">
        <f t="shared" si="877"/>
        <v>10625</v>
      </c>
      <c r="P1720" s="217">
        <f t="shared" si="878"/>
        <v>10625</v>
      </c>
      <c r="Q1720" s="217">
        <f t="shared" si="879"/>
        <v>10625</v>
      </c>
      <c r="R1720" s="217">
        <f t="shared" si="894"/>
        <v>20</v>
      </c>
      <c r="S1720" s="217">
        <f t="shared" si="881"/>
        <v>4.6100000000000003</v>
      </c>
      <c r="T1720" s="217">
        <f t="shared" si="882"/>
        <v>5.31</v>
      </c>
      <c r="U1720" s="217">
        <f t="shared" si="883"/>
        <v>0</v>
      </c>
      <c r="V1720" s="217">
        <f t="shared" si="884"/>
        <v>5.63</v>
      </c>
      <c r="W1720" s="217">
        <f t="shared" si="885"/>
        <v>0.01</v>
      </c>
      <c r="X1720" s="217">
        <f t="shared" si="886"/>
        <v>35.559999999999995</v>
      </c>
      <c r="Y1720" s="218">
        <f t="shared" si="887"/>
        <v>10589.44</v>
      </c>
      <c r="Z1720" s="219">
        <v>10589</v>
      </c>
      <c r="AA1720" s="220">
        <f t="shared" si="888"/>
        <v>-0.44000000000050932</v>
      </c>
      <c r="AB1720" s="221">
        <f t="shared" si="889"/>
        <v>0</v>
      </c>
      <c r="AC1720" s="222">
        <f t="shared" si="890"/>
        <v>3.3470000000000001E-3</v>
      </c>
      <c r="AD1720" s="217"/>
      <c r="AE1720" s="223" t="s">
        <v>405</v>
      </c>
      <c r="AF1720" s="119"/>
    </row>
    <row r="1721" spans="1:32">
      <c r="A1721" s="209">
        <v>44935</v>
      </c>
      <c r="B1721" s="152" t="s">
        <v>865</v>
      </c>
      <c r="C1721" s="152" t="str">
        <f t="shared" ca="1" si="874"/>
        <v>Indices</v>
      </c>
      <c r="D1721" s="152" t="str">
        <f ca="1">IFERROR(__xludf.DUMMYFUNCTION("split(B1721,"" "")"),"NIFTY")</f>
        <v>NIFTY</v>
      </c>
      <c r="E1721" s="224">
        <f ca="1">IFERROR(__xludf.DUMMYFUNCTION("""COMPUTED_VALUE"""),44938)</f>
        <v>44938</v>
      </c>
      <c r="F1721" s="152">
        <f ca="1">IFERROR(__xludf.DUMMYFUNCTION("""COMPUTED_VALUE"""),18100)</f>
        <v>18100</v>
      </c>
      <c r="G1721" s="152" t="str">
        <f ca="1">IFERROR(__xludf.DUMMYFUNCTION("""COMPUTED_VALUE"""),"PE")</f>
        <v>PE</v>
      </c>
      <c r="H1721" s="211">
        <v>50</v>
      </c>
      <c r="I1721" s="212">
        <v>1</v>
      </c>
      <c r="J1721" s="212">
        <v>2</v>
      </c>
      <c r="K1721" s="213">
        <f t="shared" si="875"/>
        <v>100</v>
      </c>
      <c r="L1721" s="214">
        <v>87.5</v>
      </c>
      <c r="M1721" s="215">
        <v>94.5</v>
      </c>
      <c r="N1721" s="216">
        <f t="shared" si="876"/>
        <v>8750</v>
      </c>
      <c r="O1721" s="216">
        <f t="shared" si="877"/>
        <v>9450</v>
      </c>
      <c r="P1721" s="217">
        <f t="shared" si="878"/>
        <v>18200</v>
      </c>
      <c r="Q1721" s="217">
        <f t="shared" si="879"/>
        <v>700</v>
      </c>
      <c r="R1721" s="217">
        <f t="shared" si="894"/>
        <v>0.01</v>
      </c>
      <c r="S1721" s="217">
        <f t="shared" si="881"/>
        <v>1.74</v>
      </c>
      <c r="T1721" s="217">
        <f t="shared" si="882"/>
        <v>4.7300000000000004</v>
      </c>
      <c r="U1721" s="217">
        <f t="shared" si="883"/>
        <v>0.26</v>
      </c>
      <c r="V1721" s="217">
        <f t="shared" si="884"/>
        <v>9.65</v>
      </c>
      <c r="W1721" s="217">
        <f t="shared" si="885"/>
        <v>0.02</v>
      </c>
      <c r="X1721" s="217">
        <f t="shared" si="886"/>
        <v>16.41</v>
      </c>
      <c r="Y1721" s="218">
        <f t="shared" si="887"/>
        <v>683.59</v>
      </c>
      <c r="Z1721" s="219">
        <v>684.34</v>
      </c>
      <c r="AA1721" s="220">
        <f t="shared" si="888"/>
        <v>0.75</v>
      </c>
      <c r="AB1721" s="221">
        <f t="shared" si="889"/>
        <v>0.08</v>
      </c>
      <c r="AC1721" s="222">
        <f t="shared" si="890"/>
        <v>9.0200000000000002E-4</v>
      </c>
      <c r="AD1721" s="217"/>
      <c r="AE1721" s="223" t="s">
        <v>405</v>
      </c>
      <c r="AF1721" s="119"/>
    </row>
    <row r="1722" spans="1:32">
      <c r="A1722" s="209">
        <v>44936</v>
      </c>
      <c r="B1722" s="152" t="s">
        <v>866</v>
      </c>
      <c r="C1722" s="152" t="str">
        <f t="shared" ca="1" si="874"/>
        <v>Indices</v>
      </c>
      <c r="D1722" s="152" t="str">
        <f ca="1">IFERROR(__xludf.DUMMYFUNCTION("split(B1722,"" "")"),"BANKNIFTY")</f>
        <v>BANKNIFTY</v>
      </c>
      <c r="E1722" s="224">
        <f ca="1">IFERROR(__xludf.DUMMYFUNCTION("""COMPUTED_VALUE"""),44938)</f>
        <v>44938</v>
      </c>
      <c r="F1722" s="152">
        <f ca="1">IFERROR(__xludf.DUMMYFUNCTION("""COMPUTED_VALUE"""),42100)</f>
        <v>42100</v>
      </c>
      <c r="G1722" s="152" t="str">
        <f ca="1">IFERROR(__xludf.DUMMYFUNCTION("""COMPUTED_VALUE"""),"CE")</f>
        <v>CE</v>
      </c>
      <c r="H1722" s="211">
        <v>25</v>
      </c>
      <c r="I1722" s="212">
        <v>1</v>
      </c>
      <c r="J1722" s="212">
        <v>3</v>
      </c>
      <c r="K1722" s="213">
        <f t="shared" si="875"/>
        <v>75</v>
      </c>
      <c r="L1722" s="214">
        <v>233.33330000000001</v>
      </c>
      <c r="M1722" s="215">
        <v>250</v>
      </c>
      <c r="N1722" s="216">
        <f t="shared" si="876"/>
        <v>17500</v>
      </c>
      <c r="O1722" s="216">
        <f t="shared" si="877"/>
        <v>18750</v>
      </c>
      <c r="P1722" s="217">
        <f t="shared" si="878"/>
        <v>36250</v>
      </c>
      <c r="Q1722" s="217">
        <f t="shared" si="879"/>
        <v>1250.0024999999994</v>
      </c>
      <c r="R1722" s="217">
        <f t="shared" si="894"/>
        <v>0.01</v>
      </c>
      <c r="S1722" s="217">
        <f t="shared" si="881"/>
        <v>3.46</v>
      </c>
      <c r="T1722" s="217">
        <f t="shared" si="882"/>
        <v>9.3800000000000008</v>
      </c>
      <c r="U1722" s="217">
        <f t="shared" si="883"/>
        <v>0.53</v>
      </c>
      <c r="V1722" s="217">
        <f t="shared" si="884"/>
        <v>19.21</v>
      </c>
      <c r="W1722" s="217">
        <f t="shared" si="885"/>
        <v>0.04</v>
      </c>
      <c r="X1722" s="217">
        <f t="shared" si="886"/>
        <v>32.630000000000003</v>
      </c>
      <c r="Y1722" s="218">
        <f t="shared" si="887"/>
        <v>1217.3699999999999</v>
      </c>
      <c r="Z1722" s="219">
        <v>1217</v>
      </c>
      <c r="AA1722" s="220">
        <f t="shared" si="888"/>
        <v>-0.36999999999989086</v>
      </c>
      <c r="AB1722" s="221">
        <f t="shared" si="889"/>
        <v>7.1428724489817741E-2</v>
      </c>
      <c r="AC1722" s="222">
        <f t="shared" si="890"/>
        <v>8.9999999999999998E-4</v>
      </c>
      <c r="AD1722" s="217"/>
      <c r="AE1722" s="223" t="s">
        <v>405</v>
      </c>
      <c r="AF1722" s="119"/>
    </row>
    <row r="1723" spans="1:32">
      <c r="A1723" s="209">
        <v>44936</v>
      </c>
      <c r="B1723" s="152" t="s">
        <v>867</v>
      </c>
      <c r="C1723" s="152" t="str">
        <f t="shared" ca="1" si="874"/>
        <v>Indices</v>
      </c>
      <c r="D1723" s="152" t="str">
        <f ca="1">IFERROR(__xludf.DUMMYFUNCTION("split(B1723,"" "")"),"NIFTY")</f>
        <v>NIFTY</v>
      </c>
      <c r="E1723" s="224">
        <f ca="1">IFERROR(__xludf.DUMMYFUNCTION("""COMPUTED_VALUE"""),44938)</f>
        <v>44938</v>
      </c>
      <c r="F1723" s="152">
        <f ca="1">IFERROR(__xludf.DUMMYFUNCTION("""COMPUTED_VALUE"""),18000)</f>
        <v>18000</v>
      </c>
      <c r="G1723" s="152" t="str">
        <f ca="1">IFERROR(__xludf.DUMMYFUNCTION("""COMPUTED_VALUE"""),"CE")</f>
        <v>CE</v>
      </c>
      <c r="H1723" s="211">
        <v>50</v>
      </c>
      <c r="I1723" s="212">
        <v>1</v>
      </c>
      <c r="J1723" s="212">
        <v>2</v>
      </c>
      <c r="K1723" s="213">
        <f t="shared" si="875"/>
        <v>100</v>
      </c>
      <c r="L1723" s="214">
        <v>65</v>
      </c>
      <c r="M1723" s="215">
        <v>51</v>
      </c>
      <c r="N1723" s="216">
        <f t="shared" si="876"/>
        <v>6500</v>
      </c>
      <c r="O1723" s="216">
        <f t="shared" si="877"/>
        <v>5100</v>
      </c>
      <c r="P1723" s="217">
        <f t="shared" si="878"/>
        <v>11600</v>
      </c>
      <c r="Q1723" s="217">
        <f t="shared" si="879"/>
        <v>-1400</v>
      </c>
      <c r="R1723" s="217">
        <f t="shared" si="894"/>
        <v>0.01</v>
      </c>
      <c r="S1723" s="217">
        <f t="shared" si="881"/>
        <v>1.1100000000000001</v>
      </c>
      <c r="T1723" s="217">
        <f t="shared" si="882"/>
        <v>2.5499999999999998</v>
      </c>
      <c r="U1723" s="217">
        <f t="shared" si="883"/>
        <v>0.2</v>
      </c>
      <c r="V1723" s="217">
        <f t="shared" si="884"/>
        <v>6.15</v>
      </c>
      <c r="W1723" s="217">
        <f t="shared" si="885"/>
        <v>0.01</v>
      </c>
      <c r="X1723" s="217">
        <f t="shared" si="886"/>
        <v>10.029999999999999</v>
      </c>
      <c r="Y1723" s="218">
        <f t="shared" si="887"/>
        <v>-1410.03</v>
      </c>
      <c r="Z1723" s="219">
        <v>-1411.94</v>
      </c>
      <c r="AA1723" s="220">
        <f t="shared" si="888"/>
        <v>-1.9100000000000819</v>
      </c>
      <c r="AB1723" s="221">
        <f t="shared" si="889"/>
        <v>-0.2153846153846154</v>
      </c>
      <c r="AC1723" s="222">
        <f t="shared" si="890"/>
        <v>8.6499999999999999E-4</v>
      </c>
      <c r="AD1723" s="217"/>
      <c r="AE1723" s="223" t="s">
        <v>405</v>
      </c>
      <c r="AF1723" s="119"/>
    </row>
    <row r="1724" spans="1:32">
      <c r="A1724" s="209">
        <v>44937</v>
      </c>
      <c r="B1724" s="152" t="s">
        <v>868</v>
      </c>
      <c r="C1724" s="152" t="str">
        <f t="shared" ca="1" si="874"/>
        <v>Indices</v>
      </c>
      <c r="D1724" s="152" t="str">
        <f ca="1">IFERROR(__xludf.DUMMYFUNCTION("split(B1724,"" "")"),"BANKNIFTY")</f>
        <v>BANKNIFTY</v>
      </c>
      <c r="E1724" s="224">
        <f ca="1">IFERROR(__xludf.DUMMYFUNCTION("""COMPUTED_VALUE"""),44938)</f>
        <v>44938</v>
      </c>
      <c r="F1724" s="152">
        <f ca="1">IFERROR(__xludf.DUMMYFUNCTION("""COMPUTED_VALUE"""),41800)</f>
        <v>41800</v>
      </c>
      <c r="G1724" s="152" t="str">
        <f ca="1">IFERROR(__xludf.DUMMYFUNCTION("""COMPUTED_VALUE"""),"PE")</f>
        <v>PE</v>
      </c>
      <c r="H1724" s="211">
        <v>25</v>
      </c>
      <c r="I1724" s="212">
        <v>1</v>
      </c>
      <c r="J1724" s="212">
        <v>1</v>
      </c>
      <c r="K1724" s="213">
        <f t="shared" si="875"/>
        <v>25</v>
      </c>
      <c r="L1724" s="214">
        <v>340</v>
      </c>
      <c r="M1724" s="215">
        <v>460</v>
      </c>
      <c r="N1724" s="216">
        <f t="shared" si="876"/>
        <v>8500</v>
      </c>
      <c r="O1724" s="216">
        <f t="shared" si="877"/>
        <v>11500</v>
      </c>
      <c r="P1724" s="217">
        <f t="shared" si="878"/>
        <v>20000</v>
      </c>
      <c r="Q1724" s="217">
        <f t="shared" si="879"/>
        <v>3000</v>
      </c>
      <c r="R1724" s="217">
        <f t="shared" si="894"/>
        <v>0.01</v>
      </c>
      <c r="S1724" s="217">
        <f t="shared" si="881"/>
        <v>1.91</v>
      </c>
      <c r="T1724" s="217">
        <f t="shared" si="882"/>
        <v>5.75</v>
      </c>
      <c r="U1724" s="217">
        <f t="shared" si="883"/>
        <v>0.26</v>
      </c>
      <c r="V1724" s="217">
        <f t="shared" si="884"/>
        <v>10.6</v>
      </c>
      <c r="W1724" s="217">
        <f t="shared" si="885"/>
        <v>0.02</v>
      </c>
      <c r="X1724" s="217">
        <f t="shared" si="886"/>
        <v>18.55</v>
      </c>
      <c r="Y1724" s="218">
        <f t="shared" si="887"/>
        <v>2981.45</v>
      </c>
      <c r="Z1724" s="219">
        <v>2981.47</v>
      </c>
      <c r="AA1724" s="220">
        <f t="shared" si="888"/>
        <v>1.999999999998181E-2</v>
      </c>
      <c r="AB1724" s="221">
        <f t="shared" si="889"/>
        <v>0.35294117647058826</v>
      </c>
      <c r="AC1724" s="222">
        <f t="shared" si="890"/>
        <v>9.2800000000000001E-4</v>
      </c>
      <c r="AD1724" s="217"/>
      <c r="AE1724" s="223" t="s">
        <v>405</v>
      </c>
      <c r="AF1724" s="119"/>
    </row>
    <row r="1725" spans="1:32">
      <c r="A1725" s="209">
        <v>44938</v>
      </c>
      <c r="B1725" s="152" t="s">
        <v>869</v>
      </c>
      <c r="C1725" s="152" t="str">
        <f t="shared" ca="1" si="874"/>
        <v>Indices</v>
      </c>
      <c r="D1725" s="152" t="str">
        <f ca="1">IFERROR(__xludf.DUMMYFUNCTION("split(B1725,"" "")"),"NIFTY")</f>
        <v>NIFTY</v>
      </c>
      <c r="E1725" s="224">
        <f ca="1">IFERROR(__xludf.DUMMYFUNCTION("""COMPUTED_VALUE"""),44938)</f>
        <v>44938</v>
      </c>
      <c r="F1725" s="152">
        <f ca="1">IFERROR(__xludf.DUMMYFUNCTION("""COMPUTED_VALUE"""),17900)</f>
        <v>17900</v>
      </c>
      <c r="G1725" s="152" t="str">
        <f ca="1">IFERROR(__xludf.DUMMYFUNCTION("""COMPUTED_VALUE"""),"CE")</f>
        <v>CE</v>
      </c>
      <c r="H1725" s="211">
        <v>50</v>
      </c>
      <c r="I1725" s="212">
        <v>1</v>
      </c>
      <c r="J1725" s="212">
        <v>5</v>
      </c>
      <c r="K1725" s="213">
        <f t="shared" si="875"/>
        <v>250</v>
      </c>
      <c r="L1725" s="214">
        <v>35.200000000000003</v>
      </c>
      <c r="M1725" s="215">
        <v>16.2</v>
      </c>
      <c r="N1725" s="216">
        <f t="shared" si="876"/>
        <v>8800</v>
      </c>
      <c r="O1725" s="216">
        <f t="shared" si="877"/>
        <v>4050</v>
      </c>
      <c r="P1725" s="217">
        <f t="shared" si="878"/>
        <v>12850</v>
      </c>
      <c r="Q1725" s="217">
        <f t="shared" si="879"/>
        <v>-4750.0000000000009</v>
      </c>
      <c r="R1725" s="217">
        <f t="shared" si="894"/>
        <v>0.01</v>
      </c>
      <c r="S1725" s="217">
        <f t="shared" si="881"/>
        <v>1.23</v>
      </c>
      <c r="T1725" s="217">
        <f t="shared" si="882"/>
        <v>2.0299999999999998</v>
      </c>
      <c r="U1725" s="217">
        <f t="shared" si="883"/>
        <v>0.26</v>
      </c>
      <c r="V1725" s="217">
        <f t="shared" si="884"/>
        <v>6.81</v>
      </c>
      <c r="W1725" s="217">
        <f t="shared" si="885"/>
        <v>0.01</v>
      </c>
      <c r="X1725" s="217">
        <f t="shared" si="886"/>
        <v>10.35</v>
      </c>
      <c r="Y1725" s="218">
        <f t="shared" si="887"/>
        <v>-4760.3500000000004</v>
      </c>
      <c r="Z1725" s="219">
        <v>-4760.05</v>
      </c>
      <c r="AA1725" s="220">
        <f t="shared" si="888"/>
        <v>0.3000000000001819</v>
      </c>
      <c r="AB1725" s="221">
        <f t="shared" si="889"/>
        <v>-0.53977272727272729</v>
      </c>
      <c r="AC1725" s="222">
        <f t="shared" si="890"/>
        <v>8.0500000000000005E-4</v>
      </c>
      <c r="AD1725" s="217"/>
      <c r="AE1725" s="223" t="s">
        <v>405</v>
      </c>
      <c r="AF1725" s="119"/>
    </row>
    <row r="1726" spans="1:32">
      <c r="A1726" s="209">
        <v>44939</v>
      </c>
      <c r="B1726" s="152" t="s">
        <v>870</v>
      </c>
      <c r="C1726" s="152" t="str">
        <f t="shared" ca="1" si="874"/>
        <v>Indices</v>
      </c>
      <c r="D1726" s="152" t="str">
        <f ca="1">IFERROR(__xludf.DUMMYFUNCTION("split(B1726,"" "")"),"NIFTY")</f>
        <v>NIFTY</v>
      </c>
      <c r="E1726" s="224">
        <f ca="1">IFERROR(__xludf.DUMMYFUNCTION("""COMPUTED_VALUE"""),44945)</f>
        <v>44945</v>
      </c>
      <c r="F1726" s="152">
        <f ca="1">IFERROR(__xludf.DUMMYFUNCTION("""COMPUTED_VALUE"""),18000)</f>
        <v>18000</v>
      </c>
      <c r="G1726" s="152" t="str">
        <f ca="1">IFERROR(__xludf.DUMMYFUNCTION("""COMPUTED_VALUE"""),"PE")</f>
        <v>PE</v>
      </c>
      <c r="H1726" s="211">
        <v>50</v>
      </c>
      <c r="I1726" s="212">
        <v>1</v>
      </c>
      <c r="J1726" s="212">
        <v>1</v>
      </c>
      <c r="K1726" s="213">
        <f t="shared" si="875"/>
        <v>50</v>
      </c>
      <c r="L1726" s="214">
        <v>100</v>
      </c>
      <c r="M1726" s="215">
        <v>108.1</v>
      </c>
      <c r="N1726" s="216">
        <f t="shared" si="876"/>
        <v>5000</v>
      </c>
      <c r="O1726" s="216">
        <f t="shared" si="877"/>
        <v>5405</v>
      </c>
      <c r="P1726" s="217">
        <f t="shared" si="878"/>
        <v>10405</v>
      </c>
      <c r="Q1726" s="217">
        <f t="shared" si="879"/>
        <v>404.99999999999972</v>
      </c>
      <c r="R1726" s="217">
        <f t="shared" si="894"/>
        <v>0.01</v>
      </c>
      <c r="S1726" s="217">
        <f t="shared" si="881"/>
        <v>0.99</v>
      </c>
      <c r="T1726" s="217">
        <f t="shared" si="882"/>
        <v>2.7</v>
      </c>
      <c r="U1726" s="217">
        <f t="shared" si="883"/>
        <v>0.15</v>
      </c>
      <c r="V1726" s="217">
        <f t="shared" si="884"/>
        <v>5.51</v>
      </c>
      <c r="W1726" s="217">
        <f t="shared" si="885"/>
        <v>0.01</v>
      </c>
      <c r="X1726" s="217">
        <f t="shared" si="886"/>
        <v>9.3699999999999992</v>
      </c>
      <c r="Y1726" s="218">
        <f t="shared" si="887"/>
        <v>395.63</v>
      </c>
      <c r="Z1726" s="219">
        <v>395.48</v>
      </c>
      <c r="AA1726" s="220">
        <f t="shared" si="888"/>
        <v>-0.14999999999997726</v>
      </c>
      <c r="AB1726" s="221">
        <f t="shared" si="889"/>
        <v>8.0999999999999947E-2</v>
      </c>
      <c r="AC1726" s="222">
        <f t="shared" si="890"/>
        <v>9.01E-4</v>
      </c>
      <c r="AD1726" s="217"/>
      <c r="AE1726" s="223" t="s">
        <v>405</v>
      </c>
      <c r="AF1726" s="119"/>
    </row>
    <row r="1727" spans="1:32">
      <c r="A1727" s="148">
        <v>44942</v>
      </c>
      <c r="B1727" s="152" t="s">
        <v>871</v>
      </c>
      <c r="C1727" s="152" t="str">
        <f t="shared" ca="1" si="874"/>
        <v>Indices</v>
      </c>
      <c r="D1727" s="152" t="str">
        <f ca="1">IFERROR(__xludf.DUMMYFUNCTION("split(B1727,"" "")"),"NIFTY")</f>
        <v>NIFTY</v>
      </c>
      <c r="E1727" s="224">
        <f ca="1">IFERROR(__xludf.DUMMYFUNCTION("""COMPUTED_VALUE"""),44945)</f>
        <v>44945</v>
      </c>
      <c r="F1727" s="152">
        <f ca="1">IFERROR(__xludf.DUMMYFUNCTION("""COMPUTED_VALUE"""),17900)</f>
        <v>17900</v>
      </c>
      <c r="G1727" s="152" t="str">
        <f ca="1">IFERROR(__xludf.DUMMYFUNCTION("""COMPUTED_VALUE"""),"CE")</f>
        <v>CE</v>
      </c>
      <c r="H1727" s="211">
        <v>50</v>
      </c>
      <c r="I1727" s="212">
        <v>1</v>
      </c>
      <c r="J1727" s="212">
        <v>1</v>
      </c>
      <c r="K1727" s="213">
        <f t="shared" si="875"/>
        <v>50</v>
      </c>
      <c r="L1727" s="214">
        <v>118</v>
      </c>
      <c r="M1727" s="215">
        <v>0</v>
      </c>
      <c r="N1727" s="216">
        <f t="shared" si="876"/>
        <v>5900</v>
      </c>
      <c r="O1727" s="216">
        <f t="shared" si="877"/>
        <v>0</v>
      </c>
      <c r="P1727" s="217">
        <f t="shared" si="878"/>
        <v>5900</v>
      </c>
      <c r="Q1727" s="217">
        <f t="shared" si="879"/>
        <v>-5900</v>
      </c>
      <c r="R1727" s="217">
        <f t="shared" si="894"/>
        <v>20</v>
      </c>
      <c r="S1727" s="217">
        <f t="shared" si="881"/>
        <v>4.16</v>
      </c>
      <c r="T1727" s="217">
        <f t="shared" si="882"/>
        <v>0</v>
      </c>
      <c r="U1727" s="217">
        <f t="shared" si="883"/>
        <v>0.18</v>
      </c>
      <c r="V1727" s="217">
        <f t="shared" si="884"/>
        <v>3.13</v>
      </c>
      <c r="W1727" s="217">
        <f t="shared" si="885"/>
        <v>0.01</v>
      </c>
      <c r="X1727" s="217">
        <f t="shared" si="886"/>
        <v>27.48</v>
      </c>
      <c r="Y1727" s="218">
        <f t="shared" si="887"/>
        <v>-5927.48</v>
      </c>
      <c r="Z1727" s="219">
        <v>-5927.29</v>
      </c>
      <c r="AA1727" s="220">
        <f t="shared" si="888"/>
        <v>0.18999999999959982</v>
      </c>
      <c r="AB1727" s="221">
        <f t="shared" si="889"/>
        <v>-1</v>
      </c>
      <c r="AC1727" s="222">
        <f t="shared" si="890"/>
        <v>4.6579999999999998E-3</v>
      </c>
      <c r="AD1727" s="217"/>
      <c r="AE1727" s="223" t="s">
        <v>405</v>
      </c>
      <c r="AF1727" s="119"/>
    </row>
    <row r="1728" spans="1:32">
      <c r="A1728" s="150">
        <v>44943</v>
      </c>
      <c r="B1728" s="152" t="s">
        <v>871</v>
      </c>
      <c r="C1728" s="152" t="str">
        <f t="shared" ca="1" si="874"/>
        <v>Indices</v>
      </c>
      <c r="D1728" s="152" t="str">
        <f ca="1">IFERROR(__xludf.DUMMYFUNCTION("split(B1728,"" "")"),"NIFTY")</f>
        <v>NIFTY</v>
      </c>
      <c r="E1728" s="224">
        <f ca="1">IFERROR(__xludf.DUMMYFUNCTION("""COMPUTED_VALUE"""),44945)</f>
        <v>44945</v>
      </c>
      <c r="F1728" s="152">
        <f ca="1">IFERROR(__xludf.DUMMYFUNCTION("""COMPUTED_VALUE"""),17900)</f>
        <v>17900</v>
      </c>
      <c r="G1728" s="152" t="str">
        <f ca="1">IFERROR(__xludf.DUMMYFUNCTION("""COMPUTED_VALUE"""),"CE")</f>
        <v>CE</v>
      </c>
      <c r="H1728" s="211">
        <v>50</v>
      </c>
      <c r="I1728" s="212">
        <v>1</v>
      </c>
      <c r="J1728" s="212">
        <v>1</v>
      </c>
      <c r="K1728" s="213">
        <f t="shared" si="875"/>
        <v>50</v>
      </c>
      <c r="L1728" s="214">
        <v>0</v>
      </c>
      <c r="M1728" s="215">
        <v>126</v>
      </c>
      <c r="N1728" s="216">
        <f t="shared" si="876"/>
        <v>0</v>
      </c>
      <c r="O1728" s="216">
        <f t="shared" si="877"/>
        <v>6300</v>
      </c>
      <c r="P1728" s="217">
        <f t="shared" si="878"/>
        <v>6300</v>
      </c>
      <c r="Q1728" s="217">
        <f t="shared" si="879"/>
        <v>6300</v>
      </c>
      <c r="R1728" s="217">
        <f t="shared" si="894"/>
        <v>20</v>
      </c>
      <c r="S1728" s="217">
        <f t="shared" si="881"/>
        <v>4.2</v>
      </c>
      <c r="T1728" s="217">
        <f t="shared" si="882"/>
        <v>3.15</v>
      </c>
      <c r="U1728" s="217">
        <f t="shared" si="883"/>
        <v>0</v>
      </c>
      <c r="V1728" s="217">
        <f t="shared" si="884"/>
        <v>3.34</v>
      </c>
      <c r="W1728" s="217">
        <f t="shared" si="885"/>
        <v>0.01</v>
      </c>
      <c r="X1728" s="217">
        <f t="shared" si="886"/>
        <v>30.7</v>
      </c>
      <c r="Y1728" s="218">
        <f t="shared" si="887"/>
        <v>6269.3</v>
      </c>
      <c r="Z1728" s="219">
        <v>6269</v>
      </c>
      <c r="AA1728" s="220">
        <f t="shared" si="888"/>
        <v>-0.3000000000001819</v>
      </c>
      <c r="AB1728" s="221">
        <f t="shared" si="889"/>
        <v>0</v>
      </c>
      <c r="AC1728" s="222">
        <f t="shared" si="890"/>
        <v>4.8729999999999997E-3</v>
      </c>
      <c r="AD1728" s="217"/>
      <c r="AE1728" s="223" t="s">
        <v>405</v>
      </c>
      <c r="AF1728" s="119"/>
    </row>
    <row r="1729" spans="1:32">
      <c r="A1729" s="209">
        <v>44943</v>
      </c>
      <c r="B1729" s="152" t="s">
        <v>872</v>
      </c>
      <c r="C1729" s="152" t="str">
        <f t="shared" ca="1" si="874"/>
        <v>Indices</v>
      </c>
      <c r="D1729" s="152" t="str">
        <f ca="1">IFERROR(__xludf.DUMMYFUNCTION("split(B1729,"" "")"),"NIFTY")</f>
        <v>NIFTY</v>
      </c>
      <c r="E1729" s="224">
        <f ca="1">IFERROR(__xludf.DUMMYFUNCTION("""COMPUTED_VALUE"""),44945)</f>
        <v>44945</v>
      </c>
      <c r="F1729" s="152">
        <f ca="1">IFERROR(__xludf.DUMMYFUNCTION("""COMPUTED_VALUE"""),18000)</f>
        <v>18000</v>
      </c>
      <c r="G1729" s="152" t="str">
        <f ca="1">IFERROR(__xludf.DUMMYFUNCTION("""COMPUTED_VALUE"""),"CE")</f>
        <v>CE</v>
      </c>
      <c r="H1729" s="211">
        <v>50</v>
      </c>
      <c r="I1729" s="212">
        <v>1</v>
      </c>
      <c r="J1729" s="212">
        <v>6</v>
      </c>
      <c r="K1729" s="213">
        <f t="shared" si="875"/>
        <v>300</v>
      </c>
      <c r="L1729" s="214">
        <v>76.833349999999996</v>
      </c>
      <c r="M1729" s="215">
        <v>79.75</v>
      </c>
      <c r="N1729" s="216">
        <f t="shared" si="876"/>
        <v>23050.01</v>
      </c>
      <c r="O1729" s="216">
        <f t="shared" si="877"/>
        <v>23925</v>
      </c>
      <c r="P1729" s="217">
        <f t="shared" si="878"/>
        <v>46975.009999999995</v>
      </c>
      <c r="Q1729" s="217">
        <f t="shared" si="879"/>
        <v>874.99500000000126</v>
      </c>
      <c r="R1729" s="217">
        <f t="shared" si="894"/>
        <v>0.01</v>
      </c>
      <c r="S1729" s="217">
        <f t="shared" si="881"/>
        <v>4.4800000000000004</v>
      </c>
      <c r="T1729" s="217">
        <f t="shared" si="882"/>
        <v>11.96</v>
      </c>
      <c r="U1729" s="217">
        <f t="shared" si="883"/>
        <v>0.69</v>
      </c>
      <c r="V1729" s="217">
        <f t="shared" si="884"/>
        <v>24.9</v>
      </c>
      <c r="W1729" s="217">
        <f t="shared" si="885"/>
        <v>0.05</v>
      </c>
      <c r="X1729" s="217">
        <f t="shared" si="886"/>
        <v>42.09</v>
      </c>
      <c r="Y1729" s="218">
        <f t="shared" si="887"/>
        <v>832.91</v>
      </c>
      <c r="Z1729" s="219">
        <v>833.02</v>
      </c>
      <c r="AA1729" s="220">
        <f t="shared" si="888"/>
        <v>0.11000000000001364</v>
      </c>
      <c r="AB1729" s="221">
        <f t="shared" si="889"/>
        <v>3.7960729292683508E-2</v>
      </c>
      <c r="AC1729" s="222">
        <f t="shared" si="890"/>
        <v>8.9599999999999999E-4</v>
      </c>
      <c r="AD1729" s="217"/>
      <c r="AE1729" s="223" t="s">
        <v>405</v>
      </c>
      <c r="AF1729" s="119"/>
    </row>
    <row r="1730" spans="1:32">
      <c r="A1730" s="209">
        <v>44944</v>
      </c>
      <c r="B1730" s="152" t="s">
        <v>873</v>
      </c>
      <c r="C1730" s="152" t="str">
        <f t="shared" ca="1" si="874"/>
        <v>Stocks</v>
      </c>
      <c r="D1730" s="152" t="str">
        <f ca="1">IFERROR(__xludf.DUMMYFUNCTION("split(B1730,"" "")"),"ZEEL")</f>
        <v>ZEEL</v>
      </c>
      <c r="E1730" s="152" t="str">
        <f ca="1">IFERROR(__xludf.DUMMYFUNCTION("""COMPUTED_VALUE"""),"JAN")</f>
        <v>JAN</v>
      </c>
      <c r="F1730" s="152">
        <f ca="1">IFERROR(__xludf.DUMMYFUNCTION("""COMPUTED_VALUE"""),235)</f>
        <v>235</v>
      </c>
      <c r="G1730" s="152" t="str">
        <f ca="1">IFERROR(__xludf.DUMMYFUNCTION("""COMPUTED_VALUE"""),"CE")</f>
        <v>CE</v>
      </c>
      <c r="H1730" s="211">
        <v>3000</v>
      </c>
      <c r="I1730" s="212">
        <v>1</v>
      </c>
      <c r="J1730" s="212">
        <v>2</v>
      </c>
      <c r="K1730" s="213">
        <f t="shared" si="875"/>
        <v>6000</v>
      </c>
      <c r="L1730" s="214">
        <v>2.5750000000000002</v>
      </c>
      <c r="M1730" s="215">
        <v>2.7</v>
      </c>
      <c r="N1730" s="216">
        <f t="shared" si="876"/>
        <v>15450</v>
      </c>
      <c r="O1730" s="216">
        <f t="shared" si="877"/>
        <v>16200</v>
      </c>
      <c r="P1730" s="217">
        <f t="shared" si="878"/>
        <v>31650</v>
      </c>
      <c r="Q1730" s="217">
        <f t="shared" si="879"/>
        <v>750</v>
      </c>
      <c r="R1730" s="217">
        <f t="shared" si="894"/>
        <v>0.01</v>
      </c>
      <c r="S1730" s="217">
        <f t="shared" si="881"/>
        <v>3.02</v>
      </c>
      <c r="T1730" s="217">
        <f t="shared" si="882"/>
        <v>8.1</v>
      </c>
      <c r="U1730" s="217">
        <f t="shared" si="883"/>
        <v>0.46</v>
      </c>
      <c r="V1730" s="217">
        <f t="shared" si="884"/>
        <v>16.77</v>
      </c>
      <c r="W1730" s="217">
        <f t="shared" si="885"/>
        <v>0.03</v>
      </c>
      <c r="X1730" s="217">
        <f t="shared" si="886"/>
        <v>28.39</v>
      </c>
      <c r="Y1730" s="218">
        <f t="shared" si="887"/>
        <v>721.61</v>
      </c>
      <c r="Z1730" s="219">
        <v>721</v>
      </c>
      <c r="AA1730" s="220">
        <f t="shared" si="888"/>
        <v>-0.61000000000001364</v>
      </c>
      <c r="AB1730" s="221">
        <f t="shared" si="889"/>
        <v>4.8543689320388349E-2</v>
      </c>
      <c r="AC1730" s="222">
        <f t="shared" si="890"/>
        <v>8.9700000000000001E-4</v>
      </c>
      <c r="AD1730" s="217"/>
      <c r="AE1730" s="223" t="s">
        <v>405</v>
      </c>
      <c r="AF1730" s="119"/>
    </row>
    <row r="1731" spans="1:32">
      <c r="A1731" s="209">
        <v>44944</v>
      </c>
      <c r="B1731" s="152" t="s">
        <v>874</v>
      </c>
      <c r="C1731" s="152" t="str">
        <f t="shared" ca="1" si="874"/>
        <v>Indices</v>
      </c>
      <c r="D1731" s="152" t="str">
        <f ca="1">IFERROR(__xludf.DUMMYFUNCTION("split(B1731,"" "")"),"NIFTY")</f>
        <v>NIFTY</v>
      </c>
      <c r="E1731" s="224">
        <f ca="1">IFERROR(__xludf.DUMMYFUNCTION("""COMPUTED_VALUE"""),44945)</f>
        <v>44945</v>
      </c>
      <c r="F1731" s="152">
        <f ca="1">IFERROR(__xludf.DUMMYFUNCTION("""COMPUTED_VALUE"""),18050)</f>
        <v>18050</v>
      </c>
      <c r="G1731" s="152" t="str">
        <f ca="1">IFERROR(__xludf.DUMMYFUNCTION("""COMPUTED_VALUE"""),"CE")</f>
        <v>CE</v>
      </c>
      <c r="H1731" s="211">
        <v>50</v>
      </c>
      <c r="I1731" s="212">
        <v>1</v>
      </c>
      <c r="J1731" s="212">
        <v>1</v>
      </c>
      <c r="K1731" s="213">
        <f t="shared" si="875"/>
        <v>50</v>
      </c>
      <c r="L1731" s="214">
        <v>64</v>
      </c>
      <c r="M1731" s="215">
        <v>106</v>
      </c>
      <c r="N1731" s="216">
        <f t="shared" si="876"/>
        <v>3200</v>
      </c>
      <c r="O1731" s="216">
        <f t="shared" si="877"/>
        <v>5300</v>
      </c>
      <c r="P1731" s="217">
        <f t="shared" si="878"/>
        <v>8500</v>
      </c>
      <c r="Q1731" s="217">
        <f t="shared" si="879"/>
        <v>2100</v>
      </c>
      <c r="R1731" s="217">
        <f t="shared" si="894"/>
        <v>0.01</v>
      </c>
      <c r="S1731" s="217">
        <f t="shared" si="881"/>
        <v>0.81</v>
      </c>
      <c r="T1731" s="217">
        <f t="shared" si="882"/>
        <v>2.65</v>
      </c>
      <c r="U1731" s="217">
        <f t="shared" si="883"/>
        <v>0.1</v>
      </c>
      <c r="V1731" s="217">
        <f t="shared" si="884"/>
        <v>4.51</v>
      </c>
      <c r="W1731" s="217">
        <f t="shared" si="885"/>
        <v>0.01</v>
      </c>
      <c r="X1731" s="217">
        <f t="shared" si="886"/>
        <v>8.09</v>
      </c>
      <c r="Y1731" s="218">
        <f t="shared" si="887"/>
        <v>2091.91</v>
      </c>
      <c r="Z1731" s="219">
        <v>2091.84</v>
      </c>
      <c r="AA1731" s="220">
        <f t="shared" si="888"/>
        <v>-6.9999999999708962E-2</v>
      </c>
      <c r="AB1731" s="221">
        <f t="shared" si="889"/>
        <v>0.65625</v>
      </c>
      <c r="AC1731" s="222">
        <f t="shared" si="890"/>
        <v>9.5200000000000005E-4</v>
      </c>
      <c r="AD1731" s="217"/>
      <c r="AE1731" s="223" t="s">
        <v>405</v>
      </c>
      <c r="AF1731" s="119"/>
    </row>
    <row r="1732" spans="1:32">
      <c r="A1732" s="209">
        <v>44945</v>
      </c>
      <c r="B1732" s="152" t="s">
        <v>875</v>
      </c>
      <c r="C1732" s="152" t="str">
        <f t="shared" ca="1" si="874"/>
        <v>Indices</v>
      </c>
      <c r="D1732" s="152" t="str">
        <f ca="1">IFERROR(__xludf.DUMMYFUNCTION("split(B1732,"" "")"),"NIFTY")</f>
        <v>NIFTY</v>
      </c>
      <c r="E1732" s="224">
        <f ca="1">IFERROR(__xludf.DUMMYFUNCTION("""COMPUTED_VALUE"""),44945)</f>
        <v>44945</v>
      </c>
      <c r="F1732" s="152">
        <f ca="1">IFERROR(__xludf.DUMMYFUNCTION("""COMPUTED_VALUE"""),17950)</f>
        <v>17950</v>
      </c>
      <c r="G1732" s="152" t="str">
        <f ca="1">IFERROR(__xludf.DUMMYFUNCTION("""COMPUTED_VALUE"""),"CE")</f>
        <v>CE</v>
      </c>
      <c r="H1732" s="211">
        <v>50</v>
      </c>
      <c r="I1732" s="212">
        <v>1</v>
      </c>
      <c r="J1732" s="212">
        <v>5</v>
      </c>
      <c r="K1732" s="213">
        <f t="shared" si="875"/>
        <v>250</v>
      </c>
      <c r="L1732" s="214">
        <v>158.12</v>
      </c>
      <c r="M1732" s="215">
        <v>159.19999999999999</v>
      </c>
      <c r="N1732" s="216">
        <f t="shared" si="876"/>
        <v>39530</v>
      </c>
      <c r="O1732" s="216">
        <f t="shared" si="877"/>
        <v>39800</v>
      </c>
      <c r="P1732" s="217">
        <f t="shared" si="878"/>
        <v>79330</v>
      </c>
      <c r="Q1732" s="217">
        <f t="shared" si="879"/>
        <v>269.99999999999602</v>
      </c>
      <c r="R1732" s="217">
        <f t="shared" si="894"/>
        <v>0.01</v>
      </c>
      <c r="S1732" s="217">
        <f t="shared" si="881"/>
        <v>7.57</v>
      </c>
      <c r="T1732" s="217">
        <f t="shared" si="882"/>
        <v>19.899999999999999</v>
      </c>
      <c r="U1732" s="217">
        <f t="shared" si="883"/>
        <v>1.19</v>
      </c>
      <c r="V1732" s="217">
        <f t="shared" si="884"/>
        <v>42.04</v>
      </c>
      <c r="W1732" s="217">
        <f t="shared" si="885"/>
        <v>0.08</v>
      </c>
      <c r="X1732" s="217">
        <f t="shared" si="886"/>
        <v>70.789999999999992</v>
      </c>
      <c r="Y1732" s="218">
        <f t="shared" si="887"/>
        <v>199.21</v>
      </c>
      <c r="Z1732" s="219">
        <v>199</v>
      </c>
      <c r="AA1732" s="220">
        <f t="shared" si="888"/>
        <v>-0.21000000000000796</v>
      </c>
      <c r="AB1732" s="221">
        <f t="shared" si="889"/>
        <v>6.8302555021501647E-3</v>
      </c>
      <c r="AC1732" s="222">
        <f t="shared" si="890"/>
        <v>8.92E-4</v>
      </c>
      <c r="AD1732" s="217"/>
      <c r="AE1732" s="223" t="s">
        <v>405</v>
      </c>
      <c r="AF1732" s="119"/>
    </row>
    <row r="1733" spans="1:32">
      <c r="A1733" s="209">
        <v>44945</v>
      </c>
      <c r="B1733" s="152" t="s">
        <v>876</v>
      </c>
      <c r="C1733" s="152" t="str">
        <f t="shared" ca="1" si="874"/>
        <v>Stocks</v>
      </c>
      <c r="D1733" s="152" t="str">
        <f ca="1">IFERROR(__xludf.DUMMYFUNCTION("split(B1733,"" "")"),"INTELLECT")</f>
        <v>INTELLECT</v>
      </c>
      <c r="E1733" s="152" t="str">
        <f ca="1">IFERROR(__xludf.DUMMYFUNCTION("""COMPUTED_VALUE"""),"JAN")</f>
        <v>JAN</v>
      </c>
      <c r="F1733" s="152">
        <f ca="1">IFERROR(__xludf.DUMMYFUNCTION("""COMPUTED_VALUE"""),420)</f>
        <v>420</v>
      </c>
      <c r="G1733" s="152" t="str">
        <f ca="1">IFERROR(__xludf.DUMMYFUNCTION("""COMPUTED_VALUE"""),"PE")</f>
        <v>PE</v>
      </c>
      <c r="H1733" s="211">
        <v>1000</v>
      </c>
      <c r="I1733" s="212">
        <v>1</v>
      </c>
      <c r="J1733" s="212">
        <v>1</v>
      </c>
      <c r="K1733" s="213">
        <f t="shared" si="875"/>
        <v>1000</v>
      </c>
      <c r="L1733" s="214">
        <v>8</v>
      </c>
      <c r="M1733" s="215">
        <v>7.75</v>
      </c>
      <c r="N1733" s="216">
        <f t="shared" si="876"/>
        <v>8000</v>
      </c>
      <c r="O1733" s="216">
        <f t="shared" si="877"/>
        <v>7750</v>
      </c>
      <c r="P1733" s="217">
        <f t="shared" si="878"/>
        <v>15750</v>
      </c>
      <c r="Q1733" s="217">
        <f t="shared" si="879"/>
        <v>-250</v>
      </c>
      <c r="R1733" s="217">
        <f t="shared" si="894"/>
        <v>0.01</v>
      </c>
      <c r="S1733" s="217">
        <f t="shared" si="881"/>
        <v>1.5</v>
      </c>
      <c r="T1733" s="217">
        <f t="shared" si="882"/>
        <v>3.88</v>
      </c>
      <c r="U1733" s="217">
        <f t="shared" si="883"/>
        <v>0.24</v>
      </c>
      <c r="V1733" s="217">
        <f t="shared" si="884"/>
        <v>8.35</v>
      </c>
      <c r="W1733" s="217">
        <f t="shared" si="885"/>
        <v>0.02</v>
      </c>
      <c r="X1733" s="217">
        <f t="shared" si="886"/>
        <v>14</v>
      </c>
      <c r="Y1733" s="218">
        <f t="shared" si="887"/>
        <v>-264</v>
      </c>
      <c r="Z1733" s="219">
        <v>-263.58</v>
      </c>
      <c r="AA1733" s="220">
        <f t="shared" si="888"/>
        <v>0.42000000000001592</v>
      </c>
      <c r="AB1733" s="221">
        <f t="shared" si="889"/>
        <v>-3.125E-2</v>
      </c>
      <c r="AC1733" s="222">
        <f t="shared" si="890"/>
        <v>8.8900000000000003E-4</v>
      </c>
      <c r="AD1733" s="217"/>
      <c r="AE1733" s="223" t="s">
        <v>405</v>
      </c>
      <c r="AF1733" s="119"/>
    </row>
    <row r="1734" spans="1:32">
      <c r="A1734" s="209">
        <v>44946</v>
      </c>
      <c r="B1734" s="152" t="s">
        <v>877</v>
      </c>
      <c r="C1734" s="152" t="str">
        <f t="shared" ca="1" si="874"/>
        <v>Indices</v>
      </c>
      <c r="D1734" s="152" t="str">
        <f ca="1">IFERROR(__xludf.DUMMYFUNCTION("split(B1734,"" "")"),"NIFTY")</f>
        <v>NIFTY</v>
      </c>
      <c r="E1734" s="224">
        <f ca="1">IFERROR(__xludf.DUMMYFUNCTION("""COMPUTED_VALUE"""),44951)</f>
        <v>44951</v>
      </c>
      <c r="F1734" s="152">
        <f ca="1">IFERROR(__xludf.DUMMYFUNCTION("""COMPUTED_VALUE"""),17950)</f>
        <v>17950</v>
      </c>
      <c r="G1734" s="152" t="str">
        <f ca="1">IFERROR(__xludf.DUMMYFUNCTION("""COMPUTED_VALUE"""),"CE")</f>
        <v>CE</v>
      </c>
      <c r="H1734" s="211">
        <v>50</v>
      </c>
      <c r="I1734" s="212">
        <v>1</v>
      </c>
      <c r="J1734" s="212">
        <v>1</v>
      </c>
      <c r="K1734" s="213">
        <f t="shared" si="875"/>
        <v>50</v>
      </c>
      <c r="L1734" s="214">
        <v>190</v>
      </c>
      <c r="M1734" s="215">
        <v>230</v>
      </c>
      <c r="N1734" s="216">
        <f t="shared" si="876"/>
        <v>9500</v>
      </c>
      <c r="O1734" s="216">
        <f t="shared" si="877"/>
        <v>11500</v>
      </c>
      <c r="P1734" s="217">
        <f t="shared" si="878"/>
        <v>21000</v>
      </c>
      <c r="Q1734" s="217">
        <f t="shared" si="879"/>
        <v>2000</v>
      </c>
      <c r="R1734" s="217">
        <f t="shared" si="894"/>
        <v>0.01</v>
      </c>
      <c r="S1734" s="217">
        <f t="shared" si="881"/>
        <v>2.0099999999999998</v>
      </c>
      <c r="T1734" s="217">
        <f t="shared" si="882"/>
        <v>5.75</v>
      </c>
      <c r="U1734" s="217">
        <f t="shared" si="883"/>
        <v>0.28999999999999998</v>
      </c>
      <c r="V1734" s="217">
        <f t="shared" si="884"/>
        <v>11.13</v>
      </c>
      <c r="W1734" s="217">
        <f t="shared" si="885"/>
        <v>0.02</v>
      </c>
      <c r="X1734" s="217">
        <f t="shared" si="886"/>
        <v>19.209999999999997</v>
      </c>
      <c r="Y1734" s="218">
        <f t="shared" si="887"/>
        <v>1980.79</v>
      </c>
      <c r="Z1734" s="219">
        <v>1980.4</v>
      </c>
      <c r="AA1734" s="220">
        <f t="shared" si="888"/>
        <v>-0.38999999999987267</v>
      </c>
      <c r="AB1734" s="221">
        <f t="shared" si="889"/>
        <v>0.21052631578947367</v>
      </c>
      <c r="AC1734" s="222">
        <f t="shared" si="890"/>
        <v>9.1500000000000001E-4</v>
      </c>
      <c r="AD1734" s="217"/>
      <c r="AE1734" s="223" t="s">
        <v>405</v>
      </c>
      <c r="AF1734" s="119"/>
    </row>
    <row r="1735" spans="1:32">
      <c r="A1735" s="209">
        <v>44946</v>
      </c>
      <c r="B1735" s="152" t="s">
        <v>878</v>
      </c>
      <c r="C1735" s="152" t="str">
        <f t="shared" ca="1" si="874"/>
        <v>Indices</v>
      </c>
      <c r="D1735" s="152" t="str">
        <f ca="1">IFERROR(__xludf.DUMMYFUNCTION("split(B1735,"" "")"),"BANKNIFTY")</f>
        <v>BANKNIFTY</v>
      </c>
      <c r="E1735" s="224">
        <f ca="1">IFERROR(__xludf.DUMMYFUNCTION("""COMPUTED_VALUE"""),44951)</f>
        <v>44951</v>
      </c>
      <c r="F1735" s="152">
        <f ca="1">IFERROR(__xludf.DUMMYFUNCTION("""COMPUTED_VALUE"""),42700)</f>
        <v>42700</v>
      </c>
      <c r="G1735" s="152" t="str">
        <f ca="1">IFERROR(__xludf.DUMMYFUNCTION("""COMPUTED_VALUE"""),"PE")</f>
        <v>PE</v>
      </c>
      <c r="H1735" s="211">
        <v>25</v>
      </c>
      <c r="I1735" s="212">
        <v>1</v>
      </c>
      <c r="J1735" s="212">
        <v>1</v>
      </c>
      <c r="K1735" s="213">
        <f t="shared" si="875"/>
        <v>25</v>
      </c>
      <c r="L1735" s="214">
        <v>305</v>
      </c>
      <c r="M1735" s="215">
        <v>330</v>
      </c>
      <c r="N1735" s="216">
        <f t="shared" si="876"/>
        <v>7625</v>
      </c>
      <c r="O1735" s="216">
        <f t="shared" si="877"/>
        <v>8250</v>
      </c>
      <c r="P1735" s="217">
        <f t="shared" si="878"/>
        <v>15875</v>
      </c>
      <c r="Q1735" s="217">
        <f t="shared" si="879"/>
        <v>625</v>
      </c>
      <c r="R1735" s="217">
        <f t="shared" si="894"/>
        <v>0.01</v>
      </c>
      <c r="S1735" s="217">
        <f t="shared" si="881"/>
        <v>1.52</v>
      </c>
      <c r="T1735" s="217">
        <f t="shared" si="882"/>
        <v>4.13</v>
      </c>
      <c r="U1735" s="217">
        <f t="shared" si="883"/>
        <v>0.23</v>
      </c>
      <c r="V1735" s="217">
        <f t="shared" si="884"/>
        <v>8.41</v>
      </c>
      <c r="W1735" s="217">
        <f t="shared" si="885"/>
        <v>0.02</v>
      </c>
      <c r="X1735" s="217">
        <f t="shared" si="886"/>
        <v>14.32</v>
      </c>
      <c r="Y1735" s="218">
        <f t="shared" si="887"/>
        <v>610.67999999999995</v>
      </c>
      <c r="Z1735" s="219">
        <v>610.5</v>
      </c>
      <c r="AA1735" s="220">
        <f t="shared" si="888"/>
        <v>-0.17999999999994998</v>
      </c>
      <c r="AB1735" s="221">
        <f t="shared" si="889"/>
        <v>8.1967213114754092E-2</v>
      </c>
      <c r="AC1735" s="222">
        <f t="shared" si="890"/>
        <v>9.0200000000000002E-4</v>
      </c>
      <c r="AD1735" s="217"/>
      <c r="AE1735" s="223" t="s">
        <v>405</v>
      </c>
      <c r="AF1735" s="119"/>
    </row>
    <row r="1736" spans="1:32">
      <c r="A1736" s="209">
        <v>44949</v>
      </c>
      <c r="B1736" s="152" t="s">
        <v>879</v>
      </c>
      <c r="C1736" s="152" t="str">
        <f t="shared" ca="1" si="874"/>
        <v>Indices</v>
      </c>
      <c r="D1736" s="152" t="str">
        <f ca="1">IFERROR(__xludf.DUMMYFUNCTION("split(B1736,"" "")"),"BANKNIFTY")</f>
        <v>BANKNIFTY</v>
      </c>
      <c r="E1736" s="224">
        <f ca="1">IFERROR(__xludf.DUMMYFUNCTION("""COMPUTED_VALUE"""),44951)</f>
        <v>44951</v>
      </c>
      <c r="F1736" s="152">
        <f ca="1">IFERROR(__xludf.DUMMYFUNCTION("""COMPUTED_VALUE"""),43000)</f>
        <v>43000</v>
      </c>
      <c r="G1736" s="152" t="str">
        <f ca="1">IFERROR(__xludf.DUMMYFUNCTION("""COMPUTED_VALUE"""),"PE")</f>
        <v>PE</v>
      </c>
      <c r="H1736" s="211">
        <v>25</v>
      </c>
      <c r="I1736" s="212">
        <v>1</v>
      </c>
      <c r="J1736" s="212">
        <v>2</v>
      </c>
      <c r="K1736" s="213">
        <f t="shared" si="875"/>
        <v>50</v>
      </c>
      <c r="L1736" s="214">
        <v>252.5</v>
      </c>
      <c r="M1736" s="215">
        <v>255</v>
      </c>
      <c r="N1736" s="216">
        <f t="shared" si="876"/>
        <v>12625</v>
      </c>
      <c r="O1736" s="216">
        <f t="shared" si="877"/>
        <v>12750</v>
      </c>
      <c r="P1736" s="217">
        <f t="shared" si="878"/>
        <v>25375</v>
      </c>
      <c r="Q1736" s="217">
        <f t="shared" si="879"/>
        <v>125</v>
      </c>
      <c r="R1736" s="217">
        <f t="shared" si="894"/>
        <v>0.01</v>
      </c>
      <c r="S1736" s="217">
        <f t="shared" si="881"/>
        <v>2.42</v>
      </c>
      <c r="T1736" s="217">
        <f t="shared" si="882"/>
        <v>6.38</v>
      </c>
      <c r="U1736" s="217">
        <f t="shared" si="883"/>
        <v>0.38</v>
      </c>
      <c r="V1736" s="217">
        <f t="shared" si="884"/>
        <v>13.45</v>
      </c>
      <c r="W1736" s="217">
        <f t="shared" si="885"/>
        <v>0.03</v>
      </c>
      <c r="X1736" s="217">
        <f t="shared" si="886"/>
        <v>22.67</v>
      </c>
      <c r="Y1736" s="218">
        <f t="shared" si="887"/>
        <v>102.33</v>
      </c>
      <c r="Z1736" s="219">
        <v>103.1</v>
      </c>
      <c r="AA1736" s="220">
        <f t="shared" si="888"/>
        <v>0.76999999999999602</v>
      </c>
      <c r="AB1736" s="221">
        <f t="shared" si="889"/>
        <v>9.9009900990099011E-3</v>
      </c>
      <c r="AC1736" s="222">
        <f t="shared" si="890"/>
        <v>8.9300000000000002E-4</v>
      </c>
      <c r="AD1736" s="217"/>
      <c r="AE1736" s="223" t="s">
        <v>405</v>
      </c>
      <c r="AF1736" s="119"/>
    </row>
    <row r="1737" spans="1:32">
      <c r="A1737" s="209">
        <v>44950</v>
      </c>
      <c r="B1737" s="152" t="s">
        <v>880</v>
      </c>
      <c r="C1737" s="152" t="str">
        <f t="shared" ca="1" si="874"/>
        <v>Indices</v>
      </c>
      <c r="D1737" s="152" t="str">
        <f ca="1">IFERROR(__xludf.DUMMYFUNCTION("split(B1737,"" "")"),"NIFTY")</f>
        <v>NIFTY</v>
      </c>
      <c r="E1737" s="224">
        <f ca="1">IFERROR(__xludf.DUMMYFUNCTION("""COMPUTED_VALUE"""),44951)</f>
        <v>44951</v>
      </c>
      <c r="F1737" s="152">
        <f ca="1">IFERROR(__xludf.DUMMYFUNCTION("""COMPUTED_VALUE"""),18150)</f>
        <v>18150</v>
      </c>
      <c r="G1737" s="152" t="str">
        <f ca="1">IFERROR(__xludf.DUMMYFUNCTION("""COMPUTED_VALUE"""),"CE")</f>
        <v>CE</v>
      </c>
      <c r="H1737" s="211">
        <v>50</v>
      </c>
      <c r="I1737" s="212">
        <v>1</v>
      </c>
      <c r="J1737" s="212">
        <v>5</v>
      </c>
      <c r="K1737" s="213">
        <f t="shared" si="875"/>
        <v>250</v>
      </c>
      <c r="L1737" s="214">
        <v>55.8</v>
      </c>
      <c r="M1737" s="215">
        <v>58.55</v>
      </c>
      <c r="N1737" s="216">
        <f t="shared" si="876"/>
        <v>13950</v>
      </c>
      <c r="O1737" s="216">
        <f t="shared" si="877"/>
        <v>14637.5</v>
      </c>
      <c r="P1737" s="217">
        <f t="shared" si="878"/>
        <v>28587.5</v>
      </c>
      <c r="Q1737" s="217">
        <f t="shared" si="879"/>
        <v>687.5</v>
      </c>
      <c r="R1737" s="217">
        <f t="shared" si="894"/>
        <v>0.01</v>
      </c>
      <c r="S1737" s="217">
        <f t="shared" si="881"/>
        <v>2.73</v>
      </c>
      <c r="T1737" s="217">
        <f t="shared" si="882"/>
        <v>7.32</v>
      </c>
      <c r="U1737" s="217">
        <f t="shared" si="883"/>
        <v>0.42</v>
      </c>
      <c r="V1737" s="217">
        <f t="shared" si="884"/>
        <v>15.15</v>
      </c>
      <c r="W1737" s="217">
        <f t="shared" si="885"/>
        <v>0.03</v>
      </c>
      <c r="X1737" s="217">
        <f t="shared" si="886"/>
        <v>25.660000000000004</v>
      </c>
      <c r="Y1737" s="218">
        <f t="shared" si="887"/>
        <v>661.84</v>
      </c>
      <c r="Z1737" s="219">
        <v>661.62</v>
      </c>
      <c r="AA1737" s="220">
        <f t="shared" si="888"/>
        <v>-0.22000000000002728</v>
      </c>
      <c r="AB1737" s="221">
        <f t="shared" si="889"/>
        <v>4.9283154121863799E-2</v>
      </c>
      <c r="AC1737" s="222">
        <f t="shared" si="890"/>
        <v>8.9800000000000004E-4</v>
      </c>
      <c r="AD1737" s="217"/>
      <c r="AE1737" s="223" t="s">
        <v>405</v>
      </c>
      <c r="AF1737" s="119"/>
    </row>
    <row r="1738" spans="1:32">
      <c r="A1738" s="148">
        <v>44950</v>
      </c>
      <c r="B1738" s="152" t="s">
        <v>880</v>
      </c>
      <c r="C1738" s="152" t="str">
        <f t="shared" ca="1" si="874"/>
        <v>Indices</v>
      </c>
      <c r="D1738" s="152" t="str">
        <f ca="1">IFERROR(__xludf.DUMMYFUNCTION("split(B1738,"" "")"),"NIFTY")</f>
        <v>NIFTY</v>
      </c>
      <c r="E1738" s="224">
        <f ca="1">IFERROR(__xludf.DUMMYFUNCTION("""COMPUTED_VALUE"""),44951)</f>
        <v>44951</v>
      </c>
      <c r="F1738" s="152">
        <f ca="1">IFERROR(__xludf.DUMMYFUNCTION("""COMPUTED_VALUE"""),18150)</f>
        <v>18150</v>
      </c>
      <c r="G1738" s="152" t="str">
        <f ca="1">IFERROR(__xludf.DUMMYFUNCTION("""COMPUTED_VALUE"""),"CE")</f>
        <v>CE</v>
      </c>
      <c r="H1738" s="211">
        <v>50</v>
      </c>
      <c r="I1738" s="212">
        <v>1</v>
      </c>
      <c r="J1738" s="212">
        <v>3</v>
      </c>
      <c r="K1738" s="213">
        <f t="shared" si="875"/>
        <v>150</v>
      </c>
      <c r="L1738" s="214">
        <v>55</v>
      </c>
      <c r="M1738" s="215">
        <v>0</v>
      </c>
      <c r="N1738" s="216">
        <f t="shared" si="876"/>
        <v>8250</v>
      </c>
      <c r="O1738" s="216">
        <f t="shared" si="877"/>
        <v>0</v>
      </c>
      <c r="P1738" s="217">
        <f t="shared" si="878"/>
        <v>8250</v>
      </c>
      <c r="Q1738" s="217">
        <f t="shared" si="879"/>
        <v>-8250</v>
      </c>
      <c r="R1738" s="217">
        <f t="shared" si="894"/>
        <v>60</v>
      </c>
      <c r="S1738" s="217">
        <f t="shared" si="881"/>
        <v>11.59</v>
      </c>
      <c r="T1738" s="217">
        <f t="shared" si="882"/>
        <v>0</v>
      </c>
      <c r="U1738" s="217">
        <f t="shared" si="883"/>
        <v>0.25</v>
      </c>
      <c r="V1738" s="217">
        <f t="shared" si="884"/>
        <v>4.37</v>
      </c>
      <c r="W1738" s="217">
        <f t="shared" si="885"/>
        <v>0.01</v>
      </c>
      <c r="X1738" s="217">
        <f t="shared" si="886"/>
        <v>76.220000000000013</v>
      </c>
      <c r="Y1738" s="218">
        <f t="shared" si="887"/>
        <v>-8326.2199999999993</v>
      </c>
      <c r="Z1738" s="219">
        <v>-8326</v>
      </c>
      <c r="AA1738" s="220">
        <f t="shared" si="888"/>
        <v>0.21999999999934516</v>
      </c>
      <c r="AB1738" s="221">
        <f t="shared" si="889"/>
        <v>-1</v>
      </c>
      <c r="AC1738" s="222">
        <f t="shared" si="890"/>
        <v>9.2390000000000007E-3</v>
      </c>
      <c r="AD1738" s="217"/>
      <c r="AE1738" s="223" t="s">
        <v>405</v>
      </c>
      <c r="AF1738" s="119"/>
    </row>
    <row r="1739" spans="1:32">
      <c r="A1739" s="150">
        <v>44951</v>
      </c>
      <c r="B1739" s="152" t="s">
        <v>880</v>
      </c>
      <c r="C1739" s="152" t="str">
        <f t="shared" ca="1" si="874"/>
        <v>Indices</v>
      </c>
      <c r="D1739" s="152" t="str">
        <f ca="1">IFERROR(__xludf.DUMMYFUNCTION("split(B1739,"" "")"),"NIFTY")</f>
        <v>NIFTY</v>
      </c>
      <c r="E1739" s="224">
        <f ca="1">IFERROR(__xludf.DUMMYFUNCTION("""COMPUTED_VALUE"""),44951)</f>
        <v>44951</v>
      </c>
      <c r="F1739" s="152">
        <f ca="1">IFERROR(__xludf.DUMMYFUNCTION("""COMPUTED_VALUE"""),18150)</f>
        <v>18150</v>
      </c>
      <c r="G1739" s="152" t="str">
        <f ca="1">IFERROR(__xludf.DUMMYFUNCTION("""COMPUTED_VALUE"""),"CE")</f>
        <v>CE</v>
      </c>
      <c r="H1739" s="211">
        <v>50</v>
      </c>
      <c r="I1739" s="212">
        <v>3</v>
      </c>
      <c r="J1739" s="212">
        <v>1</v>
      </c>
      <c r="K1739" s="213">
        <f t="shared" si="875"/>
        <v>150</v>
      </c>
      <c r="L1739" s="214">
        <v>0</v>
      </c>
      <c r="M1739" s="215">
        <v>1.1499999999999999</v>
      </c>
      <c r="N1739" s="216">
        <f t="shared" si="876"/>
        <v>0</v>
      </c>
      <c r="O1739" s="216">
        <f t="shared" si="877"/>
        <v>172.5</v>
      </c>
      <c r="P1739" s="217">
        <f t="shared" si="878"/>
        <v>172.5</v>
      </c>
      <c r="Q1739" s="217">
        <f t="shared" si="879"/>
        <v>172.5</v>
      </c>
      <c r="R1739" s="217">
        <f>IF(AND(L1739&lt;&gt;0,M1739&lt;&gt;0,AE1739="Kotak"),0.01,IF(AND(L1739="",M1739=""),0,IF(L1739=0,0,L$1804*J1739)+IF(M1739=0,0,L$1804*J1739)))-15</f>
        <v>5</v>
      </c>
      <c r="S1739" s="217">
        <f t="shared" si="881"/>
        <v>0.92</v>
      </c>
      <c r="T1739" s="217">
        <f t="shared" si="882"/>
        <v>0.09</v>
      </c>
      <c r="U1739" s="217">
        <f t="shared" si="883"/>
        <v>0</v>
      </c>
      <c r="V1739" s="217">
        <f t="shared" si="884"/>
        <v>0.09</v>
      </c>
      <c r="W1739" s="217">
        <f t="shared" si="885"/>
        <v>0</v>
      </c>
      <c r="X1739" s="217">
        <f t="shared" si="886"/>
        <v>6.1</v>
      </c>
      <c r="Y1739" s="218">
        <f t="shared" si="887"/>
        <v>166.4</v>
      </c>
      <c r="Z1739" s="219">
        <v>166.98</v>
      </c>
      <c r="AA1739" s="220">
        <f t="shared" si="888"/>
        <v>0.57999999999998408</v>
      </c>
      <c r="AB1739" s="221">
        <f t="shared" si="889"/>
        <v>0</v>
      </c>
      <c r="AC1739" s="222">
        <f t="shared" si="890"/>
        <v>3.5361999999999998E-2</v>
      </c>
      <c r="AD1739" s="217"/>
      <c r="AE1739" s="223" t="s">
        <v>405</v>
      </c>
      <c r="AF1739" s="119"/>
    </row>
    <row r="1740" spans="1:32">
      <c r="A1740" s="209">
        <v>44951</v>
      </c>
      <c r="B1740" s="152" t="s">
        <v>880</v>
      </c>
      <c r="C1740" s="152" t="str">
        <f t="shared" ca="1" si="874"/>
        <v>Indices</v>
      </c>
      <c r="D1740" s="152" t="str">
        <f ca="1">IFERROR(__xludf.DUMMYFUNCTION("split(B1740,"" "")"),"NIFTY")</f>
        <v>NIFTY</v>
      </c>
      <c r="E1740" s="224">
        <f ca="1">IFERROR(__xludf.DUMMYFUNCTION("""COMPUTED_VALUE"""),44951)</f>
        <v>44951</v>
      </c>
      <c r="F1740" s="152">
        <f ca="1">IFERROR(__xludf.DUMMYFUNCTION("""COMPUTED_VALUE"""),18150)</f>
        <v>18150</v>
      </c>
      <c r="G1740" s="152" t="str">
        <f ca="1">IFERROR(__xludf.DUMMYFUNCTION("""COMPUTED_VALUE"""),"CE")</f>
        <v>CE</v>
      </c>
      <c r="H1740" s="211">
        <v>50</v>
      </c>
      <c r="I1740" s="212">
        <v>1</v>
      </c>
      <c r="J1740" s="212">
        <v>9</v>
      </c>
      <c r="K1740" s="213">
        <f t="shared" si="875"/>
        <v>450</v>
      </c>
      <c r="L1740" s="214">
        <v>5.9667000000000003</v>
      </c>
      <c r="M1740" s="215">
        <v>1.1499999999999999</v>
      </c>
      <c r="N1740" s="216">
        <f t="shared" si="876"/>
        <v>2685.02</v>
      </c>
      <c r="O1740" s="216">
        <f t="shared" si="877"/>
        <v>517.5</v>
      </c>
      <c r="P1740" s="217">
        <f t="shared" si="878"/>
        <v>3202.52</v>
      </c>
      <c r="Q1740" s="217">
        <f t="shared" si="879"/>
        <v>-2167.5150000000003</v>
      </c>
      <c r="R1740" s="217">
        <f t="shared" ref="R1740:R1776" si="895">IF(AND(L1740&lt;&gt;0,M1740&lt;&gt;0,AE1740="Kotak"),0.01,IF(AND(L1740="",M1740=""),0,IF(L1740=0,0,L$1804*J1740)+IF(M1740=0,0,L$1804*J1740)))</f>
        <v>0.01</v>
      </c>
      <c r="S1740" s="217">
        <f t="shared" si="881"/>
        <v>0.31</v>
      </c>
      <c r="T1740" s="217">
        <f t="shared" si="882"/>
        <v>0.26</v>
      </c>
      <c r="U1740" s="217">
        <f t="shared" si="883"/>
        <v>0.08</v>
      </c>
      <c r="V1740" s="217">
        <f t="shared" si="884"/>
        <v>1.7</v>
      </c>
      <c r="W1740" s="217">
        <f t="shared" si="885"/>
        <v>0</v>
      </c>
      <c r="X1740" s="217">
        <f t="shared" si="886"/>
        <v>2.36</v>
      </c>
      <c r="Y1740" s="218">
        <f t="shared" si="887"/>
        <v>-2169.88</v>
      </c>
      <c r="Z1740" s="219">
        <v>-2170</v>
      </c>
      <c r="AA1740" s="220">
        <f t="shared" si="888"/>
        <v>-0.11999999999989086</v>
      </c>
      <c r="AB1740" s="221">
        <f t="shared" si="889"/>
        <v>-0.80726364657180694</v>
      </c>
      <c r="AC1740" s="222">
        <f t="shared" si="890"/>
        <v>7.3700000000000002E-4</v>
      </c>
      <c r="AD1740" s="217"/>
      <c r="AE1740" s="223" t="s">
        <v>405</v>
      </c>
      <c r="AF1740" s="119"/>
    </row>
    <row r="1741" spans="1:32">
      <c r="A1741" s="209">
        <v>44953</v>
      </c>
      <c r="B1741" s="152" t="s">
        <v>881</v>
      </c>
      <c r="C1741" s="152" t="str">
        <f t="shared" ca="1" si="874"/>
        <v>Indices</v>
      </c>
      <c r="D1741" s="152" t="str">
        <f ca="1">IFERROR(__xludf.DUMMYFUNCTION("split(B1741,"" "")"),"NIFTY")</f>
        <v>NIFTY</v>
      </c>
      <c r="E1741" s="224">
        <f ca="1">IFERROR(__xludf.DUMMYFUNCTION("""COMPUTED_VALUE"""),44959)</f>
        <v>44959</v>
      </c>
      <c r="F1741" s="152">
        <f ca="1">IFERROR(__xludf.DUMMYFUNCTION("""COMPUTED_VALUE"""),17900)</f>
        <v>17900</v>
      </c>
      <c r="G1741" s="152" t="str">
        <f ca="1">IFERROR(__xludf.DUMMYFUNCTION("""COMPUTED_VALUE"""),"CE")</f>
        <v>CE</v>
      </c>
      <c r="H1741" s="211">
        <v>50</v>
      </c>
      <c r="I1741" s="212">
        <v>1</v>
      </c>
      <c r="J1741" s="212">
        <v>9</v>
      </c>
      <c r="K1741" s="213">
        <f t="shared" si="875"/>
        <v>450</v>
      </c>
      <c r="L1741" s="214">
        <v>89.111099999999993</v>
      </c>
      <c r="M1741" s="215">
        <v>85.916700000000006</v>
      </c>
      <c r="N1741" s="216">
        <f t="shared" si="876"/>
        <v>40100</v>
      </c>
      <c r="O1741" s="216">
        <f t="shared" si="877"/>
        <v>38662.519999999997</v>
      </c>
      <c r="P1741" s="217">
        <f t="shared" si="878"/>
        <v>78762.51999999999</v>
      </c>
      <c r="Q1741" s="217">
        <f t="shared" si="879"/>
        <v>-1437.4799999999943</v>
      </c>
      <c r="R1741" s="217">
        <f t="shared" si="895"/>
        <v>0.01</v>
      </c>
      <c r="S1741" s="217">
        <f t="shared" si="881"/>
        <v>7.52</v>
      </c>
      <c r="T1741" s="217">
        <f t="shared" si="882"/>
        <v>19.329999999999998</v>
      </c>
      <c r="U1741" s="217">
        <f t="shared" si="883"/>
        <v>1.2</v>
      </c>
      <c r="V1741" s="217">
        <f t="shared" si="884"/>
        <v>41.74</v>
      </c>
      <c r="W1741" s="217">
        <f t="shared" si="885"/>
        <v>0.08</v>
      </c>
      <c r="X1741" s="217">
        <f t="shared" si="886"/>
        <v>69.88</v>
      </c>
      <c r="Y1741" s="218">
        <f t="shared" si="887"/>
        <v>-1507.36</v>
      </c>
      <c r="Z1741" s="219">
        <v>-1506.85</v>
      </c>
      <c r="AA1741" s="220">
        <f t="shared" si="888"/>
        <v>0.50999999999999091</v>
      </c>
      <c r="AB1741" s="221">
        <f t="shared" si="889"/>
        <v>-3.5847386015883408E-2</v>
      </c>
      <c r="AC1741" s="222">
        <f t="shared" si="890"/>
        <v>8.8699999999999998E-4</v>
      </c>
      <c r="AD1741" s="217"/>
      <c r="AE1741" s="223" t="s">
        <v>405</v>
      </c>
      <c r="AF1741" s="119"/>
    </row>
    <row r="1742" spans="1:32">
      <c r="A1742" s="209">
        <v>44956</v>
      </c>
      <c r="B1742" s="152" t="s">
        <v>881</v>
      </c>
      <c r="C1742" s="152" t="str">
        <f t="shared" ca="1" si="874"/>
        <v>Indices</v>
      </c>
      <c r="D1742" s="152" t="str">
        <f ca="1">IFERROR(__xludf.DUMMYFUNCTION("split(B1742,"" "")"),"NIFTY")</f>
        <v>NIFTY</v>
      </c>
      <c r="E1742" s="224">
        <f ca="1">IFERROR(__xludf.DUMMYFUNCTION("""COMPUTED_VALUE"""),44959)</f>
        <v>44959</v>
      </c>
      <c r="F1742" s="152">
        <f ca="1">IFERROR(__xludf.DUMMYFUNCTION("""COMPUTED_VALUE"""),17900)</f>
        <v>17900</v>
      </c>
      <c r="G1742" s="152" t="str">
        <f ca="1">IFERROR(__xludf.DUMMYFUNCTION("""COMPUTED_VALUE"""),"CE")</f>
        <v>CE</v>
      </c>
      <c r="H1742" s="211">
        <v>50</v>
      </c>
      <c r="I1742" s="212">
        <v>1</v>
      </c>
      <c r="J1742" s="212">
        <v>1</v>
      </c>
      <c r="K1742" s="213">
        <f t="shared" si="875"/>
        <v>50</v>
      </c>
      <c r="L1742" s="214">
        <v>90</v>
      </c>
      <c r="M1742" s="215">
        <v>72.05</v>
      </c>
      <c r="N1742" s="216">
        <f t="shared" si="876"/>
        <v>4500</v>
      </c>
      <c r="O1742" s="216">
        <f t="shared" si="877"/>
        <v>3602.5</v>
      </c>
      <c r="P1742" s="217">
        <f t="shared" si="878"/>
        <v>8102.5</v>
      </c>
      <c r="Q1742" s="217">
        <f t="shared" si="879"/>
        <v>-897.50000000000011</v>
      </c>
      <c r="R1742" s="217">
        <f t="shared" si="895"/>
        <v>0.01</v>
      </c>
      <c r="S1742" s="217">
        <f t="shared" si="881"/>
        <v>0.77</v>
      </c>
      <c r="T1742" s="217">
        <f t="shared" si="882"/>
        <v>1.8</v>
      </c>
      <c r="U1742" s="217">
        <f t="shared" si="883"/>
        <v>0.14000000000000001</v>
      </c>
      <c r="V1742" s="217">
        <f t="shared" si="884"/>
        <v>4.29</v>
      </c>
      <c r="W1742" s="217">
        <f t="shared" si="885"/>
        <v>0.01</v>
      </c>
      <c r="X1742" s="217">
        <f t="shared" si="886"/>
        <v>7.02</v>
      </c>
      <c r="Y1742" s="218">
        <f t="shared" si="887"/>
        <v>-904.52</v>
      </c>
      <c r="Z1742" s="219">
        <v>-904.57</v>
      </c>
      <c r="AA1742" s="220">
        <f t="shared" si="888"/>
        <v>-5.0000000000068212E-2</v>
      </c>
      <c r="AB1742" s="221">
        <f t="shared" si="889"/>
        <v>-0.19944444444444448</v>
      </c>
      <c r="AC1742" s="222">
        <f t="shared" si="890"/>
        <v>8.6600000000000002E-4</v>
      </c>
      <c r="AD1742" s="217"/>
      <c r="AE1742" s="223" t="s">
        <v>405</v>
      </c>
      <c r="AF1742" s="119"/>
    </row>
    <row r="1743" spans="1:32">
      <c r="A1743" s="209">
        <v>44957</v>
      </c>
      <c r="B1743" s="152" t="s">
        <v>881</v>
      </c>
      <c r="C1743" s="152" t="str">
        <f t="shared" ca="1" si="874"/>
        <v>Indices</v>
      </c>
      <c r="D1743" s="152" t="str">
        <f ca="1">IFERROR(__xludf.DUMMYFUNCTION("split(B1743,"" "")"),"NIFTY")</f>
        <v>NIFTY</v>
      </c>
      <c r="E1743" s="224">
        <f ca="1">IFERROR(__xludf.DUMMYFUNCTION("""COMPUTED_VALUE"""),44959)</f>
        <v>44959</v>
      </c>
      <c r="F1743" s="152">
        <f ca="1">IFERROR(__xludf.DUMMYFUNCTION("""COMPUTED_VALUE"""),17900)</f>
        <v>17900</v>
      </c>
      <c r="G1743" s="152" t="str">
        <f ca="1">IFERROR(__xludf.DUMMYFUNCTION("""COMPUTED_VALUE"""),"CE")</f>
        <v>CE</v>
      </c>
      <c r="H1743" s="211">
        <v>50</v>
      </c>
      <c r="I1743" s="212">
        <v>1</v>
      </c>
      <c r="J1743" s="212">
        <v>1</v>
      </c>
      <c r="K1743" s="213">
        <f t="shared" si="875"/>
        <v>50</v>
      </c>
      <c r="L1743" s="214">
        <v>52</v>
      </c>
      <c r="M1743" s="215">
        <v>56</v>
      </c>
      <c r="N1743" s="216">
        <f t="shared" si="876"/>
        <v>2600</v>
      </c>
      <c r="O1743" s="216">
        <f t="shared" si="877"/>
        <v>2800</v>
      </c>
      <c r="P1743" s="217">
        <f t="shared" si="878"/>
        <v>5400</v>
      </c>
      <c r="Q1743" s="217">
        <f t="shared" si="879"/>
        <v>200</v>
      </c>
      <c r="R1743" s="217">
        <f t="shared" si="895"/>
        <v>0.01</v>
      </c>
      <c r="S1743" s="217">
        <f t="shared" si="881"/>
        <v>0.52</v>
      </c>
      <c r="T1743" s="217">
        <f t="shared" si="882"/>
        <v>1.4</v>
      </c>
      <c r="U1743" s="217">
        <f t="shared" si="883"/>
        <v>0.08</v>
      </c>
      <c r="V1743" s="217">
        <f t="shared" si="884"/>
        <v>2.86</v>
      </c>
      <c r="W1743" s="217">
        <f t="shared" si="885"/>
        <v>0.01</v>
      </c>
      <c r="X1743" s="217">
        <f t="shared" si="886"/>
        <v>4.879999999999999</v>
      </c>
      <c r="Y1743" s="218">
        <f t="shared" si="887"/>
        <v>195.12</v>
      </c>
      <c r="Z1743" s="219">
        <v>195.61</v>
      </c>
      <c r="AA1743" s="220">
        <f t="shared" si="888"/>
        <v>0.49000000000000909</v>
      </c>
      <c r="AB1743" s="221">
        <f t="shared" si="889"/>
        <v>7.6923076923076927E-2</v>
      </c>
      <c r="AC1743" s="222">
        <f t="shared" si="890"/>
        <v>9.0399999999999996E-4</v>
      </c>
      <c r="AD1743" s="217"/>
      <c r="AE1743" s="223" t="s">
        <v>405</v>
      </c>
      <c r="AF1743" s="119"/>
    </row>
    <row r="1744" spans="1:32">
      <c r="A1744" s="209">
        <v>44958</v>
      </c>
      <c r="B1744" s="152" t="s">
        <v>881</v>
      </c>
      <c r="C1744" s="152" t="str">
        <f t="shared" ca="1" si="874"/>
        <v>Indices</v>
      </c>
      <c r="D1744" s="152" t="str">
        <f ca="1">IFERROR(__xludf.DUMMYFUNCTION("split(B1744,"" "")"),"NIFTY")</f>
        <v>NIFTY</v>
      </c>
      <c r="E1744" s="224">
        <f ca="1">IFERROR(__xludf.DUMMYFUNCTION("""COMPUTED_VALUE"""),44959)</f>
        <v>44959</v>
      </c>
      <c r="F1744" s="152">
        <f ca="1">IFERROR(__xludf.DUMMYFUNCTION("""COMPUTED_VALUE"""),17900)</f>
        <v>17900</v>
      </c>
      <c r="G1744" s="152" t="str">
        <f ca="1">IFERROR(__xludf.DUMMYFUNCTION("""COMPUTED_VALUE"""),"CE")</f>
        <v>CE</v>
      </c>
      <c r="H1744" s="211">
        <v>50</v>
      </c>
      <c r="I1744" s="212">
        <v>1</v>
      </c>
      <c r="J1744" s="212">
        <v>3</v>
      </c>
      <c r="K1744" s="213">
        <f t="shared" si="875"/>
        <v>150</v>
      </c>
      <c r="L1744" s="214">
        <v>58.666699999999999</v>
      </c>
      <c r="M1744" s="215">
        <v>56.666699999999999</v>
      </c>
      <c r="N1744" s="216">
        <f t="shared" si="876"/>
        <v>8800.01</v>
      </c>
      <c r="O1744" s="216">
        <f t="shared" si="877"/>
        <v>8500.01</v>
      </c>
      <c r="P1744" s="217">
        <f t="shared" si="878"/>
        <v>17300.02</v>
      </c>
      <c r="Q1744" s="217">
        <f t="shared" si="879"/>
        <v>-300</v>
      </c>
      <c r="R1744" s="217">
        <f t="shared" si="895"/>
        <v>0.01</v>
      </c>
      <c r="S1744" s="217">
        <f t="shared" si="881"/>
        <v>1.65</v>
      </c>
      <c r="T1744" s="217">
        <f t="shared" si="882"/>
        <v>4.25</v>
      </c>
      <c r="U1744" s="217">
        <f t="shared" si="883"/>
        <v>0.26</v>
      </c>
      <c r="V1744" s="217">
        <f t="shared" si="884"/>
        <v>9.17</v>
      </c>
      <c r="W1744" s="217">
        <f t="shared" si="885"/>
        <v>0.02</v>
      </c>
      <c r="X1744" s="217">
        <f t="shared" si="886"/>
        <v>15.36</v>
      </c>
      <c r="Y1744" s="218">
        <f t="shared" si="887"/>
        <v>-315.36</v>
      </c>
      <c r="Z1744" s="219">
        <v>-314.83999999999997</v>
      </c>
      <c r="AA1744" s="220">
        <f t="shared" si="888"/>
        <v>0.52000000000003865</v>
      </c>
      <c r="AB1744" s="221">
        <f t="shared" si="889"/>
        <v>-3.4090889721085385E-2</v>
      </c>
      <c r="AC1744" s="222">
        <f t="shared" si="890"/>
        <v>8.8800000000000001E-4</v>
      </c>
      <c r="AD1744" s="217"/>
      <c r="AE1744" s="223" t="s">
        <v>405</v>
      </c>
      <c r="AF1744" s="119"/>
    </row>
    <row r="1745" spans="1:32">
      <c r="A1745" s="209">
        <v>44959</v>
      </c>
      <c r="B1745" s="152" t="s">
        <v>881</v>
      </c>
      <c r="C1745" s="152" t="str">
        <f t="shared" ca="1" si="874"/>
        <v>Indices</v>
      </c>
      <c r="D1745" s="152" t="str">
        <f ca="1">IFERROR(__xludf.DUMMYFUNCTION("split(B1745,"" "")"),"NIFTY")</f>
        <v>NIFTY</v>
      </c>
      <c r="E1745" s="224">
        <f ca="1">IFERROR(__xludf.DUMMYFUNCTION("""COMPUTED_VALUE"""),44959)</f>
        <v>44959</v>
      </c>
      <c r="F1745" s="152">
        <f ca="1">IFERROR(__xludf.DUMMYFUNCTION("""COMPUTED_VALUE"""),17900)</f>
        <v>17900</v>
      </c>
      <c r="G1745" s="152" t="str">
        <f ca="1">IFERROR(__xludf.DUMMYFUNCTION("""COMPUTED_VALUE"""),"CE")</f>
        <v>CE</v>
      </c>
      <c r="H1745" s="211">
        <v>50</v>
      </c>
      <c r="I1745" s="212">
        <v>1</v>
      </c>
      <c r="J1745" s="212">
        <v>21</v>
      </c>
      <c r="K1745" s="213">
        <f t="shared" si="875"/>
        <v>1050</v>
      </c>
      <c r="L1745" s="214">
        <v>2.0357099999999999</v>
      </c>
      <c r="M1745" s="215">
        <v>0.95</v>
      </c>
      <c r="N1745" s="216">
        <f t="shared" si="876"/>
        <v>2137.5</v>
      </c>
      <c r="O1745" s="216">
        <f t="shared" si="877"/>
        <v>997.5</v>
      </c>
      <c r="P1745" s="217">
        <f t="shared" si="878"/>
        <v>3135</v>
      </c>
      <c r="Q1745" s="217">
        <f t="shared" si="879"/>
        <v>-1139.9955</v>
      </c>
      <c r="R1745" s="217">
        <f t="shared" si="895"/>
        <v>0.01</v>
      </c>
      <c r="S1745" s="217">
        <f t="shared" si="881"/>
        <v>0.3</v>
      </c>
      <c r="T1745" s="217">
        <f t="shared" si="882"/>
        <v>0.5</v>
      </c>
      <c r="U1745" s="217">
        <f t="shared" si="883"/>
        <v>0.06</v>
      </c>
      <c r="V1745" s="217">
        <f t="shared" si="884"/>
        <v>1.66</v>
      </c>
      <c r="W1745" s="217">
        <f t="shared" si="885"/>
        <v>0</v>
      </c>
      <c r="X1745" s="217">
        <f t="shared" si="886"/>
        <v>2.5300000000000002</v>
      </c>
      <c r="Y1745" s="218">
        <f t="shared" si="887"/>
        <v>-1142.53</v>
      </c>
      <c r="Z1745" s="219">
        <v>-1142.96</v>
      </c>
      <c r="AA1745" s="220">
        <f t="shared" si="888"/>
        <v>-0.43000000000006366</v>
      </c>
      <c r="AB1745" s="221">
        <f t="shared" si="889"/>
        <v>-0.53333235087512465</v>
      </c>
      <c r="AC1745" s="222">
        <f t="shared" si="890"/>
        <v>8.0699999999999999E-4</v>
      </c>
      <c r="AD1745" s="217"/>
      <c r="AE1745" s="223" t="s">
        <v>405</v>
      </c>
      <c r="AF1745" s="119"/>
    </row>
    <row r="1746" spans="1:32">
      <c r="A1746" s="209">
        <v>44960</v>
      </c>
      <c r="B1746" s="152" t="s">
        <v>882</v>
      </c>
      <c r="C1746" s="152" t="str">
        <f t="shared" ca="1" si="874"/>
        <v>Indices</v>
      </c>
      <c r="D1746" s="152" t="str">
        <f ca="1">IFERROR(__xludf.DUMMYFUNCTION("split(B1746,"" "")"),"NIFTY")</f>
        <v>NIFTY</v>
      </c>
      <c r="E1746" s="224">
        <f ca="1">IFERROR(__xludf.DUMMYFUNCTION("""COMPUTED_VALUE"""),44966)</f>
        <v>44966</v>
      </c>
      <c r="F1746" s="152">
        <f ca="1">IFERROR(__xludf.DUMMYFUNCTION("""COMPUTED_VALUE"""),18100)</f>
        <v>18100</v>
      </c>
      <c r="G1746" s="152" t="str">
        <f ca="1">IFERROR(__xludf.DUMMYFUNCTION("""COMPUTED_VALUE"""),"CE")</f>
        <v>CE</v>
      </c>
      <c r="H1746" s="211">
        <v>50</v>
      </c>
      <c r="I1746" s="212">
        <v>1</v>
      </c>
      <c r="J1746" s="212">
        <v>2</v>
      </c>
      <c r="K1746" s="213">
        <f t="shared" si="875"/>
        <v>100</v>
      </c>
      <c r="L1746" s="214">
        <v>12.5</v>
      </c>
      <c r="M1746" s="215">
        <v>15</v>
      </c>
      <c r="N1746" s="216">
        <f t="shared" si="876"/>
        <v>1250</v>
      </c>
      <c r="O1746" s="216">
        <f t="shared" si="877"/>
        <v>1500</v>
      </c>
      <c r="P1746" s="217">
        <f t="shared" si="878"/>
        <v>2750</v>
      </c>
      <c r="Q1746" s="217">
        <f t="shared" si="879"/>
        <v>250</v>
      </c>
      <c r="R1746" s="217">
        <f t="shared" si="895"/>
        <v>0.01</v>
      </c>
      <c r="S1746" s="217">
        <f t="shared" si="881"/>
        <v>0.26</v>
      </c>
      <c r="T1746" s="217">
        <f t="shared" si="882"/>
        <v>0.75</v>
      </c>
      <c r="U1746" s="217">
        <f t="shared" si="883"/>
        <v>0.04</v>
      </c>
      <c r="V1746" s="217">
        <f t="shared" si="884"/>
        <v>1.46</v>
      </c>
      <c r="W1746" s="217">
        <f t="shared" si="885"/>
        <v>0</v>
      </c>
      <c r="X1746" s="217">
        <f t="shared" si="886"/>
        <v>2.52</v>
      </c>
      <c r="Y1746" s="218">
        <f t="shared" si="887"/>
        <v>247.48</v>
      </c>
      <c r="Z1746" s="219">
        <v>247.28</v>
      </c>
      <c r="AA1746" s="220">
        <f t="shared" si="888"/>
        <v>-0.19999999999998863</v>
      </c>
      <c r="AB1746" s="221">
        <f t="shared" si="889"/>
        <v>0.2</v>
      </c>
      <c r="AC1746" s="222">
        <f t="shared" si="890"/>
        <v>9.1600000000000004E-4</v>
      </c>
      <c r="AD1746" s="217"/>
      <c r="AE1746" s="223" t="s">
        <v>405</v>
      </c>
      <c r="AF1746" s="119"/>
    </row>
    <row r="1747" spans="1:32">
      <c r="A1747" s="209">
        <v>44963</v>
      </c>
      <c r="B1747" s="152" t="s">
        <v>882</v>
      </c>
      <c r="C1747" s="152" t="str">
        <f t="shared" ca="1" si="874"/>
        <v>Indices</v>
      </c>
      <c r="D1747" s="152" t="str">
        <f ca="1">IFERROR(__xludf.DUMMYFUNCTION("split(B1747,"" "")"),"NIFTY")</f>
        <v>NIFTY</v>
      </c>
      <c r="E1747" s="224">
        <f ca="1">IFERROR(__xludf.DUMMYFUNCTION("""COMPUTED_VALUE"""),44966)</f>
        <v>44966</v>
      </c>
      <c r="F1747" s="152">
        <f ca="1">IFERROR(__xludf.DUMMYFUNCTION("""COMPUTED_VALUE"""),18100)</f>
        <v>18100</v>
      </c>
      <c r="G1747" s="152" t="str">
        <f ca="1">IFERROR(__xludf.DUMMYFUNCTION("""COMPUTED_VALUE"""),"CE")</f>
        <v>CE</v>
      </c>
      <c r="H1747" s="211">
        <v>50</v>
      </c>
      <c r="I1747" s="212">
        <v>1</v>
      </c>
      <c r="J1747" s="212">
        <v>2</v>
      </c>
      <c r="K1747" s="213">
        <f t="shared" si="875"/>
        <v>100</v>
      </c>
      <c r="L1747" s="214">
        <v>12.9</v>
      </c>
      <c r="M1747" s="215">
        <v>12</v>
      </c>
      <c r="N1747" s="216">
        <f t="shared" si="876"/>
        <v>1290</v>
      </c>
      <c r="O1747" s="216">
        <f t="shared" si="877"/>
        <v>1200</v>
      </c>
      <c r="P1747" s="217">
        <f t="shared" si="878"/>
        <v>2490</v>
      </c>
      <c r="Q1747" s="217">
        <f t="shared" si="879"/>
        <v>-90.000000000000028</v>
      </c>
      <c r="R1747" s="217">
        <f t="shared" si="895"/>
        <v>0.01</v>
      </c>
      <c r="S1747" s="217">
        <f t="shared" si="881"/>
        <v>0.24</v>
      </c>
      <c r="T1747" s="217">
        <f t="shared" si="882"/>
        <v>0.6</v>
      </c>
      <c r="U1747" s="217">
        <f t="shared" si="883"/>
        <v>0.04</v>
      </c>
      <c r="V1747" s="217">
        <f t="shared" si="884"/>
        <v>1.32</v>
      </c>
      <c r="W1747" s="217">
        <f t="shared" si="885"/>
        <v>0</v>
      </c>
      <c r="X1747" s="217">
        <f t="shared" si="886"/>
        <v>2.21</v>
      </c>
      <c r="Y1747" s="218">
        <f t="shared" si="887"/>
        <v>-92.21</v>
      </c>
      <c r="Z1747" s="219">
        <v>-92.56</v>
      </c>
      <c r="AA1747" s="220">
        <f t="shared" si="888"/>
        <v>-0.35000000000000853</v>
      </c>
      <c r="AB1747" s="221">
        <f t="shared" si="889"/>
        <v>-6.9767441860465143E-2</v>
      </c>
      <c r="AC1747" s="222">
        <f t="shared" si="890"/>
        <v>8.8800000000000001E-4</v>
      </c>
      <c r="AD1747" s="217"/>
      <c r="AE1747" s="223" t="s">
        <v>405</v>
      </c>
      <c r="AF1747" s="119"/>
    </row>
    <row r="1748" spans="1:32">
      <c r="A1748" s="209">
        <v>44964</v>
      </c>
      <c r="B1748" s="152" t="s">
        <v>882</v>
      </c>
      <c r="C1748" s="152" t="str">
        <f t="shared" ca="1" si="874"/>
        <v>Indices</v>
      </c>
      <c r="D1748" s="152" t="str">
        <f ca="1">IFERROR(__xludf.DUMMYFUNCTION("split(B1748,"" "")"),"NIFTY")</f>
        <v>NIFTY</v>
      </c>
      <c r="E1748" s="224">
        <f ca="1">IFERROR(__xludf.DUMMYFUNCTION("""COMPUTED_VALUE"""),44966)</f>
        <v>44966</v>
      </c>
      <c r="F1748" s="152">
        <f ca="1">IFERROR(__xludf.DUMMYFUNCTION("""COMPUTED_VALUE"""),18100)</f>
        <v>18100</v>
      </c>
      <c r="G1748" s="152" t="str">
        <f ca="1">IFERROR(__xludf.DUMMYFUNCTION("""COMPUTED_VALUE"""),"CE")</f>
        <v>CE</v>
      </c>
      <c r="H1748" s="211">
        <v>50</v>
      </c>
      <c r="I1748" s="212">
        <v>1</v>
      </c>
      <c r="J1748" s="212">
        <v>11</v>
      </c>
      <c r="K1748" s="213">
        <f t="shared" si="875"/>
        <v>550</v>
      </c>
      <c r="L1748" s="214">
        <v>7.7181899999999999</v>
      </c>
      <c r="M1748" s="215">
        <v>5.75</v>
      </c>
      <c r="N1748" s="216">
        <f t="shared" si="876"/>
        <v>4245</v>
      </c>
      <c r="O1748" s="216">
        <f t="shared" si="877"/>
        <v>3162.5</v>
      </c>
      <c r="P1748" s="217">
        <f t="shared" si="878"/>
        <v>7407.5</v>
      </c>
      <c r="Q1748" s="217">
        <f t="shared" si="879"/>
        <v>-1082.5045</v>
      </c>
      <c r="R1748" s="217">
        <f t="shared" si="895"/>
        <v>0.01</v>
      </c>
      <c r="S1748" s="217">
        <f t="shared" si="881"/>
        <v>0.71</v>
      </c>
      <c r="T1748" s="217">
        <f t="shared" si="882"/>
        <v>1.58</v>
      </c>
      <c r="U1748" s="217">
        <f t="shared" si="883"/>
        <v>0.13</v>
      </c>
      <c r="V1748" s="217">
        <f t="shared" si="884"/>
        <v>3.93</v>
      </c>
      <c r="W1748" s="217">
        <f t="shared" si="885"/>
        <v>0.01</v>
      </c>
      <c r="X1748" s="217">
        <f t="shared" si="886"/>
        <v>6.3699999999999992</v>
      </c>
      <c r="Y1748" s="218">
        <f t="shared" si="887"/>
        <v>-1088.8699999999999</v>
      </c>
      <c r="Z1748" s="219">
        <v>-1089.1400000000001</v>
      </c>
      <c r="AA1748" s="220">
        <f t="shared" si="888"/>
        <v>-0.27000000000020918</v>
      </c>
      <c r="AB1748" s="221">
        <f t="shared" si="889"/>
        <v>-0.25500667902707758</v>
      </c>
      <c r="AC1748" s="222">
        <f t="shared" si="890"/>
        <v>8.5999999999999998E-4</v>
      </c>
      <c r="AD1748" s="217"/>
      <c r="AE1748" s="223" t="s">
        <v>405</v>
      </c>
      <c r="AF1748" s="119"/>
    </row>
    <row r="1749" spans="1:32">
      <c r="A1749" s="209">
        <v>44965</v>
      </c>
      <c r="B1749" s="152" t="s">
        <v>883</v>
      </c>
      <c r="C1749" s="152" t="str">
        <f t="shared" ca="1" si="874"/>
        <v>Indices</v>
      </c>
      <c r="D1749" s="152" t="str">
        <f ca="1">IFERROR(__xludf.DUMMYFUNCTION("split(B1749,"" "")"),"NIFTY")</f>
        <v>NIFTY</v>
      </c>
      <c r="E1749" s="224">
        <f ca="1">IFERROR(__xludf.DUMMYFUNCTION("""COMPUTED_VALUE"""),44966)</f>
        <v>44966</v>
      </c>
      <c r="F1749" s="152">
        <f ca="1">IFERROR(__xludf.DUMMYFUNCTION("""COMPUTED_VALUE"""),17700)</f>
        <v>17700</v>
      </c>
      <c r="G1749" s="152" t="str">
        <f ca="1">IFERROR(__xludf.DUMMYFUNCTION("""COMPUTED_VALUE"""),"PE")</f>
        <v>PE</v>
      </c>
      <c r="H1749" s="211">
        <v>50</v>
      </c>
      <c r="I1749" s="212">
        <v>1</v>
      </c>
      <c r="J1749" s="212">
        <v>2</v>
      </c>
      <c r="K1749" s="213">
        <f t="shared" si="875"/>
        <v>100</v>
      </c>
      <c r="L1749" s="214">
        <v>26</v>
      </c>
      <c r="M1749" s="215">
        <v>13</v>
      </c>
      <c r="N1749" s="216">
        <f t="shared" si="876"/>
        <v>2600</v>
      </c>
      <c r="O1749" s="216">
        <f t="shared" si="877"/>
        <v>1300</v>
      </c>
      <c r="P1749" s="217">
        <f t="shared" si="878"/>
        <v>3900</v>
      </c>
      <c r="Q1749" s="217">
        <f t="shared" si="879"/>
        <v>-1300</v>
      </c>
      <c r="R1749" s="217">
        <f t="shared" si="895"/>
        <v>0.01</v>
      </c>
      <c r="S1749" s="217">
        <f t="shared" si="881"/>
        <v>0.37</v>
      </c>
      <c r="T1749" s="217">
        <f t="shared" si="882"/>
        <v>0.65</v>
      </c>
      <c r="U1749" s="217">
        <f t="shared" si="883"/>
        <v>0.08</v>
      </c>
      <c r="V1749" s="217">
        <f t="shared" si="884"/>
        <v>2.0699999999999998</v>
      </c>
      <c r="W1749" s="217">
        <f t="shared" si="885"/>
        <v>0</v>
      </c>
      <c r="X1749" s="217">
        <f t="shared" si="886"/>
        <v>3.1799999999999997</v>
      </c>
      <c r="Y1749" s="218">
        <f t="shared" si="887"/>
        <v>-1303.18</v>
      </c>
      <c r="Z1749" s="219">
        <v>-1303.44</v>
      </c>
      <c r="AA1749" s="220">
        <f t="shared" si="888"/>
        <v>-0.25999999999999091</v>
      </c>
      <c r="AB1749" s="221">
        <f t="shared" si="889"/>
        <v>-0.5</v>
      </c>
      <c r="AC1749" s="222">
        <f t="shared" si="890"/>
        <v>8.1499999999999997E-4</v>
      </c>
      <c r="AD1749" s="217"/>
      <c r="AE1749" s="223" t="s">
        <v>405</v>
      </c>
      <c r="AF1749" s="119"/>
    </row>
    <row r="1750" spans="1:32">
      <c r="A1750" s="209">
        <v>44970</v>
      </c>
      <c r="B1750" s="152" t="s">
        <v>884</v>
      </c>
      <c r="C1750" s="152" t="str">
        <f t="shared" ca="1" si="874"/>
        <v>Indices</v>
      </c>
      <c r="D1750" s="152" t="str">
        <f ca="1">IFERROR(__xludf.DUMMYFUNCTION("split(B1750,"" "")"),"NIFTY")</f>
        <v>NIFTY</v>
      </c>
      <c r="E1750" s="224">
        <f ca="1">IFERROR(__xludf.DUMMYFUNCTION("""COMPUTED_VALUE"""),44973)</f>
        <v>44973</v>
      </c>
      <c r="F1750" s="152">
        <f ca="1">IFERROR(__xludf.DUMMYFUNCTION("""COMPUTED_VALUE"""),18000)</f>
        <v>18000</v>
      </c>
      <c r="G1750" s="152" t="str">
        <f ca="1">IFERROR(__xludf.DUMMYFUNCTION("""COMPUTED_VALUE"""),"CE")</f>
        <v>CE</v>
      </c>
      <c r="H1750" s="211">
        <v>50</v>
      </c>
      <c r="I1750" s="212">
        <v>1</v>
      </c>
      <c r="J1750" s="212">
        <v>1</v>
      </c>
      <c r="K1750" s="213">
        <f t="shared" si="875"/>
        <v>50</v>
      </c>
      <c r="L1750" s="214">
        <v>19.5</v>
      </c>
      <c r="M1750" s="215">
        <v>21</v>
      </c>
      <c r="N1750" s="216">
        <f t="shared" si="876"/>
        <v>975</v>
      </c>
      <c r="O1750" s="216">
        <f t="shared" si="877"/>
        <v>1050</v>
      </c>
      <c r="P1750" s="217">
        <f t="shared" si="878"/>
        <v>2025</v>
      </c>
      <c r="Q1750" s="217">
        <f t="shared" si="879"/>
        <v>75</v>
      </c>
      <c r="R1750" s="217">
        <f t="shared" si="895"/>
        <v>0.01</v>
      </c>
      <c r="S1750" s="217">
        <f t="shared" si="881"/>
        <v>0.19</v>
      </c>
      <c r="T1750" s="217">
        <f t="shared" si="882"/>
        <v>0.53</v>
      </c>
      <c r="U1750" s="217">
        <f t="shared" si="883"/>
        <v>0.03</v>
      </c>
      <c r="V1750" s="217">
        <f t="shared" si="884"/>
        <v>1.07</v>
      </c>
      <c r="W1750" s="217">
        <f t="shared" si="885"/>
        <v>0</v>
      </c>
      <c r="X1750" s="217">
        <f t="shared" si="886"/>
        <v>1.83</v>
      </c>
      <c r="Y1750" s="218">
        <f t="shared" si="887"/>
        <v>73.17</v>
      </c>
      <c r="Z1750" s="219">
        <v>72.73</v>
      </c>
      <c r="AA1750" s="220">
        <f t="shared" si="888"/>
        <v>-0.43999999999999773</v>
      </c>
      <c r="AB1750" s="221">
        <f t="shared" si="889"/>
        <v>7.6923076923076927E-2</v>
      </c>
      <c r="AC1750" s="222">
        <f t="shared" si="890"/>
        <v>9.0399999999999996E-4</v>
      </c>
      <c r="AD1750" s="217"/>
      <c r="AE1750" s="223" t="s">
        <v>405</v>
      </c>
      <c r="AF1750" s="119"/>
    </row>
    <row r="1751" spans="1:32">
      <c r="A1751" s="209">
        <v>44971</v>
      </c>
      <c r="B1751" s="152" t="s">
        <v>884</v>
      </c>
      <c r="C1751" s="152" t="str">
        <f t="shared" ca="1" si="874"/>
        <v>Indices</v>
      </c>
      <c r="D1751" s="152" t="str">
        <f ca="1">IFERROR(__xludf.DUMMYFUNCTION("split(B1751,"" "")"),"NIFTY")</f>
        <v>NIFTY</v>
      </c>
      <c r="E1751" s="224">
        <f ca="1">IFERROR(__xludf.DUMMYFUNCTION("""COMPUTED_VALUE"""),44973)</f>
        <v>44973</v>
      </c>
      <c r="F1751" s="152">
        <f ca="1">IFERROR(__xludf.DUMMYFUNCTION("""COMPUTED_VALUE"""),18000)</f>
        <v>18000</v>
      </c>
      <c r="G1751" s="152" t="str">
        <f ca="1">IFERROR(__xludf.DUMMYFUNCTION("""COMPUTED_VALUE"""),"CE")</f>
        <v>CE</v>
      </c>
      <c r="H1751" s="211">
        <v>50</v>
      </c>
      <c r="I1751" s="212">
        <v>1</v>
      </c>
      <c r="J1751" s="212">
        <v>1</v>
      </c>
      <c r="K1751" s="213">
        <f t="shared" si="875"/>
        <v>50</v>
      </c>
      <c r="L1751" s="214">
        <v>18</v>
      </c>
      <c r="M1751" s="215">
        <v>23.5</v>
      </c>
      <c r="N1751" s="216">
        <f t="shared" si="876"/>
        <v>900</v>
      </c>
      <c r="O1751" s="216">
        <f t="shared" si="877"/>
        <v>1175</v>
      </c>
      <c r="P1751" s="217">
        <f t="shared" si="878"/>
        <v>2075</v>
      </c>
      <c r="Q1751" s="217">
        <f t="shared" si="879"/>
        <v>275</v>
      </c>
      <c r="R1751" s="217">
        <f t="shared" si="895"/>
        <v>0.01</v>
      </c>
      <c r="S1751" s="217">
        <f t="shared" si="881"/>
        <v>0.2</v>
      </c>
      <c r="T1751" s="217">
        <f t="shared" si="882"/>
        <v>0.59</v>
      </c>
      <c r="U1751" s="217">
        <f t="shared" si="883"/>
        <v>0.03</v>
      </c>
      <c r="V1751" s="217">
        <f t="shared" si="884"/>
        <v>1.1000000000000001</v>
      </c>
      <c r="W1751" s="217">
        <f t="shared" si="885"/>
        <v>0</v>
      </c>
      <c r="X1751" s="217">
        <f t="shared" si="886"/>
        <v>1.9300000000000002</v>
      </c>
      <c r="Y1751" s="218">
        <f t="shared" si="887"/>
        <v>273.07</v>
      </c>
      <c r="Z1751" s="219">
        <v>272.7</v>
      </c>
      <c r="AA1751" s="220">
        <f t="shared" si="888"/>
        <v>-0.37000000000000455</v>
      </c>
      <c r="AB1751" s="221">
        <f t="shared" si="889"/>
        <v>0.30555555555555558</v>
      </c>
      <c r="AC1751" s="222">
        <f t="shared" si="890"/>
        <v>9.3000000000000005E-4</v>
      </c>
      <c r="AD1751" s="217"/>
      <c r="AE1751" s="223" t="s">
        <v>405</v>
      </c>
      <c r="AF1751" s="119"/>
    </row>
    <row r="1752" spans="1:32">
      <c r="A1752" s="209">
        <v>44972</v>
      </c>
      <c r="B1752" s="152" t="s">
        <v>884</v>
      </c>
      <c r="C1752" s="152" t="str">
        <f t="shared" ca="1" si="874"/>
        <v>Indices</v>
      </c>
      <c r="D1752" s="152" t="str">
        <f ca="1">IFERROR(__xludf.DUMMYFUNCTION("split(B1752,"" "")"),"NIFTY")</f>
        <v>NIFTY</v>
      </c>
      <c r="E1752" s="224">
        <f ca="1">IFERROR(__xludf.DUMMYFUNCTION("""COMPUTED_VALUE"""),44973)</f>
        <v>44973</v>
      </c>
      <c r="F1752" s="152">
        <f ca="1">IFERROR(__xludf.DUMMYFUNCTION("""COMPUTED_VALUE"""),18000)</f>
        <v>18000</v>
      </c>
      <c r="G1752" s="152" t="str">
        <f ca="1">IFERROR(__xludf.DUMMYFUNCTION("""COMPUTED_VALUE"""),"CE")</f>
        <v>CE</v>
      </c>
      <c r="H1752" s="211">
        <v>50</v>
      </c>
      <c r="I1752" s="212">
        <v>1</v>
      </c>
      <c r="J1752" s="212">
        <v>2</v>
      </c>
      <c r="K1752" s="213">
        <f t="shared" si="875"/>
        <v>100</v>
      </c>
      <c r="L1752" s="214">
        <v>14</v>
      </c>
      <c r="M1752" s="215">
        <v>33</v>
      </c>
      <c r="N1752" s="216">
        <f t="shared" si="876"/>
        <v>1400</v>
      </c>
      <c r="O1752" s="216">
        <f t="shared" si="877"/>
        <v>3300</v>
      </c>
      <c r="P1752" s="217">
        <f t="shared" si="878"/>
        <v>4700</v>
      </c>
      <c r="Q1752" s="217">
        <f t="shared" si="879"/>
        <v>1900</v>
      </c>
      <c r="R1752" s="217">
        <f t="shared" si="895"/>
        <v>0.01</v>
      </c>
      <c r="S1752" s="217">
        <f t="shared" si="881"/>
        <v>0.45</v>
      </c>
      <c r="T1752" s="217">
        <f t="shared" si="882"/>
        <v>1.65</v>
      </c>
      <c r="U1752" s="217">
        <f t="shared" si="883"/>
        <v>0.04</v>
      </c>
      <c r="V1752" s="217">
        <f t="shared" si="884"/>
        <v>2.4900000000000002</v>
      </c>
      <c r="W1752" s="217">
        <f t="shared" si="885"/>
        <v>0</v>
      </c>
      <c r="X1752" s="217">
        <f t="shared" si="886"/>
        <v>4.6400000000000006</v>
      </c>
      <c r="Y1752" s="218">
        <f t="shared" si="887"/>
        <v>1895.36</v>
      </c>
      <c r="Z1752" s="219">
        <v>1895.26</v>
      </c>
      <c r="AA1752" s="220">
        <f t="shared" si="888"/>
        <v>-9.9999999999909051E-2</v>
      </c>
      <c r="AB1752" s="221">
        <f t="shared" si="889"/>
        <v>1.3571428571428572</v>
      </c>
      <c r="AC1752" s="222">
        <f t="shared" si="890"/>
        <v>9.8700000000000003E-4</v>
      </c>
      <c r="AD1752" s="217"/>
      <c r="AE1752" s="223" t="s">
        <v>405</v>
      </c>
      <c r="AF1752" s="119"/>
    </row>
    <row r="1753" spans="1:32">
      <c r="A1753" s="209">
        <v>44972</v>
      </c>
      <c r="B1753" s="152" t="s">
        <v>885</v>
      </c>
      <c r="C1753" s="152" t="str">
        <f t="shared" ca="1" si="874"/>
        <v>Indices</v>
      </c>
      <c r="D1753" s="152" t="str">
        <f ca="1">IFERROR(__xludf.DUMMYFUNCTION("split(B1753,"" "")"),"NIFTY")</f>
        <v>NIFTY</v>
      </c>
      <c r="E1753" s="224">
        <f ca="1">IFERROR(__xludf.DUMMYFUNCTION("""COMPUTED_VALUE"""),44973)</f>
        <v>44973</v>
      </c>
      <c r="F1753" s="152">
        <f ca="1">IFERROR(__xludf.DUMMYFUNCTION("""COMPUTED_VALUE"""),17900)</f>
        <v>17900</v>
      </c>
      <c r="G1753" s="152" t="str">
        <f ca="1">IFERROR(__xludf.DUMMYFUNCTION("""COMPUTED_VALUE"""),"PE")</f>
        <v>PE</v>
      </c>
      <c r="H1753" s="211">
        <v>50</v>
      </c>
      <c r="I1753" s="212">
        <v>1</v>
      </c>
      <c r="J1753" s="212">
        <v>1</v>
      </c>
      <c r="K1753" s="213">
        <f t="shared" si="875"/>
        <v>50</v>
      </c>
      <c r="L1753" s="214">
        <v>25</v>
      </c>
      <c r="M1753" s="215">
        <v>16.25</v>
      </c>
      <c r="N1753" s="216">
        <f t="shared" si="876"/>
        <v>1250</v>
      </c>
      <c r="O1753" s="216">
        <f t="shared" si="877"/>
        <v>812.5</v>
      </c>
      <c r="P1753" s="217">
        <f t="shared" si="878"/>
        <v>2062.5</v>
      </c>
      <c r="Q1753" s="217">
        <f t="shared" si="879"/>
        <v>-437.5</v>
      </c>
      <c r="R1753" s="217">
        <f t="shared" si="895"/>
        <v>0.01</v>
      </c>
      <c r="S1753" s="217">
        <f t="shared" si="881"/>
        <v>0.2</v>
      </c>
      <c r="T1753" s="217">
        <f t="shared" si="882"/>
        <v>0.41</v>
      </c>
      <c r="U1753" s="217">
        <f t="shared" si="883"/>
        <v>0.04</v>
      </c>
      <c r="V1753" s="217">
        <f t="shared" si="884"/>
        <v>1.0900000000000001</v>
      </c>
      <c r="W1753" s="217">
        <f t="shared" si="885"/>
        <v>0</v>
      </c>
      <c r="X1753" s="217">
        <f t="shared" si="886"/>
        <v>1.75</v>
      </c>
      <c r="Y1753" s="218">
        <f t="shared" si="887"/>
        <v>-439.25</v>
      </c>
      <c r="Z1753" s="219">
        <v>-439</v>
      </c>
      <c r="AA1753" s="220">
        <f t="shared" si="888"/>
        <v>0.25</v>
      </c>
      <c r="AB1753" s="221">
        <f t="shared" si="889"/>
        <v>-0.35</v>
      </c>
      <c r="AC1753" s="222">
        <f t="shared" si="890"/>
        <v>8.4800000000000001E-4</v>
      </c>
      <c r="AD1753" s="217"/>
      <c r="AE1753" s="223" t="s">
        <v>405</v>
      </c>
      <c r="AF1753" s="119"/>
    </row>
    <row r="1754" spans="1:32">
      <c r="A1754" s="209">
        <v>44973</v>
      </c>
      <c r="B1754" s="152" t="s">
        <v>886</v>
      </c>
      <c r="C1754" s="152" t="str">
        <f t="shared" ca="1" si="874"/>
        <v>Indices</v>
      </c>
      <c r="D1754" s="152" t="str">
        <f ca="1">IFERROR(__xludf.DUMMYFUNCTION("split(B1754,"" "")"),"NIFTY")</f>
        <v>NIFTY</v>
      </c>
      <c r="E1754" s="224">
        <f ca="1">IFERROR(__xludf.DUMMYFUNCTION("""COMPUTED_VALUE"""),44973)</f>
        <v>44973</v>
      </c>
      <c r="F1754" s="152">
        <f ca="1">IFERROR(__xludf.DUMMYFUNCTION("""COMPUTED_VALUE"""),18150)</f>
        <v>18150</v>
      </c>
      <c r="G1754" s="152" t="str">
        <f ca="1">IFERROR(__xludf.DUMMYFUNCTION("""COMPUTED_VALUE"""),"CE")</f>
        <v>CE</v>
      </c>
      <c r="H1754" s="211">
        <v>50</v>
      </c>
      <c r="I1754" s="212">
        <v>1</v>
      </c>
      <c r="J1754" s="212">
        <v>2</v>
      </c>
      <c r="K1754" s="213">
        <f t="shared" si="875"/>
        <v>100</v>
      </c>
      <c r="L1754" s="214">
        <v>12.5</v>
      </c>
      <c r="M1754" s="215">
        <v>8.2249999999999996</v>
      </c>
      <c r="N1754" s="216">
        <f t="shared" si="876"/>
        <v>1250</v>
      </c>
      <c r="O1754" s="216">
        <f t="shared" si="877"/>
        <v>822.5</v>
      </c>
      <c r="P1754" s="217">
        <f t="shared" si="878"/>
        <v>2072.5</v>
      </c>
      <c r="Q1754" s="217">
        <f t="shared" si="879"/>
        <v>-427.50000000000006</v>
      </c>
      <c r="R1754" s="217">
        <f t="shared" si="895"/>
        <v>0.01</v>
      </c>
      <c r="S1754" s="217">
        <f t="shared" si="881"/>
        <v>0.2</v>
      </c>
      <c r="T1754" s="217">
        <f t="shared" si="882"/>
        <v>0.41</v>
      </c>
      <c r="U1754" s="217">
        <f t="shared" si="883"/>
        <v>0.04</v>
      </c>
      <c r="V1754" s="217">
        <f t="shared" si="884"/>
        <v>1.1000000000000001</v>
      </c>
      <c r="W1754" s="217">
        <f t="shared" si="885"/>
        <v>0</v>
      </c>
      <c r="X1754" s="217">
        <f t="shared" si="886"/>
        <v>1.7600000000000002</v>
      </c>
      <c r="Y1754" s="218">
        <f t="shared" si="887"/>
        <v>-429.26</v>
      </c>
      <c r="Z1754" s="219">
        <v>-428.8</v>
      </c>
      <c r="AA1754" s="220">
        <f t="shared" si="888"/>
        <v>0.45999999999997954</v>
      </c>
      <c r="AB1754" s="221">
        <f t="shared" si="889"/>
        <v>-0.34200000000000003</v>
      </c>
      <c r="AC1754" s="222">
        <f t="shared" si="890"/>
        <v>8.4900000000000004E-4</v>
      </c>
      <c r="AD1754" s="217"/>
      <c r="AE1754" s="223" t="s">
        <v>405</v>
      </c>
      <c r="AF1754" s="119"/>
    </row>
    <row r="1755" spans="1:32">
      <c r="A1755" s="209">
        <v>44977</v>
      </c>
      <c r="B1755" s="152" t="s">
        <v>887</v>
      </c>
      <c r="C1755" s="152" t="str">
        <f t="shared" ca="1" si="874"/>
        <v>Indices</v>
      </c>
      <c r="D1755" s="152" t="str">
        <f ca="1">IFERROR(__xludf.DUMMYFUNCTION("split(B1755,"" "")"),"NIFTY")</f>
        <v>NIFTY</v>
      </c>
      <c r="E1755" s="224">
        <f ca="1">IFERROR(__xludf.DUMMYFUNCTION("""COMPUTED_VALUE"""),44980)</f>
        <v>44980</v>
      </c>
      <c r="F1755" s="152">
        <f ca="1">IFERROR(__xludf.DUMMYFUNCTION("""COMPUTED_VALUE"""),18000)</f>
        <v>18000</v>
      </c>
      <c r="G1755" s="152" t="str">
        <f ca="1">IFERROR(__xludf.DUMMYFUNCTION("""COMPUTED_VALUE"""),"CE")</f>
        <v>CE</v>
      </c>
      <c r="H1755" s="211">
        <v>50</v>
      </c>
      <c r="I1755" s="212">
        <v>1</v>
      </c>
      <c r="J1755" s="212">
        <v>1</v>
      </c>
      <c r="K1755" s="213">
        <f t="shared" si="875"/>
        <v>50</v>
      </c>
      <c r="L1755" s="214">
        <v>55</v>
      </c>
      <c r="M1755" s="215">
        <v>35</v>
      </c>
      <c r="N1755" s="216">
        <f t="shared" si="876"/>
        <v>2750</v>
      </c>
      <c r="O1755" s="216">
        <f t="shared" si="877"/>
        <v>1750</v>
      </c>
      <c r="P1755" s="217">
        <f t="shared" si="878"/>
        <v>4500</v>
      </c>
      <c r="Q1755" s="217">
        <f t="shared" si="879"/>
        <v>-1000</v>
      </c>
      <c r="R1755" s="217">
        <f t="shared" si="895"/>
        <v>0.01</v>
      </c>
      <c r="S1755" s="217">
        <f t="shared" si="881"/>
        <v>0.43</v>
      </c>
      <c r="T1755" s="217">
        <f t="shared" si="882"/>
        <v>0.88</v>
      </c>
      <c r="U1755" s="217">
        <f t="shared" si="883"/>
        <v>0.08</v>
      </c>
      <c r="V1755" s="217">
        <f t="shared" si="884"/>
        <v>2.39</v>
      </c>
      <c r="W1755" s="217">
        <f t="shared" si="885"/>
        <v>0</v>
      </c>
      <c r="X1755" s="217">
        <f t="shared" si="886"/>
        <v>3.79</v>
      </c>
      <c r="Y1755" s="218">
        <f t="shared" si="887"/>
        <v>-1003.79</v>
      </c>
      <c r="Z1755" s="219">
        <v>-1003.82</v>
      </c>
      <c r="AA1755" s="220">
        <f t="shared" si="888"/>
        <v>-3.0000000000086402E-2</v>
      </c>
      <c r="AB1755" s="221">
        <f t="shared" si="889"/>
        <v>-0.36363636363636365</v>
      </c>
      <c r="AC1755" s="222">
        <f t="shared" si="890"/>
        <v>8.4199999999999998E-4</v>
      </c>
      <c r="AD1755" s="217"/>
      <c r="AE1755" s="223" t="s">
        <v>405</v>
      </c>
      <c r="AF1755" s="119"/>
    </row>
    <row r="1756" spans="1:32">
      <c r="A1756" s="209">
        <v>44978</v>
      </c>
      <c r="B1756" s="152" t="s">
        <v>887</v>
      </c>
      <c r="C1756" s="152" t="str">
        <f t="shared" ca="1" si="874"/>
        <v>Indices</v>
      </c>
      <c r="D1756" s="152" t="str">
        <f ca="1">IFERROR(__xludf.DUMMYFUNCTION("split(B1756,"" "")"),"NIFTY")</f>
        <v>NIFTY</v>
      </c>
      <c r="E1756" s="224">
        <f ca="1">IFERROR(__xludf.DUMMYFUNCTION("""COMPUTED_VALUE"""),44980)</f>
        <v>44980</v>
      </c>
      <c r="F1756" s="152">
        <f ca="1">IFERROR(__xludf.DUMMYFUNCTION("""COMPUTED_VALUE"""),18000)</f>
        <v>18000</v>
      </c>
      <c r="G1756" s="152" t="str">
        <f ca="1">IFERROR(__xludf.DUMMYFUNCTION("""COMPUTED_VALUE"""),"CE")</f>
        <v>CE</v>
      </c>
      <c r="H1756" s="211">
        <v>50</v>
      </c>
      <c r="I1756" s="212">
        <v>1</v>
      </c>
      <c r="J1756" s="212">
        <v>1</v>
      </c>
      <c r="K1756" s="213">
        <f t="shared" si="875"/>
        <v>50</v>
      </c>
      <c r="L1756" s="214">
        <v>21.25</v>
      </c>
      <c r="M1756" s="215">
        <v>22</v>
      </c>
      <c r="N1756" s="216">
        <f t="shared" si="876"/>
        <v>1062.5</v>
      </c>
      <c r="O1756" s="216">
        <f t="shared" si="877"/>
        <v>1100</v>
      </c>
      <c r="P1756" s="217">
        <f t="shared" si="878"/>
        <v>2162.5</v>
      </c>
      <c r="Q1756" s="217">
        <f t="shared" si="879"/>
        <v>37.5</v>
      </c>
      <c r="R1756" s="217">
        <f t="shared" si="895"/>
        <v>0.01</v>
      </c>
      <c r="S1756" s="217">
        <f t="shared" si="881"/>
        <v>0.21</v>
      </c>
      <c r="T1756" s="217">
        <f t="shared" si="882"/>
        <v>0.55000000000000004</v>
      </c>
      <c r="U1756" s="217">
        <f t="shared" si="883"/>
        <v>0.03</v>
      </c>
      <c r="V1756" s="217">
        <f t="shared" si="884"/>
        <v>1.1499999999999999</v>
      </c>
      <c r="W1756" s="217">
        <f t="shared" si="885"/>
        <v>0</v>
      </c>
      <c r="X1756" s="217">
        <f t="shared" si="886"/>
        <v>1.95</v>
      </c>
      <c r="Y1756" s="218">
        <f t="shared" si="887"/>
        <v>35.549999999999997</v>
      </c>
      <c r="Z1756" s="219">
        <v>35.14</v>
      </c>
      <c r="AA1756" s="220">
        <f t="shared" si="888"/>
        <v>-0.40999999999999659</v>
      </c>
      <c r="AB1756" s="221">
        <f t="shared" si="889"/>
        <v>3.5294117647058823E-2</v>
      </c>
      <c r="AC1756" s="222">
        <f t="shared" si="890"/>
        <v>9.0200000000000002E-4</v>
      </c>
      <c r="AD1756" s="217"/>
      <c r="AE1756" s="223" t="s">
        <v>405</v>
      </c>
      <c r="AF1756" s="119"/>
    </row>
    <row r="1757" spans="1:32">
      <c r="A1757" s="209">
        <v>44979</v>
      </c>
      <c r="B1757" s="152" t="s">
        <v>887</v>
      </c>
      <c r="C1757" s="152" t="str">
        <f t="shared" ca="1" si="874"/>
        <v>Indices</v>
      </c>
      <c r="D1757" s="152" t="str">
        <f ca="1">IFERROR(__xludf.DUMMYFUNCTION("split(B1757,"" "")"),"NIFTY")</f>
        <v>NIFTY</v>
      </c>
      <c r="E1757" s="224">
        <f ca="1">IFERROR(__xludf.DUMMYFUNCTION("""COMPUTED_VALUE"""),44980)</f>
        <v>44980</v>
      </c>
      <c r="F1757" s="152">
        <f ca="1">IFERROR(__xludf.DUMMYFUNCTION("""COMPUTED_VALUE"""),18000)</f>
        <v>18000</v>
      </c>
      <c r="G1757" s="152" t="str">
        <f ca="1">IFERROR(__xludf.DUMMYFUNCTION("""COMPUTED_VALUE"""),"CE")</f>
        <v>CE</v>
      </c>
      <c r="H1757" s="211">
        <v>50</v>
      </c>
      <c r="I1757" s="212">
        <v>1</v>
      </c>
      <c r="J1757" s="212">
        <v>6</v>
      </c>
      <c r="K1757" s="213">
        <f t="shared" si="875"/>
        <v>300</v>
      </c>
      <c r="L1757" s="214">
        <v>4.2750000000000004</v>
      </c>
      <c r="M1757" s="215">
        <v>4.0999999999999996</v>
      </c>
      <c r="N1757" s="216">
        <f t="shared" si="876"/>
        <v>1282.5</v>
      </c>
      <c r="O1757" s="216">
        <f t="shared" si="877"/>
        <v>1230</v>
      </c>
      <c r="P1757" s="217">
        <f t="shared" si="878"/>
        <v>2512.5</v>
      </c>
      <c r="Q1757" s="217">
        <f t="shared" si="879"/>
        <v>-52.500000000000213</v>
      </c>
      <c r="R1757" s="217">
        <f t="shared" si="895"/>
        <v>0.01</v>
      </c>
      <c r="S1757" s="217">
        <f t="shared" si="881"/>
        <v>0.24</v>
      </c>
      <c r="T1757" s="217">
        <f t="shared" si="882"/>
        <v>0.62</v>
      </c>
      <c r="U1757" s="217">
        <f t="shared" si="883"/>
        <v>0.04</v>
      </c>
      <c r="V1757" s="217">
        <f t="shared" si="884"/>
        <v>1.33</v>
      </c>
      <c r="W1757" s="217">
        <f t="shared" si="885"/>
        <v>0</v>
      </c>
      <c r="X1757" s="217">
        <f t="shared" si="886"/>
        <v>2.2400000000000002</v>
      </c>
      <c r="Y1757" s="218">
        <f t="shared" si="887"/>
        <v>-54.74</v>
      </c>
      <c r="Z1757" s="219">
        <v>-55.07</v>
      </c>
      <c r="AA1757" s="220">
        <f t="shared" si="888"/>
        <v>-0.32999999999999829</v>
      </c>
      <c r="AB1757" s="221">
        <f t="shared" si="889"/>
        <v>-4.0935672514620047E-2</v>
      </c>
      <c r="AC1757" s="222">
        <f t="shared" si="890"/>
        <v>8.92E-4</v>
      </c>
      <c r="AD1757" s="217"/>
      <c r="AE1757" s="223" t="s">
        <v>405</v>
      </c>
      <c r="AF1757" s="119"/>
    </row>
    <row r="1758" spans="1:32">
      <c r="A1758" s="209">
        <v>44981</v>
      </c>
      <c r="B1758" s="152" t="s">
        <v>888</v>
      </c>
      <c r="C1758" s="152" t="str">
        <f t="shared" ca="1" si="874"/>
        <v>Indices</v>
      </c>
      <c r="D1758" s="152" t="str">
        <f ca="1">IFERROR(__xludf.DUMMYFUNCTION("split(B1758,"" "")"),"NIFTY")</f>
        <v>NIFTY</v>
      </c>
      <c r="E1758" s="210">
        <f ca="1">IFERROR(__xludf.DUMMYFUNCTION("""COMPUTED_VALUE"""),44987)</f>
        <v>44987</v>
      </c>
      <c r="F1758" s="152">
        <f ca="1">IFERROR(__xludf.DUMMYFUNCTION("""COMPUTED_VALUE"""),17650)</f>
        <v>17650</v>
      </c>
      <c r="G1758" s="152" t="str">
        <f ca="1">IFERROR(__xludf.DUMMYFUNCTION("""COMPUTED_VALUE"""),"CE")</f>
        <v>CE</v>
      </c>
      <c r="H1758" s="211">
        <v>50</v>
      </c>
      <c r="I1758" s="212">
        <v>1</v>
      </c>
      <c r="J1758" s="212">
        <v>1</v>
      </c>
      <c r="K1758" s="213">
        <f t="shared" si="875"/>
        <v>50</v>
      </c>
      <c r="L1758" s="214">
        <v>35</v>
      </c>
      <c r="M1758" s="215">
        <v>39.200000000000003</v>
      </c>
      <c r="N1758" s="216">
        <f t="shared" si="876"/>
        <v>1750</v>
      </c>
      <c r="O1758" s="216">
        <f t="shared" si="877"/>
        <v>1960</v>
      </c>
      <c r="P1758" s="217">
        <f t="shared" si="878"/>
        <v>3710</v>
      </c>
      <c r="Q1758" s="217">
        <f t="shared" si="879"/>
        <v>210.00000000000014</v>
      </c>
      <c r="R1758" s="217">
        <f t="shared" si="895"/>
        <v>0.01</v>
      </c>
      <c r="S1758" s="217">
        <f t="shared" si="881"/>
        <v>0.36</v>
      </c>
      <c r="T1758" s="217">
        <f t="shared" si="882"/>
        <v>0.98</v>
      </c>
      <c r="U1758" s="217">
        <f t="shared" si="883"/>
        <v>0.05</v>
      </c>
      <c r="V1758" s="217">
        <f t="shared" si="884"/>
        <v>1.97</v>
      </c>
      <c r="W1758" s="217">
        <f t="shared" si="885"/>
        <v>0</v>
      </c>
      <c r="X1758" s="217">
        <f t="shared" si="886"/>
        <v>3.37</v>
      </c>
      <c r="Y1758" s="218">
        <f t="shared" si="887"/>
        <v>206.63</v>
      </c>
      <c r="Z1758" s="219">
        <v>206.66</v>
      </c>
      <c r="AA1758" s="220">
        <f t="shared" si="888"/>
        <v>3.0000000000001137E-2</v>
      </c>
      <c r="AB1758" s="221">
        <f t="shared" si="889"/>
        <v>0.12000000000000008</v>
      </c>
      <c r="AC1758" s="222">
        <f t="shared" si="890"/>
        <v>9.0799999999999995E-4</v>
      </c>
      <c r="AD1758" s="217"/>
      <c r="AE1758" s="223" t="s">
        <v>405</v>
      </c>
      <c r="AF1758" s="119"/>
    </row>
    <row r="1759" spans="1:32">
      <c r="A1759" s="209">
        <v>44984</v>
      </c>
      <c r="B1759" s="152" t="s">
        <v>888</v>
      </c>
      <c r="C1759" s="152" t="str">
        <f t="shared" ca="1" si="874"/>
        <v>Indices</v>
      </c>
      <c r="D1759" s="152" t="str">
        <f ca="1">IFERROR(__xludf.DUMMYFUNCTION("split(B1759,"" "")"),"NIFTY")</f>
        <v>NIFTY</v>
      </c>
      <c r="E1759" s="210">
        <f ca="1">IFERROR(__xludf.DUMMYFUNCTION("""COMPUTED_VALUE"""),44987)</f>
        <v>44987</v>
      </c>
      <c r="F1759" s="152">
        <f ca="1">IFERROR(__xludf.DUMMYFUNCTION("""COMPUTED_VALUE"""),17650)</f>
        <v>17650</v>
      </c>
      <c r="G1759" s="152" t="str">
        <f ca="1">IFERROR(__xludf.DUMMYFUNCTION("""COMPUTED_VALUE"""),"CE")</f>
        <v>CE</v>
      </c>
      <c r="H1759" s="211">
        <v>50</v>
      </c>
      <c r="I1759" s="212">
        <v>1</v>
      </c>
      <c r="J1759" s="212">
        <v>3</v>
      </c>
      <c r="K1759" s="213">
        <f t="shared" si="875"/>
        <v>150</v>
      </c>
      <c r="L1759" s="214">
        <v>13.2</v>
      </c>
      <c r="M1759" s="215">
        <v>15.916700000000001</v>
      </c>
      <c r="N1759" s="216">
        <f t="shared" si="876"/>
        <v>1980</v>
      </c>
      <c r="O1759" s="216">
        <f t="shared" si="877"/>
        <v>2387.5100000000002</v>
      </c>
      <c r="P1759" s="217">
        <f t="shared" si="878"/>
        <v>4367.51</v>
      </c>
      <c r="Q1759" s="217">
        <f t="shared" si="879"/>
        <v>407.50500000000017</v>
      </c>
      <c r="R1759" s="217">
        <f t="shared" si="895"/>
        <v>0.01</v>
      </c>
      <c r="S1759" s="217">
        <f t="shared" si="881"/>
        <v>0.42</v>
      </c>
      <c r="T1759" s="217">
        <f t="shared" si="882"/>
        <v>1.19</v>
      </c>
      <c r="U1759" s="217">
        <f t="shared" si="883"/>
        <v>0.06</v>
      </c>
      <c r="V1759" s="217">
        <f t="shared" si="884"/>
        <v>2.31</v>
      </c>
      <c r="W1759" s="217">
        <f t="shared" si="885"/>
        <v>0</v>
      </c>
      <c r="X1759" s="217">
        <f t="shared" si="886"/>
        <v>3.99</v>
      </c>
      <c r="Y1759" s="218">
        <f t="shared" si="887"/>
        <v>403.52</v>
      </c>
      <c r="Z1759" s="219">
        <v>403.76</v>
      </c>
      <c r="AA1759" s="220">
        <f t="shared" si="888"/>
        <v>0.24000000000000909</v>
      </c>
      <c r="AB1759" s="221">
        <f t="shared" si="889"/>
        <v>0.20581060606060617</v>
      </c>
      <c r="AC1759" s="222">
        <f t="shared" si="890"/>
        <v>9.1399999999999999E-4</v>
      </c>
      <c r="AD1759" s="217"/>
      <c r="AE1759" s="223" t="s">
        <v>405</v>
      </c>
      <c r="AF1759" s="119"/>
    </row>
    <row r="1760" spans="1:32">
      <c r="A1760" s="209">
        <v>44985</v>
      </c>
      <c r="B1760" s="152" t="s">
        <v>888</v>
      </c>
      <c r="C1760" s="152" t="str">
        <f t="shared" ca="1" si="874"/>
        <v>Indices</v>
      </c>
      <c r="D1760" s="152" t="str">
        <f ca="1">IFERROR(__xludf.DUMMYFUNCTION("split(B1760,"" "")"),"NIFTY")</f>
        <v>NIFTY</v>
      </c>
      <c r="E1760" s="210">
        <f ca="1">IFERROR(__xludf.DUMMYFUNCTION("""COMPUTED_VALUE"""),44987)</f>
        <v>44987</v>
      </c>
      <c r="F1760" s="152">
        <f ca="1">IFERROR(__xludf.DUMMYFUNCTION("""COMPUTED_VALUE"""),17650)</f>
        <v>17650</v>
      </c>
      <c r="G1760" s="152" t="str">
        <f ca="1">IFERROR(__xludf.DUMMYFUNCTION("""COMPUTED_VALUE"""),"CE")</f>
        <v>CE</v>
      </c>
      <c r="H1760" s="211">
        <v>50</v>
      </c>
      <c r="I1760" s="212">
        <v>1</v>
      </c>
      <c r="J1760" s="212">
        <v>3</v>
      </c>
      <c r="K1760" s="213">
        <f t="shared" si="875"/>
        <v>150</v>
      </c>
      <c r="L1760" s="214">
        <v>7.6166700000000001</v>
      </c>
      <c r="M1760" s="215">
        <v>6.6</v>
      </c>
      <c r="N1760" s="216">
        <f t="shared" si="876"/>
        <v>1142.5</v>
      </c>
      <c r="O1760" s="216">
        <f t="shared" si="877"/>
        <v>990</v>
      </c>
      <c r="P1760" s="217">
        <f t="shared" si="878"/>
        <v>2132.5</v>
      </c>
      <c r="Q1760" s="217">
        <f t="shared" si="879"/>
        <v>-152.50050000000007</v>
      </c>
      <c r="R1760" s="217">
        <f t="shared" si="895"/>
        <v>0.01</v>
      </c>
      <c r="S1760" s="217">
        <f t="shared" si="881"/>
        <v>0.21</v>
      </c>
      <c r="T1760" s="217">
        <f t="shared" si="882"/>
        <v>0.5</v>
      </c>
      <c r="U1760" s="217">
        <f t="shared" si="883"/>
        <v>0.03</v>
      </c>
      <c r="V1760" s="217">
        <f t="shared" si="884"/>
        <v>1.1299999999999999</v>
      </c>
      <c r="W1760" s="217">
        <f t="shared" si="885"/>
        <v>0</v>
      </c>
      <c r="X1760" s="217">
        <f t="shared" si="886"/>
        <v>1.88</v>
      </c>
      <c r="Y1760" s="218">
        <f t="shared" si="887"/>
        <v>-154.38</v>
      </c>
      <c r="Z1760" s="219">
        <v>-154.83000000000001</v>
      </c>
      <c r="AA1760" s="220">
        <f t="shared" si="888"/>
        <v>-0.45000000000001705</v>
      </c>
      <c r="AB1760" s="221">
        <f t="shared" si="889"/>
        <v>-0.13347959147501473</v>
      </c>
      <c r="AC1760" s="222">
        <f t="shared" si="890"/>
        <v>8.8199999999999997E-4</v>
      </c>
      <c r="AD1760" s="217"/>
      <c r="AE1760" s="223" t="s">
        <v>405</v>
      </c>
      <c r="AF1760" s="119"/>
    </row>
    <row r="1761" spans="1:32">
      <c r="A1761" s="209">
        <v>44986</v>
      </c>
      <c r="B1761" s="152" t="s">
        <v>889</v>
      </c>
      <c r="C1761" s="152" t="str">
        <f t="shared" ca="1" si="874"/>
        <v>Indices</v>
      </c>
      <c r="D1761" s="152" t="str">
        <f ca="1">IFERROR(__xludf.DUMMYFUNCTION("split(B1761,"" "")"),"NIFTY")</f>
        <v>NIFTY</v>
      </c>
      <c r="E1761" s="210">
        <f ca="1">IFERROR(__xludf.DUMMYFUNCTION("""COMPUTED_VALUE"""),44987)</f>
        <v>44987</v>
      </c>
      <c r="F1761" s="152">
        <f ca="1">IFERROR(__xludf.DUMMYFUNCTION("""COMPUTED_VALUE"""),17200)</f>
        <v>17200</v>
      </c>
      <c r="G1761" s="152" t="str">
        <f ca="1">IFERROR(__xludf.DUMMYFUNCTION("""COMPUTED_VALUE"""),"PE")</f>
        <v>PE</v>
      </c>
      <c r="H1761" s="211">
        <v>50</v>
      </c>
      <c r="I1761" s="212">
        <v>1</v>
      </c>
      <c r="J1761" s="212">
        <v>1</v>
      </c>
      <c r="K1761" s="213">
        <f t="shared" si="875"/>
        <v>50</v>
      </c>
      <c r="L1761" s="214">
        <v>9</v>
      </c>
      <c r="M1761" s="215">
        <v>6.5</v>
      </c>
      <c r="N1761" s="216">
        <f t="shared" si="876"/>
        <v>450</v>
      </c>
      <c r="O1761" s="216">
        <f t="shared" si="877"/>
        <v>325</v>
      </c>
      <c r="P1761" s="217">
        <f t="shared" si="878"/>
        <v>775</v>
      </c>
      <c r="Q1761" s="217">
        <f t="shared" si="879"/>
        <v>-125</v>
      </c>
      <c r="R1761" s="217">
        <f t="shared" si="895"/>
        <v>0.01</v>
      </c>
      <c r="S1761" s="217">
        <f t="shared" si="881"/>
        <v>0.08</v>
      </c>
      <c r="T1761" s="217">
        <f t="shared" si="882"/>
        <v>0.16</v>
      </c>
      <c r="U1761" s="217">
        <f t="shared" si="883"/>
        <v>0.01</v>
      </c>
      <c r="V1761" s="217">
        <f t="shared" si="884"/>
        <v>0.41</v>
      </c>
      <c r="W1761" s="217">
        <f t="shared" si="885"/>
        <v>0</v>
      </c>
      <c r="X1761" s="217">
        <f t="shared" si="886"/>
        <v>0.66999999999999993</v>
      </c>
      <c r="Y1761" s="218">
        <f t="shared" si="887"/>
        <v>-125.67</v>
      </c>
      <c r="Z1761" s="219">
        <v>-125.48</v>
      </c>
      <c r="AA1761" s="220">
        <f t="shared" si="888"/>
        <v>0.18999999999999773</v>
      </c>
      <c r="AB1761" s="221">
        <f t="shared" si="889"/>
        <v>-0.27777777777777779</v>
      </c>
      <c r="AC1761" s="222">
        <f t="shared" si="890"/>
        <v>8.6499999999999999E-4</v>
      </c>
      <c r="AD1761" s="217"/>
      <c r="AE1761" s="223" t="s">
        <v>405</v>
      </c>
      <c r="AF1761" s="119"/>
    </row>
    <row r="1762" spans="1:32">
      <c r="A1762" s="209">
        <v>44987</v>
      </c>
      <c r="B1762" s="152" t="s">
        <v>888</v>
      </c>
      <c r="C1762" s="152" t="str">
        <f t="shared" ca="1" si="874"/>
        <v>Indices</v>
      </c>
      <c r="D1762" s="152" t="str">
        <f ca="1">IFERROR(__xludf.DUMMYFUNCTION("split(B1762,"" "")"),"NIFTY")</f>
        <v>NIFTY</v>
      </c>
      <c r="E1762" s="210">
        <f ca="1">IFERROR(__xludf.DUMMYFUNCTION("""COMPUTED_VALUE"""),44987)</f>
        <v>44987</v>
      </c>
      <c r="F1762" s="152">
        <f ca="1">IFERROR(__xludf.DUMMYFUNCTION("""COMPUTED_VALUE"""),17650)</f>
        <v>17650</v>
      </c>
      <c r="G1762" s="152" t="str">
        <f ca="1">IFERROR(__xludf.DUMMYFUNCTION("""COMPUTED_VALUE"""),"CE")</f>
        <v>CE</v>
      </c>
      <c r="H1762" s="211">
        <v>50</v>
      </c>
      <c r="I1762" s="212">
        <v>1</v>
      </c>
      <c r="J1762" s="212">
        <v>4</v>
      </c>
      <c r="K1762" s="213">
        <f t="shared" si="875"/>
        <v>200</v>
      </c>
      <c r="L1762" s="214">
        <v>1.05</v>
      </c>
      <c r="M1762" s="215">
        <v>0.6</v>
      </c>
      <c r="N1762" s="216">
        <f t="shared" si="876"/>
        <v>210</v>
      </c>
      <c r="O1762" s="216">
        <f t="shared" si="877"/>
        <v>120</v>
      </c>
      <c r="P1762" s="217">
        <f t="shared" si="878"/>
        <v>330</v>
      </c>
      <c r="Q1762" s="217">
        <f t="shared" si="879"/>
        <v>-90.000000000000014</v>
      </c>
      <c r="R1762" s="217">
        <f t="shared" si="895"/>
        <v>0.01</v>
      </c>
      <c r="S1762" s="217">
        <f t="shared" si="881"/>
        <v>0.03</v>
      </c>
      <c r="T1762" s="217">
        <f t="shared" si="882"/>
        <v>0.06</v>
      </c>
      <c r="U1762" s="217">
        <f t="shared" si="883"/>
        <v>0.01</v>
      </c>
      <c r="V1762" s="217">
        <f t="shared" si="884"/>
        <v>0.17</v>
      </c>
      <c r="W1762" s="217">
        <f t="shared" si="885"/>
        <v>0</v>
      </c>
      <c r="X1762" s="217">
        <f t="shared" si="886"/>
        <v>0.28000000000000003</v>
      </c>
      <c r="Y1762" s="218">
        <f t="shared" si="887"/>
        <v>-90.28</v>
      </c>
      <c r="Z1762" s="219">
        <v>-90.21</v>
      </c>
      <c r="AA1762" s="220">
        <f t="shared" si="888"/>
        <v>7.000000000000739E-2</v>
      </c>
      <c r="AB1762" s="221">
        <f t="shared" si="889"/>
        <v>-0.4285714285714286</v>
      </c>
      <c r="AC1762" s="222">
        <f t="shared" si="890"/>
        <v>8.4800000000000001E-4</v>
      </c>
      <c r="AD1762" s="217"/>
      <c r="AE1762" s="223" t="s">
        <v>405</v>
      </c>
      <c r="AF1762" s="119"/>
    </row>
    <row r="1763" spans="1:32">
      <c r="A1763" s="209">
        <v>44993</v>
      </c>
      <c r="B1763" s="152" t="s">
        <v>890</v>
      </c>
      <c r="C1763" s="152" t="str">
        <f t="shared" ca="1" si="874"/>
        <v>Indices</v>
      </c>
      <c r="D1763" s="152" t="str">
        <f ca="1">IFERROR(__xludf.DUMMYFUNCTION("split(B1763,"" "")"),"NIFTY")</f>
        <v>NIFTY</v>
      </c>
      <c r="E1763" s="210">
        <f ca="1">IFERROR(__xludf.DUMMYFUNCTION("""COMPUTED_VALUE"""),44994)</f>
        <v>44994</v>
      </c>
      <c r="F1763" s="152">
        <f ca="1">IFERROR(__xludf.DUMMYFUNCTION("""COMPUTED_VALUE"""),17900)</f>
        <v>17900</v>
      </c>
      <c r="G1763" s="152" t="str">
        <f ca="1">IFERROR(__xludf.DUMMYFUNCTION("""COMPUTED_VALUE"""),"CE")</f>
        <v>CE</v>
      </c>
      <c r="H1763" s="211">
        <v>50</v>
      </c>
      <c r="I1763" s="212">
        <v>1</v>
      </c>
      <c r="J1763" s="212">
        <v>1</v>
      </c>
      <c r="K1763" s="213">
        <f t="shared" si="875"/>
        <v>50</v>
      </c>
      <c r="L1763" s="214">
        <v>3.1</v>
      </c>
      <c r="M1763" s="215">
        <v>3.5</v>
      </c>
      <c r="N1763" s="216">
        <f t="shared" si="876"/>
        <v>155</v>
      </c>
      <c r="O1763" s="216">
        <f t="shared" si="877"/>
        <v>175</v>
      </c>
      <c r="P1763" s="217">
        <f t="shared" si="878"/>
        <v>330</v>
      </c>
      <c r="Q1763" s="217">
        <f t="shared" si="879"/>
        <v>19.999999999999996</v>
      </c>
      <c r="R1763" s="217">
        <f t="shared" si="895"/>
        <v>0.01</v>
      </c>
      <c r="S1763" s="217">
        <f t="shared" si="881"/>
        <v>0.03</v>
      </c>
      <c r="T1763" s="217">
        <f t="shared" si="882"/>
        <v>0.09</v>
      </c>
      <c r="U1763" s="217">
        <f t="shared" si="883"/>
        <v>0</v>
      </c>
      <c r="V1763" s="217">
        <f t="shared" si="884"/>
        <v>0.17</v>
      </c>
      <c r="W1763" s="217">
        <f t="shared" si="885"/>
        <v>0</v>
      </c>
      <c r="X1763" s="217">
        <f t="shared" si="886"/>
        <v>0.30000000000000004</v>
      </c>
      <c r="Y1763" s="218">
        <f t="shared" si="887"/>
        <v>19.7</v>
      </c>
      <c r="Z1763" s="219">
        <v>19.79</v>
      </c>
      <c r="AA1763" s="220">
        <f t="shared" si="888"/>
        <v>8.9999999999999858E-2</v>
      </c>
      <c r="AB1763" s="221">
        <f t="shared" si="889"/>
        <v>0.1290322580645161</v>
      </c>
      <c r="AC1763" s="222">
        <f t="shared" si="890"/>
        <v>9.0899999999999998E-4</v>
      </c>
      <c r="AD1763" s="217"/>
      <c r="AE1763" s="223" t="s">
        <v>405</v>
      </c>
      <c r="AF1763" s="119"/>
    </row>
    <row r="1764" spans="1:32">
      <c r="A1764" s="209">
        <v>44995</v>
      </c>
      <c r="B1764" s="152" t="s">
        <v>891</v>
      </c>
      <c r="C1764" s="152" t="str">
        <f t="shared" ca="1" si="874"/>
        <v>Indices</v>
      </c>
      <c r="D1764" s="152" t="str">
        <f ca="1">IFERROR(__xludf.DUMMYFUNCTION("split(B1764,"" "")"),"NIFTY")</f>
        <v>NIFTY</v>
      </c>
      <c r="E1764" s="210">
        <f ca="1">IFERROR(__xludf.DUMMYFUNCTION("""COMPUTED_VALUE"""),45001)</f>
        <v>45001</v>
      </c>
      <c r="F1764" s="152">
        <f ca="1">IFERROR(__xludf.DUMMYFUNCTION("""COMPUTED_VALUE"""),17800)</f>
        <v>17800</v>
      </c>
      <c r="G1764" s="152" t="str">
        <f ca="1">IFERROR(__xludf.DUMMYFUNCTION("""COMPUTED_VALUE"""),"CE")</f>
        <v>CE</v>
      </c>
      <c r="H1764" s="211">
        <v>50</v>
      </c>
      <c r="I1764" s="212">
        <v>1</v>
      </c>
      <c r="J1764" s="212">
        <v>4</v>
      </c>
      <c r="K1764" s="213">
        <f t="shared" si="875"/>
        <v>200</v>
      </c>
      <c r="L1764" s="214">
        <v>7.75</v>
      </c>
      <c r="M1764" s="215">
        <v>8.7249999999999996</v>
      </c>
      <c r="N1764" s="216">
        <f t="shared" si="876"/>
        <v>1550</v>
      </c>
      <c r="O1764" s="216">
        <f t="shared" si="877"/>
        <v>1745</v>
      </c>
      <c r="P1764" s="217">
        <f t="shared" si="878"/>
        <v>3295</v>
      </c>
      <c r="Q1764" s="217">
        <f t="shared" si="879"/>
        <v>194.99999999999994</v>
      </c>
      <c r="R1764" s="217">
        <f t="shared" si="895"/>
        <v>0.01</v>
      </c>
      <c r="S1764" s="217">
        <f t="shared" si="881"/>
        <v>0.32</v>
      </c>
      <c r="T1764" s="217">
        <f t="shared" si="882"/>
        <v>0.87</v>
      </c>
      <c r="U1764" s="217">
        <f t="shared" si="883"/>
        <v>0.05</v>
      </c>
      <c r="V1764" s="217">
        <f t="shared" si="884"/>
        <v>1.75</v>
      </c>
      <c r="W1764" s="217">
        <f t="shared" si="885"/>
        <v>0</v>
      </c>
      <c r="X1764" s="217">
        <f t="shared" si="886"/>
        <v>3</v>
      </c>
      <c r="Y1764" s="218">
        <f t="shared" si="887"/>
        <v>192</v>
      </c>
      <c r="Z1764" s="219">
        <v>191.94</v>
      </c>
      <c r="AA1764" s="220">
        <f t="shared" si="888"/>
        <v>-6.0000000000002274E-2</v>
      </c>
      <c r="AB1764" s="221">
        <f t="shared" si="889"/>
        <v>0.12580645161290319</v>
      </c>
      <c r="AC1764" s="222">
        <f t="shared" si="890"/>
        <v>9.1E-4</v>
      </c>
      <c r="AD1764" s="217"/>
      <c r="AE1764" s="223" t="s">
        <v>405</v>
      </c>
      <c r="AF1764" s="119"/>
    </row>
    <row r="1765" spans="1:32">
      <c r="A1765" s="209">
        <v>44999</v>
      </c>
      <c r="B1765" s="152" t="s">
        <v>891</v>
      </c>
      <c r="C1765" s="152" t="str">
        <f t="shared" ca="1" si="874"/>
        <v>Indices</v>
      </c>
      <c r="D1765" s="152" t="str">
        <f ca="1">IFERROR(__xludf.DUMMYFUNCTION("split(B1765,"" "")"),"NIFTY")</f>
        <v>NIFTY</v>
      </c>
      <c r="E1765" s="210">
        <f ca="1">IFERROR(__xludf.DUMMYFUNCTION("""COMPUTED_VALUE"""),45001)</f>
        <v>45001</v>
      </c>
      <c r="F1765" s="152">
        <f ca="1">IFERROR(__xludf.DUMMYFUNCTION("""COMPUTED_VALUE"""),17800)</f>
        <v>17800</v>
      </c>
      <c r="G1765" s="152" t="str">
        <f ca="1">IFERROR(__xludf.DUMMYFUNCTION("""COMPUTED_VALUE"""),"CE")</f>
        <v>CE</v>
      </c>
      <c r="H1765" s="211">
        <v>50</v>
      </c>
      <c r="I1765" s="212">
        <v>1</v>
      </c>
      <c r="J1765" s="212">
        <v>2</v>
      </c>
      <c r="K1765" s="213">
        <f t="shared" si="875"/>
        <v>100</v>
      </c>
      <c r="L1765" s="214">
        <v>3.25</v>
      </c>
      <c r="M1765" s="215">
        <v>3.15</v>
      </c>
      <c r="N1765" s="216">
        <f t="shared" si="876"/>
        <v>325</v>
      </c>
      <c r="O1765" s="216">
        <f t="shared" si="877"/>
        <v>315</v>
      </c>
      <c r="P1765" s="217">
        <f t="shared" si="878"/>
        <v>640</v>
      </c>
      <c r="Q1765" s="217">
        <f t="shared" si="879"/>
        <v>-10.000000000000009</v>
      </c>
      <c r="R1765" s="217">
        <f t="shared" si="895"/>
        <v>0.01</v>
      </c>
      <c r="S1765" s="217">
        <f t="shared" si="881"/>
        <v>0.06</v>
      </c>
      <c r="T1765" s="217">
        <f t="shared" si="882"/>
        <v>0.16</v>
      </c>
      <c r="U1765" s="217">
        <f t="shared" si="883"/>
        <v>0.01</v>
      </c>
      <c r="V1765" s="217">
        <f t="shared" si="884"/>
        <v>0.34</v>
      </c>
      <c r="W1765" s="217">
        <f t="shared" si="885"/>
        <v>0</v>
      </c>
      <c r="X1765" s="217">
        <f t="shared" si="886"/>
        <v>0.58000000000000007</v>
      </c>
      <c r="Y1765" s="218">
        <f t="shared" si="887"/>
        <v>-10.58</v>
      </c>
      <c r="Z1765" s="219">
        <v>-10.4</v>
      </c>
      <c r="AA1765" s="220">
        <f t="shared" si="888"/>
        <v>0.17999999999999972</v>
      </c>
      <c r="AB1765" s="221">
        <f t="shared" si="889"/>
        <v>-3.0769230769230795E-2</v>
      </c>
      <c r="AC1765" s="222">
        <f t="shared" si="890"/>
        <v>9.0600000000000001E-4</v>
      </c>
      <c r="AD1765" s="217"/>
      <c r="AE1765" s="223" t="s">
        <v>405</v>
      </c>
      <c r="AF1765" s="119"/>
    </row>
    <row r="1766" spans="1:32">
      <c r="A1766" s="209">
        <v>45000</v>
      </c>
      <c r="B1766" s="152" t="s">
        <v>891</v>
      </c>
      <c r="C1766" s="152" t="str">
        <f t="shared" ca="1" si="874"/>
        <v>Indices</v>
      </c>
      <c r="D1766" s="152" t="str">
        <f ca="1">IFERROR(__xludf.DUMMYFUNCTION("split(B1766,"" "")"),"NIFTY")</f>
        <v>NIFTY</v>
      </c>
      <c r="E1766" s="210">
        <f ca="1">IFERROR(__xludf.DUMMYFUNCTION("""COMPUTED_VALUE"""),45001)</f>
        <v>45001</v>
      </c>
      <c r="F1766" s="152">
        <f ca="1">IFERROR(__xludf.DUMMYFUNCTION("""COMPUTED_VALUE"""),17800)</f>
        <v>17800</v>
      </c>
      <c r="G1766" s="152" t="str">
        <f ca="1">IFERROR(__xludf.DUMMYFUNCTION("""COMPUTED_VALUE"""),"CE")</f>
        <v>CE</v>
      </c>
      <c r="H1766" s="211">
        <v>50</v>
      </c>
      <c r="I1766" s="212">
        <v>1</v>
      </c>
      <c r="J1766" s="212">
        <v>2</v>
      </c>
      <c r="K1766" s="213">
        <f t="shared" si="875"/>
        <v>100</v>
      </c>
      <c r="L1766" s="214">
        <v>1.65</v>
      </c>
      <c r="M1766" s="215">
        <v>1.7</v>
      </c>
      <c r="N1766" s="216">
        <f t="shared" si="876"/>
        <v>165</v>
      </c>
      <c r="O1766" s="216">
        <f t="shared" si="877"/>
        <v>170</v>
      </c>
      <c r="P1766" s="217">
        <f t="shared" si="878"/>
        <v>335</v>
      </c>
      <c r="Q1766" s="217">
        <f t="shared" si="879"/>
        <v>5.0000000000000044</v>
      </c>
      <c r="R1766" s="217">
        <f t="shared" si="895"/>
        <v>0.01</v>
      </c>
      <c r="S1766" s="217">
        <f t="shared" si="881"/>
        <v>0.03</v>
      </c>
      <c r="T1766" s="217">
        <f t="shared" si="882"/>
        <v>0.09</v>
      </c>
      <c r="U1766" s="217">
        <f t="shared" si="883"/>
        <v>0</v>
      </c>
      <c r="V1766" s="217">
        <f t="shared" si="884"/>
        <v>0.18</v>
      </c>
      <c r="W1766" s="217">
        <f t="shared" si="885"/>
        <v>0</v>
      </c>
      <c r="X1766" s="217">
        <f t="shared" si="886"/>
        <v>0.31</v>
      </c>
      <c r="Y1766" s="218">
        <f t="shared" si="887"/>
        <v>4.6900000000000004</v>
      </c>
      <c r="Z1766" s="219">
        <v>5</v>
      </c>
      <c r="AA1766" s="220">
        <f t="shared" si="888"/>
        <v>0.30999999999999961</v>
      </c>
      <c r="AB1766" s="221">
        <f t="shared" si="889"/>
        <v>3.0303030303030332E-2</v>
      </c>
      <c r="AC1766" s="222">
        <f t="shared" si="890"/>
        <v>9.2500000000000004E-4</v>
      </c>
      <c r="AD1766" s="217"/>
      <c r="AE1766" s="223" t="s">
        <v>405</v>
      </c>
      <c r="AF1766" s="119"/>
    </row>
    <row r="1767" spans="1:32">
      <c r="A1767" s="209">
        <v>45000</v>
      </c>
      <c r="B1767" s="152" t="s">
        <v>892</v>
      </c>
      <c r="C1767" s="152" t="str">
        <f t="shared" ca="1" si="874"/>
        <v>Indices</v>
      </c>
      <c r="D1767" s="152" t="str">
        <f ca="1">IFERROR(__xludf.DUMMYFUNCTION("split(B1767,"" "")"),"NIFTY")</f>
        <v>NIFTY</v>
      </c>
      <c r="E1767" s="210">
        <f ca="1">IFERROR(__xludf.DUMMYFUNCTION("""COMPUTED_VALUE"""),45001)</f>
        <v>45001</v>
      </c>
      <c r="F1767" s="152">
        <f ca="1">IFERROR(__xludf.DUMMYFUNCTION("""COMPUTED_VALUE"""),17100)</f>
        <v>17100</v>
      </c>
      <c r="G1767" s="152" t="str">
        <f ca="1">IFERROR(__xludf.DUMMYFUNCTION("""COMPUTED_VALUE"""),"PE")</f>
        <v>PE</v>
      </c>
      <c r="H1767" s="211">
        <v>50</v>
      </c>
      <c r="I1767" s="212">
        <v>1</v>
      </c>
      <c r="J1767" s="212">
        <v>2</v>
      </c>
      <c r="K1767" s="213">
        <f t="shared" si="875"/>
        <v>100</v>
      </c>
      <c r="L1767" s="214">
        <v>35.5</v>
      </c>
      <c r="M1767" s="215">
        <v>44.75</v>
      </c>
      <c r="N1767" s="216">
        <f t="shared" si="876"/>
        <v>3550</v>
      </c>
      <c r="O1767" s="216">
        <f t="shared" si="877"/>
        <v>4475</v>
      </c>
      <c r="P1767" s="217">
        <f t="shared" si="878"/>
        <v>8025</v>
      </c>
      <c r="Q1767" s="217">
        <f t="shared" si="879"/>
        <v>925</v>
      </c>
      <c r="R1767" s="217">
        <f t="shared" si="895"/>
        <v>0.01</v>
      </c>
      <c r="S1767" s="217">
        <f t="shared" si="881"/>
        <v>0.77</v>
      </c>
      <c r="T1767" s="217">
        <f t="shared" si="882"/>
        <v>2.2400000000000002</v>
      </c>
      <c r="U1767" s="217">
        <f t="shared" si="883"/>
        <v>0.11</v>
      </c>
      <c r="V1767" s="217">
        <f t="shared" si="884"/>
        <v>4.25</v>
      </c>
      <c r="W1767" s="217">
        <f t="shared" si="885"/>
        <v>0.01</v>
      </c>
      <c r="X1767" s="217">
        <f t="shared" si="886"/>
        <v>7.3900000000000006</v>
      </c>
      <c r="Y1767" s="218">
        <f t="shared" si="887"/>
        <v>917.61</v>
      </c>
      <c r="Z1767" s="219">
        <v>917.5</v>
      </c>
      <c r="AA1767" s="220">
        <f t="shared" si="888"/>
        <v>-0.11000000000001364</v>
      </c>
      <c r="AB1767" s="221">
        <f t="shared" si="889"/>
        <v>0.26056338028169013</v>
      </c>
      <c r="AC1767" s="222">
        <f t="shared" si="890"/>
        <v>9.2100000000000005E-4</v>
      </c>
      <c r="AD1767" s="217"/>
      <c r="AE1767" s="223" t="s">
        <v>405</v>
      </c>
      <c r="AF1767" s="119"/>
    </row>
    <row r="1768" spans="1:32">
      <c r="A1768" s="209">
        <v>45000</v>
      </c>
      <c r="B1768" s="152" t="s">
        <v>893</v>
      </c>
      <c r="C1768" s="152" t="str">
        <f t="shared" ca="1" si="874"/>
        <v>Indices</v>
      </c>
      <c r="D1768" s="152" t="str">
        <f ca="1">IFERROR(__xludf.DUMMYFUNCTION("split(B1768,"" "")"),"NIFTY")</f>
        <v>NIFTY</v>
      </c>
      <c r="E1768" s="210">
        <f ca="1">IFERROR(__xludf.DUMMYFUNCTION("""COMPUTED_VALUE"""),45001)</f>
        <v>45001</v>
      </c>
      <c r="F1768" s="152">
        <f ca="1">IFERROR(__xludf.DUMMYFUNCTION("""COMPUTED_VALUE"""),16800)</f>
        <v>16800</v>
      </c>
      <c r="G1768" s="152" t="str">
        <f ca="1">IFERROR(__xludf.DUMMYFUNCTION("""COMPUTED_VALUE"""),"CE")</f>
        <v>CE</v>
      </c>
      <c r="H1768" s="211">
        <v>50</v>
      </c>
      <c r="I1768" s="212">
        <v>1</v>
      </c>
      <c r="J1768" s="212">
        <v>2</v>
      </c>
      <c r="K1768" s="213">
        <f t="shared" si="875"/>
        <v>100</v>
      </c>
      <c r="L1768" s="214">
        <v>7</v>
      </c>
      <c r="M1768" s="215">
        <v>7.5</v>
      </c>
      <c r="N1768" s="216">
        <f t="shared" si="876"/>
        <v>700</v>
      </c>
      <c r="O1768" s="216">
        <f t="shared" si="877"/>
        <v>750</v>
      </c>
      <c r="P1768" s="217">
        <f t="shared" si="878"/>
        <v>1450</v>
      </c>
      <c r="Q1768" s="217">
        <f t="shared" si="879"/>
        <v>50</v>
      </c>
      <c r="R1768" s="217">
        <f t="shared" si="895"/>
        <v>0.01</v>
      </c>
      <c r="S1768" s="217">
        <f t="shared" si="881"/>
        <v>0.14000000000000001</v>
      </c>
      <c r="T1768" s="217">
        <f t="shared" si="882"/>
        <v>0.38</v>
      </c>
      <c r="U1768" s="217">
        <f t="shared" si="883"/>
        <v>0.02</v>
      </c>
      <c r="V1768" s="217">
        <f t="shared" si="884"/>
        <v>0.77</v>
      </c>
      <c r="W1768" s="217">
        <f t="shared" si="885"/>
        <v>0</v>
      </c>
      <c r="X1768" s="217">
        <f t="shared" si="886"/>
        <v>1.32</v>
      </c>
      <c r="Y1768" s="218">
        <f t="shared" si="887"/>
        <v>48.68</v>
      </c>
      <c r="Z1768" s="219">
        <v>48.5</v>
      </c>
      <c r="AA1768" s="220">
        <f t="shared" si="888"/>
        <v>-0.17999999999999972</v>
      </c>
      <c r="AB1768" s="221">
        <f t="shared" si="889"/>
        <v>7.1428571428571425E-2</v>
      </c>
      <c r="AC1768" s="222">
        <f t="shared" si="890"/>
        <v>9.1E-4</v>
      </c>
      <c r="AD1768" s="217"/>
      <c r="AE1768" s="223" t="s">
        <v>405</v>
      </c>
      <c r="AF1768" s="119"/>
    </row>
    <row r="1769" spans="1:32">
      <c r="A1769" s="209">
        <v>45000</v>
      </c>
      <c r="B1769" s="152" t="s">
        <v>894</v>
      </c>
      <c r="C1769" s="152" t="str">
        <f t="shared" ca="1" si="874"/>
        <v>Indices</v>
      </c>
      <c r="D1769" s="152" t="str">
        <f ca="1">IFERROR(__xludf.DUMMYFUNCTION("split(B1769,"" "")"),"NIFTY")</f>
        <v>NIFTY</v>
      </c>
      <c r="E1769" s="210">
        <f ca="1">IFERROR(__xludf.DUMMYFUNCTION("""COMPUTED_VALUE"""),45001)</f>
        <v>45001</v>
      </c>
      <c r="F1769" s="152">
        <f ca="1">IFERROR(__xludf.DUMMYFUNCTION("""COMPUTED_VALUE"""),16900)</f>
        <v>16900</v>
      </c>
      <c r="G1769" s="152" t="str">
        <f ca="1">IFERROR(__xludf.DUMMYFUNCTION("""COMPUTED_VALUE"""),"PE")</f>
        <v>PE</v>
      </c>
      <c r="H1769" s="211">
        <v>50</v>
      </c>
      <c r="I1769" s="212">
        <v>1</v>
      </c>
      <c r="J1769" s="212">
        <v>4</v>
      </c>
      <c r="K1769" s="213">
        <f t="shared" si="875"/>
        <v>200</v>
      </c>
      <c r="L1769" s="214">
        <v>18.5</v>
      </c>
      <c r="M1769" s="215">
        <v>20.324999999999999</v>
      </c>
      <c r="N1769" s="216">
        <f t="shared" si="876"/>
        <v>3700</v>
      </c>
      <c r="O1769" s="216">
        <f t="shared" si="877"/>
        <v>4065</v>
      </c>
      <c r="P1769" s="217">
        <f t="shared" si="878"/>
        <v>7765</v>
      </c>
      <c r="Q1769" s="217">
        <f t="shared" si="879"/>
        <v>364.99999999999989</v>
      </c>
      <c r="R1769" s="217">
        <f t="shared" si="895"/>
        <v>0.01</v>
      </c>
      <c r="S1769" s="217">
        <f t="shared" si="881"/>
        <v>0.74</v>
      </c>
      <c r="T1769" s="217">
        <f t="shared" si="882"/>
        <v>2.0299999999999998</v>
      </c>
      <c r="U1769" s="217">
        <f t="shared" si="883"/>
        <v>0.11</v>
      </c>
      <c r="V1769" s="217">
        <f t="shared" si="884"/>
        <v>4.12</v>
      </c>
      <c r="W1769" s="217">
        <f t="shared" si="885"/>
        <v>0.01</v>
      </c>
      <c r="X1769" s="217">
        <f t="shared" si="886"/>
        <v>7.02</v>
      </c>
      <c r="Y1769" s="218">
        <f t="shared" si="887"/>
        <v>357.98</v>
      </c>
      <c r="Z1769" s="219">
        <v>357.98</v>
      </c>
      <c r="AA1769" s="220">
        <f t="shared" si="888"/>
        <v>0</v>
      </c>
      <c r="AB1769" s="221">
        <f t="shared" si="889"/>
        <v>9.8648648648648612E-2</v>
      </c>
      <c r="AC1769" s="222">
        <f t="shared" si="890"/>
        <v>9.0399999999999996E-4</v>
      </c>
      <c r="AD1769" s="217"/>
      <c r="AE1769" s="223" t="s">
        <v>405</v>
      </c>
      <c r="AF1769" s="119"/>
    </row>
    <row r="1770" spans="1:32">
      <c r="A1770" s="209">
        <v>45001</v>
      </c>
      <c r="B1770" s="152" t="s">
        <v>895</v>
      </c>
      <c r="C1770" s="152" t="str">
        <f t="shared" ca="1" si="874"/>
        <v>Indices</v>
      </c>
      <c r="D1770" s="152" t="str">
        <f ca="1">IFERROR(__xludf.DUMMYFUNCTION("split(B1770,"" "")"),"NIFTY")</f>
        <v>NIFTY</v>
      </c>
      <c r="E1770" s="210">
        <f ca="1">IFERROR(__xludf.DUMMYFUNCTION("""COMPUTED_VALUE"""),45001)</f>
        <v>45001</v>
      </c>
      <c r="F1770" s="152">
        <f ca="1">IFERROR(__xludf.DUMMYFUNCTION("""COMPUTED_VALUE"""),16800)</f>
        <v>16800</v>
      </c>
      <c r="G1770" s="152" t="str">
        <f ca="1">IFERROR(__xludf.DUMMYFUNCTION("""COMPUTED_VALUE"""),"PE")</f>
        <v>PE</v>
      </c>
      <c r="H1770" s="211">
        <v>50</v>
      </c>
      <c r="I1770" s="212">
        <v>1</v>
      </c>
      <c r="J1770" s="212">
        <v>6</v>
      </c>
      <c r="K1770" s="213">
        <f t="shared" si="875"/>
        <v>300</v>
      </c>
      <c r="L1770" s="214">
        <v>6.25</v>
      </c>
      <c r="M1770" s="215">
        <v>5.25</v>
      </c>
      <c r="N1770" s="216">
        <f t="shared" si="876"/>
        <v>1875</v>
      </c>
      <c r="O1770" s="216">
        <f t="shared" si="877"/>
        <v>1575</v>
      </c>
      <c r="P1770" s="217">
        <f t="shared" si="878"/>
        <v>3450</v>
      </c>
      <c r="Q1770" s="217">
        <f t="shared" si="879"/>
        <v>-300</v>
      </c>
      <c r="R1770" s="217">
        <f t="shared" si="895"/>
        <v>0.01</v>
      </c>
      <c r="S1770" s="217">
        <f t="shared" si="881"/>
        <v>0.33</v>
      </c>
      <c r="T1770" s="217">
        <f t="shared" si="882"/>
        <v>0.79</v>
      </c>
      <c r="U1770" s="217">
        <f t="shared" si="883"/>
        <v>0.06</v>
      </c>
      <c r="V1770" s="217">
        <f t="shared" si="884"/>
        <v>1.83</v>
      </c>
      <c r="W1770" s="217">
        <f t="shared" si="885"/>
        <v>0</v>
      </c>
      <c r="X1770" s="217">
        <f t="shared" si="886"/>
        <v>3.0200000000000005</v>
      </c>
      <c r="Y1770" s="218">
        <f t="shared" si="887"/>
        <v>-303.02</v>
      </c>
      <c r="Z1770" s="219">
        <v>-303</v>
      </c>
      <c r="AA1770" s="220">
        <f t="shared" si="888"/>
        <v>1.999999999998181E-2</v>
      </c>
      <c r="AB1770" s="221">
        <f t="shared" si="889"/>
        <v>-0.16</v>
      </c>
      <c r="AC1770" s="222">
        <f t="shared" si="890"/>
        <v>8.7500000000000002E-4</v>
      </c>
      <c r="AD1770" s="217"/>
      <c r="AE1770" s="223" t="s">
        <v>405</v>
      </c>
      <c r="AF1770" s="119"/>
    </row>
    <row r="1771" spans="1:32">
      <c r="A1771" s="209">
        <v>45001</v>
      </c>
      <c r="B1771" s="152" t="s">
        <v>891</v>
      </c>
      <c r="C1771" s="152" t="str">
        <f t="shared" ca="1" si="874"/>
        <v>Indices</v>
      </c>
      <c r="D1771" s="152" t="str">
        <f ca="1">IFERROR(__xludf.DUMMYFUNCTION("split(B1771,"" "")"),"NIFTY")</f>
        <v>NIFTY</v>
      </c>
      <c r="E1771" s="210">
        <f ca="1">IFERROR(__xludf.DUMMYFUNCTION("""COMPUTED_VALUE"""),45001)</f>
        <v>45001</v>
      </c>
      <c r="F1771" s="152">
        <f ca="1">IFERROR(__xludf.DUMMYFUNCTION("""COMPUTED_VALUE"""),17800)</f>
        <v>17800</v>
      </c>
      <c r="G1771" s="152" t="str">
        <f ca="1">IFERROR(__xludf.DUMMYFUNCTION("""COMPUTED_VALUE"""),"CE")</f>
        <v>CE</v>
      </c>
      <c r="H1771" s="211">
        <v>50</v>
      </c>
      <c r="I1771" s="212">
        <v>1</v>
      </c>
      <c r="J1771" s="212">
        <v>4</v>
      </c>
      <c r="K1771" s="213">
        <f t="shared" si="875"/>
        <v>200</v>
      </c>
      <c r="L1771" s="214">
        <v>0.65</v>
      </c>
      <c r="M1771" s="215">
        <v>0.3</v>
      </c>
      <c r="N1771" s="216">
        <f t="shared" si="876"/>
        <v>130</v>
      </c>
      <c r="O1771" s="216">
        <f t="shared" si="877"/>
        <v>60</v>
      </c>
      <c r="P1771" s="217">
        <f t="shared" si="878"/>
        <v>190</v>
      </c>
      <c r="Q1771" s="217">
        <f t="shared" si="879"/>
        <v>-70</v>
      </c>
      <c r="R1771" s="217">
        <f t="shared" si="895"/>
        <v>0.01</v>
      </c>
      <c r="S1771" s="217">
        <f t="shared" si="881"/>
        <v>0.02</v>
      </c>
      <c r="T1771" s="217">
        <f t="shared" si="882"/>
        <v>0.03</v>
      </c>
      <c r="U1771" s="217">
        <f t="shared" si="883"/>
        <v>0</v>
      </c>
      <c r="V1771" s="217">
        <f t="shared" si="884"/>
        <v>0.1</v>
      </c>
      <c r="W1771" s="217">
        <f t="shared" si="885"/>
        <v>0</v>
      </c>
      <c r="X1771" s="217">
        <f t="shared" si="886"/>
        <v>0.16</v>
      </c>
      <c r="Y1771" s="218">
        <f t="shared" si="887"/>
        <v>-70.16</v>
      </c>
      <c r="Z1771" s="219">
        <v>-70.28</v>
      </c>
      <c r="AA1771" s="220">
        <f t="shared" si="888"/>
        <v>-0.12000000000000455</v>
      </c>
      <c r="AB1771" s="221">
        <f t="shared" si="889"/>
        <v>-0.53846153846153855</v>
      </c>
      <c r="AC1771" s="222">
        <f t="shared" si="890"/>
        <v>8.4199999999999998E-4</v>
      </c>
      <c r="AD1771" s="217"/>
      <c r="AE1771" s="223" t="s">
        <v>405</v>
      </c>
      <c r="AF1771" s="119"/>
    </row>
    <row r="1772" spans="1:32">
      <c r="A1772" s="209">
        <v>45002</v>
      </c>
      <c r="B1772" s="152" t="s">
        <v>896</v>
      </c>
      <c r="C1772" s="152" t="str">
        <f t="shared" ca="1" si="874"/>
        <v>Indices</v>
      </c>
      <c r="D1772" s="152" t="str">
        <f ca="1">IFERROR(__xludf.DUMMYFUNCTION("split(B1772,"" "")"),"NIFTY")</f>
        <v>NIFTY</v>
      </c>
      <c r="E1772" s="210">
        <f ca="1">IFERROR(__xludf.DUMMYFUNCTION("""COMPUTED_VALUE"""),45008)</f>
        <v>45008</v>
      </c>
      <c r="F1772" s="152">
        <f ca="1">IFERROR(__xludf.DUMMYFUNCTION("""COMPUTED_VALUE"""),17500)</f>
        <v>17500</v>
      </c>
      <c r="G1772" s="152" t="str">
        <f ca="1">IFERROR(__xludf.DUMMYFUNCTION("""COMPUTED_VALUE"""),"CE")</f>
        <v>CE</v>
      </c>
      <c r="H1772" s="211">
        <v>50</v>
      </c>
      <c r="I1772" s="212">
        <v>1</v>
      </c>
      <c r="J1772" s="212">
        <v>12</v>
      </c>
      <c r="K1772" s="213">
        <f t="shared" si="875"/>
        <v>600</v>
      </c>
      <c r="L1772" s="214">
        <v>10.64584</v>
      </c>
      <c r="M1772" s="215">
        <v>11.2125</v>
      </c>
      <c r="N1772" s="216">
        <f t="shared" si="876"/>
        <v>6387.5</v>
      </c>
      <c r="O1772" s="216">
        <f t="shared" si="877"/>
        <v>6727.5</v>
      </c>
      <c r="P1772" s="217">
        <f t="shared" si="878"/>
        <v>13115</v>
      </c>
      <c r="Q1772" s="217">
        <f t="shared" si="879"/>
        <v>339.99600000000038</v>
      </c>
      <c r="R1772" s="217">
        <f t="shared" si="895"/>
        <v>0.01</v>
      </c>
      <c r="S1772" s="217">
        <f t="shared" si="881"/>
        <v>1.25</v>
      </c>
      <c r="T1772" s="217">
        <f t="shared" si="882"/>
        <v>3.36</v>
      </c>
      <c r="U1772" s="217">
        <f t="shared" si="883"/>
        <v>0.19</v>
      </c>
      <c r="V1772" s="217">
        <f t="shared" si="884"/>
        <v>6.95</v>
      </c>
      <c r="W1772" s="217">
        <f t="shared" si="885"/>
        <v>0.01</v>
      </c>
      <c r="X1772" s="217">
        <f t="shared" si="886"/>
        <v>11.770000000000001</v>
      </c>
      <c r="Y1772" s="218">
        <f t="shared" si="887"/>
        <v>328.23</v>
      </c>
      <c r="Z1772" s="219">
        <v>328.79</v>
      </c>
      <c r="AA1772" s="220">
        <f t="shared" si="888"/>
        <v>0.56000000000000227</v>
      </c>
      <c r="AB1772" s="221">
        <f t="shared" si="889"/>
        <v>5.3228303262119345E-2</v>
      </c>
      <c r="AC1772" s="222">
        <f t="shared" si="890"/>
        <v>8.9700000000000001E-4</v>
      </c>
      <c r="AD1772" s="217"/>
      <c r="AE1772" s="223" t="s">
        <v>405</v>
      </c>
      <c r="AF1772" s="119"/>
    </row>
    <row r="1773" spans="1:32">
      <c r="A1773" s="225">
        <v>45005</v>
      </c>
      <c r="B1773" s="152" t="s">
        <v>896</v>
      </c>
      <c r="C1773" s="152" t="str">
        <f t="shared" ca="1" si="874"/>
        <v>Indices</v>
      </c>
      <c r="D1773" s="152" t="str">
        <f ca="1">IFERROR(__xludf.DUMMYFUNCTION("split(B1773,"" "")"),"NIFTY")</f>
        <v>NIFTY</v>
      </c>
      <c r="E1773" s="210">
        <f ca="1">IFERROR(__xludf.DUMMYFUNCTION("""COMPUTED_VALUE"""),45008)</f>
        <v>45008</v>
      </c>
      <c r="F1773" s="152">
        <f ca="1">IFERROR(__xludf.DUMMYFUNCTION("""COMPUTED_VALUE"""),17500)</f>
        <v>17500</v>
      </c>
      <c r="G1773" s="152" t="str">
        <f ca="1">IFERROR(__xludf.DUMMYFUNCTION("""COMPUTED_VALUE"""),"CE")</f>
        <v>CE</v>
      </c>
      <c r="H1773" s="211">
        <v>50</v>
      </c>
      <c r="I1773" s="212">
        <v>1</v>
      </c>
      <c r="J1773" s="226">
        <v>8</v>
      </c>
      <c r="K1773" s="213">
        <f t="shared" si="875"/>
        <v>400</v>
      </c>
      <c r="L1773" s="214">
        <v>4.3937999999999997</v>
      </c>
      <c r="M1773" s="215">
        <v>4</v>
      </c>
      <c r="N1773" s="216">
        <f t="shared" si="876"/>
        <v>1757.52</v>
      </c>
      <c r="O1773" s="216">
        <f t="shared" si="877"/>
        <v>1600</v>
      </c>
      <c r="P1773" s="217">
        <f t="shared" si="878"/>
        <v>3357.52</v>
      </c>
      <c r="Q1773" s="217">
        <f t="shared" si="879"/>
        <v>-157.51999999999987</v>
      </c>
      <c r="R1773" s="217">
        <f t="shared" si="895"/>
        <v>0.01</v>
      </c>
      <c r="S1773" s="217">
        <f t="shared" si="881"/>
        <v>0.32</v>
      </c>
      <c r="T1773" s="217">
        <f t="shared" si="882"/>
        <v>0.8</v>
      </c>
      <c r="U1773" s="217">
        <f t="shared" si="883"/>
        <v>0.05</v>
      </c>
      <c r="V1773" s="217">
        <f t="shared" si="884"/>
        <v>1.78</v>
      </c>
      <c r="W1773" s="217">
        <f t="shared" si="885"/>
        <v>0</v>
      </c>
      <c r="X1773" s="217">
        <f t="shared" si="886"/>
        <v>2.96</v>
      </c>
      <c r="Y1773" s="218">
        <f t="shared" si="887"/>
        <v>-160.47999999999999</v>
      </c>
      <c r="Z1773" s="227">
        <v>-160.6</v>
      </c>
      <c r="AA1773" s="220">
        <f t="shared" si="888"/>
        <v>-0.12000000000000455</v>
      </c>
      <c r="AB1773" s="221">
        <f t="shared" si="889"/>
        <v>-8.9626291592698748E-2</v>
      </c>
      <c r="AC1773" s="222">
        <f t="shared" si="890"/>
        <v>8.8199999999999997E-4</v>
      </c>
      <c r="AD1773" s="217"/>
      <c r="AE1773" s="223" t="s">
        <v>405</v>
      </c>
      <c r="AF1773" s="119"/>
    </row>
    <row r="1774" spans="1:32" ht="12" customHeight="1">
      <c r="A1774" s="225">
        <v>45006</v>
      </c>
      <c r="B1774" s="152" t="s">
        <v>896</v>
      </c>
      <c r="C1774" s="152" t="str">
        <f t="shared" ca="1" si="874"/>
        <v>Indices</v>
      </c>
      <c r="D1774" s="152" t="str">
        <f ca="1">IFERROR(__xludf.DUMMYFUNCTION("split(B1774,"" "")"),"NIFTY")</f>
        <v>NIFTY</v>
      </c>
      <c r="E1774" s="210">
        <f ca="1">IFERROR(__xludf.DUMMYFUNCTION("""COMPUTED_VALUE"""),45008)</f>
        <v>45008</v>
      </c>
      <c r="F1774" s="152">
        <f ca="1">IFERROR(__xludf.DUMMYFUNCTION("""COMPUTED_VALUE"""),17500)</f>
        <v>17500</v>
      </c>
      <c r="G1774" s="152" t="str">
        <f ca="1">IFERROR(__xludf.DUMMYFUNCTION("""COMPUTED_VALUE"""),"CE")</f>
        <v>CE</v>
      </c>
      <c r="H1774" s="211">
        <v>50</v>
      </c>
      <c r="I1774" s="212">
        <v>1</v>
      </c>
      <c r="J1774" s="226">
        <v>2</v>
      </c>
      <c r="K1774" s="213">
        <f t="shared" si="875"/>
        <v>100</v>
      </c>
      <c r="L1774" s="228">
        <v>3.45</v>
      </c>
      <c r="M1774" s="215">
        <v>4</v>
      </c>
      <c r="N1774" s="216">
        <f t="shared" si="876"/>
        <v>345</v>
      </c>
      <c r="O1774" s="216">
        <f t="shared" si="877"/>
        <v>400</v>
      </c>
      <c r="P1774" s="217">
        <f t="shared" si="878"/>
        <v>745</v>
      </c>
      <c r="Q1774" s="217">
        <f t="shared" si="879"/>
        <v>54.999999999999986</v>
      </c>
      <c r="R1774" s="217">
        <f t="shared" si="895"/>
        <v>0.01</v>
      </c>
      <c r="S1774" s="217">
        <f t="shared" si="881"/>
        <v>7.0000000000000007E-2</v>
      </c>
      <c r="T1774" s="217">
        <f t="shared" si="882"/>
        <v>0.2</v>
      </c>
      <c r="U1774" s="217">
        <f t="shared" si="883"/>
        <v>0.01</v>
      </c>
      <c r="V1774" s="217">
        <f t="shared" si="884"/>
        <v>0.39</v>
      </c>
      <c r="W1774" s="217">
        <f t="shared" si="885"/>
        <v>0</v>
      </c>
      <c r="X1774" s="217">
        <f t="shared" si="886"/>
        <v>0.68</v>
      </c>
      <c r="Y1774" s="218">
        <f t="shared" si="887"/>
        <v>54.32</v>
      </c>
      <c r="Z1774" s="227">
        <v>54.53</v>
      </c>
      <c r="AA1774" s="220">
        <f t="shared" si="888"/>
        <v>0.21000000000000085</v>
      </c>
      <c r="AB1774" s="221">
        <f t="shared" si="889"/>
        <v>0.15942028985507239</v>
      </c>
      <c r="AC1774" s="222">
        <f t="shared" si="890"/>
        <v>9.1299999999999997E-4</v>
      </c>
      <c r="AD1774" s="217"/>
      <c r="AE1774" s="223" t="s">
        <v>405</v>
      </c>
      <c r="AF1774" s="119"/>
    </row>
    <row r="1775" spans="1:32" ht="12" customHeight="1">
      <c r="A1775" s="148">
        <v>45007</v>
      </c>
      <c r="B1775" s="152" t="s">
        <v>896</v>
      </c>
      <c r="C1775" s="152" t="str">
        <f t="shared" ca="1" si="874"/>
        <v>Indices</v>
      </c>
      <c r="D1775" s="152" t="str">
        <f ca="1">IFERROR(__xludf.DUMMYFUNCTION("split(B1775,"" "")"),"NIFTY")</f>
        <v>NIFTY</v>
      </c>
      <c r="E1775" s="210">
        <f ca="1">IFERROR(__xludf.DUMMYFUNCTION("""COMPUTED_VALUE"""),45008)</f>
        <v>45008</v>
      </c>
      <c r="F1775" s="152">
        <f ca="1">IFERROR(__xludf.DUMMYFUNCTION("""COMPUTED_VALUE"""),17500)</f>
        <v>17500</v>
      </c>
      <c r="G1775" s="152" t="str">
        <f ca="1">IFERROR(__xludf.DUMMYFUNCTION("""COMPUTED_VALUE"""),"CE")</f>
        <v>CE</v>
      </c>
      <c r="H1775" s="211">
        <v>50</v>
      </c>
      <c r="I1775" s="212">
        <v>1</v>
      </c>
      <c r="J1775" s="226">
        <v>3</v>
      </c>
      <c r="K1775" s="213">
        <f t="shared" si="875"/>
        <v>150</v>
      </c>
      <c r="L1775" s="214">
        <v>2.2000000000000002</v>
      </c>
      <c r="M1775" s="229">
        <v>0</v>
      </c>
      <c r="N1775" s="216">
        <f t="shared" si="876"/>
        <v>330</v>
      </c>
      <c r="O1775" s="216">
        <f t="shared" si="877"/>
        <v>0</v>
      </c>
      <c r="P1775" s="217">
        <f t="shared" si="878"/>
        <v>330</v>
      </c>
      <c r="Q1775" s="217">
        <f t="shared" si="879"/>
        <v>-330</v>
      </c>
      <c r="R1775" s="217">
        <f t="shared" si="895"/>
        <v>60</v>
      </c>
      <c r="S1775" s="217">
        <f t="shared" si="881"/>
        <v>10.83</v>
      </c>
      <c r="T1775" s="217">
        <f t="shared" si="882"/>
        <v>0</v>
      </c>
      <c r="U1775" s="217">
        <f t="shared" si="883"/>
        <v>0.01</v>
      </c>
      <c r="V1775" s="217">
        <f t="shared" si="884"/>
        <v>0.17</v>
      </c>
      <c r="W1775" s="217">
        <f t="shared" si="885"/>
        <v>0</v>
      </c>
      <c r="X1775" s="217">
        <f t="shared" si="886"/>
        <v>71.010000000000005</v>
      </c>
      <c r="Y1775" s="218">
        <f t="shared" si="887"/>
        <v>-401.01</v>
      </c>
      <c r="Z1775" s="227">
        <v>-401.01</v>
      </c>
      <c r="AA1775" s="220">
        <f t="shared" si="888"/>
        <v>0</v>
      </c>
      <c r="AB1775" s="221">
        <f t="shared" si="889"/>
        <v>-1</v>
      </c>
      <c r="AC1775" s="222">
        <f t="shared" si="890"/>
        <v>0.21518200000000001</v>
      </c>
      <c r="AD1775" s="217"/>
      <c r="AE1775" s="223" t="s">
        <v>405</v>
      </c>
      <c r="AF1775" s="119"/>
    </row>
    <row r="1776" spans="1:32" ht="12" customHeight="1">
      <c r="A1776" s="230">
        <v>45008</v>
      </c>
      <c r="B1776" s="152" t="s">
        <v>896</v>
      </c>
      <c r="C1776" s="152" t="str">
        <f t="shared" ca="1" si="874"/>
        <v>Indices</v>
      </c>
      <c r="D1776" s="152" t="str">
        <f ca="1">IFERROR(__xludf.DUMMYFUNCTION("split(B1776,"" "")"),"NIFTY")</f>
        <v>NIFTY</v>
      </c>
      <c r="E1776" s="210">
        <f ca="1">IFERROR(__xludf.DUMMYFUNCTION("""COMPUTED_VALUE"""),45008)</f>
        <v>45008</v>
      </c>
      <c r="F1776" s="152">
        <f ca="1">IFERROR(__xludf.DUMMYFUNCTION("""COMPUTED_VALUE"""),17500)</f>
        <v>17500</v>
      </c>
      <c r="G1776" s="152" t="str">
        <f ca="1">IFERROR(__xludf.DUMMYFUNCTION("""COMPUTED_VALUE"""),"CE")</f>
        <v>CE</v>
      </c>
      <c r="H1776" s="211">
        <v>50</v>
      </c>
      <c r="I1776" s="226">
        <v>3</v>
      </c>
      <c r="J1776" s="226">
        <v>1</v>
      </c>
      <c r="K1776" s="213">
        <f t="shared" si="875"/>
        <v>150</v>
      </c>
      <c r="L1776" s="228">
        <v>0</v>
      </c>
      <c r="M1776" s="229">
        <v>0.9</v>
      </c>
      <c r="N1776" s="216">
        <f t="shared" si="876"/>
        <v>0</v>
      </c>
      <c r="O1776" s="216">
        <f t="shared" si="877"/>
        <v>135</v>
      </c>
      <c r="P1776" s="217">
        <f t="shared" si="878"/>
        <v>135</v>
      </c>
      <c r="Q1776" s="217">
        <f t="shared" si="879"/>
        <v>135</v>
      </c>
      <c r="R1776" s="217">
        <f t="shared" si="895"/>
        <v>20</v>
      </c>
      <c r="S1776" s="217">
        <f t="shared" si="881"/>
        <v>3.61</v>
      </c>
      <c r="T1776" s="217">
        <f t="shared" si="882"/>
        <v>7.0000000000000007E-2</v>
      </c>
      <c r="U1776" s="217">
        <f t="shared" si="883"/>
        <v>0</v>
      </c>
      <c r="V1776" s="217">
        <f t="shared" si="884"/>
        <v>7.0000000000000007E-2</v>
      </c>
      <c r="W1776" s="217">
        <f t="shared" si="885"/>
        <v>0</v>
      </c>
      <c r="X1776" s="217">
        <f t="shared" si="886"/>
        <v>23.75</v>
      </c>
      <c r="Y1776" s="218">
        <f t="shared" si="887"/>
        <v>111.25</v>
      </c>
      <c r="Z1776" s="227">
        <v>111.32</v>
      </c>
      <c r="AA1776" s="220">
        <f t="shared" si="888"/>
        <v>6.9999999999993179E-2</v>
      </c>
      <c r="AB1776" s="221">
        <f t="shared" si="889"/>
        <v>0</v>
      </c>
      <c r="AC1776" s="222">
        <f t="shared" si="890"/>
        <v>0.175926</v>
      </c>
      <c r="AD1776" s="217"/>
      <c r="AE1776" s="223" t="s">
        <v>405</v>
      </c>
      <c r="AF1776" s="119"/>
    </row>
    <row r="1777" spans="1:35" ht="30.75" customHeight="1">
      <c r="A1777" s="70"/>
      <c r="B1777" s="70"/>
      <c r="C1777" s="70"/>
      <c r="D1777" s="70"/>
      <c r="E1777" s="70"/>
      <c r="F1777" s="70"/>
      <c r="G1777" s="70"/>
      <c r="H1777" s="231"/>
      <c r="I1777" s="232"/>
      <c r="J1777" s="232"/>
      <c r="K1777" s="233"/>
      <c r="L1777" s="165"/>
      <c r="M1777" s="234"/>
      <c r="N1777" s="235"/>
      <c r="O1777" s="235"/>
      <c r="P1777" s="166"/>
      <c r="Q1777" s="166"/>
      <c r="R1777" s="166"/>
      <c r="S1777" s="166"/>
      <c r="T1777" s="166"/>
      <c r="U1777" s="166"/>
      <c r="V1777" s="166"/>
      <c r="W1777" s="166"/>
      <c r="X1777" s="166"/>
      <c r="Y1777" s="236"/>
      <c r="Z1777" s="169"/>
      <c r="AA1777" s="171"/>
      <c r="AB1777" s="237"/>
      <c r="AC1777" s="173"/>
      <c r="AD1777" s="166"/>
      <c r="AE1777" s="175"/>
      <c r="AF1777" s="119"/>
    </row>
    <row r="1778" spans="1:35" ht="12" customHeight="1">
      <c r="A1778" s="100" t="s">
        <v>0</v>
      </c>
      <c r="B1778" s="101" t="s">
        <v>717</v>
      </c>
      <c r="C1778" s="101" t="s">
        <v>718</v>
      </c>
      <c r="D1778" s="101" t="s">
        <v>422</v>
      </c>
      <c r="E1778" s="101" t="s">
        <v>719</v>
      </c>
      <c r="F1778" s="101" t="s">
        <v>720</v>
      </c>
      <c r="G1778" s="101" t="s">
        <v>721</v>
      </c>
      <c r="H1778" s="102" t="s">
        <v>722</v>
      </c>
      <c r="I1778" s="102" t="s">
        <v>723</v>
      </c>
      <c r="J1778" s="102" t="s">
        <v>724</v>
      </c>
      <c r="K1778" s="103" t="s">
        <v>426</v>
      </c>
      <c r="L1778" s="100" t="s">
        <v>643</v>
      </c>
      <c r="M1778" s="100" t="s">
        <v>644</v>
      </c>
      <c r="N1778" s="100" t="s">
        <v>725</v>
      </c>
      <c r="O1778" s="100" t="s">
        <v>726</v>
      </c>
      <c r="P1778" s="100" t="s">
        <v>430</v>
      </c>
      <c r="Q1778" s="100" t="s">
        <v>647</v>
      </c>
      <c r="R1778" s="100" t="s">
        <v>648</v>
      </c>
      <c r="S1778" s="100" t="s">
        <v>432</v>
      </c>
      <c r="T1778" s="100" t="s">
        <v>433</v>
      </c>
      <c r="U1778" s="100" t="s">
        <v>434</v>
      </c>
      <c r="V1778" s="100" t="s">
        <v>435</v>
      </c>
      <c r="W1778" s="100" t="s">
        <v>436</v>
      </c>
      <c r="X1778" s="100" t="s">
        <v>437</v>
      </c>
      <c r="Y1778" s="100" t="s">
        <v>897</v>
      </c>
      <c r="Z1778" s="100" t="s">
        <v>898</v>
      </c>
      <c r="AA1778" s="104" t="s">
        <v>899</v>
      </c>
      <c r="AB1778" s="100" t="s">
        <v>652</v>
      </c>
      <c r="AC1778" s="100" t="s">
        <v>442</v>
      </c>
      <c r="AD1778" s="101" t="s">
        <v>653</v>
      </c>
      <c r="AE1778" s="100" t="s">
        <v>444</v>
      </c>
      <c r="AF1778" s="105"/>
    </row>
    <row r="1779" spans="1:35" ht="12" customHeight="1">
      <c r="A1779" s="209"/>
      <c r="B1779" s="152"/>
      <c r="C1779" s="152" t="str">
        <f ca="1">IF(OR(D1779="NIFTY",D1779="BANKNIFTY"),"Indices","Stocks")</f>
        <v>Stocks</v>
      </c>
      <c r="D1779" s="152" t="str">
        <f ca="1">IFERROR(__xludf.DUMMYFUNCTION("split(B1779,"" "")"),"#VALUE!")</f>
        <v>#VALUE!</v>
      </c>
      <c r="E1779" s="152"/>
      <c r="F1779" s="152"/>
      <c r="G1779" s="152"/>
      <c r="H1779" s="211"/>
      <c r="I1779" s="212">
        <v>1</v>
      </c>
      <c r="J1779" s="212">
        <v>1</v>
      </c>
      <c r="K1779" s="213">
        <f>H1779*I1779*J1779</f>
        <v>0</v>
      </c>
      <c r="L1779" s="214"/>
      <c r="M1779" s="215"/>
      <c r="N1779" s="216">
        <f>ROUND(K1779*L1779,2)</f>
        <v>0</v>
      </c>
      <c r="O1779" s="216">
        <f>ROUND(K1779*M1779,2)</f>
        <v>0</v>
      </c>
      <c r="P1779" s="217">
        <f>SUM(N1779:O1779)</f>
        <v>0</v>
      </c>
      <c r="Q1779" s="217">
        <f>(M1779-L1779)*K1779</f>
        <v>0</v>
      </c>
      <c r="R1779" s="217">
        <f>IF(AND(L1779&lt;&gt;0,M1779&lt;&gt;0,AE1779="Kotak"),0.01,IF(AND(L1779="",M1779=""),0,IF(L1779=0,0,L$1804*J1779)+IF(M1779=0,0,L$1804*J1779)))</f>
        <v>0</v>
      </c>
      <c r="S1779" s="217">
        <f>ROUND((R1779+V1779)*M$1805,2)</f>
        <v>0</v>
      </c>
      <c r="T1779" s="217">
        <f>ROUND(O1779*K$1808,2)</f>
        <v>0</v>
      </c>
      <c r="U1779" s="217">
        <f>ROUND(N1779*L$1814,2)</f>
        <v>0</v>
      </c>
      <c r="V1779" s="217">
        <f>ROUND(P1779*M$1811,2)</f>
        <v>0</v>
      </c>
      <c r="W1779" s="217">
        <f>ROUND(P1779*J$1815,2)</f>
        <v>0</v>
      </c>
      <c r="X1779" s="217">
        <f>SUM(R1779:W1779)</f>
        <v>0</v>
      </c>
      <c r="Y1779" s="218">
        <f>ROUND(Q1779-X1779,2)</f>
        <v>0</v>
      </c>
      <c r="Z1779" s="219">
        <f>ROUND(Y1779,0)</f>
        <v>0</v>
      </c>
      <c r="AA1779" s="220">
        <f>Z1779-Y1779</f>
        <v>0</v>
      </c>
      <c r="AB1779" s="221" t="e">
        <f>(M1779-L1779)/L1779</f>
        <v>#DIV/0!</v>
      </c>
      <c r="AC1779" s="222" t="e">
        <f>ROUND(X1779/P1779,6)</f>
        <v>#DIV/0!</v>
      </c>
      <c r="AD1779" s="217"/>
      <c r="AE1779" s="223" t="s">
        <v>405</v>
      </c>
      <c r="AF1779" s="119"/>
    </row>
    <row r="1780" spans="1:35" ht="5.25" customHeight="1">
      <c r="A1780" s="93"/>
      <c r="B1780" s="93"/>
      <c r="C1780" s="93"/>
      <c r="D1780" s="93"/>
      <c r="E1780" s="93"/>
      <c r="F1780" s="93"/>
      <c r="G1780" s="93"/>
      <c r="H1780" s="93"/>
      <c r="I1780" s="93"/>
      <c r="J1780" s="93"/>
      <c r="K1780" s="93"/>
      <c r="L1780" s="93"/>
      <c r="M1780" s="93"/>
      <c r="N1780" s="178"/>
      <c r="O1780" s="178"/>
      <c r="P1780" s="93"/>
      <c r="Q1780" s="93"/>
      <c r="R1780" s="93"/>
      <c r="S1780" s="93"/>
      <c r="T1780" s="93"/>
      <c r="U1780" s="93"/>
      <c r="V1780" s="93"/>
      <c r="W1780" s="93"/>
      <c r="X1780" s="93"/>
      <c r="Y1780" s="93"/>
      <c r="Z1780" s="93"/>
      <c r="AA1780" s="93"/>
      <c r="AB1780" s="93"/>
      <c r="AC1780" s="238"/>
      <c r="AD1780" s="93"/>
      <c r="AE1780" s="93"/>
      <c r="AF1780" s="93"/>
    </row>
    <row r="1781" spans="1:35" ht="12" customHeight="1">
      <c r="A1781" s="148"/>
      <c r="B1781" s="93"/>
      <c r="C1781" s="93"/>
      <c r="D1781" s="93"/>
      <c r="E1781" s="93"/>
      <c r="F1781" s="93"/>
      <c r="G1781" s="93"/>
      <c r="H1781" s="93"/>
      <c r="I1781" s="93"/>
      <c r="J1781" s="93"/>
      <c r="K1781" s="93"/>
      <c r="L1781" s="93"/>
      <c r="M1781" s="93"/>
      <c r="N1781" s="178"/>
      <c r="O1781" s="93"/>
      <c r="P1781" s="93"/>
      <c r="Q1781" s="93"/>
      <c r="R1781" s="628" t="s">
        <v>900</v>
      </c>
      <c r="S1781" s="629"/>
      <c r="T1781" s="629"/>
      <c r="U1781" s="629"/>
      <c r="V1781" s="629"/>
      <c r="W1781" s="629"/>
      <c r="X1781" s="630"/>
      <c r="AA1781" s="631" t="s">
        <v>901</v>
      </c>
      <c r="AB1781" s="629"/>
      <c r="AC1781" s="630"/>
      <c r="AD1781" s="93"/>
      <c r="AE1781" s="93"/>
      <c r="AF1781" s="93"/>
    </row>
    <row r="1782" spans="1:35" ht="12" customHeight="1">
      <c r="A1782" s="150"/>
      <c r="C1782" s="93"/>
      <c r="D1782" s="93"/>
      <c r="E1782" s="93"/>
      <c r="F1782" s="93"/>
      <c r="G1782" s="93"/>
      <c r="H1782" s="239"/>
      <c r="I1782" s="93"/>
      <c r="J1782" s="93"/>
      <c r="K1782" s="93"/>
      <c r="L1782" s="93"/>
      <c r="M1782" s="93"/>
      <c r="N1782" s="93"/>
      <c r="O1782" s="93"/>
      <c r="P1782" s="93"/>
      <c r="Q1782" s="4"/>
      <c r="R1782" s="635">
        <v>44197</v>
      </c>
      <c r="S1782" s="636"/>
      <c r="T1782" s="632" t="s">
        <v>471</v>
      </c>
      <c r="U1782" s="635">
        <f>MAX(A2:A1777)</f>
        <v>45008</v>
      </c>
      <c r="V1782" s="636"/>
      <c r="W1782" s="240" t="s">
        <v>902</v>
      </c>
      <c r="X1782" s="241">
        <f>SUMIFS(Z2:Z828,A2:A828,"&gt;="&amp;R1782,A2:A828,"&lt;="&amp;U1782,J2:J828,T1782)</f>
        <v>-20294.049999999988</v>
      </c>
      <c r="Z1782" s="242">
        <f>ROUND(SUMIFS(Z834:Z1410,J834:J1410,"Sunita",A834:A1410,"&gt;="&amp;R1782,A834:A1410,"&lt;="&amp;U1782),2)</f>
        <v>151437.5</v>
      </c>
      <c r="AA1782" s="641" t="s">
        <v>903</v>
      </c>
      <c r="AB1782" s="612"/>
      <c r="AC1782" s="243">
        <f>SUMIFS(AA2:AA828,A2:A828,"&gt;="&amp;R1782,A2:A828,"&lt;="&amp;U1782)</f>
        <v>-1.989999999940963</v>
      </c>
      <c r="AD1782" s="244" t="s">
        <v>654</v>
      </c>
      <c r="AE1782" s="245">
        <v>151437.5</v>
      </c>
      <c r="AF1782" s="93"/>
    </row>
    <row r="1783" spans="1:35" ht="12" customHeight="1">
      <c r="K1783" s="4"/>
      <c r="L1783" s="93"/>
      <c r="M1783" s="93"/>
      <c r="N1783" s="178"/>
      <c r="O1783" s="93"/>
      <c r="P1783" s="93"/>
      <c r="Q1783" s="4"/>
      <c r="R1783" s="637"/>
      <c r="S1783" s="638"/>
      <c r="T1783" s="633"/>
      <c r="U1783" s="637"/>
      <c r="V1783" s="638"/>
      <c r="W1783" s="184" t="s">
        <v>904</v>
      </c>
      <c r="X1783" s="191">
        <f>ROUND(SUMIFS(Z834:Z1410,J834:J1410,T1782,A834:A1410,"&gt;="&amp;R1782,A834:A1410,"&lt;="&amp;U1782),2)</f>
        <v>10922.77</v>
      </c>
      <c r="Z1783" s="242">
        <f>Holding!E561+Holding!E562+Holding!E563</f>
        <v>100312.74</v>
      </c>
      <c r="AA1783" s="642" t="s">
        <v>905</v>
      </c>
      <c r="AB1783" s="612"/>
      <c r="AC1783" s="246">
        <f>SUMIFS(AA834:AA1410,A834:A1410,"&gt;="&amp;R1782,A834:A1410,"&lt;="&amp;U1782)</f>
        <v>-38.370000000001937</v>
      </c>
      <c r="AD1783" s="41" t="s">
        <v>906</v>
      </c>
      <c r="AE1783" s="245">
        <v>100312.74</v>
      </c>
      <c r="AF1783" s="93"/>
    </row>
    <row r="1784" spans="1:35" ht="12" customHeight="1">
      <c r="A1784" s="247"/>
      <c r="B1784" s="183" t="str">
        <f>Holding!A567</f>
        <v>TCS</v>
      </c>
      <c r="I1784" s="93"/>
      <c r="J1784" s="93"/>
      <c r="K1784" s="93"/>
      <c r="L1784" s="93"/>
      <c r="M1784" s="93"/>
      <c r="N1784" s="178"/>
      <c r="O1784" s="93"/>
      <c r="P1784" s="93"/>
      <c r="Q1784" s="4"/>
      <c r="R1784" s="637"/>
      <c r="S1784" s="638"/>
      <c r="T1784" s="633"/>
      <c r="U1784" s="637"/>
      <c r="V1784" s="638"/>
      <c r="W1784" s="7" t="s">
        <v>907</v>
      </c>
      <c r="X1784" s="248">
        <f>ROUND(SUMIFS(Z1415:Z1777,AE1415:AE1777,"Zerodha",M1415:M1777,"&lt;&gt;",A1415:A1777,"&gt;="&amp;R1782,A1415:A1777,"&lt;="&amp;U1782),2)-ROUND(SUMIFS(Z1415:Z1777,AE1415:AE1777,"Zerodha",L1415:L1777,"",A1415:A1777,"&gt;="&amp;R1782,A1415:A1777,"&lt;="&amp;U1782),2)</f>
        <v>-291958.27</v>
      </c>
      <c r="Y1784" s="249">
        <f>SUMIFS(X1415:X1777,AE1415:AE1777,"Zerodha",A1415:A1777,"&gt;="&amp;R1782,A1415:A1777,"&lt;="&amp;U1782)</f>
        <v>16964.410000000003</v>
      </c>
      <c r="Z1784" s="249">
        <f>SUMIFS(R1415:R1777,AE1415:AE1777,"Zerodha",A1415:A1777,"&gt;="&amp;R1782,A1415:A1777,"&lt;="&amp;U1782)</f>
        <v>10180</v>
      </c>
      <c r="AA1784" s="611" t="s">
        <v>908</v>
      </c>
      <c r="AB1784" s="612"/>
      <c r="AC1784" s="250">
        <f>SUMIFS(AA1415:AA1777,A1415:A1777,"&gt;="&amp;R1782,A1415:A1777,"&lt;="&amp;U1782)</f>
        <v>-4.1600000000011095</v>
      </c>
      <c r="AD1784" s="244" t="s">
        <v>654</v>
      </c>
      <c r="AE1784" s="41" t="s">
        <v>906</v>
      </c>
      <c r="AF1784" s="41"/>
    </row>
    <row r="1785" spans="1:35" ht="12" customHeight="1">
      <c r="A1785" s="251">
        <f>SUMIFS(Y$834:Y1410,J$834:J1410,T1782,B$834:B1410,B1784,A$834:A1410,"&gt;="&amp;R1782,A$834:A1410,"&lt;="&amp;U1782)</f>
        <v>27.66</v>
      </c>
      <c r="B1785" s="184" t="s">
        <v>909</v>
      </c>
      <c r="C1785" s="93"/>
      <c r="D1785" s="93"/>
      <c r="E1785" s="93"/>
      <c r="F1785" s="93"/>
      <c r="G1785" s="93"/>
      <c r="H1785" s="93" t="s">
        <v>910</v>
      </c>
      <c r="I1785" s="93"/>
      <c r="J1785" s="93"/>
      <c r="K1785" s="93"/>
      <c r="L1785" s="93"/>
      <c r="M1785" s="93"/>
      <c r="N1785" s="178"/>
      <c r="O1785" s="178"/>
      <c r="P1785" s="93"/>
      <c r="Q1785" s="93"/>
      <c r="R1785" s="639"/>
      <c r="S1785" s="640"/>
      <c r="T1785" s="634"/>
      <c r="U1785" s="639"/>
      <c r="V1785" s="640"/>
      <c r="W1785" s="252" t="s">
        <v>911</v>
      </c>
      <c r="X1785" s="253">
        <f>ROUND(SUMIFS(Z1415:Z1777,AE1415:AE1777,"Dhan",M1415:M1777,"&lt;&gt;",A1415:A1777,"&gt;="&amp;R1782,A1415:A1777,"&lt;="&amp;U1782),2)-ROUND(SUMIFS(Z1415:Z1777,AE1415:AE1777,"Dhan",L1415:L1777,"",A1415:A1777,"&gt;="&amp;R1782,A1415:A1777,"&lt;="&amp;U1782),2)</f>
        <v>-20120.259999999998</v>
      </c>
      <c r="Y1785" s="254">
        <f>SUMIFS(X1415:X1777,AE1415:AE1777,"Dhan",A1415:A1777,"&gt;="&amp;R1782,A1415:A1777,"&lt;="&amp;U1782)</f>
        <v>385.3</v>
      </c>
      <c r="Z1785" s="254">
        <f>SUMIFS(R1415:R1777,AE1415:AE1777,"Dhan",A1415:A1777,"&gt;="&amp;R1782,A1415:A1777,"&lt;="&amp;U1782)</f>
        <v>300</v>
      </c>
      <c r="AB1785" s="255">
        <f>2000</f>
        <v>2000</v>
      </c>
      <c r="AC1785" s="93"/>
      <c r="AD1785" s="256">
        <f>Z1782-AE1782</f>
        <v>0</v>
      </c>
      <c r="AE1785" s="256">
        <f>Z1783-AE1783</f>
        <v>0</v>
      </c>
      <c r="AF1785" s="256"/>
    </row>
    <row r="1786" spans="1:35" ht="12" customHeight="1">
      <c r="A1786" s="251">
        <f t="array" ref="A1786">LOOKUP(2,1/(B$834:B1410=B1784),Y$834:Y1410)</f>
        <v>22.32</v>
      </c>
      <c r="B1786" s="184" t="s">
        <v>912</v>
      </c>
      <c r="C1786" s="93"/>
      <c r="D1786" s="93"/>
      <c r="E1786" s="93"/>
      <c r="F1786" s="93"/>
      <c r="G1786" s="93"/>
      <c r="H1786" s="93"/>
      <c r="I1786" s="93"/>
      <c r="J1786" s="93"/>
      <c r="K1786" s="93"/>
      <c r="L1786" s="93"/>
      <c r="M1786" s="93"/>
      <c r="N1786" s="178"/>
      <c r="O1786" s="178"/>
      <c r="P1786" s="93"/>
      <c r="Q1786" s="93"/>
      <c r="R1786" s="257"/>
      <c r="S1786" s="258"/>
      <c r="T1786" s="258"/>
      <c r="U1786" s="258"/>
      <c r="V1786" s="258"/>
      <c r="W1786" s="240" t="s">
        <v>913</v>
      </c>
      <c r="X1786" s="241">
        <f>ROUND(SUMIFS(Z1415:Z1777,AE1415:AE1777,"Kotak",M1415:M1777,"&lt;&gt;",A1415:A1777,"&gt;="&amp;R1782,A1415:A1777,"&lt;="&amp;U1782),2)-ROUND(SUMIFS(Z1415:Z1777,AE1415:AE1777,"Kotak",L1415:L1777,"",A1415:A1777,"&gt;="&amp;R1782,A1415:A1777,"&lt;="&amp;U1782),2)</f>
        <v>-23465.1</v>
      </c>
      <c r="Y1786" s="259">
        <f>SUMIFS(X1415:X1777,AE1415:AE1777,"Kotak",A1415:A1777,"&gt;="&amp;R1782,A1415:A1777,"&lt;="&amp;U1782)</f>
        <v>1491.77</v>
      </c>
      <c r="Z1786" s="259">
        <f>SUMIFS(R1415:R1777,AE1415:AE1777,"Kotak",A1415:A1777,"&gt;="&amp;R1782,A1415:A1777,"&lt;="&amp;U1782)</f>
        <v>405.62999999999948</v>
      </c>
      <c r="AB1786" s="255">
        <f>(6750+1350+700)</f>
        <v>8800</v>
      </c>
      <c r="AC1786" s="260">
        <f>SUMIFS(Z834:Z1410,AD834:AD1410,"Golden",A834:A1410,"&gt;="&amp;R1782,A834:A1410,"&lt;="&amp;U1782)</f>
        <v>-5995.2300000000014</v>
      </c>
      <c r="AD1786" s="93"/>
      <c r="AE1786" s="93"/>
      <c r="AF1786" s="93"/>
    </row>
    <row r="1787" spans="1:35" ht="12" customHeight="1">
      <c r="A1787" s="183">
        <f t="array" ref="A1787">LOOKUP(2,1/(B$834:B1410=B1784),A$834:A1410)</f>
        <v>44530</v>
      </c>
      <c r="B1787" s="184" t="s">
        <v>914</v>
      </c>
      <c r="C1787" s="93"/>
      <c r="D1787" s="93"/>
      <c r="E1787" s="93"/>
      <c r="F1787" s="93"/>
      <c r="G1787" s="93"/>
      <c r="H1787" s="93"/>
      <c r="I1787" s="93"/>
      <c r="J1787" s="93"/>
      <c r="K1787" s="93"/>
      <c r="L1787" s="93"/>
      <c r="M1787" s="93"/>
      <c r="N1787" s="178"/>
      <c r="O1787" s="178"/>
      <c r="P1787" s="93"/>
      <c r="Q1787" s="93"/>
      <c r="R1787" s="93"/>
      <c r="S1787" s="93"/>
      <c r="T1787" s="261">
        <f>T1790-U1790</f>
        <v>115</v>
      </c>
      <c r="U1787" s="93"/>
      <c r="V1787" s="93"/>
      <c r="W1787" s="93"/>
      <c r="X1787" s="262"/>
      <c r="Y1787" s="4"/>
      <c r="Z1787" s="93"/>
      <c r="AA1787" s="93"/>
      <c r="AB1787" s="93"/>
      <c r="AC1787" s="93"/>
      <c r="AD1787" s="93"/>
      <c r="AE1787" s="93"/>
      <c r="AF1787" s="93"/>
    </row>
    <row r="1788" spans="1:35" ht="12" customHeight="1">
      <c r="A1788" s="263">
        <f>COUNTIFS(B$834:B1410,B1784,A$834:A1410,"&gt;="&amp;R1782,A$834:A1410,"&lt;="&amp;U1782)</f>
        <v>2</v>
      </c>
      <c r="B1788" s="184" t="s">
        <v>915</v>
      </c>
      <c r="C1788" s="93"/>
      <c r="D1788" s="93"/>
      <c r="E1788" s="93"/>
      <c r="F1788" s="93"/>
      <c r="G1788" s="93"/>
      <c r="H1788" s="93"/>
      <c r="I1788" s="93"/>
      <c r="J1788" s="93"/>
      <c r="K1788" s="93"/>
      <c r="L1788" s="93"/>
      <c r="M1788" s="93"/>
      <c r="N1788" s="178"/>
      <c r="O1788" s="178"/>
      <c r="P1788" s="657">
        <v>45008</v>
      </c>
      <c r="Q1788" s="644" t="s">
        <v>405</v>
      </c>
      <c r="R1788" s="643" t="s">
        <v>916</v>
      </c>
      <c r="S1788" s="629"/>
      <c r="T1788" s="629"/>
      <c r="U1788" s="629"/>
      <c r="V1788" s="629"/>
      <c r="W1788" s="629"/>
      <c r="X1788" s="629"/>
      <c r="Y1788" s="629"/>
      <c r="Z1788" s="630"/>
      <c r="AA1788" s="613" t="s">
        <v>917</v>
      </c>
      <c r="AB1788" s="615" t="s">
        <v>918</v>
      </c>
      <c r="AC1788" s="617" t="s">
        <v>919</v>
      </c>
      <c r="AD1788" s="619" t="s">
        <v>920</v>
      </c>
      <c r="AE1788" s="622" t="s">
        <v>921</v>
      </c>
      <c r="AF1788" s="623"/>
    </row>
    <row r="1789" spans="1:35" ht="12" customHeight="1">
      <c r="A1789" s="93"/>
      <c r="B1789" s="93"/>
      <c r="C1789" s="93"/>
      <c r="D1789" s="93"/>
      <c r="E1789" s="93"/>
      <c r="F1789" s="93"/>
      <c r="G1789" s="93"/>
      <c r="H1789" s="93"/>
      <c r="I1789" s="93"/>
      <c r="J1789" s="93"/>
      <c r="K1789" s="93"/>
      <c r="L1789" s="93"/>
      <c r="M1789" s="93"/>
      <c r="N1789" s="178"/>
      <c r="O1789" s="178"/>
      <c r="P1789" s="658"/>
      <c r="Q1789" s="645"/>
      <c r="R1789" s="660" t="s">
        <v>922</v>
      </c>
      <c r="S1789" s="612"/>
      <c r="T1789" s="264" t="s">
        <v>1</v>
      </c>
      <c r="U1789" s="264" t="s">
        <v>428</v>
      </c>
      <c r="V1789" s="265" t="s">
        <v>435</v>
      </c>
      <c r="W1789" s="264" t="s">
        <v>432</v>
      </c>
      <c r="X1789" s="264" t="s">
        <v>433</v>
      </c>
      <c r="Y1789" s="265" t="s">
        <v>434</v>
      </c>
      <c r="Z1789" s="265" t="s">
        <v>923</v>
      </c>
      <c r="AA1789" s="614"/>
      <c r="AB1789" s="616"/>
      <c r="AC1789" s="618"/>
      <c r="AD1789" s="620"/>
      <c r="AE1789" s="624"/>
      <c r="AF1789" s="625"/>
    </row>
    <row r="1790" spans="1:35" ht="12" customHeight="1">
      <c r="A1790" s="266"/>
      <c r="B1790" s="7" t="s">
        <v>924</v>
      </c>
      <c r="C1790" s="43"/>
      <c r="D1790" s="43"/>
      <c r="E1790" s="43"/>
      <c r="F1790" s="43"/>
      <c r="G1790" s="43"/>
      <c r="H1790" s="5" t="str">
        <f>Holding!A567</f>
        <v>TCS</v>
      </c>
      <c r="I1790" s="93"/>
      <c r="J1790" s="93" t="s">
        <v>2663</v>
      </c>
      <c r="K1790" s="93" t="s">
        <v>2664</v>
      </c>
      <c r="L1790" s="93" t="s">
        <v>2665</v>
      </c>
      <c r="M1790" s="93"/>
      <c r="N1790" s="178"/>
      <c r="O1790" s="178"/>
      <c r="P1790" s="658"/>
      <c r="Q1790" s="645"/>
      <c r="R1790" s="661" t="s">
        <v>4</v>
      </c>
      <c r="S1790" s="612"/>
      <c r="T1790" s="248">
        <f>SUMIFS(Q1415:Q1777,$A1415:$A1777,"="&amp;$P1788,AE1415:AE1777,Q1788)</f>
        <v>135</v>
      </c>
      <c r="U1790" s="248">
        <f>SUMIFS(R1415:R1777,$A1415:$A1777,"="&amp;$P1788,AE1415:AE1777,Q1788)</f>
        <v>20</v>
      </c>
      <c r="V1790" s="248">
        <f>SUMIFS(V1415:V1777,$A1415:$A1777,"="&amp;$P1788,AE1415:AE1777,Q1788)</f>
        <v>7.0000000000000007E-2</v>
      </c>
      <c r="W1790" s="248">
        <f>SUMIFS(S1415:S1777,$A1415:$A1777,"="&amp;$P1788,AE1415:AE1777,Q1788)</f>
        <v>3.61</v>
      </c>
      <c r="X1790" s="248">
        <f>SUMIFS(T1415:T1777,$A1415:$A1777,"="&amp;$P1788,AE1415:AE1777,Q1788)</f>
        <v>7.0000000000000007E-2</v>
      </c>
      <c r="Y1790" s="248">
        <f>SUMIFS(U1415:U1777,$A1415:$A1777,"="&amp;$P1788,AE1415:AE1777,Q1788)</f>
        <v>0</v>
      </c>
      <c r="Z1790" s="248">
        <f>SUMIFS(W1415:W1777,$A1415:$A1777,"="&amp;$P1788,AE1415:AE1777,Q1788)</f>
        <v>0</v>
      </c>
      <c r="AA1790" s="248">
        <f t="shared" ref="AA1790:AA1791" si="896">SUM(U1790:Z1790)</f>
        <v>23.75</v>
      </c>
      <c r="AB1790" s="267">
        <f>SUMIFS(Z1415:Z1777,AE1415:AE1777,Q1788,$A1415:$A1777,"="&amp;$P1788)</f>
        <v>111.32</v>
      </c>
      <c r="AC1790" s="268">
        <f>SUMIFS(Z1415:Z1777,AE1415:AE1777,Q1788,L1415:L1777,"",$A1415:$A1777,"="&amp;$P1788)+SUMIFS(Z1415:Z1777,AE1415:AE1777,Q1788,M1415:M1777,"",$A1415:$A1777,"="&amp;$P1788)</f>
        <v>0</v>
      </c>
      <c r="AD1790" s="620"/>
      <c r="AE1790" s="5"/>
      <c r="AF1790" s="269"/>
      <c r="AG1790" s="270"/>
      <c r="AH1790" s="7"/>
      <c r="AI1790" s="7"/>
    </row>
    <row r="1791" spans="1:35" ht="12" customHeight="1">
      <c r="A1791" s="269">
        <f ca="1">SUMIFS(Z$1415:Z1777,C$1415:C1777,B1790,A$1415:A1777,"&gt;="&amp;R1782,A$1415:A1777,"&lt;="&amp;U1782)</f>
        <v>-93868.600000000064</v>
      </c>
      <c r="B1791" s="7" t="s">
        <v>909</v>
      </c>
      <c r="C1791" s="43"/>
      <c r="D1791" s="43"/>
      <c r="E1791" s="43"/>
      <c r="F1791" s="43"/>
      <c r="G1791" s="43"/>
      <c r="H1791" s="269">
        <f ca="1">SUMIFS(Z$1415:Z1777,D$1415:D1777,H1790,A$1415:A1777,"&gt;="&amp;R1782,A$1415:A1777,"&lt;="&amp;U1782)</f>
        <v>-1329</v>
      </c>
      <c r="I1791" s="269">
        <f t="array" aca="1" ref="I1791" ca="1">INDEX(Z1415:Z1777,LARGE(IF((D1415:D1777=H1790)*(Z1415:Z1777&lt;&gt;""),ROW(1415:1777)-1414),2))</f>
        <v>-8879</v>
      </c>
      <c r="J1791" s="276">
        <f t="array" aca="1" ref="J1791" ca="1">IFERROR(LARGE(IF(($D$1412:$D$1761=$H$1790)*($Z$1412:$Z$1761&lt;&gt;""),ROW($1412:$1761)-1411),ROW(1:1))+1411,"")</f>
        <v>1547</v>
      </c>
      <c r="K1791" s="93">
        <f t="array" aca="1" ref="K1791" ca="1">IFERROR(INDEX($Z$1412:$Z$1761,LARGE(IF(($D$1412:$D$1761=$H$1790)*($Z$1412:$Z$1761&lt;&gt;""),ROW($1412:$1761)-1411),ROW(1:1))),"")</f>
        <v>9865</v>
      </c>
      <c r="L1791" s="93" t="str">
        <f t="array" aca="1" ref="L1791" ca="1">IFERROR(ADDRESS(IFERROR(LARGE(IF(($D$1412:$D$1761=$H$1790)*($Z$1412:$Z$1761&lt;&gt;""),ROW($1412:$1761)-1411),ROW(1:1))+1411,""),26,4),"")</f>
        <v>Z1547</v>
      </c>
      <c r="M1791" s="93" t="s">
        <v>2666</v>
      </c>
      <c r="N1791" s="178"/>
      <c r="O1791" s="178"/>
      <c r="P1791" s="658"/>
      <c r="Q1791" s="645"/>
      <c r="R1791" s="654" t="s">
        <v>925</v>
      </c>
      <c r="S1791" s="612"/>
      <c r="T1791" s="271"/>
      <c r="U1791" s="271"/>
      <c r="V1791" s="271"/>
      <c r="W1791" s="271"/>
      <c r="X1791" s="271"/>
      <c r="Y1791" s="271"/>
      <c r="Z1791" s="271"/>
      <c r="AA1791" s="271">
        <f t="shared" si="896"/>
        <v>0</v>
      </c>
      <c r="AB1791" s="272"/>
      <c r="AC1791" s="273" t="s">
        <v>926</v>
      </c>
      <c r="AD1791" s="621"/>
      <c r="AE1791" s="5"/>
      <c r="AF1791" s="269"/>
      <c r="AG1791" s="270"/>
      <c r="AH1791" s="7"/>
      <c r="AI1791" s="7"/>
    </row>
    <row r="1792" spans="1:35" ht="12" customHeight="1">
      <c r="A1792" s="269">
        <f t="array" aca="1" ref="A1792" ca="1">LOOKUP(2,1/(C$1415:C1777=B1790),Z$1415:Z1777)</f>
        <v>111.32</v>
      </c>
      <c r="B1792" s="7" t="s">
        <v>912</v>
      </c>
      <c r="C1792" s="43"/>
      <c r="D1792" s="43"/>
      <c r="E1792" s="43"/>
      <c r="F1792" s="43"/>
      <c r="G1792" s="43"/>
      <c r="H1792" s="269">
        <f ca="1">I1792+I1791</f>
        <v>986</v>
      </c>
      <c r="I1792" s="269">
        <f t="array" aca="1" ref="I1792" ca="1">INDEX(Z1415:Z1777,LARGE(IF((D1415:D1777=H1790)*(Z1415:Z1777&lt;&gt;""),ROW(1415:1777)-1414),1))</f>
        <v>9865</v>
      </c>
      <c r="J1792" s="276">
        <f t="array" aca="1" ref="J1792" ca="1">IFERROR(LARGE(IF(($D$1412:$D$1761=$H$1790)*($Z$1412:$Z$1761&lt;&gt;""),ROW($1412:$1761)-1411),ROW(2:2))+1411,"")</f>
        <v>1546</v>
      </c>
      <c r="K1792" s="93">
        <f t="array" aca="1" ref="K1792" ca="1">IFERROR(INDEX($Z$1412:$Z$1761,LARGE(IF(($D$1412:$D$1761=$H$1790)*($Z$1412:$Z$1761&lt;&gt;""),ROW($1412:$1761)-1411),ROW(2:2))),"")</f>
        <v>-8879</v>
      </c>
      <c r="L1792" s="93" t="str">
        <f t="array" aca="1" ref="L1792" ca="1">IFERROR(ADDRESS(IFERROR(LARGE(IF(($D$1412:$D$1761=$H$1790)*($Z$1412:$Z$1761&lt;&gt;""),ROW($1412:$1761)-1411),ROW(2:2))+1411,""),26,4),"")</f>
        <v>Z1546</v>
      </c>
      <c r="M1792" s="93" t="s">
        <v>2667</v>
      </c>
      <c r="N1792" s="178"/>
      <c r="O1792" s="178"/>
      <c r="P1792" s="658"/>
      <c r="Q1792" s="645"/>
      <c r="R1792" s="655" t="s">
        <v>927</v>
      </c>
      <c r="S1792" s="656"/>
      <c r="T1792" s="274">
        <f t="shared" ref="T1792:AB1792" si="897">T1791-T1790</f>
        <v>-135</v>
      </c>
      <c r="U1792" s="274">
        <f t="shared" si="897"/>
        <v>-20</v>
      </c>
      <c r="V1792" s="274">
        <f t="shared" si="897"/>
        <v>-7.0000000000000007E-2</v>
      </c>
      <c r="W1792" s="274">
        <f t="shared" si="897"/>
        <v>-3.61</v>
      </c>
      <c r="X1792" s="274">
        <f t="shared" si="897"/>
        <v>-7.0000000000000007E-2</v>
      </c>
      <c r="Y1792" s="274">
        <f t="shared" si="897"/>
        <v>0</v>
      </c>
      <c r="Z1792" s="274">
        <f t="shared" si="897"/>
        <v>0</v>
      </c>
      <c r="AA1792" s="274">
        <f t="shared" si="897"/>
        <v>-23.75</v>
      </c>
      <c r="AB1792" s="274">
        <f t="shared" si="897"/>
        <v>-111.32</v>
      </c>
      <c r="AC1792" s="268">
        <f>SUMIFS(Z1415:Z1777,AE1415:AE1777,Q1788,M1415:M1777,"&lt;&gt;",$A1415:$A1777,"="&amp;$P1788)-SUMIFS(Z1415:Z1777,AE1415:AE1777,Q1788,L1415:L1777,"",$A1415:$A1777,"="&amp;$P1788)</f>
        <v>111.32</v>
      </c>
      <c r="AD1792" s="275">
        <f>AF1794+AC1792</f>
        <v>111.32</v>
      </c>
      <c r="AE1792" s="5"/>
      <c r="AF1792" s="269"/>
      <c r="AG1792" s="270"/>
      <c r="AH1792" s="7"/>
      <c r="AI1792" s="7"/>
    </row>
    <row r="1793" spans="1:35" ht="12" customHeight="1">
      <c r="A1793" s="5">
        <f t="array" aca="1" ref="A1793" ca="1">LOOKUP(2,1/(C$1415:C1777=B1790),A$1415:A1777)</f>
        <v>45008</v>
      </c>
      <c r="B1793" s="7" t="s">
        <v>914</v>
      </c>
      <c r="C1793" s="43"/>
      <c r="D1793" s="43"/>
      <c r="E1793" s="43"/>
      <c r="F1793" s="43"/>
      <c r="G1793" s="43"/>
      <c r="H1793" s="5">
        <f t="array" aca="1" ref="H1793" ca="1">LOOKUP(2,1/(D$1415:D1777=H1790),A$1415:A1777)</f>
        <v>44739</v>
      </c>
      <c r="I1793" s="269">
        <f t="array" aca="1" ref="I1793" ca="1">INDEX(Z1415:Z1777,LARGE(IF((D1415:D1777=H1790)*(Z1415:Z1777&lt;&gt;"")*(L1415:L1777&lt;&gt;0)*(M1415:M1777&lt;&gt;0),ROW(1415:1777)-1414),1))</f>
        <v>-2315</v>
      </c>
      <c r="J1793" s="276">
        <f t="array" aca="1" ref="J1793" ca="1">IFERROR(LARGE(IF(($D$1412:$D$1761=$H$1790)*($Z$1412:$Z$1761&lt;&gt;""),ROW($1412:$1761)-1411),ROW(3:3))+1411,"")</f>
        <v>1539</v>
      </c>
      <c r="K1793" s="93">
        <f t="array" aca="1" ref="K1793" ca="1">IFERROR(INDEX($Z$1412:$Z$1761,LARGE(IF(($D$1412:$D$1761=$H$1790)*($Z$1412:$Z$1761&lt;&gt;""),ROW($1412:$1761)-1411),ROW(3:3))),"")</f>
        <v>-2315</v>
      </c>
      <c r="L1793" s="93" t="str">
        <f t="array" aca="1" ref="L1793" ca="1">IFERROR(ADDRESS(IFERROR(LARGE(IF(($D$1412:$D$1761=$H$1790)*($Z$1412:$Z$1761&lt;&gt;""),ROW($1412:$1761)-1411),ROW(3:3))+1411,""),26,4),"")</f>
        <v>Z1539</v>
      </c>
      <c r="M1793" s="93" t="s">
        <v>2668</v>
      </c>
      <c r="N1793" s="178"/>
      <c r="O1793" s="178"/>
      <c r="P1793" s="658"/>
      <c r="Q1793" s="646"/>
      <c r="R1793" s="662" t="s">
        <v>922</v>
      </c>
      <c r="S1793" s="650"/>
      <c r="T1793" s="277" t="s">
        <v>1</v>
      </c>
      <c r="U1793" s="277" t="s">
        <v>428</v>
      </c>
      <c r="V1793" s="278" t="s">
        <v>435</v>
      </c>
      <c r="W1793" s="277" t="s">
        <v>432</v>
      </c>
      <c r="X1793" s="277" t="s">
        <v>433</v>
      </c>
      <c r="Y1793" s="278" t="s">
        <v>434</v>
      </c>
      <c r="Z1793" s="278" t="s">
        <v>923</v>
      </c>
      <c r="AA1793" s="626" t="s">
        <v>917</v>
      </c>
      <c r="AB1793" s="626" t="s">
        <v>928</v>
      </c>
      <c r="AC1793" s="4"/>
      <c r="AE1793" s="5"/>
      <c r="AF1793" s="269"/>
      <c r="AG1793" s="279"/>
      <c r="AH1793" s="7"/>
      <c r="AI1793" s="7"/>
    </row>
    <row r="1794" spans="1:35" ht="12" customHeight="1">
      <c r="A1794" s="280">
        <f ca="1">COUNTIFS(C$1415:C1777,B1790,A$1415:A1777,"&gt;="&amp;R1782,A$1415:A1777,"&lt;="&amp;U1782,L$1415:L1777,"&lt;&gt;0")</f>
        <v>130</v>
      </c>
      <c r="B1794" s="7" t="s">
        <v>929</v>
      </c>
      <c r="C1794" s="266"/>
      <c r="D1794" s="266"/>
      <c r="E1794" s="266"/>
      <c r="F1794" s="266"/>
      <c r="G1794" s="266"/>
      <c r="H1794" s="280">
        <f ca="1">COUNTIFS(D$1415:D1777,H1790,A$1415:A1777,"&gt;="&amp;R1782,A$1415:A1777,"&lt;="&amp;U1782,L$1415:L1777,"&lt;&gt;0")</f>
        <v>2</v>
      </c>
      <c r="I1794" s="93"/>
      <c r="J1794" s="276" t="str">
        <f t="array" aca="1" ref="J1794" ca="1">IFERROR(LARGE(IF(($D$1412:$D$1761=$H$1790)*($Z$1412:$Z$1761&lt;&gt;""),ROW($1412:$1761)-1411),ROW(4:4))+1411,"")</f>
        <v/>
      </c>
      <c r="K1794" s="93" t="str">
        <f t="array" aca="1" ref="K1794" ca="1">IFERROR(INDEX($Z$1412:$Z$1761,LARGE(IF(($D$1412:$D$1761=$H$1790)*($Z$1412:$Z$1761&lt;&gt;""),ROW($1412:$1761)-1411),ROW(4:4))),"")</f>
        <v/>
      </c>
      <c r="L1794" s="93" t="str">
        <f t="array" aca="1" ref="L1794" ca="1">IFERROR(ADDRESS(IFERROR(LARGE(IF(($D$1412:$D$1761=$H$1790)*($Z$1412:$Z$1761&lt;&gt;""),ROW($1412:$1761)-1411),ROW(4:4))+1411,""),26,4),"")</f>
        <v/>
      </c>
      <c r="M1794" s="93"/>
      <c r="N1794" s="176"/>
      <c r="O1794" s="93"/>
      <c r="P1794" s="658"/>
      <c r="Q1794" s="647" t="s">
        <v>471</v>
      </c>
      <c r="R1794" s="649" t="s">
        <v>453</v>
      </c>
      <c r="S1794" s="650"/>
      <c r="T1794" s="281">
        <f>-SUMIFS(P2:P828,$A2:$A828,"="&amp;$P1788,$H2:$H828,"=Buy",$J2:$J828,Q1794)</f>
        <v>0</v>
      </c>
      <c r="U1794" s="281">
        <f>SUMIFS(R2:R828,$A2:$A828,"="&amp;$P1788,$H2:$H828,"=Buy",$J2:$J828,Q1794)</f>
        <v>0</v>
      </c>
      <c r="V1794" s="281">
        <f>SUMIFS(V2:V828,$A2:$A828,"="&amp;$P1788,$H2:$H828,"=Buy",$J2:$J828,Q1794)</f>
        <v>0</v>
      </c>
      <c r="W1794" s="281">
        <f>SUMIFS(S2:S828,$A2:$A828,"="&amp;$P1788,$H2:$H828,"=Buy",$J2:$J828,Q1794)</f>
        <v>0</v>
      </c>
      <c r="X1794" s="281">
        <f>SUMIFS(T2:T828,$A2:$A828,"="&amp;$P1788,$H2:$H828,"=Buy",$J2:$J828,Q1794)</f>
        <v>0</v>
      </c>
      <c r="Y1794" s="281">
        <f>SUMIFS(U2:U828,$A2:$A828,"="&amp;$P1788,$H2:$H828,"=Buy",$J2:$J828,Q1794)</f>
        <v>0</v>
      </c>
      <c r="Z1794" s="281">
        <f>SUMIFS(W2:W828,$A2:$A828,"="&amp;$P1788,$H2:$H828,"=Buy",$J2:$J828,Q1794)</f>
        <v>0</v>
      </c>
      <c r="AA1794" s="627"/>
      <c r="AB1794" s="627"/>
      <c r="AC1794" s="4"/>
      <c r="AD1794" s="93"/>
      <c r="AE1794" s="282" t="s">
        <v>930</v>
      </c>
      <c r="AF1794" s="283">
        <f>SUM(AF1790:AF1793)</f>
        <v>0</v>
      </c>
    </row>
    <row r="1795" spans="1:35" ht="12" customHeight="1">
      <c r="A1795" s="93"/>
      <c r="B1795" s="93"/>
      <c r="C1795" s="93"/>
      <c r="D1795" s="93"/>
      <c r="E1795" s="93"/>
      <c r="F1795" s="93"/>
      <c r="G1795" s="93"/>
      <c r="H1795" s="239"/>
      <c r="J1795" s="276" t="str">
        <f t="array" aca="1" ref="J1795" ca="1">IFERROR(LARGE(IF(($D$1412:$D$1761=$H$1790)*($Z$1412:$Z$1761&lt;&gt;""),ROW($1412:$1761)-1411),ROW(5:5))+1411,"")</f>
        <v/>
      </c>
      <c r="K1795" s="93" t="str">
        <f t="array" aca="1" ref="K1795" ca="1">IFERROR(INDEX($Z$1412:$Z$1761,LARGE(IF(($D$1412:$D$1761=$H$1790)*($Z$1412:$Z$1761&lt;&gt;""),ROW($1412:$1761)-1411),ROW(5:5))),"")</f>
        <v/>
      </c>
      <c r="L1795" s="93" t="str">
        <f t="array" aca="1" ref="L1795" ca="1">IFERROR(ADDRESS(IFERROR(LARGE(IF(($D$1412:$D$1761=$H$1790)*($Z$1412:$Z$1761&lt;&gt;""),ROW($1412:$1761)-1411),ROW(5:5))+1411,""),26,4),"")</f>
        <v/>
      </c>
      <c r="M1795" s="93"/>
      <c r="N1795" s="176"/>
      <c r="O1795" s="93"/>
      <c r="P1795" s="658"/>
      <c r="Q1795" s="645"/>
      <c r="R1795" s="651" t="s">
        <v>446</v>
      </c>
      <c r="S1795" s="612"/>
      <c r="T1795" s="284">
        <f>SUMIFS(P2:P828,$A2:$A828,"="&amp;$P1788,$H2:$H828,"=Sell",$J2:$J828,Q1794)</f>
        <v>0</v>
      </c>
      <c r="U1795" s="284">
        <f>SUMIFS(R2:R828,$A2:$A828,"="&amp;$P1788,$H2:$H828,"=Sell",$J2:$J828,Q1794)</f>
        <v>0</v>
      </c>
      <c r="V1795" s="284">
        <f>SUMIFS(V2:V828,$A2:$A828,"="&amp;$P1788,$H2:$H828,"=Sell",$J2:$J828,Q1794)</f>
        <v>0</v>
      </c>
      <c r="W1795" s="284">
        <f>SUMIFS(S2:S828,$A2:$A828,"="&amp;$P1788,$H2:$H828,"=Sell",$J2:$J828,Q1794)</f>
        <v>0</v>
      </c>
      <c r="X1795" s="284">
        <f>SUMIFS(T2:T828,$A2:$A828,"="&amp;$P1788,$H2:$H828,"=Sell",$J2:$J828,Q1794)</f>
        <v>0</v>
      </c>
      <c r="Y1795" s="284">
        <f>SUMIFS(U2:U828,$A2:$A828,"="&amp;$P1788,$H2:$H828,"=Sell",$J2:$J828,Q1794)</f>
        <v>0</v>
      </c>
      <c r="Z1795" s="284">
        <f>SUMIFS(W2:W828,$A2:$A828,"="&amp;$P1788,$H2:$H828,"=Sell",$J2:$J828,Q1794)</f>
        <v>0</v>
      </c>
      <c r="AA1795" s="627"/>
      <c r="AB1795" s="627"/>
      <c r="AC1795" s="5">
        <f>P$1788</f>
        <v>45008</v>
      </c>
      <c r="AD1795" s="269">
        <f>AC$1790</f>
        <v>0</v>
      </c>
      <c r="AG1795" s="70"/>
    </row>
    <row r="1796" spans="1:35" ht="12" customHeight="1">
      <c r="A1796" s="269">
        <f ca="1">SUMIFS(Z$1415:Z1777,D$1415:D1777,B1796,A$1415:A1777,"&gt;="&amp;R1782,A$1415:A1777,"&lt;="&amp;U1782)</f>
        <v>-50324.460000000006</v>
      </c>
      <c r="B1796" s="7" t="s">
        <v>931</v>
      </c>
      <c r="C1796" s="43"/>
      <c r="D1796" s="43"/>
      <c r="E1796" s="43"/>
      <c r="F1796" s="43"/>
      <c r="G1796" s="43"/>
      <c r="H1796" s="280">
        <f ca="1">COUNTIFS(D$1415:D1777,B1796,A$1415:A1777,"&gt;="&amp;R1782,A$1415:A1777,"&lt;="&amp;U1782,L$1415:L1777,"&lt;&gt;0")</f>
        <v>110</v>
      </c>
      <c r="J1796" s="93"/>
      <c r="K1796" s="93"/>
      <c r="L1796" s="93"/>
      <c r="M1796" s="93"/>
      <c r="N1796" s="176"/>
      <c r="O1796" s="93"/>
      <c r="P1796" s="658"/>
      <c r="Q1796" s="645"/>
      <c r="R1796" s="652" t="s">
        <v>904</v>
      </c>
      <c r="S1796" s="612"/>
      <c r="T1796" s="285">
        <f>SUMIFS(Q834:Q1410,$A834:$A1410,"="&amp;$P1788,$H834:$H1410,"=Intra",$J834:$J1410,Q1794)</f>
        <v>0</v>
      </c>
      <c r="U1796" s="285">
        <f>SUMIFS(R834:R1410,$A834:$A1410,"="&amp;$P1788,$H834:$H1410,"=Intra",$J834:$J1410,Q1794)</f>
        <v>0</v>
      </c>
      <c r="V1796" s="285">
        <f>SUMIFS(V834:V1410,$A834:$A1410,"="&amp;$P1788,$H834:$H1410,"=Intra",$J834:$J1410,Q1794)</f>
        <v>0</v>
      </c>
      <c r="W1796" s="285">
        <f>SUMIFS(S834:S1410,$A834:$A1410,"="&amp;$P1788,$H834:$H1410,"=Intra",$J834:$J1410,Q1794)</f>
        <v>0</v>
      </c>
      <c r="X1796" s="285">
        <f>SUMIFS(T834:T1410,$A834:$A1410,"="&amp;$P1788,$H834:$H1410,"=Intra",$J834:$J1410,Q1794)</f>
        <v>0</v>
      </c>
      <c r="Y1796" s="285">
        <f>SUMIFS(U834:U1410,$A834:$A1410,"="&amp;$P1788,$H834:$H1410,"=Intra",$J834:$J1410,Q1794)</f>
        <v>0</v>
      </c>
      <c r="Z1796" s="285">
        <f>SUMIFS(W834:W1410,$A834:$A1410,"="&amp;$P1788,$H834:$H1410,"=Intra",$J834:$J1410,Q1794)</f>
        <v>0</v>
      </c>
      <c r="AA1796" s="618"/>
      <c r="AB1796" s="618"/>
      <c r="AD1796" s="93"/>
      <c r="AE1796" s="5">
        <v>45007</v>
      </c>
      <c r="AF1796" s="269">
        <v>-589</v>
      </c>
      <c r="AG1796" s="270" t="s">
        <v>4</v>
      </c>
      <c r="AH1796" s="152" t="s">
        <v>896</v>
      </c>
      <c r="AI1796" s="7"/>
    </row>
    <row r="1797" spans="1:35" ht="12" customHeight="1">
      <c r="A1797" s="269">
        <f ca="1">SUMIFS(Z$1415:Z1777,D$1415:D1777,B1797,A$1415:A1777,"&gt;="&amp;R1782,A$1415:A1777,"&lt;="&amp;U1782)</f>
        <v>-43544.139999999992</v>
      </c>
      <c r="B1797" s="7" t="s">
        <v>932</v>
      </c>
      <c r="C1797" s="43"/>
      <c r="D1797" s="43"/>
      <c r="E1797" s="43"/>
      <c r="F1797" s="43"/>
      <c r="G1797" s="43"/>
      <c r="H1797" s="280">
        <f ca="1">COUNTIFS(D$1415:D1777,B1797,A$1415:A1777,"&gt;="&amp;R1782,A$1415:A1777,"&lt;="&amp;U1782,L$1415:L1777,"&lt;&gt;0")</f>
        <v>20</v>
      </c>
      <c r="J1797" s="93"/>
      <c r="K1797" s="93"/>
      <c r="L1797" s="93" t="str">
        <f t="array" aca="1" ref="L1797" ca="1">IFERROR(ADDRESS(IFERROR(LARGE(IF(($D$1412:$D$1761=$H$1790)*($Z$1412:$Z$1761&lt;&gt;""),ROW($1412:$1761)-1411),ROW(7:7))+1411,""),26),"")</f>
        <v/>
      </c>
      <c r="M1797" s="93"/>
      <c r="N1797" s="176"/>
      <c r="O1797" s="93"/>
      <c r="P1797" s="658"/>
      <c r="Q1797" s="645"/>
      <c r="R1797" s="653" t="s">
        <v>933</v>
      </c>
      <c r="S1797" s="612"/>
      <c r="T1797" s="286">
        <f t="shared" ref="T1797:Z1797" si="898">SUM(T1794:T1796)</f>
        <v>0</v>
      </c>
      <c r="U1797" s="286">
        <f t="shared" si="898"/>
        <v>0</v>
      </c>
      <c r="V1797" s="286">
        <f t="shared" si="898"/>
        <v>0</v>
      </c>
      <c r="W1797" s="286">
        <f t="shared" si="898"/>
        <v>0</v>
      </c>
      <c r="X1797" s="286">
        <f t="shared" si="898"/>
        <v>0</v>
      </c>
      <c r="Y1797" s="286">
        <f t="shared" si="898"/>
        <v>0</v>
      </c>
      <c r="Z1797" s="286">
        <f t="shared" si="898"/>
        <v>0</v>
      </c>
      <c r="AA1797" s="286">
        <f t="shared" ref="AA1797:AA1798" si="899">SUM(U1797:Z1797)</f>
        <v>0</v>
      </c>
      <c r="AB1797" s="253">
        <f>SUMIFS(Z2:Z1410,$A2:$A1410,"="&amp;$P1788,$J2:$J1410,Q1794)</f>
        <v>0</v>
      </c>
      <c r="AC1797" s="4"/>
      <c r="AD1797" s="93"/>
      <c r="AE1797" s="5"/>
      <c r="AF1797" s="269"/>
      <c r="AG1797" s="270"/>
      <c r="AH1797" s="7"/>
      <c r="AI1797" s="7"/>
    </row>
    <row r="1798" spans="1:35" ht="12" customHeight="1">
      <c r="A1798" s="269">
        <v>-241675.02999999994</v>
      </c>
      <c r="B1798" s="7" t="s">
        <v>934</v>
      </c>
      <c r="C1798" s="43"/>
      <c r="D1798" s="43"/>
      <c r="E1798" s="43"/>
      <c r="F1798" s="43"/>
      <c r="G1798" s="43"/>
      <c r="H1798" s="287"/>
      <c r="J1798" s="93"/>
      <c r="K1798" s="93"/>
      <c r="L1798" s="93"/>
      <c r="M1798" s="93"/>
      <c r="N1798" s="176"/>
      <c r="O1798" s="93"/>
      <c r="P1798" s="658"/>
      <c r="Q1798" s="645"/>
      <c r="R1798" s="654" t="s">
        <v>925</v>
      </c>
      <c r="S1798" s="612"/>
      <c r="T1798" s="271"/>
      <c r="U1798" s="271"/>
      <c r="V1798" s="271"/>
      <c r="W1798" s="271"/>
      <c r="X1798" s="271"/>
      <c r="Y1798" s="271"/>
      <c r="Z1798" s="271"/>
      <c r="AA1798" s="271">
        <f t="shared" si="899"/>
        <v>0</v>
      </c>
      <c r="AB1798" s="288"/>
      <c r="AC1798" s="4"/>
      <c r="AD1798" s="93"/>
      <c r="AE1798" s="5"/>
      <c r="AF1798" s="269"/>
      <c r="AG1798" s="270"/>
      <c r="AH1798" s="7"/>
      <c r="AI1798" s="7"/>
    </row>
    <row r="1799" spans="1:35" ht="12" customHeight="1">
      <c r="J1799" s="93"/>
      <c r="K1799" s="93"/>
      <c r="L1799" s="93"/>
      <c r="M1799" s="93"/>
      <c r="N1799" s="178"/>
      <c r="O1799" s="93"/>
      <c r="P1799" s="659"/>
      <c r="Q1799" s="648"/>
      <c r="R1799" s="655" t="s">
        <v>927</v>
      </c>
      <c r="S1799" s="656"/>
      <c r="T1799" s="274">
        <f t="shared" ref="T1799:AB1799" si="900">T1798-T1797</f>
        <v>0</v>
      </c>
      <c r="U1799" s="274">
        <f t="shared" si="900"/>
        <v>0</v>
      </c>
      <c r="V1799" s="274">
        <f t="shared" si="900"/>
        <v>0</v>
      </c>
      <c r="W1799" s="274">
        <f t="shared" si="900"/>
        <v>0</v>
      </c>
      <c r="X1799" s="274">
        <f t="shared" si="900"/>
        <v>0</v>
      </c>
      <c r="Y1799" s="274">
        <f t="shared" si="900"/>
        <v>0</v>
      </c>
      <c r="Z1799" s="274">
        <f t="shared" si="900"/>
        <v>0</v>
      </c>
      <c r="AA1799" s="274">
        <f t="shared" si="900"/>
        <v>0</v>
      </c>
      <c r="AB1799" s="274">
        <f t="shared" si="900"/>
        <v>0</v>
      </c>
      <c r="AC1799" s="4"/>
      <c r="AD1799" s="93"/>
      <c r="AE1799" s="5"/>
      <c r="AF1799" s="269"/>
      <c r="AG1799" s="270"/>
      <c r="AH1799" s="7"/>
      <c r="AI1799" s="7"/>
    </row>
    <row r="1800" spans="1:35" ht="12" customHeight="1">
      <c r="A1800" s="93"/>
      <c r="B1800" s="93"/>
      <c r="C1800" s="93"/>
      <c r="D1800" s="93"/>
      <c r="E1800" s="93"/>
      <c r="F1800" s="93"/>
      <c r="G1800" s="93"/>
      <c r="H1800" s="239"/>
      <c r="J1800" s="93"/>
      <c r="K1800" s="93"/>
      <c r="L1800" s="93"/>
      <c r="M1800" s="93"/>
      <c r="N1800" s="178"/>
      <c r="O1800" s="178"/>
      <c r="P1800" s="93"/>
      <c r="Q1800" s="93"/>
      <c r="R1800" s="93"/>
      <c r="S1800" s="93"/>
      <c r="U1800" s="93"/>
      <c r="V1800" s="93"/>
      <c r="W1800" s="93"/>
      <c r="X1800" s="93"/>
      <c r="AA1800" s="93"/>
      <c r="AB1800" s="93"/>
      <c r="AC1800" s="93"/>
      <c r="AD1800" s="93"/>
      <c r="AE1800" s="5"/>
      <c r="AF1800" s="269"/>
      <c r="AG1800" s="270"/>
      <c r="AH1800" s="7"/>
      <c r="AI1800" s="7"/>
    </row>
    <row r="1801" spans="1:35" ht="12" customHeight="1">
      <c r="A1801" s="93"/>
      <c r="B1801" s="93"/>
      <c r="C1801" s="93"/>
      <c r="D1801" s="93"/>
      <c r="E1801" s="93"/>
      <c r="F1801" s="93"/>
      <c r="G1801" s="93"/>
      <c r="H1801" s="239"/>
      <c r="J1801" s="289"/>
      <c r="K1801" s="289"/>
      <c r="L1801" s="93"/>
      <c r="M1801" s="93"/>
      <c r="N1801" s="93"/>
      <c r="O1801" s="93"/>
      <c r="P1801" s="93"/>
      <c r="Q1801" s="176"/>
      <c r="R1801" s="93"/>
      <c r="S1801" s="93"/>
      <c r="T1801" s="93"/>
      <c r="U1801" s="93"/>
      <c r="V1801" s="93"/>
      <c r="W1801" s="93"/>
      <c r="X1801" s="93"/>
      <c r="Y1801" s="93"/>
      <c r="Z1801" s="177"/>
      <c r="AA1801" s="93"/>
      <c r="AB1801" s="176"/>
      <c r="AC1801" s="179"/>
      <c r="AD1801" s="176"/>
      <c r="AE1801" s="282" t="s">
        <v>930</v>
      </c>
      <c r="AF1801" s="283">
        <f>SUM(AF1796:AF1800)</f>
        <v>-589</v>
      </c>
      <c r="AG1801" s="270" t="s">
        <v>4</v>
      </c>
      <c r="AH1801" s="269"/>
      <c r="AI1801" s="269"/>
    </row>
    <row r="1802" spans="1:35" ht="12" hidden="1" customHeight="1">
      <c r="A1802" s="290" t="s">
        <v>935</v>
      </c>
      <c r="B1802" s="290"/>
      <c r="C1802" s="290"/>
      <c r="D1802" s="290"/>
      <c r="E1802" s="290"/>
      <c r="F1802" s="290"/>
      <c r="G1802" s="290"/>
      <c r="H1802" s="291">
        <v>7.0000000000000001E-3</v>
      </c>
      <c r="J1802" s="291">
        <v>4.0000000000000001E-3</v>
      </c>
      <c r="K1802" s="291">
        <v>5.0073460434302552E-3</v>
      </c>
      <c r="L1802" s="291">
        <v>0</v>
      </c>
      <c r="M1802" s="292"/>
      <c r="N1802" s="93"/>
      <c r="O1802" s="93"/>
      <c r="P1802" s="93"/>
      <c r="Q1802" s="176"/>
      <c r="R1802" s="93"/>
      <c r="S1802" s="93"/>
      <c r="T1802" s="93"/>
      <c r="U1802" s="93"/>
      <c r="W1802" s="93"/>
      <c r="X1802" s="93"/>
      <c r="Y1802" s="93"/>
      <c r="Z1802" s="177"/>
      <c r="AA1802" s="93"/>
      <c r="AB1802" s="176"/>
      <c r="AC1802" s="179"/>
      <c r="AD1802" s="176"/>
    </row>
    <row r="1803" spans="1:35" ht="12" hidden="1" customHeight="1">
      <c r="A1803" s="290" t="s">
        <v>936</v>
      </c>
      <c r="B1803" s="290"/>
      <c r="C1803" s="290"/>
      <c r="D1803" s="290"/>
      <c r="E1803" s="290"/>
      <c r="F1803" s="290"/>
      <c r="G1803" s="290"/>
      <c r="H1803" s="291"/>
      <c r="J1803" s="293">
        <v>7.5000000000000002E-4</v>
      </c>
      <c r="K1803" s="292"/>
      <c r="L1803" s="291">
        <v>2.9999999999999997E-4</v>
      </c>
      <c r="M1803" s="292"/>
      <c r="N1803" s="93"/>
      <c r="O1803" s="93"/>
      <c r="P1803" s="93"/>
      <c r="Q1803" s="176"/>
      <c r="R1803" s="93"/>
      <c r="S1803" s="93"/>
      <c r="T1803" s="93"/>
      <c r="U1803" s="93"/>
      <c r="W1803" s="93"/>
      <c r="X1803" s="93"/>
      <c r="Y1803" s="93"/>
      <c r="Z1803" s="177"/>
      <c r="AA1803" s="93"/>
      <c r="AB1803" s="294"/>
      <c r="AC1803" s="179"/>
      <c r="AD1803" s="294"/>
    </row>
    <row r="1804" spans="1:35" ht="12" hidden="1" customHeight="1">
      <c r="A1804" s="290" t="s">
        <v>937</v>
      </c>
      <c r="B1804" s="290"/>
      <c r="C1804" s="290"/>
      <c r="D1804" s="290"/>
      <c r="E1804" s="290"/>
      <c r="F1804" s="290"/>
      <c r="G1804" s="290"/>
      <c r="H1804" s="291"/>
      <c r="J1804" s="293"/>
      <c r="K1804" s="292"/>
      <c r="L1804" s="292">
        <v>20</v>
      </c>
      <c r="M1804" s="292"/>
      <c r="N1804" s="93"/>
      <c r="O1804" s="93"/>
      <c r="P1804" s="93"/>
      <c r="Q1804" s="176"/>
      <c r="R1804" s="93"/>
      <c r="S1804" s="93"/>
      <c r="T1804" s="93"/>
      <c r="U1804" s="93"/>
      <c r="W1804" s="93"/>
      <c r="X1804" s="93"/>
      <c r="Y1804" s="93"/>
      <c r="Z1804" s="177"/>
      <c r="AA1804" s="93"/>
      <c r="AB1804" s="294"/>
      <c r="AC1804" s="179"/>
      <c r="AD1804" s="294"/>
    </row>
    <row r="1805" spans="1:35" ht="12" hidden="1" customHeight="1">
      <c r="A1805" s="295" t="s">
        <v>938</v>
      </c>
      <c r="B1805" s="295"/>
      <c r="C1805" s="295"/>
      <c r="D1805" s="295"/>
      <c r="E1805" s="295"/>
      <c r="F1805" s="295"/>
      <c r="G1805" s="295"/>
      <c r="H1805" s="296">
        <v>0.10199999999999999</v>
      </c>
      <c r="J1805" s="296">
        <v>0.12239999999999999</v>
      </c>
      <c r="K1805" s="296">
        <v>0.10299999999999999</v>
      </c>
      <c r="L1805" s="296">
        <v>0.1236</v>
      </c>
      <c r="M1805" s="296">
        <v>0.18</v>
      </c>
      <c r="N1805" s="93"/>
      <c r="O1805" s="93"/>
      <c r="P1805" s="93"/>
      <c r="Q1805" s="176"/>
      <c r="R1805" s="177"/>
      <c r="S1805" s="93"/>
      <c r="T1805" s="93"/>
      <c r="U1805" s="93"/>
      <c r="W1805" s="93"/>
      <c r="X1805" s="93"/>
      <c r="Y1805" s="93"/>
      <c r="Z1805" s="93"/>
      <c r="AA1805" s="93"/>
      <c r="AB1805" s="297"/>
      <c r="AC1805" s="179"/>
      <c r="AD1805" s="297"/>
    </row>
    <row r="1806" spans="1:35" ht="12" hidden="1" customHeight="1">
      <c r="A1806" s="298" t="s">
        <v>939</v>
      </c>
      <c r="B1806" s="298"/>
      <c r="C1806" s="298"/>
      <c r="D1806" s="298"/>
      <c r="E1806" s="298"/>
      <c r="F1806" s="298"/>
      <c r="G1806" s="298"/>
      <c r="H1806" s="299">
        <v>7.5000000000000002E-4</v>
      </c>
      <c r="J1806" s="299">
        <v>1.25E-3</v>
      </c>
      <c r="K1806" s="299">
        <v>1E-3</v>
      </c>
      <c r="L1806" s="299"/>
      <c r="M1806" s="299"/>
      <c r="N1806" s="93"/>
      <c r="O1806" s="93"/>
      <c r="P1806" s="93"/>
      <c r="Q1806" s="176"/>
      <c r="R1806" s="93"/>
      <c r="S1806" s="93"/>
      <c r="T1806" s="93"/>
      <c r="U1806" s="93"/>
      <c r="W1806" s="93"/>
      <c r="X1806" s="93"/>
      <c r="Y1806" s="93"/>
      <c r="Z1806" s="93"/>
      <c r="AA1806" s="93"/>
      <c r="AB1806" s="297"/>
      <c r="AC1806" s="179"/>
      <c r="AD1806" s="297"/>
    </row>
    <row r="1807" spans="1:35" ht="12" hidden="1" customHeight="1">
      <c r="A1807" s="298" t="s">
        <v>940</v>
      </c>
      <c r="B1807" s="298"/>
      <c r="C1807" s="298"/>
      <c r="D1807" s="298"/>
      <c r="E1807" s="298"/>
      <c r="F1807" s="298"/>
      <c r="G1807" s="298"/>
      <c r="H1807" s="299">
        <v>1.4999999999999999E-4</v>
      </c>
      <c r="J1807" s="299">
        <v>2.5000000000000001E-4</v>
      </c>
      <c r="K1807" s="299">
        <v>2.5000000000000001E-4</v>
      </c>
      <c r="L1807" s="300"/>
      <c r="M1807" s="300"/>
      <c r="N1807" s="93"/>
      <c r="O1807" s="93"/>
      <c r="P1807" s="93"/>
      <c r="Q1807" s="176"/>
      <c r="R1807" s="93"/>
      <c r="S1807" s="93"/>
      <c r="T1807" s="93"/>
      <c r="U1807" s="93"/>
      <c r="W1807" s="93"/>
      <c r="X1807" s="93"/>
      <c r="Y1807" s="93"/>
      <c r="Z1807" s="93"/>
      <c r="AA1807" s="93"/>
      <c r="AB1807" s="297"/>
      <c r="AC1807" s="179"/>
      <c r="AD1807" s="297"/>
    </row>
    <row r="1808" spans="1:35" ht="12" hidden="1" customHeight="1">
      <c r="A1808" s="298" t="s">
        <v>941</v>
      </c>
      <c r="B1808" s="298"/>
      <c r="C1808" s="298"/>
      <c r="D1808" s="298"/>
      <c r="E1808" s="298"/>
      <c r="F1808" s="298"/>
      <c r="G1808" s="298"/>
      <c r="H1808" s="301">
        <v>1E-4</v>
      </c>
      <c r="J1808" s="299">
        <v>1.7000000000000001E-4</v>
      </c>
      <c r="K1808" s="299">
        <v>5.0000000000000001E-4</v>
      </c>
      <c r="L1808" s="300"/>
      <c r="M1808" s="300"/>
      <c r="N1808" s="93"/>
      <c r="O1808" s="93"/>
      <c r="P1808" s="93"/>
      <c r="Q1808" s="176"/>
      <c r="R1808" s="93"/>
      <c r="S1808" s="93"/>
      <c r="T1808" s="93"/>
      <c r="U1808" s="93"/>
      <c r="W1808" s="93"/>
      <c r="X1808" s="93"/>
      <c r="Y1808" s="93"/>
      <c r="Z1808" s="93"/>
      <c r="AA1808" s="93"/>
      <c r="AB1808" s="297"/>
      <c r="AC1808" s="179"/>
      <c r="AD1808" s="297"/>
    </row>
    <row r="1809" spans="1:30" ht="12" hidden="1" customHeight="1">
      <c r="A1809" s="302" t="s">
        <v>942</v>
      </c>
      <c r="B1809" s="302"/>
      <c r="C1809" s="302"/>
      <c r="D1809" s="302"/>
      <c r="E1809" s="302"/>
      <c r="F1809" s="302"/>
      <c r="G1809" s="302"/>
      <c r="H1809" s="303"/>
      <c r="J1809" s="304">
        <v>3.65E-5</v>
      </c>
      <c r="K1809" s="304">
        <v>3.2499999999999997E-5</v>
      </c>
      <c r="L1809" s="304">
        <v>2.7500000000000001E-5</v>
      </c>
      <c r="M1809" s="304">
        <v>3.4499999999999998E-5</v>
      </c>
      <c r="N1809" s="93"/>
      <c r="O1809" s="93"/>
      <c r="P1809" s="93"/>
      <c r="Q1809" s="176"/>
      <c r="R1809" s="93"/>
      <c r="S1809" s="93"/>
      <c r="T1809" s="93"/>
      <c r="U1809" s="93"/>
      <c r="W1809" s="93"/>
      <c r="X1809" s="93"/>
      <c r="Y1809" s="177"/>
      <c r="Z1809" s="93"/>
      <c r="AA1809" s="93"/>
      <c r="AB1809" s="93"/>
      <c r="AC1809" s="179"/>
      <c r="AD1809" s="93"/>
    </row>
    <row r="1810" spans="1:30" ht="12" hidden="1" customHeight="1">
      <c r="A1810" s="302" t="s">
        <v>943</v>
      </c>
      <c r="B1810" s="302"/>
      <c r="C1810" s="302"/>
      <c r="D1810" s="302"/>
      <c r="E1810" s="302"/>
      <c r="F1810" s="302"/>
      <c r="G1810" s="302"/>
      <c r="H1810" s="303"/>
      <c r="J1810" s="304"/>
      <c r="K1810" s="304"/>
      <c r="L1810" s="304"/>
      <c r="M1810" s="304">
        <v>3.0000000000000001E-5</v>
      </c>
      <c r="N1810" s="305">
        <v>3.4499999999999998E-5</v>
      </c>
      <c r="O1810" s="305">
        <v>1E-3</v>
      </c>
      <c r="P1810" s="93"/>
      <c r="Q1810" s="176"/>
      <c r="R1810" s="93"/>
      <c r="S1810" s="93"/>
      <c r="T1810" s="93"/>
      <c r="U1810" s="93"/>
      <c r="V1810" s="93"/>
      <c r="W1810" s="93"/>
      <c r="X1810" s="93"/>
      <c r="Y1810" s="177"/>
      <c r="Z1810" s="93"/>
      <c r="AA1810" s="93"/>
      <c r="AB1810" s="93"/>
      <c r="AC1810" s="179"/>
      <c r="AD1810" s="93"/>
    </row>
    <row r="1811" spans="1:30" ht="12" hidden="1" customHeight="1">
      <c r="A1811" s="302" t="s">
        <v>944</v>
      </c>
      <c r="B1811" s="302"/>
      <c r="C1811" s="302"/>
      <c r="D1811" s="302"/>
      <c r="E1811" s="302"/>
      <c r="F1811" s="302"/>
      <c r="G1811" s="302"/>
      <c r="H1811" s="303"/>
      <c r="J1811" s="304"/>
      <c r="K1811" s="304"/>
      <c r="L1811" s="304"/>
      <c r="M1811" s="304">
        <v>5.2999999999999998E-4</v>
      </c>
      <c r="N1811" s="305"/>
      <c r="O1811" s="305"/>
      <c r="P1811" s="93"/>
      <c r="Q1811" s="176"/>
      <c r="R1811" s="93"/>
      <c r="S1811" s="93"/>
      <c r="T1811" s="93"/>
      <c r="U1811" s="93"/>
      <c r="V1811" s="93"/>
      <c r="W1811" s="93"/>
      <c r="X1811" s="93"/>
      <c r="Y1811" s="177"/>
      <c r="Z1811" s="93"/>
      <c r="AA1811" s="93"/>
      <c r="AB1811" s="93"/>
      <c r="AC1811" s="179"/>
      <c r="AD1811" s="93"/>
    </row>
    <row r="1812" spans="1:30" ht="12" hidden="1" customHeight="1">
      <c r="A1812" s="306" t="s">
        <v>945</v>
      </c>
      <c r="B1812" s="306"/>
      <c r="C1812" s="306"/>
      <c r="D1812" s="306"/>
      <c r="E1812" s="306"/>
      <c r="F1812" s="306"/>
      <c r="G1812" s="306"/>
      <c r="H1812" s="307"/>
      <c r="J1812" s="308">
        <v>1E-4</v>
      </c>
      <c r="K1812" s="308">
        <v>1.4999999999999999E-4</v>
      </c>
      <c r="L1812" s="70"/>
      <c r="M1812" s="70"/>
      <c r="N1812" s="93"/>
      <c r="O1812" s="93"/>
      <c r="P1812" s="93"/>
      <c r="Q1812" s="176"/>
      <c r="R1812" s="93"/>
      <c r="S1812" s="93"/>
      <c r="T1812" s="93"/>
      <c r="U1812" s="93"/>
      <c r="V1812" s="93"/>
      <c r="W1812" s="93"/>
      <c r="X1812" s="93"/>
      <c r="Y1812" s="93"/>
      <c r="Z1812" s="93"/>
      <c r="AA1812" s="93"/>
      <c r="AB1812" s="93"/>
      <c r="AC1812" s="179"/>
      <c r="AD1812" s="93"/>
    </row>
    <row r="1813" spans="1:30" ht="12" hidden="1" customHeight="1">
      <c r="A1813" s="306" t="s">
        <v>946</v>
      </c>
      <c r="B1813" s="306"/>
      <c r="C1813" s="306"/>
      <c r="D1813" s="306"/>
      <c r="E1813" s="306"/>
      <c r="F1813" s="306"/>
      <c r="G1813" s="306"/>
      <c r="H1813" s="307"/>
      <c r="J1813" s="308">
        <v>1E-4</v>
      </c>
      <c r="K1813" s="308">
        <v>2.0000000000000002E-5</v>
      </c>
      <c r="L1813" s="308">
        <v>3.0000000000000001E-5</v>
      </c>
      <c r="M1813" s="70"/>
      <c r="N1813" s="93"/>
      <c r="O1813" s="93"/>
      <c r="P1813" s="93"/>
      <c r="Q1813" s="176"/>
      <c r="R1813" s="93"/>
      <c r="S1813" s="93"/>
      <c r="T1813" s="93"/>
      <c r="U1813" s="93"/>
      <c r="V1813" s="93"/>
      <c r="W1813" s="93"/>
      <c r="X1813" s="93"/>
      <c r="Y1813" s="93"/>
      <c r="Z1813" s="93"/>
      <c r="AA1813" s="93"/>
      <c r="AB1813" s="93"/>
      <c r="AC1813" s="179"/>
      <c r="AD1813" s="93"/>
    </row>
    <row r="1814" spans="1:30" ht="12" hidden="1" customHeight="1">
      <c r="A1814" s="306" t="s">
        <v>947</v>
      </c>
      <c r="B1814" s="306"/>
      <c r="C1814" s="306"/>
      <c r="D1814" s="306"/>
      <c r="E1814" s="306"/>
      <c r="F1814" s="306"/>
      <c r="G1814" s="306"/>
      <c r="H1814" s="307"/>
      <c r="J1814" s="308"/>
      <c r="K1814" s="308"/>
      <c r="L1814" s="308">
        <v>3.0000000000000001E-5</v>
      </c>
      <c r="M1814" s="70"/>
      <c r="N1814" s="93"/>
      <c r="O1814" s="93"/>
      <c r="P1814" s="93"/>
      <c r="Q1814" s="176"/>
      <c r="R1814" s="93"/>
      <c r="S1814" s="93"/>
      <c r="T1814" s="93"/>
      <c r="U1814" s="93"/>
      <c r="V1814" s="93"/>
      <c r="W1814" s="93"/>
      <c r="X1814" s="93"/>
      <c r="Y1814" s="93"/>
      <c r="Z1814" s="93"/>
      <c r="AA1814" s="93"/>
      <c r="AB1814" s="93"/>
      <c r="AC1814" s="179"/>
      <c r="AD1814" s="93"/>
    </row>
    <row r="1815" spans="1:30" ht="12" hidden="1" customHeight="1">
      <c r="A1815" s="309" t="s">
        <v>168</v>
      </c>
      <c r="B1815" s="309"/>
      <c r="C1815" s="309"/>
      <c r="D1815" s="309"/>
      <c r="E1815" s="309"/>
      <c r="F1815" s="309"/>
      <c r="G1815" s="309"/>
      <c r="H1815" s="310">
        <v>0.01</v>
      </c>
      <c r="J1815" s="311">
        <f>10/10000000</f>
        <v>9.9999999999999995E-7</v>
      </c>
      <c r="K1815" s="312"/>
      <c r="L1815" s="70"/>
      <c r="M1815" s="70"/>
      <c r="N1815" s="93"/>
      <c r="O1815" s="93"/>
      <c r="P1815" s="93"/>
      <c r="Q1815" s="176"/>
      <c r="R1815" s="93"/>
      <c r="S1815" s="93"/>
      <c r="T1815" s="93"/>
      <c r="U1815" s="93"/>
      <c r="V1815" s="93"/>
      <c r="W1815" s="93"/>
      <c r="X1815" s="93"/>
      <c r="Y1815" s="93"/>
      <c r="Z1815" s="93"/>
      <c r="AA1815" s="93"/>
      <c r="AB1815" s="93"/>
      <c r="AC1815" s="179"/>
      <c r="AD1815" s="93"/>
    </row>
    <row r="1819" spans="1:30">
      <c r="I1819" s="40"/>
    </row>
  </sheetData>
  <mergeCells count="30">
    <mergeCell ref="P1788:P1799"/>
    <mergeCell ref="R1789:S1789"/>
    <mergeCell ref="R1790:S1790"/>
    <mergeCell ref="R1791:S1791"/>
    <mergeCell ref="R1792:S1792"/>
    <mergeCell ref="R1793:S1793"/>
    <mergeCell ref="Q1788:Q1793"/>
    <mergeCell ref="Q1794:Q1799"/>
    <mergeCell ref="R1794:S1794"/>
    <mergeCell ref="R1795:S1795"/>
    <mergeCell ref="R1796:S1796"/>
    <mergeCell ref="R1797:S1797"/>
    <mergeCell ref="R1798:S1798"/>
    <mergeCell ref="R1799:S1799"/>
    <mergeCell ref="AE1788:AF1789"/>
    <mergeCell ref="AA1793:AA1796"/>
    <mergeCell ref="AB1793:AB1796"/>
    <mergeCell ref="R1781:X1781"/>
    <mergeCell ref="AA1781:AC1781"/>
    <mergeCell ref="T1782:T1785"/>
    <mergeCell ref="U1782:V1785"/>
    <mergeCell ref="AA1782:AB1782"/>
    <mergeCell ref="AA1783:AB1783"/>
    <mergeCell ref="R1788:Z1788"/>
    <mergeCell ref="R1782:S1785"/>
    <mergeCell ref="AA1784:AB1784"/>
    <mergeCell ref="AA1788:AA1789"/>
    <mergeCell ref="AB1788:AB1789"/>
    <mergeCell ref="AC1788:AC1789"/>
    <mergeCell ref="AD1788:AD1791"/>
  </mergeCells>
  <dataValidations count="6">
    <dataValidation type="custom" allowBlank="1" showDropDown="1" sqref="A622:A827 A830:A831 A1321:A1409 A1412 A1552 A1554:A1776 A1779">
      <formula1>OR(NOT(ISERROR(DATEVALUE(A622))), AND(ISNUMBER(A622), LEFT(CELL("format", A622))="D"))</formula1>
    </dataValidation>
    <dataValidation type="custom" allowBlank="1" sqref="P1788">
      <formula1>OR(NOT(ISERROR(DATEVALUE(P1788))), AND(ISNUMBER(P1788), LEFT(CELL("format", P1788))="D"))</formula1>
    </dataValidation>
    <dataValidation type="list" allowBlank="1" showErrorMessage="1" sqref="Q1794">
      <formula1>"Satya,Sunita"</formula1>
    </dataValidation>
    <dataValidation type="list" allowBlank="1" sqref="AE1691:AE1776 AE1779">
      <formula1>"Zerodha,Kotak,Dhan"</formula1>
    </dataValidation>
    <dataValidation type="list" allowBlank="1" showErrorMessage="1" sqref="Q1788">
      <formula1>"Zerodha,Dhan,Kotak"</formula1>
    </dataValidation>
    <dataValidation type="list" allowBlank="1" showErrorMessage="1" sqref="T1782">
      <formula1>"Sunita,Satya"</formula1>
    </dataValidation>
  </dataValidations>
  <pageMargins left="1.69" right="0.75" top="0.49" bottom="1" header="0" footer="0"/>
  <pageSetup paperSize="9" scale="87"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Z1000"/>
  <sheetViews>
    <sheetView workbookViewId="0">
      <pane ySplit="1" topLeftCell="A2" activePane="bottomLeft" state="frozen"/>
      <selection pane="bottomLeft" activeCell="B3" sqref="B3"/>
    </sheetView>
  </sheetViews>
  <sheetFormatPr baseColWidth="10" defaultColWidth="14.42578125" defaultRowHeight="15" customHeight="1" outlineLevelCol="1"/>
  <cols>
    <col min="1" max="1" width="10.42578125" customWidth="1"/>
    <col min="2" max="2" width="21.28515625" customWidth="1"/>
    <col min="3" max="3" width="6.5703125" customWidth="1"/>
    <col min="4" max="4" width="7.28515625" customWidth="1"/>
    <col min="5" max="5" width="9" customWidth="1"/>
    <col min="6" max="6" width="7.5703125" customWidth="1"/>
    <col min="7" max="7" width="9.85546875" customWidth="1"/>
    <col min="8" max="9" width="9.28515625" hidden="1" customWidth="1" outlineLevel="1"/>
    <col min="10" max="10" width="9.85546875" hidden="1" customWidth="1" outlineLevel="1"/>
    <col min="11" max="11" width="10.140625" customWidth="1" collapsed="1"/>
    <col min="12" max="12" width="9" customWidth="1"/>
    <col min="13" max="13" width="8.5703125" hidden="1" customWidth="1" outlineLevel="1"/>
    <col min="14" max="14" width="9.7109375" hidden="1" customWidth="1" outlineLevel="1"/>
    <col min="15" max="15" width="10.7109375" hidden="1" customWidth="1" outlineLevel="1"/>
    <col min="16" max="16" width="9.7109375" hidden="1" customWidth="1" outlineLevel="1"/>
    <col min="17" max="17" width="10.7109375" hidden="1" customWidth="1" outlineLevel="1"/>
    <col min="18" max="18" width="9.7109375" customWidth="1" collapsed="1"/>
    <col min="19" max="19" width="10.7109375" customWidth="1"/>
    <col min="20" max="20" width="10.140625" customWidth="1"/>
    <col min="21" max="21" width="10.7109375" customWidth="1"/>
    <col min="22" max="22" width="10.140625" customWidth="1"/>
    <col min="23" max="23" width="9" customWidth="1"/>
    <col min="24" max="24" width="9.7109375" customWidth="1"/>
    <col min="25" max="25" width="5.7109375" customWidth="1"/>
    <col min="26" max="26" width="9.5703125" customWidth="1"/>
  </cols>
  <sheetData>
    <row r="1" spans="1:26" ht="12" customHeight="1">
      <c r="A1" s="93" t="s">
        <v>0</v>
      </c>
      <c r="B1" s="93" t="s">
        <v>948</v>
      </c>
      <c r="C1" s="313" t="s">
        <v>949</v>
      </c>
      <c r="D1" s="314" t="s">
        <v>950</v>
      </c>
      <c r="E1" s="314" t="s">
        <v>427</v>
      </c>
      <c r="F1" s="314" t="s">
        <v>428</v>
      </c>
      <c r="G1" s="314" t="s">
        <v>429</v>
      </c>
      <c r="H1" s="314" t="s">
        <v>951</v>
      </c>
      <c r="I1" s="314" t="s">
        <v>952</v>
      </c>
      <c r="J1" s="314" t="s">
        <v>953</v>
      </c>
      <c r="K1" s="314" t="s">
        <v>954</v>
      </c>
      <c r="L1" s="314" t="s">
        <v>428</v>
      </c>
      <c r="M1" s="314" t="s">
        <v>955</v>
      </c>
      <c r="N1" s="314" t="s">
        <v>956</v>
      </c>
      <c r="O1" s="314" t="s">
        <v>957</v>
      </c>
      <c r="P1" s="314" t="s">
        <v>958</v>
      </c>
      <c r="Q1" s="314" t="s">
        <v>436</v>
      </c>
      <c r="R1" s="314" t="s">
        <v>959</v>
      </c>
      <c r="S1" s="314" t="s">
        <v>960</v>
      </c>
      <c r="T1" s="314" t="s">
        <v>961</v>
      </c>
      <c r="U1" s="314"/>
      <c r="V1" s="314" t="s">
        <v>962</v>
      </c>
      <c r="W1" s="314" t="s">
        <v>963</v>
      </c>
      <c r="X1" s="314" t="s">
        <v>964</v>
      </c>
      <c r="Y1" s="314" t="s">
        <v>965</v>
      </c>
      <c r="Z1" s="93"/>
    </row>
    <row r="2" spans="1:26" ht="12" customHeight="1">
      <c r="A2" s="176">
        <v>38348</v>
      </c>
      <c r="B2" s="315" t="s">
        <v>966</v>
      </c>
      <c r="C2" s="93" t="s">
        <v>448</v>
      </c>
      <c r="D2" s="93">
        <v>100</v>
      </c>
      <c r="E2" s="177">
        <v>70.3</v>
      </c>
      <c r="F2" s="177">
        <f t="shared" ref="F2:F3" si="0">ROUND(L2/D2,2)</f>
        <v>0.49</v>
      </c>
      <c r="G2" s="177"/>
      <c r="H2" s="177">
        <f t="shared" ref="H2:H116" si="1">ROUND(E2+I2,2)</f>
        <v>71.010000000000005</v>
      </c>
      <c r="I2" s="208">
        <f t="shared" ref="I2:I116" si="2">ROUNDUP(SUM(L2:Q2)/D2,4)</f>
        <v>0.70499999999999996</v>
      </c>
      <c r="J2" s="177">
        <f t="shared" ref="J2:J5" si="3">D2*E2</f>
        <v>7030</v>
      </c>
      <c r="K2" s="177">
        <f t="shared" ref="K2:K4" si="4">-ROUNDUP(J2+L2+M2+N2+Q2,2)</f>
        <v>-7100.5</v>
      </c>
      <c r="L2" s="177">
        <f t="shared" ref="L2:L3" si="5">J2*D$326</f>
        <v>49.21</v>
      </c>
      <c r="M2" s="177">
        <f t="shared" ref="M2:M3" si="6">L2*D$328</f>
        <v>5.0194199999999993</v>
      </c>
      <c r="N2" s="177">
        <f t="shared" ref="N2:N3" si="7">ROUND(J2*D$329,2)</f>
        <v>5.27</v>
      </c>
      <c r="O2" s="177"/>
      <c r="P2" s="177"/>
      <c r="Q2" s="93">
        <f t="shared" ref="Q2:Q3" si="8">D$336</f>
        <v>11</v>
      </c>
      <c r="R2" s="177">
        <v>-7100.27</v>
      </c>
      <c r="S2" s="179">
        <f t="shared" ref="S2:S103" si="9">IF(R2=K2,0,IF(R2&lt;0,K2-R2))</f>
        <v>-0.22999999999956344</v>
      </c>
      <c r="T2" s="176">
        <v>38349</v>
      </c>
      <c r="U2" s="316"/>
      <c r="V2" s="93"/>
      <c r="W2" s="93"/>
      <c r="X2" s="317"/>
      <c r="Y2" s="93"/>
      <c r="Z2" s="93"/>
    </row>
    <row r="3" spans="1:26" ht="12" customHeight="1">
      <c r="A3" s="176">
        <v>38359</v>
      </c>
      <c r="B3" s="315" t="s">
        <v>967</v>
      </c>
      <c r="C3" s="93" t="s">
        <v>448</v>
      </c>
      <c r="D3" s="93">
        <v>100</v>
      </c>
      <c r="E3" s="177">
        <v>16.100000000000001</v>
      </c>
      <c r="F3" s="177">
        <f t="shared" si="0"/>
        <v>0.11</v>
      </c>
      <c r="G3" s="177"/>
      <c r="H3" s="177">
        <f t="shared" si="1"/>
        <v>16.350000000000001</v>
      </c>
      <c r="I3" s="208">
        <f t="shared" si="2"/>
        <v>0.24629999999999999</v>
      </c>
      <c r="J3" s="177">
        <f t="shared" si="3"/>
        <v>1610.0000000000002</v>
      </c>
      <c r="K3" s="177">
        <f t="shared" si="4"/>
        <v>-1634.6299999999999</v>
      </c>
      <c r="L3" s="177">
        <f t="shared" si="5"/>
        <v>11.270000000000001</v>
      </c>
      <c r="M3" s="177">
        <f t="shared" si="6"/>
        <v>1.14954</v>
      </c>
      <c r="N3" s="177">
        <f t="shared" si="7"/>
        <v>1.21</v>
      </c>
      <c r="O3" s="177"/>
      <c r="P3" s="177"/>
      <c r="Q3" s="93">
        <f t="shared" si="8"/>
        <v>11</v>
      </c>
      <c r="R3" s="177">
        <v>-1634.33</v>
      </c>
      <c r="S3" s="179">
        <f t="shared" si="9"/>
        <v>-0.29999999999995453</v>
      </c>
      <c r="T3" s="176">
        <v>38360</v>
      </c>
      <c r="U3" s="316"/>
      <c r="V3" s="93"/>
      <c r="W3" s="93"/>
      <c r="X3" s="317"/>
      <c r="Y3" s="93"/>
      <c r="Z3" s="93"/>
    </row>
    <row r="4" spans="1:26" ht="12" customHeight="1">
      <c r="A4" s="176">
        <v>38456</v>
      </c>
      <c r="B4" s="315" t="s">
        <v>966</v>
      </c>
      <c r="C4" s="93" t="s">
        <v>448</v>
      </c>
      <c r="D4" s="93">
        <v>75</v>
      </c>
      <c r="E4" s="177">
        <v>82</v>
      </c>
      <c r="F4" s="177"/>
      <c r="G4" s="177"/>
      <c r="H4" s="177">
        <f t="shared" si="1"/>
        <v>82</v>
      </c>
      <c r="I4" s="208">
        <f t="shared" si="2"/>
        <v>0</v>
      </c>
      <c r="J4" s="177">
        <f t="shared" si="3"/>
        <v>6150</v>
      </c>
      <c r="K4" s="177">
        <f t="shared" si="4"/>
        <v>-6150</v>
      </c>
      <c r="L4" s="177"/>
      <c r="M4" s="177"/>
      <c r="N4" s="177"/>
      <c r="O4" s="177"/>
      <c r="P4" s="177"/>
      <c r="Q4" s="93"/>
      <c r="R4" s="177">
        <v>-6150</v>
      </c>
      <c r="S4" s="179">
        <f t="shared" si="9"/>
        <v>0</v>
      </c>
      <c r="T4" s="176">
        <v>38457</v>
      </c>
      <c r="U4" s="316"/>
      <c r="V4" s="93"/>
      <c r="W4" s="93"/>
      <c r="X4" s="317"/>
      <c r="Y4" s="93"/>
      <c r="Z4" s="93"/>
    </row>
    <row r="5" spans="1:26" ht="12" customHeight="1">
      <c r="A5" s="176">
        <v>38496</v>
      </c>
      <c r="B5" s="315" t="s">
        <v>968</v>
      </c>
      <c r="C5" s="93" t="s">
        <v>448</v>
      </c>
      <c r="D5" s="93">
        <v>5</v>
      </c>
      <c r="E5" s="177">
        <v>1398</v>
      </c>
      <c r="F5" s="177">
        <f>ROUND(L5/D5,2)</f>
        <v>6.99</v>
      </c>
      <c r="G5" s="177"/>
      <c r="H5" s="177">
        <f t="shared" si="1"/>
        <v>1406.94</v>
      </c>
      <c r="I5" s="208">
        <f t="shared" si="2"/>
        <v>8.9398</v>
      </c>
      <c r="J5" s="177">
        <f t="shared" si="3"/>
        <v>6990</v>
      </c>
      <c r="K5" s="177">
        <f>-ROUNDUP(J5+L5+M5+N5+O5+P5+Q5,2)</f>
        <v>-7034.7</v>
      </c>
      <c r="L5" s="177">
        <f>J5*E$326</f>
        <v>34.950000000000003</v>
      </c>
      <c r="M5" s="177">
        <f t="shared" ref="M5:M7" si="10">L5*E$328</f>
        <v>3.5649000000000002</v>
      </c>
      <c r="N5" s="177">
        <f>ROUND(J5*D$329,2)</f>
        <v>5.24</v>
      </c>
      <c r="O5" s="177">
        <f t="shared" ref="O5:O7" si="11">J5*E$332</f>
        <v>0.24464999999999998</v>
      </c>
      <c r="P5" s="177">
        <f t="shared" ref="P5:P7" si="12">J5*E$334</f>
        <v>0.69900000000000007</v>
      </c>
      <c r="Q5" s="93">
        <f t="shared" ref="Q5:Q7" si="13">E$336</f>
        <v>0</v>
      </c>
      <c r="R5" s="177">
        <v>-7035</v>
      </c>
      <c r="S5" s="179">
        <f t="shared" si="9"/>
        <v>0.3000000000001819</v>
      </c>
      <c r="T5" s="176">
        <v>38497</v>
      </c>
      <c r="U5" s="316"/>
      <c r="V5" s="93"/>
      <c r="W5" s="93"/>
      <c r="X5" s="317"/>
      <c r="Y5" s="93"/>
      <c r="Z5" s="93"/>
    </row>
    <row r="6" spans="1:26" ht="12" customHeight="1">
      <c r="A6" s="176">
        <v>38517</v>
      </c>
      <c r="B6" s="315" t="s">
        <v>626</v>
      </c>
      <c r="C6" s="93" t="s">
        <v>448</v>
      </c>
      <c r="D6" s="93">
        <v>50</v>
      </c>
      <c r="E6" s="177">
        <v>83.1</v>
      </c>
      <c r="F6" s="177">
        <f t="shared" ref="F6:F7" si="14">IF(E6*D6*E$326&lt;10,10/D6,ROUND(E6*E$326,2))</f>
        <v>0.42</v>
      </c>
      <c r="G6" s="177">
        <f t="shared" ref="G6:G7" si="15">E6+F6</f>
        <v>83.52</v>
      </c>
      <c r="H6" s="177">
        <f t="shared" si="1"/>
        <v>83.66</v>
      </c>
      <c r="I6" s="208">
        <f t="shared" si="2"/>
        <v>0.55779999999999996</v>
      </c>
      <c r="J6" s="177">
        <f t="shared" ref="J6:J7" si="16">D6*G6</f>
        <v>4176</v>
      </c>
      <c r="K6" s="177">
        <f t="shared" ref="K6:K116" si="17">-ROUNDUP(J6+M6+N6+O6+P6+Q6,2)</f>
        <v>-4182.8900000000003</v>
      </c>
      <c r="L6" s="177">
        <f t="shared" ref="L6:L7" si="18">F6*D6</f>
        <v>21</v>
      </c>
      <c r="M6" s="177">
        <f t="shared" si="10"/>
        <v>2.1419999999999999</v>
      </c>
      <c r="N6" s="177">
        <f t="shared" ref="N6:N7" si="19">ROUND(J6*E$329,2)</f>
        <v>4.18</v>
      </c>
      <c r="O6" s="177">
        <f t="shared" si="11"/>
        <v>0.14615999999999998</v>
      </c>
      <c r="P6" s="177">
        <f t="shared" si="12"/>
        <v>0.41760000000000003</v>
      </c>
      <c r="Q6" s="93">
        <f t="shared" si="13"/>
        <v>0</v>
      </c>
      <c r="R6" s="177">
        <v>-4183</v>
      </c>
      <c r="S6" s="179">
        <f t="shared" si="9"/>
        <v>0.10999999999967258</v>
      </c>
      <c r="T6" s="176">
        <v>38518</v>
      </c>
      <c r="U6" s="316"/>
      <c r="V6" s="93"/>
      <c r="W6" s="93"/>
      <c r="X6" s="317"/>
      <c r="Y6" s="93"/>
      <c r="Z6" s="93"/>
    </row>
    <row r="7" spans="1:26" ht="12" customHeight="1">
      <c r="A7" s="176">
        <v>38541</v>
      </c>
      <c r="B7" s="315" t="s">
        <v>969</v>
      </c>
      <c r="C7" s="93" t="s">
        <v>448</v>
      </c>
      <c r="D7" s="93">
        <v>50</v>
      </c>
      <c r="E7" s="177">
        <v>111.5</v>
      </c>
      <c r="F7" s="177">
        <f t="shared" si="14"/>
        <v>0.56000000000000005</v>
      </c>
      <c r="G7" s="177">
        <f t="shared" si="15"/>
        <v>112.06</v>
      </c>
      <c r="H7" s="177">
        <f t="shared" si="1"/>
        <v>112.24</v>
      </c>
      <c r="I7" s="208">
        <f t="shared" si="2"/>
        <v>0.74429999999999996</v>
      </c>
      <c r="J7" s="177">
        <f t="shared" si="16"/>
        <v>5603</v>
      </c>
      <c r="K7" s="177">
        <f t="shared" si="17"/>
        <v>-5612.22</v>
      </c>
      <c r="L7" s="177">
        <f t="shared" si="18"/>
        <v>28.000000000000004</v>
      </c>
      <c r="M7" s="177">
        <f t="shared" si="10"/>
        <v>2.8560000000000003</v>
      </c>
      <c r="N7" s="177">
        <f t="shared" si="19"/>
        <v>5.6</v>
      </c>
      <c r="O7" s="177">
        <f t="shared" si="11"/>
        <v>0.19610499999999997</v>
      </c>
      <c r="P7" s="177">
        <f t="shared" si="12"/>
        <v>0.56030000000000002</v>
      </c>
      <c r="Q7" s="93">
        <f t="shared" si="13"/>
        <v>0</v>
      </c>
      <c r="R7" s="177">
        <v>-5612.22</v>
      </c>
      <c r="S7" s="179">
        <f t="shared" si="9"/>
        <v>0</v>
      </c>
      <c r="T7" s="176">
        <v>38544</v>
      </c>
      <c r="U7" s="316"/>
      <c r="V7" s="93"/>
      <c r="W7" s="93"/>
      <c r="X7" s="317"/>
      <c r="Y7" s="93"/>
      <c r="Z7" s="93"/>
    </row>
    <row r="8" spans="1:26" ht="12" customHeight="1">
      <c r="A8" s="176">
        <v>38544</v>
      </c>
      <c r="B8" s="315" t="s">
        <v>970</v>
      </c>
      <c r="C8" s="93" t="s">
        <v>448</v>
      </c>
      <c r="D8" s="93">
        <f>250-125</f>
        <v>125</v>
      </c>
      <c r="E8" s="177">
        <v>50</v>
      </c>
      <c r="F8" s="177"/>
      <c r="G8" s="177"/>
      <c r="H8" s="177">
        <f t="shared" si="1"/>
        <v>50</v>
      </c>
      <c r="I8" s="208">
        <f t="shared" si="2"/>
        <v>0</v>
      </c>
      <c r="J8" s="177">
        <f>D8*E8</f>
        <v>6250</v>
      </c>
      <c r="K8" s="177">
        <f t="shared" si="17"/>
        <v>-6250</v>
      </c>
      <c r="L8" s="177"/>
      <c r="M8" s="177"/>
      <c r="N8" s="177"/>
      <c r="O8" s="177"/>
      <c r="P8" s="177"/>
      <c r="Q8" s="93"/>
      <c r="R8" s="177">
        <f>-12500+6250</f>
        <v>-6250</v>
      </c>
      <c r="S8" s="179">
        <f t="shared" si="9"/>
        <v>0</v>
      </c>
      <c r="T8" s="176">
        <v>38548</v>
      </c>
      <c r="U8" s="316"/>
      <c r="V8" s="93"/>
      <c r="W8" s="177">
        <f>-ROUND(R8/D8,2)</f>
        <v>50</v>
      </c>
      <c r="X8" s="317"/>
      <c r="Y8" s="93"/>
      <c r="Z8" s="93"/>
    </row>
    <row r="9" spans="1:26" ht="12" customHeight="1">
      <c r="A9" s="176">
        <v>38547</v>
      </c>
      <c r="B9" s="315" t="s">
        <v>969</v>
      </c>
      <c r="C9" s="93" t="s">
        <v>448</v>
      </c>
      <c r="D9" s="93">
        <v>50</v>
      </c>
      <c r="E9" s="177">
        <v>115</v>
      </c>
      <c r="F9" s="177">
        <f>IF(E9*D9*E$326&lt;10,10/D9,ROUND(E9*E$326,2))</f>
        <v>0.57999999999999996</v>
      </c>
      <c r="G9" s="177">
        <f>E9+F9</f>
        <v>115.58</v>
      </c>
      <c r="H9" s="177">
        <f t="shared" si="1"/>
        <v>115.77</v>
      </c>
      <c r="I9" s="208">
        <f t="shared" si="2"/>
        <v>0.77039999999999997</v>
      </c>
      <c r="J9" s="177">
        <f>D9*G9</f>
        <v>5779</v>
      </c>
      <c r="K9" s="177">
        <f t="shared" si="17"/>
        <v>-5788.52</v>
      </c>
      <c r="L9" s="177">
        <f>F9*D9</f>
        <v>28.999999999999996</v>
      </c>
      <c r="M9" s="177">
        <f>L9*E$328</f>
        <v>2.9579999999999993</v>
      </c>
      <c r="N9" s="177">
        <f>ROUND(J9*E$329,2)</f>
        <v>5.78</v>
      </c>
      <c r="O9" s="177">
        <f>J9*E$332</f>
        <v>0.20226499999999997</v>
      </c>
      <c r="P9" s="177">
        <f>J9*E$334</f>
        <v>0.57790000000000008</v>
      </c>
      <c r="Q9" s="93">
        <f>E$336</f>
        <v>0</v>
      </c>
      <c r="R9" s="177">
        <v>-5789.23</v>
      </c>
      <c r="S9" s="179">
        <f t="shared" si="9"/>
        <v>0.70999999999912689</v>
      </c>
      <c r="T9" s="176">
        <v>38548</v>
      </c>
      <c r="U9" s="316"/>
      <c r="V9" s="93"/>
      <c r="W9" s="93"/>
      <c r="X9" s="317"/>
      <c r="Y9" s="93"/>
      <c r="Z9" s="93"/>
    </row>
    <row r="10" spans="1:26" ht="12" customHeight="1">
      <c r="A10" s="176">
        <v>38551</v>
      </c>
      <c r="B10" s="315" t="s">
        <v>971</v>
      </c>
      <c r="C10" s="93" t="s">
        <v>448</v>
      </c>
      <c r="D10" s="93">
        <v>200</v>
      </c>
      <c r="E10" s="177">
        <v>34</v>
      </c>
      <c r="F10" s="177"/>
      <c r="G10" s="177"/>
      <c r="H10" s="177">
        <f t="shared" si="1"/>
        <v>34</v>
      </c>
      <c r="I10" s="208">
        <f t="shared" si="2"/>
        <v>0</v>
      </c>
      <c r="J10" s="177">
        <f>D10*E10</f>
        <v>6800</v>
      </c>
      <c r="K10" s="177">
        <f t="shared" si="17"/>
        <v>-6800</v>
      </c>
      <c r="L10" s="177"/>
      <c r="M10" s="177"/>
      <c r="N10" s="177"/>
      <c r="O10" s="177"/>
      <c r="P10" s="177"/>
      <c r="Q10" s="93"/>
      <c r="R10" s="177">
        <v>-6800</v>
      </c>
      <c r="S10" s="179">
        <f t="shared" si="9"/>
        <v>0</v>
      </c>
      <c r="T10" s="176">
        <v>38556</v>
      </c>
      <c r="U10" s="316"/>
      <c r="V10" s="93"/>
      <c r="W10" s="93"/>
      <c r="X10" s="317"/>
      <c r="Y10" s="93"/>
      <c r="Z10" s="93"/>
    </row>
    <row r="11" spans="1:26" ht="12" customHeight="1">
      <c r="A11" s="176">
        <v>38552</v>
      </c>
      <c r="B11" s="315" t="s">
        <v>972</v>
      </c>
      <c r="C11" s="93" t="s">
        <v>448</v>
      </c>
      <c r="D11" s="93">
        <v>10</v>
      </c>
      <c r="E11" s="177">
        <v>661</v>
      </c>
      <c r="F11" s="177">
        <f t="shared" ref="F11:F21" si="20">IF(E11*D11*E$326&lt;10,10/D11,ROUND(E11*E$326,2))</f>
        <v>3.31</v>
      </c>
      <c r="G11" s="177">
        <f t="shared" ref="G11:G21" si="21">E11+F11</f>
        <v>664.31</v>
      </c>
      <c r="H11" s="177">
        <f t="shared" si="1"/>
        <v>665.4</v>
      </c>
      <c r="I11" s="208">
        <f t="shared" si="2"/>
        <v>4.4013999999999998</v>
      </c>
      <c r="J11" s="177">
        <f t="shared" ref="J11:J21" si="22">D11*G11</f>
        <v>6643.0999999999995</v>
      </c>
      <c r="K11" s="177">
        <f t="shared" si="17"/>
        <v>-6654.02</v>
      </c>
      <c r="L11" s="177">
        <f t="shared" ref="L11:L21" si="23">F11*D11</f>
        <v>33.1</v>
      </c>
      <c r="M11" s="177">
        <f t="shared" ref="M11:M21" si="24">L11*E$328</f>
        <v>3.3761999999999999</v>
      </c>
      <c r="N11" s="177">
        <f t="shared" ref="N11:N21" si="25">ROUND(J11*E$329,2)</f>
        <v>6.64</v>
      </c>
      <c r="O11" s="177">
        <f t="shared" ref="O11:O21" si="26">J11*E$332</f>
        <v>0.23250849999999995</v>
      </c>
      <c r="P11" s="177">
        <f t="shared" ref="P11:P21" si="27">J11*E$334</f>
        <v>0.66430999999999996</v>
      </c>
      <c r="Q11" s="93">
        <f t="shared" ref="Q11:Q21" si="28">E$336</f>
        <v>0</v>
      </c>
      <c r="R11" s="177">
        <v>-6654</v>
      </c>
      <c r="S11" s="179">
        <f t="shared" si="9"/>
        <v>-2.0000000000436557E-2</v>
      </c>
      <c r="T11" s="176">
        <v>38554</v>
      </c>
      <c r="U11" s="316"/>
      <c r="V11" s="93"/>
      <c r="W11" s="93"/>
      <c r="X11" s="317"/>
      <c r="Y11" s="93"/>
      <c r="Z11" s="93"/>
    </row>
    <row r="12" spans="1:26" ht="12" customHeight="1">
      <c r="A12" s="176">
        <v>38552</v>
      </c>
      <c r="B12" s="315" t="s">
        <v>973</v>
      </c>
      <c r="C12" s="93" t="s">
        <v>448</v>
      </c>
      <c r="D12" s="93">
        <v>50</v>
      </c>
      <c r="E12" s="177">
        <v>60.75</v>
      </c>
      <c r="F12" s="177">
        <f t="shared" si="20"/>
        <v>0.3</v>
      </c>
      <c r="G12" s="177">
        <f t="shared" si="21"/>
        <v>61.05</v>
      </c>
      <c r="H12" s="177">
        <f t="shared" si="1"/>
        <v>61.15</v>
      </c>
      <c r="I12" s="208">
        <f t="shared" si="2"/>
        <v>0.39989999999999998</v>
      </c>
      <c r="J12" s="177">
        <f t="shared" si="22"/>
        <v>3052.5</v>
      </c>
      <c r="K12" s="177">
        <f t="shared" si="17"/>
        <v>-3057.5</v>
      </c>
      <c r="L12" s="177">
        <f t="shared" si="23"/>
        <v>15</v>
      </c>
      <c r="M12" s="177">
        <f t="shared" si="24"/>
        <v>1.5299999999999998</v>
      </c>
      <c r="N12" s="177">
        <f t="shared" si="25"/>
        <v>3.05</v>
      </c>
      <c r="O12" s="177">
        <f t="shared" si="26"/>
        <v>0.10683749999999999</v>
      </c>
      <c r="P12" s="177">
        <f t="shared" si="27"/>
        <v>0.30525000000000002</v>
      </c>
      <c r="Q12" s="93">
        <f t="shared" si="28"/>
        <v>0</v>
      </c>
      <c r="R12" s="177">
        <v>-3057</v>
      </c>
      <c r="S12" s="179">
        <f t="shared" si="9"/>
        <v>-0.5</v>
      </c>
      <c r="T12" s="176">
        <v>38554</v>
      </c>
      <c r="U12" s="316"/>
      <c r="V12" s="93"/>
      <c r="W12" s="93"/>
      <c r="X12" s="317"/>
      <c r="Y12" s="93"/>
      <c r="Z12" s="93"/>
    </row>
    <row r="13" spans="1:26" ht="12" customHeight="1">
      <c r="A13" s="176">
        <v>38553</v>
      </c>
      <c r="B13" s="315" t="s">
        <v>974</v>
      </c>
      <c r="C13" s="93" t="s">
        <v>448</v>
      </c>
      <c r="D13" s="93">
        <v>50</v>
      </c>
      <c r="E13" s="177">
        <v>106.35</v>
      </c>
      <c r="F13" s="177">
        <f t="shared" si="20"/>
        <v>0.53</v>
      </c>
      <c r="G13" s="177">
        <f t="shared" si="21"/>
        <v>106.88</v>
      </c>
      <c r="H13" s="177">
        <f t="shared" si="1"/>
        <v>107.06</v>
      </c>
      <c r="I13" s="208">
        <f t="shared" si="2"/>
        <v>0.70530000000000004</v>
      </c>
      <c r="J13" s="177">
        <f t="shared" si="22"/>
        <v>5344</v>
      </c>
      <c r="K13" s="177">
        <f t="shared" si="17"/>
        <v>-5352.77</v>
      </c>
      <c r="L13" s="177">
        <f t="shared" si="23"/>
        <v>26.5</v>
      </c>
      <c r="M13" s="177">
        <f t="shared" si="24"/>
        <v>2.7029999999999998</v>
      </c>
      <c r="N13" s="177">
        <f t="shared" si="25"/>
        <v>5.34</v>
      </c>
      <c r="O13" s="177">
        <f t="shared" si="26"/>
        <v>0.18703999999999998</v>
      </c>
      <c r="P13" s="177">
        <f t="shared" si="27"/>
        <v>0.53439999999999999</v>
      </c>
      <c r="Q13" s="93">
        <f t="shared" si="28"/>
        <v>0</v>
      </c>
      <c r="R13" s="177">
        <v>-5352</v>
      </c>
      <c r="S13" s="179">
        <f t="shared" si="9"/>
        <v>-0.77000000000043656</v>
      </c>
      <c r="T13" s="176">
        <v>38554</v>
      </c>
      <c r="U13" s="316"/>
      <c r="V13" s="93"/>
      <c r="W13" s="93"/>
      <c r="X13" s="317"/>
      <c r="Y13" s="93"/>
      <c r="Z13" s="93"/>
    </row>
    <row r="14" spans="1:26" ht="12" customHeight="1">
      <c r="A14" s="176">
        <v>38555</v>
      </c>
      <c r="B14" s="315" t="s">
        <v>972</v>
      </c>
      <c r="C14" s="93" t="s">
        <v>448</v>
      </c>
      <c r="D14" s="93">
        <v>5</v>
      </c>
      <c r="E14" s="177">
        <v>641</v>
      </c>
      <c r="F14" s="177">
        <f t="shared" si="20"/>
        <v>3.21</v>
      </c>
      <c r="G14" s="177">
        <f t="shared" si="21"/>
        <v>644.21</v>
      </c>
      <c r="H14" s="177">
        <f t="shared" si="1"/>
        <v>645.27</v>
      </c>
      <c r="I14" s="208">
        <f t="shared" si="2"/>
        <v>4.2683999999999997</v>
      </c>
      <c r="J14" s="177">
        <f t="shared" si="22"/>
        <v>3221.05</v>
      </c>
      <c r="K14" s="177">
        <f t="shared" si="17"/>
        <v>-3226.3500000000004</v>
      </c>
      <c r="L14" s="177">
        <f t="shared" si="23"/>
        <v>16.05</v>
      </c>
      <c r="M14" s="177">
        <f t="shared" si="24"/>
        <v>1.6371</v>
      </c>
      <c r="N14" s="177">
        <f t="shared" si="25"/>
        <v>3.22</v>
      </c>
      <c r="O14" s="177">
        <f t="shared" si="26"/>
        <v>0.11273675</v>
      </c>
      <c r="P14" s="177">
        <f t="shared" si="27"/>
        <v>0.32210500000000003</v>
      </c>
      <c r="Q14" s="93">
        <f t="shared" si="28"/>
        <v>0</v>
      </c>
      <c r="R14" s="177">
        <v>-3226</v>
      </c>
      <c r="S14" s="179">
        <f t="shared" si="9"/>
        <v>-0.3500000000003638</v>
      </c>
      <c r="T14" s="176">
        <v>38556</v>
      </c>
      <c r="U14" s="318">
        <f>ROUND((K11*(T14-T11)+K14*1)/(K11+K14),0)</f>
        <v>2</v>
      </c>
      <c r="V14" s="176">
        <f>T11+U14</f>
        <v>38556</v>
      </c>
      <c r="W14" s="177">
        <f>-ROUND((R11+R14)/(D11+D14),2)</f>
        <v>658.67</v>
      </c>
      <c r="X14" s="317"/>
      <c r="Y14" s="176"/>
      <c r="Z14" s="93"/>
    </row>
    <row r="15" spans="1:26" ht="12" customHeight="1">
      <c r="A15" s="176">
        <v>38568</v>
      </c>
      <c r="B15" s="315" t="s">
        <v>975</v>
      </c>
      <c r="C15" s="93" t="s">
        <v>448</v>
      </c>
      <c r="D15" s="93">
        <f>10+5</f>
        <v>15</v>
      </c>
      <c r="E15" s="177">
        <f>(739.7*10+730*5)/D15</f>
        <v>736.4666666666667</v>
      </c>
      <c r="F15" s="177">
        <f t="shared" si="20"/>
        <v>3.68</v>
      </c>
      <c r="G15" s="177">
        <f t="shared" si="21"/>
        <v>740.14666666666665</v>
      </c>
      <c r="H15" s="177">
        <f t="shared" si="1"/>
        <v>741.36</v>
      </c>
      <c r="I15" s="208">
        <f t="shared" si="2"/>
        <v>4.8952999999999998</v>
      </c>
      <c r="J15" s="177">
        <f t="shared" si="22"/>
        <v>11102.199999999999</v>
      </c>
      <c r="K15" s="177">
        <f t="shared" si="17"/>
        <v>-11120.43</v>
      </c>
      <c r="L15" s="177">
        <f t="shared" si="23"/>
        <v>55.2</v>
      </c>
      <c r="M15" s="177">
        <f t="shared" si="24"/>
        <v>5.6303999999999998</v>
      </c>
      <c r="N15" s="177">
        <f t="shared" si="25"/>
        <v>11.1</v>
      </c>
      <c r="O15" s="177">
        <f t="shared" si="26"/>
        <v>0.38857699999999995</v>
      </c>
      <c r="P15" s="177">
        <f t="shared" si="27"/>
        <v>1.11022</v>
      </c>
      <c r="Q15" s="93">
        <f t="shared" si="28"/>
        <v>0</v>
      </c>
      <c r="R15" s="177">
        <v>-11121</v>
      </c>
      <c r="S15" s="179">
        <f t="shared" si="9"/>
        <v>0.56999999999970896</v>
      </c>
      <c r="T15" s="176">
        <v>38569</v>
      </c>
      <c r="U15" s="316"/>
      <c r="V15" s="176"/>
      <c r="W15" s="177"/>
      <c r="X15" s="317"/>
      <c r="Y15" s="93"/>
      <c r="Z15" s="93"/>
    </row>
    <row r="16" spans="1:26" ht="12" customHeight="1">
      <c r="A16" s="176">
        <v>38581</v>
      </c>
      <c r="B16" s="315" t="s">
        <v>976</v>
      </c>
      <c r="C16" s="93" t="s">
        <v>448</v>
      </c>
      <c r="D16" s="93">
        <v>100</v>
      </c>
      <c r="E16" s="177">
        <v>35.4</v>
      </c>
      <c r="F16" s="177">
        <f t="shared" si="20"/>
        <v>0.18</v>
      </c>
      <c r="G16" s="177">
        <f t="shared" si="21"/>
        <v>35.58</v>
      </c>
      <c r="H16" s="177">
        <f t="shared" si="1"/>
        <v>35.64</v>
      </c>
      <c r="I16" s="208">
        <f t="shared" si="2"/>
        <v>0.23879999999999998</v>
      </c>
      <c r="J16" s="177">
        <f t="shared" si="22"/>
        <v>3558</v>
      </c>
      <c r="K16" s="177">
        <f t="shared" si="17"/>
        <v>-3563.88</v>
      </c>
      <c r="L16" s="177">
        <f t="shared" si="23"/>
        <v>18</v>
      </c>
      <c r="M16" s="177">
        <f t="shared" si="24"/>
        <v>1.8359999999999999</v>
      </c>
      <c r="N16" s="177">
        <f t="shared" si="25"/>
        <v>3.56</v>
      </c>
      <c r="O16" s="177">
        <f t="shared" si="26"/>
        <v>0.12452999999999999</v>
      </c>
      <c r="P16" s="177">
        <f t="shared" si="27"/>
        <v>0.35580000000000001</v>
      </c>
      <c r="Q16" s="93">
        <f t="shared" si="28"/>
        <v>0</v>
      </c>
      <c r="R16" s="177">
        <v>-3564.31</v>
      </c>
      <c r="S16" s="179">
        <f t="shared" si="9"/>
        <v>0.42999999999983629</v>
      </c>
      <c r="T16" s="176">
        <v>38586</v>
      </c>
      <c r="U16" s="316"/>
      <c r="V16" s="177"/>
      <c r="W16" s="177"/>
      <c r="X16" s="317"/>
      <c r="Y16" s="93"/>
      <c r="Z16" s="93"/>
    </row>
    <row r="17" spans="1:26" ht="12" customHeight="1">
      <c r="A17" s="176">
        <v>38586</v>
      </c>
      <c r="B17" s="315" t="s">
        <v>977</v>
      </c>
      <c r="C17" s="93" t="s">
        <v>448</v>
      </c>
      <c r="D17" s="93">
        <v>100</v>
      </c>
      <c r="E17" s="177">
        <v>33.75</v>
      </c>
      <c r="F17" s="177">
        <f t="shared" si="20"/>
        <v>0.17</v>
      </c>
      <c r="G17" s="177">
        <f t="shared" si="21"/>
        <v>33.92</v>
      </c>
      <c r="H17" s="177">
        <f t="shared" si="1"/>
        <v>33.979999999999997</v>
      </c>
      <c r="I17" s="208">
        <f t="shared" si="2"/>
        <v>0.22589999999999999</v>
      </c>
      <c r="J17" s="177">
        <f t="shared" si="22"/>
        <v>3392</v>
      </c>
      <c r="K17" s="177">
        <f t="shared" si="17"/>
        <v>-3397.59</v>
      </c>
      <c r="L17" s="177">
        <f t="shared" si="23"/>
        <v>17</v>
      </c>
      <c r="M17" s="177">
        <f t="shared" si="24"/>
        <v>1.734</v>
      </c>
      <c r="N17" s="177">
        <f t="shared" si="25"/>
        <v>3.39</v>
      </c>
      <c r="O17" s="177">
        <f t="shared" si="26"/>
        <v>0.11871999999999999</v>
      </c>
      <c r="P17" s="177">
        <f t="shared" si="27"/>
        <v>0.3392</v>
      </c>
      <c r="Q17" s="93">
        <f t="shared" si="28"/>
        <v>0</v>
      </c>
      <c r="R17" s="177">
        <v>-3397</v>
      </c>
      <c r="S17" s="179">
        <f t="shared" si="9"/>
        <v>-0.59000000000014552</v>
      </c>
      <c r="T17" s="176">
        <v>38588</v>
      </c>
      <c r="U17" s="316"/>
      <c r="V17" s="177"/>
      <c r="W17" s="177"/>
      <c r="X17" s="317"/>
      <c r="Y17" s="93"/>
      <c r="Z17" s="93"/>
    </row>
    <row r="18" spans="1:26" ht="12" customHeight="1">
      <c r="A18" s="176">
        <v>38587</v>
      </c>
      <c r="B18" s="315" t="s">
        <v>970</v>
      </c>
      <c r="C18" s="93" t="s">
        <v>448</v>
      </c>
      <c r="D18" s="93">
        <v>50</v>
      </c>
      <c r="E18" s="177">
        <v>72</v>
      </c>
      <c r="F18" s="177">
        <f t="shared" si="20"/>
        <v>0.36</v>
      </c>
      <c r="G18" s="177">
        <f t="shared" si="21"/>
        <v>72.36</v>
      </c>
      <c r="H18" s="177">
        <f t="shared" si="1"/>
        <v>72.48</v>
      </c>
      <c r="I18" s="208">
        <f t="shared" si="2"/>
        <v>0.47889999999999999</v>
      </c>
      <c r="J18" s="177">
        <f t="shared" si="22"/>
        <v>3618</v>
      </c>
      <c r="K18" s="177">
        <f t="shared" si="17"/>
        <v>-3623.9500000000003</v>
      </c>
      <c r="L18" s="177">
        <f t="shared" si="23"/>
        <v>18</v>
      </c>
      <c r="M18" s="177">
        <f t="shared" si="24"/>
        <v>1.8359999999999999</v>
      </c>
      <c r="N18" s="177">
        <f t="shared" si="25"/>
        <v>3.62</v>
      </c>
      <c r="O18" s="177">
        <f t="shared" si="26"/>
        <v>0.12662999999999999</v>
      </c>
      <c r="P18" s="177">
        <f t="shared" si="27"/>
        <v>0.36180000000000001</v>
      </c>
      <c r="Q18" s="93">
        <f t="shared" si="28"/>
        <v>0</v>
      </c>
      <c r="R18" s="177">
        <v>-3623.93</v>
      </c>
      <c r="S18" s="179">
        <f t="shared" si="9"/>
        <v>-2.0000000000436557E-2</v>
      </c>
      <c r="T18" s="176">
        <v>38588</v>
      </c>
      <c r="U18" s="316"/>
      <c r="V18" s="177"/>
      <c r="W18" s="177"/>
      <c r="X18" s="317"/>
      <c r="Y18" s="93"/>
      <c r="Z18" s="93"/>
    </row>
    <row r="19" spans="1:26" ht="12" customHeight="1">
      <c r="A19" s="176">
        <v>38597</v>
      </c>
      <c r="B19" s="315" t="s">
        <v>978</v>
      </c>
      <c r="C19" s="93" t="s">
        <v>448</v>
      </c>
      <c r="D19" s="93">
        <v>50</v>
      </c>
      <c r="E19" s="177">
        <v>142.4</v>
      </c>
      <c r="F19" s="177">
        <f t="shared" si="20"/>
        <v>0.71</v>
      </c>
      <c r="G19" s="177">
        <f t="shared" si="21"/>
        <v>143.11000000000001</v>
      </c>
      <c r="H19" s="177">
        <f t="shared" si="1"/>
        <v>143.35</v>
      </c>
      <c r="I19" s="208">
        <f t="shared" si="2"/>
        <v>0.94499999999999995</v>
      </c>
      <c r="J19" s="177">
        <f t="shared" si="22"/>
        <v>7155.5000000000009</v>
      </c>
      <c r="K19" s="177">
        <f t="shared" si="17"/>
        <v>-7167.25</v>
      </c>
      <c r="L19" s="177">
        <f t="shared" si="23"/>
        <v>35.5</v>
      </c>
      <c r="M19" s="177">
        <f t="shared" si="24"/>
        <v>3.6209999999999996</v>
      </c>
      <c r="N19" s="177">
        <f t="shared" si="25"/>
        <v>7.16</v>
      </c>
      <c r="O19" s="177">
        <f t="shared" si="26"/>
        <v>0.25044250000000001</v>
      </c>
      <c r="P19" s="177">
        <f t="shared" si="27"/>
        <v>0.71555000000000013</v>
      </c>
      <c r="Q19" s="93">
        <f t="shared" si="28"/>
        <v>0</v>
      </c>
      <c r="R19" s="177">
        <v>-7167.2</v>
      </c>
      <c r="S19" s="179">
        <f t="shared" si="9"/>
        <v>-5.0000000000181899E-2</v>
      </c>
      <c r="T19" s="176">
        <v>38598</v>
      </c>
      <c r="U19" s="316"/>
      <c r="V19" s="177"/>
      <c r="W19" s="177"/>
      <c r="X19" s="317"/>
      <c r="Y19" s="93"/>
      <c r="Z19" s="93"/>
    </row>
    <row r="20" spans="1:26" ht="12" customHeight="1">
      <c r="A20" s="176">
        <v>38597</v>
      </c>
      <c r="B20" s="315" t="s">
        <v>979</v>
      </c>
      <c r="C20" s="93" t="s">
        <v>448</v>
      </c>
      <c r="D20" s="93">
        <v>50</v>
      </c>
      <c r="E20" s="177">
        <v>29.1</v>
      </c>
      <c r="F20" s="177">
        <f t="shared" si="20"/>
        <v>0.2</v>
      </c>
      <c r="G20" s="177">
        <f t="shared" si="21"/>
        <v>29.3</v>
      </c>
      <c r="H20" s="177">
        <f t="shared" si="1"/>
        <v>29.35</v>
      </c>
      <c r="I20" s="208">
        <f t="shared" si="2"/>
        <v>0.25379999999999997</v>
      </c>
      <c r="J20" s="177">
        <f t="shared" si="22"/>
        <v>1465</v>
      </c>
      <c r="K20" s="177">
        <f t="shared" si="17"/>
        <v>-1467.69</v>
      </c>
      <c r="L20" s="177">
        <f t="shared" si="23"/>
        <v>10</v>
      </c>
      <c r="M20" s="177">
        <f t="shared" si="24"/>
        <v>1.02</v>
      </c>
      <c r="N20" s="177">
        <f t="shared" si="25"/>
        <v>1.47</v>
      </c>
      <c r="O20" s="177">
        <f t="shared" si="26"/>
        <v>5.1274999999999994E-2</v>
      </c>
      <c r="P20" s="177">
        <f t="shared" si="27"/>
        <v>0.14650000000000002</v>
      </c>
      <c r="Q20" s="93">
        <f t="shared" si="28"/>
        <v>0</v>
      </c>
      <c r="R20" s="177">
        <v>-1467.6</v>
      </c>
      <c r="S20" s="179">
        <f t="shared" si="9"/>
        <v>-9.0000000000145519E-2</v>
      </c>
      <c r="T20" s="176">
        <v>38598</v>
      </c>
      <c r="U20" s="316"/>
      <c r="V20" s="177"/>
      <c r="W20" s="177"/>
      <c r="X20" s="317"/>
      <c r="Y20" s="93"/>
      <c r="Z20" s="93"/>
    </row>
    <row r="21" spans="1:26" ht="12" customHeight="1">
      <c r="A21" s="176">
        <v>38597</v>
      </c>
      <c r="B21" s="315" t="s">
        <v>980</v>
      </c>
      <c r="C21" s="93" t="s">
        <v>448</v>
      </c>
      <c r="D21" s="93">
        <v>200</v>
      </c>
      <c r="E21" s="177">
        <v>17</v>
      </c>
      <c r="F21" s="177">
        <f t="shared" si="20"/>
        <v>0.09</v>
      </c>
      <c r="G21" s="177">
        <f t="shared" si="21"/>
        <v>17.09</v>
      </c>
      <c r="H21" s="177">
        <f t="shared" si="1"/>
        <v>17.12</v>
      </c>
      <c r="I21" s="208">
        <f t="shared" si="2"/>
        <v>0.1186</v>
      </c>
      <c r="J21" s="177">
        <f t="shared" si="22"/>
        <v>3418</v>
      </c>
      <c r="K21" s="177">
        <f t="shared" si="17"/>
        <v>-3423.7200000000003</v>
      </c>
      <c r="L21" s="177">
        <f t="shared" si="23"/>
        <v>18</v>
      </c>
      <c r="M21" s="177">
        <f t="shared" si="24"/>
        <v>1.8359999999999999</v>
      </c>
      <c r="N21" s="177">
        <f t="shared" si="25"/>
        <v>3.42</v>
      </c>
      <c r="O21" s="177">
        <f t="shared" si="26"/>
        <v>0.11962999999999999</v>
      </c>
      <c r="P21" s="177">
        <f t="shared" si="27"/>
        <v>0.34179999999999999</v>
      </c>
      <c r="Q21" s="93">
        <f t="shared" si="28"/>
        <v>0</v>
      </c>
      <c r="R21" s="177">
        <v>-3423.7</v>
      </c>
      <c r="S21" s="179">
        <f t="shared" si="9"/>
        <v>-2.0000000000436557E-2</v>
      </c>
      <c r="T21" s="176">
        <v>38598</v>
      </c>
      <c r="U21" s="316"/>
      <c r="V21" s="177"/>
      <c r="W21" s="177"/>
      <c r="X21" s="317"/>
      <c r="Y21" s="93"/>
      <c r="Z21" s="93"/>
    </row>
    <row r="22" spans="1:26" ht="12" customHeight="1">
      <c r="A22" s="176">
        <v>38601</v>
      </c>
      <c r="B22" s="315" t="s">
        <v>981</v>
      </c>
      <c r="C22" s="93" t="s">
        <v>448</v>
      </c>
      <c r="D22" s="93">
        <v>60</v>
      </c>
      <c r="E22" s="177">
        <v>102</v>
      </c>
      <c r="F22" s="177"/>
      <c r="G22" s="177"/>
      <c r="H22" s="177">
        <f t="shared" si="1"/>
        <v>102</v>
      </c>
      <c r="I22" s="208">
        <f t="shared" si="2"/>
        <v>0</v>
      </c>
      <c r="J22" s="177">
        <f>D22*E22</f>
        <v>6120</v>
      </c>
      <c r="K22" s="177">
        <f t="shared" si="17"/>
        <v>-6120</v>
      </c>
      <c r="L22" s="177"/>
      <c r="M22" s="177"/>
      <c r="N22" s="177"/>
      <c r="O22" s="177"/>
      <c r="P22" s="177"/>
      <c r="Q22" s="93"/>
      <c r="R22" s="177">
        <v>-6120</v>
      </c>
      <c r="S22" s="179">
        <f t="shared" si="9"/>
        <v>0</v>
      </c>
      <c r="T22" s="176">
        <v>38607</v>
      </c>
      <c r="U22" s="316"/>
      <c r="V22" s="93"/>
      <c r="W22" s="93"/>
      <c r="X22" s="317"/>
      <c r="Y22" s="93"/>
      <c r="Z22" s="93"/>
    </row>
    <row r="23" spans="1:26" ht="12.75" customHeight="1">
      <c r="A23" s="176">
        <v>38611</v>
      </c>
      <c r="B23" s="315" t="s">
        <v>982</v>
      </c>
      <c r="C23" s="93" t="s">
        <v>448</v>
      </c>
      <c r="D23" s="93">
        <v>10</v>
      </c>
      <c r="E23" s="177">
        <v>275</v>
      </c>
      <c r="F23" s="177">
        <f t="shared" ref="F23:F116" si="29">IF(E23*D23*E$326&lt;10,10/D23,ROUND(E23*E$326,2))</f>
        <v>1.38</v>
      </c>
      <c r="G23" s="177">
        <f t="shared" ref="G23:G116" si="30">E23+F23</f>
        <v>276.38</v>
      </c>
      <c r="H23" s="177">
        <f t="shared" si="1"/>
        <v>276.83</v>
      </c>
      <c r="I23" s="208">
        <f t="shared" si="2"/>
        <v>1.8341000000000001</v>
      </c>
      <c r="J23" s="177">
        <f t="shared" ref="J23:J116" si="31">D23*G23</f>
        <v>2763.8</v>
      </c>
      <c r="K23" s="177">
        <f t="shared" si="17"/>
        <v>-2768.3500000000004</v>
      </c>
      <c r="L23" s="177">
        <f t="shared" ref="L23:L116" si="32">F23*D23</f>
        <v>13.799999999999999</v>
      </c>
      <c r="M23" s="177">
        <f t="shared" ref="M23:M87" si="33">L23*E$328</f>
        <v>1.4075999999999997</v>
      </c>
      <c r="N23" s="177">
        <f t="shared" ref="N23:N116" si="34">ROUND(J23*E$329,2)</f>
        <v>2.76</v>
      </c>
      <c r="O23" s="177">
        <f t="shared" ref="O23:O116" si="35">J23*E$332</f>
        <v>9.6733E-2</v>
      </c>
      <c r="P23" s="177">
        <f t="shared" ref="P23:P116" si="36">J23*E$334</f>
        <v>0.27638000000000001</v>
      </c>
      <c r="Q23" s="93">
        <f t="shared" ref="Q23:Q116" si="37">E$336</f>
        <v>0</v>
      </c>
      <c r="R23" s="177">
        <v>-2769</v>
      </c>
      <c r="S23" s="179">
        <f t="shared" si="9"/>
        <v>0.6499999999996362</v>
      </c>
      <c r="T23" s="176">
        <v>38612</v>
      </c>
      <c r="U23" s="316"/>
      <c r="V23" s="177"/>
      <c r="W23" s="177"/>
      <c r="X23" s="317"/>
      <c r="Y23" s="93"/>
      <c r="Z23" s="93"/>
    </row>
    <row r="24" spans="1:26" ht="12" customHeight="1">
      <c r="A24" s="176">
        <v>38614</v>
      </c>
      <c r="B24" s="315" t="s">
        <v>983</v>
      </c>
      <c r="C24" s="93" t="s">
        <v>448</v>
      </c>
      <c r="D24" s="93">
        <v>100</v>
      </c>
      <c r="E24" s="177">
        <v>20.399999999999999</v>
      </c>
      <c r="F24" s="177">
        <f t="shared" si="29"/>
        <v>0.1</v>
      </c>
      <c r="G24" s="177">
        <f t="shared" si="30"/>
        <v>20.5</v>
      </c>
      <c r="H24" s="177">
        <f t="shared" si="1"/>
        <v>20.53</v>
      </c>
      <c r="I24" s="208">
        <f t="shared" si="2"/>
        <v>0.13349999999999998</v>
      </c>
      <c r="J24" s="177">
        <f t="shared" si="31"/>
        <v>2050</v>
      </c>
      <c r="K24" s="177">
        <f t="shared" si="17"/>
        <v>-2053.3500000000004</v>
      </c>
      <c r="L24" s="177">
        <f t="shared" si="32"/>
        <v>10</v>
      </c>
      <c r="M24" s="177">
        <f t="shared" si="33"/>
        <v>1.02</v>
      </c>
      <c r="N24" s="177">
        <f t="shared" si="34"/>
        <v>2.0499999999999998</v>
      </c>
      <c r="O24" s="177">
        <f t="shared" si="35"/>
        <v>7.1749999999999994E-2</v>
      </c>
      <c r="P24" s="177">
        <f t="shared" si="36"/>
        <v>0.20500000000000002</v>
      </c>
      <c r="Q24" s="93">
        <f t="shared" si="37"/>
        <v>0</v>
      </c>
      <c r="R24" s="177">
        <v>-2053</v>
      </c>
      <c r="S24" s="179">
        <f t="shared" si="9"/>
        <v>-0.3500000000003638</v>
      </c>
      <c r="T24" s="176">
        <v>38616</v>
      </c>
      <c r="U24" s="316"/>
      <c r="V24" s="177"/>
      <c r="W24" s="177"/>
      <c r="X24" s="317"/>
      <c r="Y24" s="93"/>
      <c r="Z24" s="93"/>
    </row>
    <row r="25" spans="1:26" ht="12" customHeight="1">
      <c r="A25" s="176">
        <v>38615</v>
      </c>
      <c r="B25" s="315" t="s">
        <v>974</v>
      </c>
      <c r="C25" s="93" t="s">
        <v>448</v>
      </c>
      <c r="D25" s="93">
        <v>50</v>
      </c>
      <c r="E25" s="177">
        <v>132</v>
      </c>
      <c r="F25" s="177">
        <f t="shared" si="29"/>
        <v>0.66</v>
      </c>
      <c r="G25" s="177">
        <f t="shared" si="30"/>
        <v>132.66</v>
      </c>
      <c r="H25" s="177">
        <f t="shared" si="1"/>
        <v>132.88</v>
      </c>
      <c r="I25" s="208">
        <f t="shared" si="2"/>
        <v>0.87790000000000001</v>
      </c>
      <c r="J25" s="177">
        <f t="shared" si="31"/>
        <v>6633</v>
      </c>
      <c r="K25" s="177">
        <f t="shared" si="17"/>
        <v>-6643.9000000000005</v>
      </c>
      <c r="L25" s="177">
        <f t="shared" si="32"/>
        <v>33</v>
      </c>
      <c r="M25" s="177">
        <f t="shared" si="33"/>
        <v>3.3659999999999997</v>
      </c>
      <c r="N25" s="177">
        <f t="shared" si="34"/>
        <v>6.63</v>
      </c>
      <c r="O25" s="177">
        <f t="shared" si="35"/>
        <v>0.23215499999999997</v>
      </c>
      <c r="P25" s="177">
        <f t="shared" si="36"/>
        <v>0.6633</v>
      </c>
      <c r="Q25" s="93">
        <f t="shared" si="37"/>
        <v>0</v>
      </c>
      <c r="R25" s="177">
        <v>-6644</v>
      </c>
      <c r="S25" s="179">
        <f t="shared" si="9"/>
        <v>9.9999999999454303E-2</v>
      </c>
      <c r="T25" s="176">
        <v>38617</v>
      </c>
      <c r="U25" s="316"/>
      <c r="V25" s="177"/>
      <c r="W25" s="177"/>
      <c r="X25" s="317"/>
      <c r="Y25" s="93"/>
      <c r="Z25" s="93"/>
    </row>
    <row r="26" spans="1:26" ht="12" customHeight="1">
      <c r="A26" s="176">
        <v>38615</v>
      </c>
      <c r="B26" s="315" t="s">
        <v>984</v>
      </c>
      <c r="C26" s="93" t="s">
        <v>448</v>
      </c>
      <c r="D26" s="93">
        <v>100</v>
      </c>
      <c r="E26" s="177">
        <v>78.650000000000006</v>
      </c>
      <c r="F26" s="177">
        <f t="shared" si="29"/>
        <v>0.39</v>
      </c>
      <c r="G26" s="177">
        <f t="shared" si="30"/>
        <v>79.040000000000006</v>
      </c>
      <c r="H26" s="177">
        <f t="shared" si="1"/>
        <v>79.17</v>
      </c>
      <c r="I26" s="208">
        <f t="shared" si="2"/>
        <v>0.51949999999999996</v>
      </c>
      <c r="J26" s="177">
        <f t="shared" si="31"/>
        <v>7904.0000000000009</v>
      </c>
      <c r="K26" s="177">
        <f t="shared" si="17"/>
        <v>-7916.95</v>
      </c>
      <c r="L26" s="177">
        <f t="shared" si="32"/>
        <v>39</v>
      </c>
      <c r="M26" s="177">
        <f t="shared" si="33"/>
        <v>3.9779999999999998</v>
      </c>
      <c r="N26" s="177">
        <f t="shared" si="34"/>
        <v>7.9</v>
      </c>
      <c r="O26" s="177">
        <f t="shared" si="35"/>
        <v>0.27664</v>
      </c>
      <c r="P26" s="177">
        <f t="shared" si="36"/>
        <v>0.7904000000000001</v>
      </c>
      <c r="Q26" s="93">
        <f t="shared" si="37"/>
        <v>0</v>
      </c>
      <c r="R26" s="177">
        <v>-7917</v>
      </c>
      <c r="S26" s="179">
        <f t="shared" si="9"/>
        <v>5.0000000000181899E-2</v>
      </c>
      <c r="T26" s="176">
        <v>38616</v>
      </c>
      <c r="U26" s="316"/>
      <c r="V26" s="177"/>
      <c r="W26" s="177"/>
      <c r="X26" s="317"/>
      <c r="Y26" s="93"/>
      <c r="Z26" s="93"/>
    </row>
    <row r="27" spans="1:26" ht="12" customHeight="1">
      <c r="A27" s="176">
        <v>38615</v>
      </c>
      <c r="B27" s="315" t="s">
        <v>985</v>
      </c>
      <c r="C27" s="93" t="s">
        <v>448</v>
      </c>
      <c r="D27" s="93">
        <v>50</v>
      </c>
      <c r="E27" s="177">
        <v>161</v>
      </c>
      <c r="F27" s="177">
        <f t="shared" si="29"/>
        <v>0.81</v>
      </c>
      <c r="G27" s="177">
        <f t="shared" si="30"/>
        <v>161.81</v>
      </c>
      <c r="H27" s="177">
        <f t="shared" si="1"/>
        <v>162.08000000000001</v>
      </c>
      <c r="I27" s="208">
        <f t="shared" si="2"/>
        <v>1.0763</v>
      </c>
      <c r="J27" s="177">
        <f t="shared" si="31"/>
        <v>8090.5</v>
      </c>
      <c r="K27" s="177">
        <f t="shared" si="17"/>
        <v>-8103.8200000000006</v>
      </c>
      <c r="L27" s="177">
        <f t="shared" si="32"/>
        <v>40.5</v>
      </c>
      <c r="M27" s="177">
        <f t="shared" si="33"/>
        <v>4.1309999999999993</v>
      </c>
      <c r="N27" s="177">
        <f t="shared" si="34"/>
        <v>8.09</v>
      </c>
      <c r="O27" s="177">
        <f t="shared" si="35"/>
        <v>0.28316749999999996</v>
      </c>
      <c r="P27" s="177">
        <f t="shared" si="36"/>
        <v>0.80905000000000005</v>
      </c>
      <c r="Q27" s="93">
        <f t="shared" si="37"/>
        <v>0</v>
      </c>
      <c r="R27" s="177">
        <v>-8103</v>
      </c>
      <c r="S27" s="179">
        <f t="shared" si="9"/>
        <v>-0.82000000000061846</v>
      </c>
      <c r="T27" s="176">
        <v>38616</v>
      </c>
      <c r="U27" s="316"/>
      <c r="V27" s="177"/>
      <c r="W27" s="177"/>
      <c r="X27" s="317"/>
      <c r="Y27" s="93"/>
      <c r="Z27" s="93"/>
    </row>
    <row r="28" spans="1:26" ht="12" customHeight="1">
      <c r="A28" s="176">
        <v>38615</v>
      </c>
      <c r="B28" s="315" t="s">
        <v>986</v>
      </c>
      <c r="C28" s="93" t="s">
        <v>448</v>
      </c>
      <c r="D28" s="93">
        <v>50</v>
      </c>
      <c r="E28" s="177">
        <v>163</v>
      </c>
      <c r="F28" s="177">
        <f t="shared" si="29"/>
        <v>0.82</v>
      </c>
      <c r="G28" s="177">
        <f t="shared" si="30"/>
        <v>163.82</v>
      </c>
      <c r="H28" s="177">
        <f t="shared" si="1"/>
        <v>164.09</v>
      </c>
      <c r="I28" s="208">
        <f t="shared" si="2"/>
        <v>1.0895999999999999</v>
      </c>
      <c r="J28" s="177">
        <f t="shared" si="31"/>
        <v>8191</v>
      </c>
      <c r="K28" s="177">
        <f t="shared" si="17"/>
        <v>-8204.48</v>
      </c>
      <c r="L28" s="177">
        <f t="shared" si="32"/>
        <v>41</v>
      </c>
      <c r="M28" s="177">
        <f t="shared" si="33"/>
        <v>4.1819999999999995</v>
      </c>
      <c r="N28" s="177">
        <f t="shared" si="34"/>
        <v>8.19</v>
      </c>
      <c r="O28" s="177">
        <f t="shared" si="35"/>
        <v>0.28668499999999997</v>
      </c>
      <c r="P28" s="177">
        <f t="shared" si="36"/>
        <v>0.81910000000000005</v>
      </c>
      <c r="Q28" s="93">
        <f t="shared" si="37"/>
        <v>0</v>
      </c>
      <c r="R28" s="177">
        <v>-8204</v>
      </c>
      <c r="S28" s="179">
        <f t="shared" si="9"/>
        <v>-0.47999999999956344</v>
      </c>
      <c r="T28" s="176">
        <v>38616</v>
      </c>
      <c r="U28" s="316"/>
      <c r="V28" s="177"/>
      <c r="W28" s="177"/>
      <c r="X28" s="317"/>
      <c r="Y28" s="93"/>
      <c r="Z28" s="93"/>
    </row>
    <row r="29" spans="1:26" ht="12" customHeight="1">
      <c r="A29" s="176">
        <v>38615</v>
      </c>
      <c r="B29" s="315" t="s">
        <v>987</v>
      </c>
      <c r="C29" s="93" t="s">
        <v>448</v>
      </c>
      <c r="D29" s="93">
        <v>100</v>
      </c>
      <c r="E29" s="177">
        <v>44.5</v>
      </c>
      <c r="F29" s="177">
        <f t="shared" si="29"/>
        <v>0.22</v>
      </c>
      <c r="G29" s="177">
        <f t="shared" si="30"/>
        <v>44.72</v>
      </c>
      <c r="H29" s="177">
        <f t="shared" si="1"/>
        <v>44.79</v>
      </c>
      <c r="I29" s="208">
        <f t="shared" si="2"/>
        <v>0.29320000000000002</v>
      </c>
      <c r="J29" s="177">
        <f t="shared" si="31"/>
        <v>4472</v>
      </c>
      <c r="K29" s="177">
        <f t="shared" si="17"/>
        <v>-4479.3200000000006</v>
      </c>
      <c r="L29" s="177">
        <f t="shared" si="32"/>
        <v>22</v>
      </c>
      <c r="M29" s="177">
        <f t="shared" si="33"/>
        <v>2.2439999999999998</v>
      </c>
      <c r="N29" s="177">
        <f t="shared" si="34"/>
        <v>4.47</v>
      </c>
      <c r="O29" s="177">
        <f t="shared" si="35"/>
        <v>0.15651999999999999</v>
      </c>
      <c r="P29" s="177">
        <f t="shared" si="36"/>
        <v>0.44720000000000004</v>
      </c>
      <c r="Q29" s="93">
        <f t="shared" si="37"/>
        <v>0</v>
      </c>
      <c r="R29" s="177">
        <v>-4479</v>
      </c>
      <c r="S29" s="179">
        <f t="shared" si="9"/>
        <v>-0.32000000000061846</v>
      </c>
      <c r="T29" s="176">
        <v>38617</v>
      </c>
      <c r="U29" s="316"/>
      <c r="V29" s="177"/>
      <c r="W29" s="177"/>
      <c r="X29" s="317"/>
      <c r="Y29" s="93"/>
      <c r="Z29" s="93"/>
    </row>
    <row r="30" spans="1:26" ht="12" customHeight="1">
      <c r="A30" s="176">
        <v>38615</v>
      </c>
      <c r="B30" s="315" t="s">
        <v>970</v>
      </c>
      <c r="C30" s="93" t="s">
        <v>448</v>
      </c>
      <c r="D30" s="93">
        <v>50</v>
      </c>
      <c r="E30" s="177">
        <v>85.7</v>
      </c>
      <c r="F30" s="177">
        <f t="shared" si="29"/>
        <v>0.43</v>
      </c>
      <c r="G30" s="177">
        <f t="shared" si="30"/>
        <v>86.13000000000001</v>
      </c>
      <c r="H30" s="177">
        <f t="shared" si="1"/>
        <v>86.27</v>
      </c>
      <c r="I30" s="208">
        <f t="shared" si="2"/>
        <v>0.57169999999999999</v>
      </c>
      <c r="J30" s="177">
        <f t="shared" si="31"/>
        <v>4306.5000000000009</v>
      </c>
      <c r="K30" s="177">
        <f t="shared" si="17"/>
        <v>-4313.59</v>
      </c>
      <c r="L30" s="177">
        <f t="shared" si="32"/>
        <v>21.5</v>
      </c>
      <c r="M30" s="177">
        <f t="shared" si="33"/>
        <v>2.1930000000000001</v>
      </c>
      <c r="N30" s="177">
        <f t="shared" si="34"/>
        <v>4.3099999999999996</v>
      </c>
      <c r="O30" s="177">
        <f t="shared" si="35"/>
        <v>0.15072750000000001</v>
      </c>
      <c r="P30" s="177">
        <f t="shared" si="36"/>
        <v>0.43065000000000009</v>
      </c>
      <c r="Q30" s="93">
        <f t="shared" si="37"/>
        <v>0</v>
      </c>
      <c r="R30" s="177">
        <v>-4313</v>
      </c>
      <c r="S30" s="179">
        <f t="shared" si="9"/>
        <v>-0.59000000000014552</v>
      </c>
      <c r="T30" s="176">
        <v>38616</v>
      </c>
      <c r="U30" s="316"/>
      <c r="V30" s="177"/>
      <c r="W30" s="177"/>
      <c r="X30" s="317"/>
      <c r="Y30" s="93"/>
      <c r="Z30" s="93"/>
    </row>
    <row r="31" spans="1:26" ht="12" customHeight="1">
      <c r="A31" s="176">
        <v>38617</v>
      </c>
      <c r="B31" s="315" t="s">
        <v>988</v>
      </c>
      <c r="C31" s="93" t="s">
        <v>448</v>
      </c>
      <c r="D31" s="93">
        <v>200</v>
      </c>
      <c r="E31" s="177">
        <v>30.2</v>
      </c>
      <c r="F31" s="177">
        <f t="shared" si="29"/>
        <v>0.15</v>
      </c>
      <c r="G31" s="177">
        <f t="shared" si="30"/>
        <v>30.349999999999998</v>
      </c>
      <c r="H31" s="177">
        <f t="shared" si="1"/>
        <v>30.4</v>
      </c>
      <c r="I31" s="208">
        <f t="shared" si="2"/>
        <v>0.19979999999999998</v>
      </c>
      <c r="J31" s="177">
        <f t="shared" si="31"/>
        <v>6070</v>
      </c>
      <c r="K31" s="177">
        <f t="shared" si="17"/>
        <v>-6079.95</v>
      </c>
      <c r="L31" s="177">
        <f t="shared" si="32"/>
        <v>30</v>
      </c>
      <c r="M31" s="177">
        <f t="shared" si="33"/>
        <v>3.0599999999999996</v>
      </c>
      <c r="N31" s="177">
        <f t="shared" si="34"/>
        <v>6.07</v>
      </c>
      <c r="O31" s="177">
        <f t="shared" si="35"/>
        <v>0.21244999999999997</v>
      </c>
      <c r="P31" s="177">
        <f t="shared" si="36"/>
        <v>0.60699999999999998</v>
      </c>
      <c r="Q31" s="93">
        <f t="shared" si="37"/>
        <v>0</v>
      </c>
      <c r="R31" s="177">
        <v>-6080</v>
      </c>
      <c r="S31" s="179">
        <f t="shared" si="9"/>
        <v>5.0000000000181899E-2</v>
      </c>
      <c r="T31" s="176">
        <v>38639</v>
      </c>
      <c r="U31" s="316"/>
      <c r="V31" s="177"/>
      <c r="W31" s="177"/>
      <c r="X31" s="317"/>
      <c r="Y31" s="93" t="s">
        <v>405</v>
      </c>
      <c r="Z31" s="93"/>
    </row>
    <row r="32" spans="1:26" ht="12" customHeight="1">
      <c r="A32" s="176">
        <v>38617</v>
      </c>
      <c r="B32" s="315" t="s">
        <v>974</v>
      </c>
      <c r="C32" s="93" t="s">
        <v>448</v>
      </c>
      <c r="D32" s="93">
        <v>25</v>
      </c>
      <c r="E32" s="177">
        <v>123.5</v>
      </c>
      <c r="F32" s="177">
        <f t="shared" si="29"/>
        <v>0.62</v>
      </c>
      <c r="G32" s="177">
        <f t="shared" si="30"/>
        <v>124.12</v>
      </c>
      <c r="H32" s="177">
        <f t="shared" si="1"/>
        <v>124.32</v>
      </c>
      <c r="I32" s="208">
        <f t="shared" si="2"/>
        <v>0.82399999999999995</v>
      </c>
      <c r="J32" s="177">
        <f t="shared" si="31"/>
        <v>3103</v>
      </c>
      <c r="K32" s="177">
        <f t="shared" si="17"/>
        <v>-3108.1000000000004</v>
      </c>
      <c r="L32" s="177">
        <f t="shared" si="32"/>
        <v>15.5</v>
      </c>
      <c r="M32" s="177">
        <f t="shared" si="33"/>
        <v>1.581</v>
      </c>
      <c r="N32" s="177">
        <f t="shared" si="34"/>
        <v>3.1</v>
      </c>
      <c r="O32" s="177">
        <f t="shared" si="35"/>
        <v>0.10860499999999999</v>
      </c>
      <c r="P32" s="177">
        <f t="shared" si="36"/>
        <v>0.31030000000000002</v>
      </c>
      <c r="Q32" s="93">
        <f t="shared" si="37"/>
        <v>0</v>
      </c>
      <c r="R32" s="177">
        <v>-3108</v>
      </c>
      <c r="S32" s="179">
        <f t="shared" si="9"/>
        <v>-0.1000000000003638</v>
      </c>
      <c r="T32" s="176">
        <v>38639</v>
      </c>
      <c r="U32" s="316"/>
      <c r="V32" s="177"/>
      <c r="W32" s="177"/>
      <c r="X32" s="317"/>
      <c r="Y32" s="93" t="s">
        <v>405</v>
      </c>
      <c r="Z32" s="93"/>
    </row>
    <row r="33" spans="1:26" ht="12" customHeight="1">
      <c r="A33" s="176">
        <v>38617</v>
      </c>
      <c r="B33" s="315" t="s">
        <v>626</v>
      </c>
      <c r="C33" s="93" t="s">
        <v>448</v>
      </c>
      <c r="D33" s="93">
        <v>25</v>
      </c>
      <c r="E33" s="177">
        <v>105</v>
      </c>
      <c r="F33" s="177">
        <f t="shared" si="29"/>
        <v>0.53</v>
      </c>
      <c r="G33" s="177">
        <f t="shared" si="30"/>
        <v>105.53</v>
      </c>
      <c r="H33" s="177">
        <f t="shared" si="1"/>
        <v>105.7</v>
      </c>
      <c r="I33" s="208">
        <f t="shared" si="2"/>
        <v>0.70399999999999996</v>
      </c>
      <c r="J33" s="177">
        <f t="shared" si="31"/>
        <v>2638.25</v>
      </c>
      <c r="K33" s="177">
        <f t="shared" si="17"/>
        <v>-2642.6000000000004</v>
      </c>
      <c r="L33" s="177">
        <f t="shared" si="32"/>
        <v>13.25</v>
      </c>
      <c r="M33" s="177">
        <f t="shared" si="33"/>
        <v>1.3514999999999999</v>
      </c>
      <c r="N33" s="177">
        <f t="shared" si="34"/>
        <v>2.64</v>
      </c>
      <c r="O33" s="177">
        <f t="shared" si="35"/>
        <v>9.2338749999999997E-2</v>
      </c>
      <c r="P33" s="177">
        <f t="shared" si="36"/>
        <v>0.26382500000000003</v>
      </c>
      <c r="Q33" s="93">
        <f t="shared" si="37"/>
        <v>0</v>
      </c>
      <c r="R33" s="177">
        <v>-2642</v>
      </c>
      <c r="S33" s="179">
        <f t="shared" si="9"/>
        <v>-0.6000000000003638</v>
      </c>
      <c r="T33" s="176">
        <v>38639</v>
      </c>
      <c r="U33" s="316"/>
      <c r="V33" s="177"/>
      <c r="W33" s="177"/>
      <c r="X33" s="317"/>
      <c r="Y33" s="93" t="s">
        <v>405</v>
      </c>
      <c r="Z33" s="93"/>
    </row>
    <row r="34" spans="1:26" ht="12" customHeight="1">
      <c r="A34" s="176">
        <v>38622</v>
      </c>
      <c r="B34" s="315" t="s">
        <v>626</v>
      </c>
      <c r="C34" s="93" t="s">
        <v>448</v>
      </c>
      <c r="D34" s="93">
        <v>25</v>
      </c>
      <c r="E34" s="177">
        <v>107.1</v>
      </c>
      <c r="F34" s="177">
        <f t="shared" si="29"/>
        <v>0.54</v>
      </c>
      <c r="G34" s="177">
        <f t="shared" si="30"/>
        <v>107.64</v>
      </c>
      <c r="H34" s="177">
        <f t="shared" si="1"/>
        <v>107.82</v>
      </c>
      <c r="I34" s="208">
        <f t="shared" si="2"/>
        <v>0.71729999999999994</v>
      </c>
      <c r="J34" s="177">
        <f t="shared" si="31"/>
        <v>2691</v>
      </c>
      <c r="K34" s="177">
        <f t="shared" si="17"/>
        <v>-2695.44</v>
      </c>
      <c r="L34" s="177">
        <f t="shared" si="32"/>
        <v>13.5</v>
      </c>
      <c r="M34" s="177">
        <f t="shared" si="33"/>
        <v>1.377</v>
      </c>
      <c r="N34" s="177">
        <f t="shared" si="34"/>
        <v>2.69</v>
      </c>
      <c r="O34" s="177">
        <f t="shared" si="35"/>
        <v>9.4184999999999991E-2</v>
      </c>
      <c r="P34" s="177">
        <f t="shared" si="36"/>
        <v>0.26910000000000001</v>
      </c>
      <c r="Q34" s="93">
        <f t="shared" si="37"/>
        <v>0</v>
      </c>
      <c r="R34" s="177">
        <v>-2695</v>
      </c>
      <c r="S34" s="179">
        <f t="shared" si="9"/>
        <v>-0.44000000000005457</v>
      </c>
      <c r="T34" s="176">
        <v>38643</v>
      </c>
      <c r="U34" s="318">
        <f>ROUND((K33*(T34-T33)+K34*1)/(K33+K34),0)</f>
        <v>2</v>
      </c>
      <c r="V34" s="176">
        <f>T33+U34</f>
        <v>38641</v>
      </c>
      <c r="W34" s="177">
        <f>-ROUND((R33+R34)/(D33+D34),2)</f>
        <v>106.74</v>
      </c>
      <c r="X34" s="317"/>
      <c r="Y34" s="93" t="s">
        <v>405</v>
      </c>
      <c r="Z34" s="93"/>
    </row>
    <row r="35" spans="1:26" ht="12" customHeight="1">
      <c r="A35" s="176">
        <v>38623</v>
      </c>
      <c r="B35" s="315" t="s">
        <v>970</v>
      </c>
      <c r="C35" s="93" t="s">
        <v>448</v>
      </c>
      <c r="D35" s="93">
        <v>50</v>
      </c>
      <c r="E35" s="177">
        <v>82.9</v>
      </c>
      <c r="F35" s="177">
        <f t="shared" si="29"/>
        <v>0.41</v>
      </c>
      <c r="G35" s="177">
        <f t="shared" si="30"/>
        <v>83.31</v>
      </c>
      <c r="H35" s="177">
        <f t="shared" si="1"/>
        <v>83.45</v>
      </c>
      <c r="I35" s="208">
        <f t="shared" si="2"/>
        <v>0.54649999999999999</v>
      </c>
      <c r="J35" s="177">
        <f t="shared" si="31"/>
        <v>4165.5</v>
      </c>
      <c r="K35" s="177">
        <f t="shared" si="17"/>
        <v>-4172.33</v>
      </c>
      <c r="L35" s="177">
        <f t="shared" si="32"/>
        <v>20.5</v>
      </c>
      <c r="M35" s="177">
        <f t="shared" si="33"/>
        <v>2.0909999999999997</v>
      </c>
      <c r="N35" s="177">
        <f t="shared" si="34"/>
        <v>4.17</v>
      </c>
      <c r="O35" s="177">
        <f t="shared" si="35"/>
        <v>0.14579249999999999</v>
      </c>
      <c r="P35" s="177">
        <f t="shared" si="36"/>
        <v>0.41655000000000003</v>
      </c>
      <c r="Q35" s="93">
        <f t="shared" si="37"/>
        <v>0</v>
      </c>
      <c r="R35" s="177">
        <v>-4172.17</v>
      </c>
      <c r="S35" s="179">
        <f t="shared" si="9"/>
        <v>-0.15999999999985448</v>
      </c>
      <c r="T35" s="176">
        <v>38628</v>
      </c>
      <c r="U35" s="316"/>
      <c r="V35" s="177"/>
      <c r="W35" s="177"/>
      <c r="X35" s="317"/>
      <c r="Y35" s="93"/>
      <c r="Z35" s="93"/>
    </row>
    <row r="36" spans="1:26" ht="12" customHeight="1">
      <c r="A36" s="176">
        <v>38623</v>
      </c>
      <c r="B36" s="315" t="s">
        <v>989</v>
      </c>
      <c r="C36" s="93" t="s">
        <v>448</v>
      </c>
      <c r="D36" s="93">
        <v>25</v>
      </c>
      <c r="E36" s="177">
        <v>141.25</v>
      </c>
      <c r="F36" s="177">
        <f t="shared" si="29"/>
        <v>0.71</v>
      </c>
      <c r="G36" s="177">
        <f t="shared" si="30"/>
        <v>141.96</v>
      </c>
      <c r="H36" s="177">
        <f t="shared" si="1"/>
        <v>142.19</v>
      </c>
      <c r="I36" s="208">
        <f t="shared" si="2"/>
        <v>0.94359999999999999</v>
      </c>
      <c r="J36" s="177">
        <f t="shared" si="31"/>
        <v>3549</v>
      </c>
      <c r="K36" s="177">
        <f t="shared" si="17"/>
        <v>-3554.84</v>
      </c>
      <c r="L36" s="177">
        <f t="shared" si="32"/>
        <v>17.75</v>
      </c>
      <c r="M36" s="177">
        <f t="shared" si="33"/>
        <v>1.8104999999999998</v>
      </c>
      <c r="N36" s="177">
        <f t="shared" si="34"/>
        <v>3.55</v>
      </c>
      <c r="O36" s="177">
        <f t="shared" si="35"/>
        <v>0.12421499999999999</v>
      </c>
      <c r="P36" s="177">
        <f t="shared" si="36"/>
        <v>0.35489999999999999</v>
      </c>
      <c r="Q36" s="93">
        <f t="shared" si="37"/>
        <v>0</v>
      </c>
      <c r="R36" s="177">
        <v>-3554</v>
      </c>
      <c r="S36" s="179">
        <f t="shared" si="9"/>
        <v>-0.84000000000014552</v>
      </c>
      <c r="T36" s="176">
        <v>38639</v>
      </c>
      <c r="U36" s="316"/>
      <c r="V36" s="177"/>
      <c r="W36" s="177"/>
      <c r="X36" s="317"/>
      <c r="Y36" s="93" t="s">
        <v>405</v>
      </c>
      <c r="Z36" s="93"/>
    </row>
    <row r="37" spans="1:26" ht="12" customHeight="1">
      <c r="A37" s="176">
        <v>38623</v>
      </c>
      <c r="B37" s="315" t="s">
        <v>990</v>
      </c>
      <c r="C37" s="93" t="s">
        <v>448</v>
      </c>
      <c r="D37" s="93">
        <v>50</v>
      </c>
      <c r="E37" s="177">
        <v>60</v>
      </c>
      <c r="F37" s="177">
        <f t="shared" si="29"/>
        <v>0.3</v>
      </c>
      <c r="G37" s="177">
        <f t="shared" si="30"/>
        <v>60.3</v>
      </c>
      <c r="H37" s="177">
        <f t="shared" si="1"/>
        <v>60.4</v>
      </c>
      <c r="I37" s="208">
        <f t="shared" si="2"/>
        <v>0.3992</v>
      </c>
      <c r="J37" s="177">
        <f t="shared" si="31"/>
        <v>3015</v>
      </c>
      <c r="K37" s="177">
        <f t="shared" si="17"/>
        <v>-3019.96</v>
      </c>
      <c r="L37" s="177">
        <f t="shared" si="32"/>
        <v>15</v>
      </c>
      <c r="M37" s="177">
        <f t="shared" si="33"/>
        <v>1.5299999999999998</v>
      </c>
      <c r="N37" s="177">
        <f t="shared" si="34"/>
        <v>3.02</v>
      </c>
      <c r="O37" s="177">
        <f t="shared" si="35"/>
        <v>0.10552499999999999</v>
      </c>
      <c r="P37" s="177">
        <f t="shared" si="36"/>
        <v>0.30149999999999999</v>
      </c>
      <c r="Q37" s="93">
        <f t="shared" si="37"/>
        <v>0</v>
      </c>
      <c r="R37" s="177">
        <v>-3020</v>
      </c>
      <c r="S37" s="179">
        <f t="shared" si="9"/>
        <v>3.999999999996362E-2</v>
      </c>
      <c r="T37" s="176">
        <v>38643</v>
      </c>
      <c r="U37" s="316"/>
      <c r="V37" s="177"/>
      <c r="W37" s="177"/>
      <c r="X37" s="317"/>
      <c r="Y37" s="93" t="s">
        <v>405</v>
      </c>
      <c r="Z37" s="93"/>
    </row>
    <row r="38" spans="1:26" ht="12" customHeight="1">
      <c r="A38" s="176">
        <v>38624</v>
      </c>
      <c r="B38" s="315" t="s">
        <v>991</v>
      </c>
      <c r="C38" s="93" t="s">
        <v>448</v>
      </c>
      <c r="D38" s="93">
        <v>50</v>
      </c>
      <c r="E38" s="177">
        <v>92.2</v>
      </c>
      <c r="F38" s="177">
        <f t="shared" si="29"/>
        <v>0.46</v>
      </c>
      <c r="G38" s="177">
        <f t="shared" si="30"/>
        <v>92.66</v>
      </c>
      <c r="H38" s="177">
        <f t="shared" si="1"/>
        <v>92.81</v>
      </c>
      <c r="I38" s="208">
        <f t="shared" si="2"/>
        <v>0.61209999999999998</v>
      </c>
      <c r="J38" s="177">
        <f t="shared" si="31"/>
        <v>4633</v>
      </c>
      <c r="K38" s="177">
        <f t="shared" si="17"/>
        <v>-4640.6100000000006</v>
      </c>
      <c r="L38" s="177">
        <f t="shared" si="32"/>
        <v>23</v>
      </c>
      <c r="M38" s="177">
        <f t="shared" si="33"/>
        <v>2.3459999999999996</v>
      </c>
      <c r="N38" s="177">
        <f t="shared" si="34"/>
        <v>4.63</v>
      </c>
      <c r="O38" s="177">
        <f t="shared" si="35"/>
        <v>0.16215499999999999</v>
      </c>
      <c r="P38" s="177">
        <f t="shared" si="36"/>
        <v>0.46330000000000005</v>
      </c>
      <c r="Q38" s="93">
        <f t="shared" si="37"/>
        <v>0</v>
      </c>
      <c r="R38" s="177">
        <v>-4640</v>
      </c>
      <c r="S38" s="179">
        <f t="shared" si="9"/>
        <v>-0.61000000000058208</v>
      </c>
      <c r="T38" s="176">
        <v>38643</v>
      </c>
      <c r="U38" s="316"/>
      <c r="V38" s="177"/>
      <c r="W38" s="177"/>
      <c r="X38" s="317"/>
      <c r="Y38" s="93" t="s">
        <v>405</v>
      </c>
      <c r="Z38" s="93"/>
    </row>
    <row r="39" spans="1:26" ht="12" customHeight="1">
      <c r="A39" s="176">
        <v>38624</v>
      </c>
      <c r="B39" s="315" t="s">
        <v>992</v>
      </c>
      <c r="C39" s="93" t="s">
        <v>448</v>
      </c>
      <c r="D39" s="93">
        <v>25</v>
      </c>
      <c r="E39" s="177">
        <v>100.9</v>
      </c>
      <c r="F39" s="177">
        <f t="shared" si="29"/>
        <v>0.5</v>
      </c>
      <c r="G39" s="177">
        <f t="shared" si="30"/>
        <v>101.4</v>
      </c>
      <c r="H39" s="177">
        <f t="shared" si="1"/>
        <v>101.57</v>
      </c>
      <c r="I39" s="208">
        <f t="shared" si="2"/>
        <v>0.6663</v>
      </c>
      <c r="J39" s="177">
        <f t="shared" si="31"/>
        <v>2535</v>
      </c>
      <c r="K39" s="177">
        <f t="shared" si="17"/>
        <v>-2539.1600000000003</v>
      </c>
      <c r="L39" s="177">
        <f t="shared" si="32"/>
        <v>12.5</v>
      </c>
      <c r="M39" s="177">
        <f t="shared" si="33"/>
        <v>1.2749999999999999</v>
      </c>
      <c r="N39" s="177">
        <f t="shared" si="34"/>
        <v>2.54</v>
      </c>
      <c r="O39" s="177">
        <f t="shared" si="35"/>
        <v>8.8724999999999998E-2</v>
      </c>
      <c r="P39" s="177">
        <f t="shared" si="36"/>
        <v>0.2535</v>
      </c>
      <c r="Q39" s="93">
        <f t="shared" si="37"/>
        <v>0</v>
      </c>
      <c r="R39" s="177">
        <v>-2539</v>
      </c>
      <c r="S39" s="179">
        <f t="shared" si="9"/>
        <v>-0.16000000000030923</v>
      </c>
      <c r="T39" s="176">
        <v>38639</v>
      </c>
      <c r="U39" s="316"/>
      <c r="V39" s="177"/>
      <c r="W39" s="177"/>
      <c r="X39" s="317"/>
      <c r="Y39" s="93" t="s">
        <v>405</v>
      </c>
      <c r="Z39" s="93"/>
    </row>
    <row r="40" spans="1:26" ht="12" customHeight="1">
      <c r="A40" s="176">
        <v>38624</v>
      </c>
      <c r="B40" s="315" t="s">
        <v>974</v>
      </c>
      <c r="C40" s="93" t="s">
        <v>448</v>
      </c>
      <c r="D40" s="93">
        <f>25+25</f>
        <v>50</v>
      </c>
      <c r="E40" s="177">
        <f>(136.6*25+135.1*25)/D40</f>
        <v>135.85</v>
      </c>
      <c r="F40" s="177">
        <f t="shared" si="29"/>
        <v>0.68</v>
      </c>
      <c r="G40" s="177">
        <f t="shared" si="30"/>
        <v>136.53</v>
      </c>
      <c r="H40" s="177">
        <f t="shared" si="1"/>
        <v>136.75</v>
      </c>
      <c r="I40" s="208">
        <f t="shared" si="2"/>
        <v>0.90439999999999998</v>
      </c>
      <c r="J40" s="177">
        <f t="shared" si="31"/>
        <v>6826.5</v>
      </c>
      <c r="K40" s="177">
        <f t="shared" si="17"/>
        <v>-6837.72</v>
      </c>
      <c r="L40" s="177">
        <f t="shared" si="32"/>
        <v>34</v>
      </c>
      <c r="M40" s="177">
        <f t="shared" si="33"/>
        <v>3.468</v>
      </c>
      <c r="N40" s="177">
        <f t="shared" si="34"/>
        <v>6.83</v>
      </c>
      <c r="O40" s="177">
        <f t="shared" si="35"/>
        <v>0.23892749999999999</v>
      </c>
      <c r="P40" s="177">
        <f t="shared" si="36"/>
        <v>0.68264999999999998</v>
      </c>
      <c r="Q40" s="93">
        <f t="shared" si="37"/>
        <v>0</v>
      </c>
      <c r="R40" s="177">
        <v>-6837</v>
      </c>
      <c r="S40" s="179">
        <f t="shared" si="9"/>
        <v>-0.72000000000025466</v>
      </c>
      <c r="T40" s="176">
        <v>38628</v>
      </c>
      <c r="U40" s="316"/>
      <c r="V40" s="177"/>
      <c r="W40" s="177"/>
      <c r="X40" s="317"/>
      <c r="Y40" s="93" t="s">
        <v>405</v>
      </c>
      <c r="Z40" s="93"/>
    </row>
    <row r="41" spans="1:26" ht="12" customHeight="1">
      <c r="A41" s="176">
        <v>38624</v>
      </c>
      <c r="B41" s="315" t="s">
        <v>984</v>
      </c>
      <c r="C41" s="93" t="s">
        <v>448</v>
      </c>
      <c r="D41" s="93">
        <v>25</v>
      </c>
      <c r="E41" s="177">
        <v>80.650000000000006</v>
      </c>
      <c r="F41" s="177">
        <f t="shared" si="29"/>
        <v>0.4</v>
      </c>
      <c r="G41" s="177">
        <f t="shared" si="30"/>
        <v>81.050000000000011</v>
      </c>
      <c r="H41" s="177">
        <f t="shared" si="1"/>
        <v>81.180000000000007</v>
      </c>
      <c r="I41" s="208">
        <f t="shared" si="2"/>
        <v>0.53300000000000003</v>
      </c>
      <c r="J41" s="177">
        <f t="shared" si="31"/>
        <v>2026.2500000000002</v>
      </c>
      <c r="K41" s="177">
        <f t="shared" si="17"/>
        <v>-2029.58</v>
      </c>
      <c r="L41" s="177">
        <f t="shared" si="32"/>
        <v>10</v>
      </c>
      <c r="M41" s="177">
        <f t="shared" si="33"/>
        <v>1.02</v>
      </c>
      <c r="N41" s="177">
        <f t="shared" si="34"/>
        <v>2.0299999999999998</v>
      </c>
      <c r="O41" s="177">
        <f t="shared" si="35"/>
        <v>7.0918750000000003E-2</v>
      </c>
      <c r="P41" s="177">
        <f t="shared" si="36"/>
        <v>0.20262500000000003</v>
      </c>
      <c r="Q41" s="93">
        <f t="shared" si="37"/>
        <v>0</v>
      </c>
      <c r="R41" s="177">
        <v>-2030</v>
      </c>
      <c r="S41" s="179">
        <f t="shared" si="9"/>
        <v>0.42000000000007276</v>
      </c>
      <c r="T41" s="176">
        <v>38643</v>
      </c>
      <c r="U41" s="316"/>
      <c r="V41" s="177"/>
      <c r="W41" s="177"/>
      <c r="X41" s="317"/>
      <c r="Y41" s="93" t="s">
        <v>405</v>
      </c>
      <c r="Z41" s="93"/>
    </row>
    <row r="42" spans="1:26" ht="12" customHeight="1">
      <c r="A42" s="176">
        <v>38630</v>
      </c>
      <c r="B42" s="315" t="s">
        <v>989</v>
      </c>
      <c r="C42" s="93" t="s">
        <v>448</v>
      </c>
      <c r="D42" s="93">
        <v>25</v>
      </c>
      <c r="E42" s="177">
        <v>132.5</v>
      </c>
      <c r="F42" s="177">
        <f t="shared" si="29"/>
        <v>0.66</v>
      </c>
      <c r="G42" s="177">
        <f t="shared" si="30"/>
        <v>133.16</v>
      </c>
      <c r="H42" s="177">
        <f t="shared" si="1"/>
        <v>133.38</v>
      </c>
      <c r="I42" s="208">
        <f t="shared" si="2"/>
        <v>0.87849999999999995</v>
      </c>
      <c r="J42" s="177">
        <f t="shared" si="31"/>
        <v>3329</v>
      </c>
      <c r="K42" s="177">
        <f t="shared" si="17"/>
        <v>-3334.4700000000003</v>
      </c>
      <c r="L42" s="177">
        <f t="shared" si="32"/>
        <v>16.5</v>
      </c>
      <c r="M42" s="177">
        <f t="shared" si="33"/>
        <v>1.6829999999999998</v>
      </c>
      <c r="N42" s="177">
        <f t="shared" si="34"/>
        <v>3.33</v>
      </c>
      <c r="O42" s="177">
        <f t="shared" si="35"/>
        <v>0.11651499999999999</v>
      </c>
      <c r="P42" s="177">
        <f t="shared" si="36"/>
        <v>0.33290000000000003</v>
      </c>
      <c r="Q42" s="93">
        <f t="shared" si="37"/>
        <v>0</v>
      </c>
      <c r="R42" s="177">
        <v>-3334</v>
      </c>
      <c r="S42" s="179">
        <f t="shared" si="9"/>
        <v>-0.47000000000025466</v>
      </c>
      <c r="T42" s="176">
        <v>38643</v>
      </c>
      <c r="U42" s="316"/>
      <c r="V42" s="177"/>
      <c r="W42" s="177"/>
      <c r="X42" s="317"/>
      <c r="Y42" s="93" t="s">
        <v>405</v>
      </c>
      <c r="Z42" s="93"/>
    </row>
    <row r="43" spans="1:26" ht="12" customHeight="1">
      <c r="A43" s="176">
        <v>38631</v>
      </c>
      <c r="B43" s="315" t="s">
        <v>993</v>
      </c>
      <c r="C43" s="93" t="s">
        <v>448</v>
      </c>
      <c r="D43" s="93">
        <f>10+5</f>
        <v>15</v>
      </c>
      <c r="E43" s="177">
        <f>(10*553.35+5*535.5)/D43</f>
        <v>547.4</v>
      </c>
      <c r="F43" s="177">
        <f t="shared" si="29"/>
        <v>2.74</v>
      </c>
      <c r="G43" s="177">
        <f t="shared" si="30"/>
        <v>550.14</v>
      </c>
      <c r="H43" s="177">
        <f t="shared" si="1"/>
        <v>551.04</v>
      </c>
      <c r="I43" s="208">
        <f t="shared" si="2"/>
        <v>3.6438000000000001</v>
      </c>
      <c r="J43" s="177">
        <f t="shared" si="31"/>
        <v>8252.1</v>
      </c>
      <c r="K43" s="177">
        <f t="shared" si="17"/>
        <v>-8265.66</v>
      </c>
      <c r="L43" s="177">
        <f t="shared" si="32"/>
        <v>41.1</v>
      </c>
      <c r="M43" s="177">
        <f t="shared" si="33"/>
        <v>4.1921999999999997</v>
      </c>
      <c r="N43" s="177">
        <f t="shared" si="34"/>
        <v>8.25</v>
      </c>
      <c r="O43" s="177">
        <f t="shared" si="35"/>
        <v>0.28882350000000001</v>
      </c>
      <c r="P43" s="177">
        <f t="shared" si="36"/>
        <v>0.82521000000000011</v>
      </c>
      <c r="Q43" s="93">
        <f t="shared" si="37"/>
        <v>0</v>
      </c>
      <c r="R43" s="177">
        <v>-8265</v>
      </c>
      <c r="S43" s="179">
        <f t="shared" si="9"/>
        <v>-0.65999999999985448</v>
      </c>
      <c r="T43" s="176">
        <v>38643</v>
      </c>
      <c r="U43" s="316"/>
      <c r="V43" s="177"/>
      <c r="W43" s="177"/>
      <c r="X43" s="317"/>
      <c r="Y43" s="93" t="s">
        <v>405</v>
      </c>
      <c r="Z43" s="93"/>
    </row>
    <row r="44" spans="1:26" ht="12" customHeight="1">
      <c r="A44" s="176">
        <v>38631</v>
      </c>
      <c r="B44" s="315" t="s">
        <v>973</v>
      </c>
      <c r="C44" s="93" t="s">
        <v>448</v>
      </c>
      <c r="D44" s="93">
        <v>50</v>
      </c>
      <c r="E44" s="177">
        <v>75.5</v>
      </c>
      <c r="F44" s="177">
        <f t="shared" si="29"/>
        <v>0.38</v>
      </c>
      <c r="G44" s="177">
        <f t="shared" si="30"/>
        <v>75.88</v>
      </c>
      <c r="H44" s="177">
        <f t="shared" si="1"/>
        <v>76</v>
      </c>
      <c r="I44" s="208">
        <f t="shared" si="2"/>
        <v>0.50490000000000002</v>
      </c>
      <c r="J44" s="177">
        <f t="shared" si="31"/>
        <v>3794</v>
      </c>
      <c r="K44" s="177">
        <f t="shared" si="17"/>
        <v>-3800.25</v>
      </c>
      <c r="L44" s="177">
        <f t="shared" si="32"/>
        <v>19</v>
      </c>
      <c r="M44" s="177">
        <f t="shared" si="33"/>
        <v>1.9379999999999999</v>
      </c>
      <c r="N44" s="177">
        <f t="shared" si="34"/>
        <v>3.79</v>
      </c>
      <c r="O44" s="177">
        <f t="shared" si="35"/>
        <v>0.13278999999999999</v>
      </c>
      <c r="P44" s="177">
        <f t="shared" si="36"/>
        <v>0.37940000000000002</v>
      </c>
      <c r="Q44" s="93">
        <f t="shared" si="37"/>
        <v>0</v>
      </c>
      <c r="R44" s="177">
        <v>-3800</v>
      </c>
      <c r="S44" s="179">
        <f t="shared" si="9"/>
        <v>-0.25</v>
      </c>
      <c r="T44" s="176">
        <v>38643</v>
      </c>
      <c r="U44" s="316"/>
      <c r="V44" s="177"/>
      <c r="W44" s="177"/>
      <c r="X44" s="317"/>
      <c r="Y44" s="93" t="s">
        <v>405</v>
      </c>
      <c r="Z44" s="93"/>
    </row>
    <row r="45" spans="1:26" ht="12" customHeight="1">
      <c r="A45" s="176">
        <v>38631</v>
      </c>
      <c r="B45" s="315" t="s">
        <v>985</v>
      </c>
      <c r="C45" s="93" t="s">
        <v>448</v>
      </c>
      <c r="D45" s="93">
        <v>25</v>
      </c>
      <c r="E45" s="177">
        <v>130.5</v>
      </c>
      <c r="F45" s="177">
        <f t="shared" si="29"/>
        <v>0.65</v>
      </c>
      <c r="G45" s="177">
        <f t="shared" si="30"/>
        <v>131.15</v>
      </c>
      <c r="H45" s="177">
        <f t="shared" si="1"/>
        <v>131.37</v>
      </c>
      <c r="I45" s="208">
        <f t="shared" si="2"/>
        <v>0.86529999999999996</v>
      </c>
      <c r="J45" s="177">
        <f t="shared" si="31"/>
        <v>3278.75</v>
      </c>
      <c r="K45" s="177">
        <f t="shared" si="17"/>
        <v>-3284.1400000000003</v>
      </c>
      <c r="L45" s="177">
        <f t="shared" si="32"/>
        <v>16.25</v>
      </c>
      <c r="M45" s="177">
        <f t="shared" si="33"/>
        <v>1.6575</v>
      </c>
      <c r="N45" s="177">
        <f t="shared" si="34"/>
        <v>3.28</v>
      </c>
      <c r="O45" s="177">
        <f t="shared" si="35"/>
        <v>0.11475624999999999</v>
      </c>
      <c r="P45" s="177">
        <f t="shared" si="36"/>
        <v>0.32787500000000003</v>
      </c>
      <c r="Q45" s="93">
        <f t="shared" si="37"/>
        <v>0</v>
      </c>
      <c r="R45" s="177">
        <v>-3284</v>
      </c>
      <c r="S45" s="179">
        <f t="shared" si="9"/>
        <v>-0.14000000000032742</v>
      </c>
      <c r="T45" s="176">
        <v>38643</v>
      </c>
      <c r="U45" s="316"/>
      <c r="V45" s="316"/>
      <c r="W45" s="316"/>
      <c r="X45" s="317"/>
      <c r="Y45" s="93" t="s">
        <v>405</v>
      </c>
      <c r="Z45" s="93"/>
    </row>
    <row r="46" spans="1:26" ht="12" customHeight="1">
      <c r="A46" s="176">
        <v>38631</v>
      </c>
      <c r="B46" s="315" t="s">
        <v>988</v>
      </c>
      <c r="C46" s="93" t="s">
        <v>448</v>
      </c>
      <c r="D46" s="93">
        <v>100</v>
      </c>
      <c r="E46" s="177">
        <v>29.9</v>
      </c>
      <c r="F46" s="177">
        <f t="shared" si="29"/>
        <v>0.15</v>
      </c>
      <c r="G46" s="177">
        <f t="shared" si="30"/>
        <v>30.049999999999997</v>
      </c>
      <c r="H46" s="177">
        <f t="shared" si="1"/>
        <v>30.1</v>
      </c>
      <c r="I46" s="208">
        <f t="shared" si="2"/>
        <v>0.19949999999999998</v>
      </c>
      <c r="J46" s="177">
        <f t="shared" si="31"/>
        <v>3004.9999999999995</v>
      </c>
      <c r="K46" s="177">
        <f t="shared" si="17"/>
        <v>-3009.9500000000003</v>
      </c>
      <c r="L46" s="177">
        <f t="shared" si="32"/>
        <v>15</v>
      </c>
      <c r="M46" s="177">
        <f t="shared" si="33"/>
        <v>1.5299999999999998</v>
      </c>
      <c r="N46" s="177">
        <f t="shared" si="34"/>
        <v>3.01</v>
      </c>
      <c r="O46" s="177">
        <f t="shared" si="35"/>
        <v>0.10517499999999998</v>
      </c>
      <c r="P46" s="177">
        <f t="shared" si="36"/>
        <v>0.30049999999999999</v>
      </c>
      <c r="Q46" s="93">
        <f t="shared" si="37"/>
        <v>0</v>
      </c>
      <c r="R46" s="177">
        <v>-3010</v>
      </c>
      <c r="S46" s="179">
        <f t="shared" si="9"/>
        <v>4.9999999999727152E-2</v>
      </c>
      <c r="T46" s="176">
        <v>38643</v>
      </c>
      <c r="U46" s="316"/>
      <c r="V46" s="177"/>
      <c r="W46" s="177"/>
      <c r="X46" s="317" t="str">
        <f>IF(X171="Not Sold","Not Sold","")</f>
        <v/>
      </c>
      <c r="Y46" s="93" t="s">
        <v>405</v>
      </c>
      <c r="Z46" s="93"/>
    </row>
    <row r="47" spans="1:26" ht="12" customHeight="1">
      <c r="A47" s="176">
        <v>38632</v>
      </c>
      <c r="B47" s="315" t="s">
        <v>970</v>
      </c>
      <c r="C47" s="93" t="s">
        <v>448</v>
      </c>
      <c r="D47" s="93">
        <f>25+25</f>
        <v>50</v>
      </c>
      <c r="E47" s="177">
        <f>(86.7*25+85.9*25)/D47</f>
        <v>86.3</v>
      </c>
      <c r="F47" s="177">
        <f t="shared" si="29"/>
        <v>0.43</v>
      </c>
      <c r="G47" s="177">
        <f t="shared" si="30"/>
        <v>86.73</v>
      </c>
      <c r="H47" s="177">
        <f t="shared" si="1"/>
        <v>86.87</v>
      </c>
      <c r="I47" s="208">
        <f t="shared" si="2"/>
        <v>0.57240000000000002</v>
      </c>
      <c r="J47" s="177">
        <f t="shared" si="31"/>
        <v>4336.5</v>
      </c>
      <c r="K47" s="177">
        <f t="shared" si="17"/>
        <v>-4343.62</v>
      </c>
      <c r="L47" s="177">
        <f t="shared" si="32"/>
        <v>21.5</v>
      </c>
      <c r="M47" s="177">
        <f t="shared" si="33"/>
        <v>2.1930000000000001</v>
      </c>
      <c r="N47" s="177">
        <f t="shared" si="34"/>
        <v>4.34</v>
      </c>
      <c r="O47" s="177">
        <f t="shared" si="35"/>
        <v>0.15177749999999998</v>
      </c>
      <c r="P47" s="177">
        <f t="shared" si="36"/>
        <v>0.43365000000000004</v>
      </c>
      <c r="Q47" s="93">
        <f t="shared" si="37"/>
        <v>0</v>
      </c>
      <c r="R47" s="177">
        <v>-4343</v>
      </c>
      <c r="S47" s="179">
        <f t="shared" si="9"/>
        <v>-0.61999999999989086</v>
      </c>
      <c r="T47" s="176">
        <v>38643</v>
      </c>
      <c r="U47" s="316"/>
      <c r="V47" s="177"/>
      <c r="W47" s="177"/>
      <c r="X47" s="317"/>
      <c r="Y47" s="93" t="s">
        <v>405</v>
      </c>
      <c r="Z47" s="93"/>
    </row>
    <row r="48" spans="1:26" ht="12" customHeight="1">
      <c r="A48" s="176">
        <v>38632</v>
      </c>
      <c r="B48" s="315" t="s">
        <v>989</v>
      </c>
      <c r="C48" s="93" t="s">
        <v>448</v>
      </c>
      <c r="D48" s="93">
        <v>25</v>
      </c>
      <c r="E48" s="177">
        <v>126.5</v>
      </c>
      <c r="F48" s="177">
        <f t="shared" si="29"/>
        <v>0.63</v>
      </c>
      <c r="G48" s="177">
        <f t="shared" si="30"/>
        <v>127.13</v>
      </c>
      <c r="H48" s="177">
        <f t="shared" si="1"/>
        <v>127.34</v>
      </c>
      <c r="I48" s="208">
        <f t="shared" si="2"/>
        <v>0.8387</v>
      </c>
      <c r="J48" s="177">
        <f t="shared" si="31"/>
        <v>3178.25</v>
      </c>
      <c r="K48" s="177">
        <f t="shared" si="17"/>
        <v>-3183.4700000000003</v>
      </c>
      <c r="L48" s="177">
        <f t="shared" si="32"/>
        <v>15.75</v>
      </c>
      <c r="M48" s="177">
        <f t="shared" si="33"/>
        <v>1.6064999999999998</v>
      </c>
      <c r="N48" s="177">
        <f t="shared" si="34"/>
        <v>3.18</v>
      </c>
      <c r="O48" s="177">
        <f t="shared" si="35"/>
        <v>0.11123874999999998</v>
      </c>
      <c r="P48" s="177">
        <f t="shared" si="36"/>
        <v>0.31782500000000002</v>
      </c>
      <c r="Q48" s="93">
        <f t="shared" si="37"/>
        <v>0</v>
      </c>
      <c r="R48" s="177">
        <v>-3183</v>
      </c>
      <c r="S48" s="179">
        <f t="shared" si="9"/>
        <v>-0.47000000000025466</v>
      </c>
      <c r="T48" s="176">
        <v>38628</v>
      </c>
      <c r="U48" s="318"/>
      <c r="V48" s="176"/>
      <c r="W48" s="177"/>
      <c r="X48" s="317"/>
      <c r="Y48" s="93" t="s">
        <v>405</v>
      </c>
      <c r="Z48" s="93"/>
    </row>
    <row r="49" spans="1:26" ht="12" customHeight="1">
      <c r="A49" s="176">
        <v>38635</v>
      </c>
      <c r="B49" s="315" t="s">
        <v>970</v>
      </c>
      <c r="C49" s="93" t="s">
        <v>448</v>
      </c>
      <c r="D49" s="93">
        <v>25</v>
      </c>
      <c r="E49" s="177">
        <v>84.6</v>
      </c>
      <c r="F49" s="177">
        <f t="shared" si="29"/>
        <v>0.42</v>
      </c>
      <c r="G49" s="177">
        <f t="shared" si="30"/>
        <v>85.02</v>
      </c>
      <c r="H49" s="177">
        <f t="shared" si="1"/>
        <v>85.16</v>
      </c>
      <c r="I49" s="208">
        <f t="shared" si="2"/>
        <v>0.55959999999999999</v>
      </c>
      <c r="J49" s="177">
        <f t="shared" si="31"/>
        <v>2125.5</v>
      </c>
      <c r="K49" s="177">
        <f t="shared" si="17"/>
        <v>-2128.9900000000002</v>
      </c>
      <c r="L49" s="177">
        <f t="shared" si="32"/>
        <v>10.5</v>
      </c>
      <c r="M49" s="177">
        <f t="shared" si="33"/>
        <v>1.071</v>
      </c>
      <c r="N49" s="177">
        <f t="shared" si="34"/>
        <v>2.13</v>
      </c>
      <c r="O49" s="177">
        <f t="shared" si="35"/>
        <v>7.43925E-2</v>
      </c>
      <c r="P49" s="177">
        <f t="shared" si="36"/>
        <v>0.21255000000000002</v>
      </c>
      <c r="Q49" s="93">
        <f t="shared" si="37"/>
        <v>0</v>
      </c>
      <c r="R49" s="177">
        <v>-2128</v>
      </c>
      <c r="S49" s="179">
        <f t="shared" si="9"/>
        <v>-0.99000000000023647</v>
      </c>
      <c r="T49" s="176">
        <v>38643</v>
      </c>
      <c r="U49" s="318"/>
      <c r="V49" s="176"/>
      <c r="W49" s="177"/>
      <c r="X49" s="317"/>
      <c r="Y49" s="93" t="s">
        <v>405</v>
      </c>
      <c r="Z49" s="93"/>
    </row>
    <row r="50" spans="1:26" ht="12" customHeight="1">
      <c r="A50" s="176">
        <v>38639</v>
      </c>
      <c r="B50" s="315" t="s">
        <v>993</v>
      </c>
      <c r="C50" s="93" t="s">
        <v>448</v>
      </c>
      <c r="D50" s="93">
        <v>5</v>
      </c>
      <c r="E50" s="177">
        <v>508.9</v>
      </c>
      <c r="F50" s="177">
        <f t="shared" si="29"/>
        <v>2.54</v>
      </c>
      <c r="G50" s="177">
        <f t="shared" si="30"/>
        <v>511.44</v>
      </c>
      <c r="H50" s="177">
        <f t="shared" si="1"/>
        <v>512.28</v>
      </c>
      <c r="I50" s="208">
        <f t="shared" si="2"/>
        <v>3.3802000000000003</v>
      </c>
      <c r="J50" s="177">
        <f t="shared" si="31"/>
        <v>2557.1999999999998</v>
      </c>
      <c r="K50" s="177">
        <f t="shared" si="17"/>
        <v>-2561.4100000000003</v>
      </c>
      <c r="L50" s="177">
        <f t="shared" si="32"/>
        <v>12.7</v>
      </c>
      <c r="M50" s="177">
        <f t="shared" si="33"/>
        <v>1.2953999999999999</v>
      </c>
      <c r="N50" s="177">
        <f t="shared" si="34"/>
        <v>2.56</v>
      </c>
      <c r="O50" s="177">
        <f t="shared" si="35"/>
        <v>8.9501999999999984E-2</v>
      </c>
      <c r="P50" s="177">
        <f t="shared" si="36"/>
        <v>0.25572</v>
      </c>
      <c r="Q50" s="93">
        <f t="shared" si="37"/>
        <v>0</v>
      </c>
      <c r="R50" s="177">
        <v>-2562.02</v>
      </c>
      <c r="S50" s="179">
        <f t="shared" si="9"/>
        <v>0.60999999999967258</v>
      </c>
      <c r="T50" s="176">
        <v>38644</v>
      </c>
      <c r="U50" s="318"/>
      <c r="V50" s="176"/>
      <c r="W50" s="177"/>
      <c r="X50" s="317"/>
      <c r="Y50" s="93" t="s">
        <v>405</v>
      </c>
      <c r="Z50" s="93"/>
    </row>
    <row r="51" spans="1:26" ht="12" customHeight="1">
      <c r="A51" s="176">
        <v>38663</v>
      </c>
      <c r="B51" s="315" t="s">
        <v>994</v>
      </c>
      <c r="C51" s="93" t="s">
        <v>448</v>
      </c>
      <c r="D51" s="93">
        <v>50</v>
      </c>
      <c r="E51" s="177">
        <v>75.75</v>
      </c>
      <c r="F51" s="177">
        <f t="shared" si="29"/>
        <v>0.38</v>
      </c>
      <c r="G51" s="177">
        <f t="shared" si="30"/>
        <v>76.13</v>
      </c>
      <c r="H51" s="177">
        <f t="shared" si="1"/>
        <v>76.260000000000005</v>
      </c>
      <c r="I51" s="208">
        <f t="shared" si="2"/>
        <v>0.50529999999999997</v>
      </c>
      <c r="J51" s="177">
        <f t="shared" si="31"/>
        <v>3806.5</v>
      </c>
      <c r="K51" s="177">
        <f t="shared" si="17"/>
        <v>-3812.7700000000004</v>
      </c>
      <c r="L51" s="177">
        <f t="shared" si="32"/>
        <v>19</v>
      </c>
      <c r="M51" s="177">
        <f t="shared" si="33"/>
        <v>1.9379999999999999</v>
      </c>
      <c r="N51" s="177">
        <f t="shared" si="34"/>
        <v>3.81</v>
      </c>
      <c r="O51" s="177">
        <f t="shared" si="35"/>
        <v>0.1332275</v>
      </c>
      <c r="P51" s="177">
        <f t="shared" si="36"/>
        <v>0.38065000000000004</v>
      </c>
      <c r="Q51" s="93">
        <f t="shared" si="37"/>
        <v>0</v>
      </c>
      <c r="R51" s="177">
        <v>-3812.78</v>
      </c>
      <c r="S51" s="179">
        <f t="shared" si="9"/>
        <v>9.9999999997635314E-3</v>
      </c>
      <c r="T51" s="176">
        <v>38670</v>
      </c>
      <c r="U51" s="318"/>
      <c r="V51" s="176"/>
      <c r="W51" s="177"/>
      <c r="X51" s="317"/>
      <c r="Y51" s="93" t="s">
        <v>405</v>
      </c>
      <c r="Z51" s="93"/>
    </row>
    <row r="52" spans="1:26" ht="12" customHeight="1">
      <c r="A52" s="176">
        <v>38663</v>
      </c>
      <c r="B52" s="315" t="s">
        <v>973</v>
      </c>
      <c r="C52" s="93" t="s">
        <v>448</v>
      </c>
      <c r="D52" s="93">
        <v>50</v>
      </c>
      <c r="E52" s="177">
        <v>72.849999999999994</v>
      </c>
      <c r="F52" s="177">
        <f t="shared" si="29"/>
        <v>0.36</v>
      </c>
      <c r="G52" s="177">
        <f t="shared" si="30"/>
        <v>73.209999999999994</v>
      </c>
      <c r="H52" s="177">
        <f t="shared" si="1"/>
        <v>73.33</v>
      </c>
      <c r="I52" s="208">
        <f t="shared" si="2"/>
        <v>0.47989999999999999</v>
      </c>
      <c r="J52" s="177">
        <f t="shared" si="31"/>
        <v>3660.4999999999995</v>
      </c>
      <c r="K52" s="177">
        <f t="shared" si="17"/>
        <v>-3666.5</v>
      </c>
      <c r="L52" s="177">
        <f t="shared" si="32"/>
        <v>18</v>
      </c>
      <c r="M52" s="177">
        <f t="shared" si="33"/>
        <v>1.8359999999999999</v>
      </c>
      <c r="N52" s="177">
        <f t="shared" si="34"/>
        <v>3.66</v>
      </c>
      <c r="O52" s="177">
        <f t="shared" si="35"/>
        <v>0.12811749999999997</v>
      </c>
      <c r="P52" s="177">
        <f t="shared" si="36"/>
        <v>0.36604999999999999</v>
      </c>
      <c r="Q52" s="93">
        <f t="shared" si="37"/>
        <v>0</v>
      </c>
      <c r="R52" s="177">
        <v>-3666.5</v>
      </c>
      <c r="S52" s="179">
        <f t="shared" si="9"/>
        <v>0</v>
      </c>
      <c r="T52" s="176">
        <v>38669</v>
      </c>
      <c r="U52" s="318">
        <f>ROUND((K44*(T52-T44)+K52*1)/(K44+K52),0)</f>
        <v>14</v>
      </c>
      <c r="V52" s="176">
        <f>T45+U52</f>
        <v>38657</v>
      </c>
      <c r="W52" s="177">
        <f>-ROUND((R44+R52)/(D44+D52),2)</f>
        <v>74.67</v>
      </c>
      <c r="X52" s="317"/>
      <c r="Y52" s="93" t="s">
        <v>405</v>
      </c>
      <c r="Z52" s="93"/>
    </row>
    <row r="53" spans="1:26" ht="12" customHeight="1">
      <c r="A53" s="176">
        <v>38664</v>
      </c>
      <c r="B53" s="315" t="s">
        <v>995</v>
      </c>
      <c r="C53" s="93" t="s">
        <v>448</v>
      </c>
      <c r="D53" s="93">
        <v>100</v>
      </c>
      <c r="E53" s="177">
        <v>23.35</v>
      </c>
      <c r="F53" s="177">
        <f t="shared" si="29"/>
        <v>0.12</v>
      </c>
      <c r="G53" s="177">
        <f t="shared" si="30"/>
        <v>23.470000000000002</v>
      </c>
      <c r="H53" s="177">
        <f t="shared" si="1"/>
        <v>23.51</v>
      </c>
      <c r="I53" s="208">
        <f t="shared" si="2"/>
        <v>0.159</v>
      </c>
      <c r="J53" s="177">
        <f t="shared" si="31"/>
        <v>2347.0000000000005</v>
      </c>
      <c r="K53" s="177">
        <f t="shared" si="17"/>
        <v>-2350.9</v>
      </c>
      <c r="L53" s="177">
        <f t="shared" si="32"/>
        <v>12</v>
      </c>
      <c r="M53" s="177">
        <f t="shared" si="33"/>
        <v>1.224</v>
      </c>
      <c r="N53" s="177">
        <f t="shared" si="34"/>
        <v>2.35</v>
      </c>
      <c r="O53" s="177">
        <f t="shared" si="35"/>
        <v>8.214500000000001E-2</v>
      </c>
      <c r="P53" s="177">
        <f t="shared" si="36"/>
        <v>0.23470000000000005</v>
      </c>
      <c r="Q53" s="93">
        <f t="shared" si="37"/>
        <v>0</v>
      </c>
      <c r="R53" s="177">
        <v>-2350.6799999999998</v>
      </c>
      <c r="S53" s="179">
        <f t="shared" si="9"/>
        <v>-0.22000000000025466</v>
      </c>
      <c r="T53" s="176">
        <v>38670</v>
      </c>
      <c r="U53" s="318"/>
      <c r="V53" s="176"/>
      <c r="W53" s="177">
        <f>-ROUND(R53/D53,2)</f>
        <v>23.51</v>
      </c>
      <c r="X53" s="317"/>
      <c r="Y53" s="93" t="s">
        <v>405</v>
      </c>
      <c r="Z53" s="93"/>
    </row>
    <row r="54" spans="1:26" ht="12" customHeight="1">
      <c r="A54" s="176">
        <v>38677</v>
      </c>
      <c r="B54" s="315" t="s">
        <v>993</v>
      </c>
      <c r="C54" s="93" t="s">
        <v>448</v>
      </c>
      <c r="D54" s="93">
        <v>10</v>
      </c>
      <c r="E54" s="177">
        <v>535</v>
      </c>
      <c r="F54" s="177">
        <f t="shared" si="29"/>
        <v>2.68</v>
      </c>
      <c r="G54" s="177">
        <f t="shared" si="30"/>
        <v>537.67999999999995</v>
      </c>
      <c r="H54" s="177">
        <f t="shared" si="1"/>
        <v>538.55999999999995</v>
      </c>
      <c r="I54" s="208">
        <f t="shared" si="2"/>
        <v>3.5640000000000001</v>
      </c>
      <c r="J54" s="177">
        <f t="shared" si="31"/>
        <v>5376.7999999999993</v>
      </c>
      <c r="K54" s="177">
        <f t="shared" si="17"/>
        <v>-5385.64</v>
      </c>
      <c r="L54" s="177">
        <f t="shared" si="32"/>
        <v>26.8</v>
      </c>
      <c r="M54" s="177">
        <f t="shared" si="33"/>
        <v>2.7336</v>
      </c>
      <c r="N54" s="177">
        <f t="shared" si="34"/>
        <v>5.38</v>
      </c>
      <c r="O54" s="177">
        <f t="shared" si="35"/>
        <v>0.18818799999999997</v>
      </c>
      <c r="P54" s="177">
        <f t="shared" si="36"/>
        <v>0.53767999999999994</v>
      </c>
      <c r="Q54" s="93">
        <f t="shared" si="37"/>
        <v>0</v>
      </c>
      <c r="R54" s="177">
        <v>-5385.89</v>
      </c>
      <c r="S54" s="179">
        <f t="shared" si="9"/>
        <v>0.25</v>
      </c>
      <c r="T54" s="176">
        <v>38679</v>
      </c>
      <c r="U54" s="318">
        <f>ROUND((K50*(T54-T50)+K54*1)/(K50+K54),0)</f>
        <v>12</v>
      </c>
      <c r="V54" s="176">
        <f>T50+U54</f>
        <v>38656</v>
      </c>
      <c r="W54" s="177">
        <f>-ROUND((R50+R54)/(D50+D54),2)</f>
        <v>529.86</v>
      </c>
      <c r="X54" s="317"/>
      <c r="Y54" s="93" t="s">
        <v>405</v>
      </c>
      <c r="Z54" s="93"/>
    </row>
    <row r="55" spans="1:26" ht="12" customHeight="1">
      <c r="A55" s="176">
        <v>38677</v>
      </c>
      <c r="B55" s="315" t="s">
        <v>996</v>
      </c>
      <c r="C55" s="93" t="s">
        <v>448</v>
      </c>
      <c r="D55" s="93">
        <v>50</v>
      </c>
      <c r="E55" s="177">
        <v>125</v>
      </c>
      <c r="F55" s="177">
        <f t="shared" si="29"/>
        <v>0.63</v>
      </c>
      <c r="G55" s="177">
        <f t="shared" si="30"/>
        <v>125.63</v>
      </c>
      <c r="H55" s="177">
        <f t="shared" si="1"/>
        <v>125.84</v>
      </c>
      <c r="I55" s="208">
        <f t="shared" si="2"/>
        <v>0.83689999999999998</v>
      </c>
      <c r="J55" s="177">
        <f t="shared" si="31"/>
        <v>6281.5</v>
      </c>
      <c r="K55" s="177">
        <f t="shared" si="17"/>
        <v>-6291.85</v>
      </c>
      <c r="L55" s="177">
        <f t="shared" si="32"/>
        <v>31.5</v>
      </c>
      <c r="M55" s="177">
        <f t="shared" si="33"/>
        <v>3.2129999999999996</v>
      </c>
      <c r="N55" s="177">
        <f t="shared" si="34"/>
        <v>6.28</v>
      </c>
      <c r="O55" s="177">
        <f t="shared" si="35"/>
        <v>0.21985249999999998</v>
      </c>
      <c r="P55" s="177">
        <f t="shared" si="36"/>
        <v>0.62814999999999999</v>
      </c>
      <c r="Q55" s="93">
        <f t="shared" si="37"/>
        <v>0</v>
      </c>
      <c r="R55" s="177">
        <v>-6292.13</v>
      </c>
      <c r="S55" s="179">
        <f t="shared" si="9"/>
        <v>0.27999999999974534</v>
      </c>
      <c r="T55" s="176">
        <v>38679</v>
      </c>
      <c r="U55" s="318"/>
      <c r="V55" s="176"/>
      <c r="W55" s="177"/>
      <c r="X55" s="317"/>
      <c r="Y55" s="93" t="s">
        <v>405</v>
      </c>
      <c r="Z55" s="93"/>
    </row>
    <row r="56" spans="1:26" ht="12" customHeight="1">
      <c r="A56" s="176">
        <v>38678</v>
      </c>
      <c r="B56" s="315" t="s">
        <v>997</v>
      </c>
      <c r="C56" s="93" t="s">
        <v>448</v>
      </c>
      <c r="D56" s="93">
        <v>50</v>
      </c>
      <c r="E56" s="177">
        <v>95.1</v>
      </c>
      <c r="F56" s="177">
        <f t="shared" si="29"/>
        <v>0.48</v>
      </c>
      <c r="G56" s="177">
        <f t="shared" si="30"/>
        <v>95.58</v>
      </c>
      <c r="H56" s="177">
        <f t="shared" si="1"/>
        <v>95.74</v>
      </c>
      <c r="I56" s="208">
        <f t="shared" si="2"/>
        <v>0.63749999999999996</v>
      </c>
      <c r="J56" s="177">
        <f t="shared" si="31"/>
        <v>4779</v>
      </c>
      <c r="K56" s="177">
        <f t="shared" si="17"/>
        <v>-4786.88</v>
      </c>
      <c r="L56" s="177">
        <f t="shared" si="32"/>
        <v>24</v>
      </c>
      <c r="M56" s="177">
        <f t="shared" si="33"/>
        <v>2.448</v>
      </c>
      <c r="N56" s="177">
        <f t="shared" si="34"/>
        <v>4.78</v>
      </c>
      <c r="O56" s="177">
        <f t="shared" si="35"/>
        <v>0.167265</v>
      </c>
      <c r="P56" s="177">
        <f t="shared" si="36"/>
        <v>0.47790000000000005</v>
      </c>
      <c r="Q56" s="93">
        <f t="shared" si="37"/>
        <v>0</v>
      </c>
      <c r="R56" s="177">
        <v>-4787.41</v>
      </c>
      <c r="S56" s="179">
        <f t="shared" si="9"/>
        <v>0.52999999999974534</v>
      </c>
      <c r="T56" s="176">
        <v>38680</v>
      </c>
      <c r="U56" s="318"/>
      <c r="V56" s="176"/>
      <c r="W56" s="177"/>
      <c r="X56" s="317"/>
      <c r="Y56" s="93" t="s">
        <v>405</v>
      </c>
      <c r="Z56" s="93"/>
    </row>
    <row r="57" spans="1:26" ht="12" customHeight="1">
      <c r="A57" s="176">
        <v>38679</v>
      </c>
      <c r="B57" s="315" t="s">
        <v>998</v>
      </c>
      <c r="C57" s="93" t="s">
        <v>448</v>
      </c>
      <c r="D57" s="93">
        <v>10</v>
      </c>
      <c r="E57" s="177">
        <v>365.75</v>
      </c>
      <c r="F57" s="177">
        <f t="shared" si="29"/>
        <v>1.83</v>
      </c>
      <c r="G57" s="177">
        <f t="shared" si="30"/>
        <v>367.58</v>
      </c>
      <c r="H57" s="177">
        <f t="shared" si="1"/>
        <v>368.18</v>
      </c>
      <c r="I57" s="208">
        <f t="shared" si="2"/>
        <v>2.4343000000000004</v>
      </c>
      <c r="J57" s="177">
        <f t="shared" si="31"/>
        <v>3675.7999999999997</v>
      </c>
      <c r="K57" s="177">
        <f t="shared" si="17"/>
        <v>-3681.8500000000004</v>
      </c>
      <c r="L57" s="177">
        <f t="shared" si="32"/>
        <v>18.3</v>
      </c>
      <c r="M57" s="177">
        <f t="shared" si="33"/>
        <v>1.8666</v>
      </c>
      <c r="N57" s="177">
        <f t="shared" si="34"/>
        <v>3.68</v>
      </c>
      <c r="O57" s="177">
        <f t="shared" si="35"/>
        <v>0.12865299999999999</v>
      </c>
      <c r="P57" s="177">
        <f t="shared" si="36"/>
        <v>0.36758000000000002</v>
      </c>
      <c r="Q57" s="93">
        <f t="shared" si="37"/>
        <v>0</v>
      </c>
      <c r="R57" s="177">
        <v>-3682.13</v>
      </c>
      <c r="S57" s="179">
        <f t="shared" si="9"/>
        <v>0.27999999999974534</v>
      </c>
      <c r="T57" s="176">
        <v>38681</v>
      </c>
      <c r="U57" s="318"/>
      <c r="V57" s="176"/>
      <c r="W57" s="177"/>
      <c r="X57" s="317"/>
      <c r="Y57" s="93" t="s">
        <v>405</v>
      </c>
      <c r="Z57" s="93"/>
    </row>
    <row r="58" spans="1:26" ht="12" customHeight="1">
      <c r="A58" s="176">
        <v>38680</v>
      </c>
      <c r="B58" s="315" t="s">
        <v>999</v>
      </c>
      <c r="C58" s="93" t="s">
        <v>448</v>
      </c>
      <c r="D58" s="93">
        <v>50</v>
      </c>
      <c r="E58" s="177">
        <v>188.75</v>
      </c>
      <c r="F58" s="177">
        <f t="shared" si="29"/>
        <v>0.94</v>
      </c>
      <c r="G58" s="177">
        <f t="shared" si="30"/>
        <v>189.69</v>
      </c>
      <c r="H58" s="177">
        <f t="shared" si="1"/>
        <v>190</v>
      </c>
      <c r="I58" s="208">
        <f t="shared" si="2"/>
        <v>1.2510999999999999</v>
      </c>
      <c r="J58" s="177">
        <f t="shared" si="31"/>
        <v>9484.5</v>
      </c>
      <c r="K58" s="177">
        <f t="shared" si="17"/>
        <v>-9500.06</v>
      </c>
      <c r="L58" s="177">
        <f t="shared" si="32"/>
        <v>47</v>
      </c>
      <c r="M58" s="177">
        <f t="shared" si="33"/>
        <v>4.7939999999999996</v>
      </c>
      <c r="N58" s="177">
        <f t="shared" si="34"/>
        <v>9.48</v>
      </c>
      <c r="O58" s="177">
        <f t="shared" si="35"/>
        <v>0.33195749999999996</v>
      </c>
      <c r="P58" s="177">
        <f t="shared" si="36"/>
        <v>0.94845000000000002</v>
      </c>
      <c r="Q58" s="93">
        <f t="shared" si="37"/>
        <v>0</v>
      </c>
      <c r="R58" s="177">
        <v>-9501</v>
      </c>
      <c r="S58" s="179">
        <f t="shared" si="9"/>
        <v>0.94000000000050932</v>
      </c>
      <c r="T58" s="176">
        <v>38684</v>
      </c>
      <c r="U58" s="318"/>
      <c r="V58" s="176"/>
      <c r="W58" s="177"/>
      <c r="X58" s="317"/>
      <c r="Y58" s="93" t="s">
        <v>405</v>
      </c>
      <c r="Z58" s="93"/>
    </row>
    <row r="59" spans="1:26" ht="12" customHeight="1">
      <c r="A59" s="176">
        <v>38681</v>
      </c>
      <c r="B59" s="315" t="s">
        <v>1000</v>
      </c>
      <c r="C59" s="93" t="s">
        <v>448</v>
      </c>
      <c r="D59" s="93">
        <v>5</v>
      </c>
      <c r="E59" s="177">
        <v>409.35</v>
      </c>
      <c r="F59" s="177">
        <f t="shared" si="29"/>
        <v>2.0499999999999998</v>
      </c>
      <c r="G59" s="177">
        <f t="shared" si="30"/>
        <v>411.40000000000003</v>
      </c>
      <c r="H59" s="177">
        <f t="shared" si="1"/>
        <v>412.08</v>
      </c>
      <c r="I59" s="208">
        <f t="shared" si="2"/>
        <v>2.7267000000000001</v>
      </c>
      <c r="J59" s="177">
        <f t="shared" si="31"/>
        <v>2057</v>
      </c>
      <c r="K59" s="177">
        <f t="shared" si="17"/>
        <v>-2060.3900000000003</v>
      </c>
      <c r="L59" s="177">
        <f t="shared" si="32"/>
        <v>10.25</v>
      </c>
      <c r="M59" s="177">
        <f t="shared" si="33"/>
        <v>1.0454999999999999</v>
      </c>
      <c r="N59" s="177">
        <f t="shared" si="34"/>
        <v>2.06</v>
      </c>
      <c r="O59" s="177">
        <f t="shared" si="35"/>
        <v>7.199499999999999E-2</v>
      </c>
      <c r="P59" s="177">
        <f t="shared" si="36"/>
        <v>0.20570000000000002</v>
      </c>
      <c r="Q59" s="93">
        <f t="shared" si="37"/>
        <v>0</v>
      </c>
      <c r="R59" s="177">
        <v>-2060.4699999999998</v>
      </c>
      <c r="S59" s="179">
        <f t="shared" si="9"/>
        <v>7.9999999999472493E-2</v>
      </c>
      <c r="T59" s="176">
        <v>38685</v>
      </c>
      <c r="U59" s="318"/>
      <c r="V59" s="176"/>
      <c r="W59" s="177"/>
      <c r="X59" s="317"/>
      <c r="Y59" s="93" t="s">
        <v>405</v>
      </c>
      <c r="Z59" s="93"/>
    </row>
    <row r="60" spans="1:26" ht="12" customHeight="1">
      <c r="A60" s="176">
        <v>38684</v>
      </c>
      <c r="B60" s="315" t="s">
        <v>1001</v>
      </c>
      <c r="C60" s="93" t="s">
        <v>448</v>
      </c>
      <c r="D60" s="93">
        <v>10</v>
      </c>
      <c r="E60" s="177">
        <v>519.70000000000005</v>
      </c>
      <c r="F60" s="177">
        <f t="shared" si="29"/>
        <v>2.6</v>
      </c>
      <c r="G60" s="177">
        <f t="shared" si="30"/>
        <v>522.30000000000007</v>
      </c>
      <c r="H60" s="177">
        <f t="shared" si="1"/>
        <v>523.16</v>
      </c>
      <c r="I60" s="208">
        <f t="shared" si="2"/>
        <v>3.4578000000000002</v>
      </c>
      <c r="J60" s="177">
        <f t="shared" si="31"/>
        <v>5223.0000000000009</v>
      </c>
      <c r="K60" s="177">
        <f t="shared" si="17"/>
        <v>-5231.58</v>
      </c>
      <c r="L60" s="177">
        <f t="shared" si="32"/>
        <v>26</v>
      </c>
      <c r="M60" s="177">
        <f t="shared" si="33"/>
        <v>2.6519999999999997</v>
      </c>
      <c r="N60" s="177">
        <f t="shared" si="34"/>
        <v>5.22</v>
      </c>
      <c r="O60" s="177">
        <f t="shared" si="35"/>
        <v>0.18280500000000002</v>
      </c>
      <c r="P60" s="177">
        <f t="shared" si="36"/>
        <v>0.5223000000000001</v>
      </c>
      <c r="Q60" s="93">
        <f t="shared" si="37"/>
        <v>0</v>
      </c>
      <c r="R60" s="177">
        <v>-5232.47</v>
      </c>
      <c r="S60" s="179">
        <f t="shared" si="9"/>
        <v>0.89000000000032742</v>
      </c>
      <c r="T60" s="176">
        <v>38686</v>
      </c>
      <c r="U60" s="318"/>
      <c r="V60" s="176"/>
      <c r="W60" s="177"/>
      <c r="X60" s="317"/>
      <c r="Y60" s="93" t="s">
        <v>405</v>
      </c>
      <c r="Z60" s="93"/>
    </row>
    <row r="61" spans="1:26" ht="12" customHeight="1">
      <c r="A61" s="176">
        <v>38684</v>
      </c>
      <c r="B61" s="315" t="s">
        <v>994</v>
      </c>
      <c r="C61" s="93" t="s">
        <v>448</v>
      </c>
      <c r="D61" s="93">
        <v>50</v>
      </c>
      <c r="E61" s="177">
        <v>87.1</v>
      </c>
      <c r="F61" s="177">
        <f t="shared" si="29"/>
        <v>0.44</v>
      </c>
      <c r="G61" s="177">
        <f t="shared" si="30"/>
        <v>87.539999999999992</v>
      </c>
      <c r="H61" s="177">
        <f t="shared" si="1"/>
        <v>87.68</v>
      </c>
      <c r="I61" s="208">
        <f t="shared" si="2"/>
        <v>0.58430000000000004</v>
      </c>
      <c r="J61" s="177">
        <f t="shared" si="31"/>
        <v>4377</v>
      </c>
      <c r="K61" s="177">
        <f t="shared" si="17"/>
        <v>-4384.22</v>
      </c>
      <c r="L61" s="177">
        <f t="shared" si="32"/>
        <v>22</v>
      </c>
      <c r="M61" s="177">
        <f t="shared" si="33"/>
        <v>2.2439999999999998</v>
      </c>
      <c r="N61" s="177">
        <f t="shared" si="34"/>
        <v>4.38</v>
      </c>
      <c r="O61" s="177">
        <f t="shared" si="35"/>
        <v>0.153195</v>
      </c>
      <c r="P61" s="177">
        <f t="shared" si="36"/>
        <v>0.43770000000000003</v>
      </c>
      <c r="Q61" s="93">
        <f t="shared" si="37"/>
        <v>0</v>
      </c>
      <c r="R61" s="177">
        <v>-4385</v>
      </c>
      <c r="S61" s="179">
        <f t="shared" si="9"/>
        <v>0.77999999999974534</v>
      </c>
      <c r="T61" s="176">
        <v>38686</v>
      </c>
      <c r="U61" s="318"/>
      <c r="V61" s="176"/>
      <c r="W61" s="177"/>
      <c r="X61" s="317"/>
      <c r="Y61" s="93" t="s">
        <v>405</v>
      </c>
      <c r="Z61" s="93"/>
    </row>
    <row r="62" spans="1:26" ht="12" customHeight="1">
      <c r="A62" s="176">
        <v>38684</v>
      </c>
      <c r="B62" s="315" t="s">
        <v>1002</v>
      </c>
      <c r="C62" s="93" t="s">
        <v>448</v>
      </c>
      <c r="D62" s="93">
        <v>10</v>
      </c>
      <c r="E62" s="177">
        <v>272.5</v>
      </c>
      <c r="F62" s="177">
        <f t="shared" si="29"/>
        <v>1.36</v>
      </c>
      <c r="G62" s="177">
        <f t="shared" si="30"/>
        <v>273.86</v>
      </c>
      <c r="H62" s="177">
        <f t="shared" si="1"/>
        <v>274.31</v>
      </c>
      <c r="I62" s="208">
        <f t="shared" si="2"/>
        <v>1.8097000000000001</v>
      </c>
      <c r="J62" s="177">
        <f t="shared" si="31"/>
        <v>2738.6000000000004</v>
      </c>
      <c r="K62" s="177">
        <f t="shared" si="17"/>
        <v>-2743.1000000000004</v>
      </c>
      <c r="L62" s="177">
        <f t="shared" si="32"/>
        <v>13.600000000000001</v>
      </c>
      <c r="M62" s="177">
        <f t="shared" si="33"/>
        <v>1.3872</v>
      </c>
      <c r="N62" s="177">
        <f t="shared" si="34"/>
        <v>2.74</v>
      </c>
      <c r="O62" s="177">
        <f t="shared" si="35"/>
        <v>9.5851000000000006E-2</v>
      </c>
      <c r="P62" s="177">
        <f t="shared" si="36"/>
        <v>0.27386000000000005</v>
      </c>
      <c r="Q62" s="93">
        <f t="shared" si="37"/>
        <v>0</v>
      </c>
      <c r="R62" s="177">
        <v>-2743.53</v>
      </c>
      <c r="S62" s="179">
        <f t="shared" si="9"/>
        <v>0.42999999999983629</v>
      </c>
      <c r="T62" s="176">
        <v>38686</v>
      </c>
      <c r="U62" s="318"/>
      <c r="V62" s="176"/>
      <c r="W62" s="177"/>
      <c r="X62" s="317"/>
      <c r="Y62" s="93" t="s">
        <v>405</v>
      </c>
      <c r="Z62" s="93"/>
    </row>
    <row r="63" spans="1:26" ht="12" customHeight="1">
      <c r="A63" s="176">
        <v>38693</v>
      </c>
      <c r="B63" s="315" t="s">
        <v>966</v>
      </c>
      <c r="C63" s="93" t="s">
        <v>448</v>
      </c>
      <c r="D63" s="93">
        <v>50</v>
      </c>
      <c r="E63" s="177">
        <v>77.8</v>
      </c>
      <c r="F63" s="177">
        <f t="shared" si="29"/>
        <v>0.39</v>
      </c>
      <c r="G63" s="177">
        <f t="shared" si="30"/>
        <v>78.19</v>
      </c>
      <c r="H63" s="177">
        <f t="shared" si="1"/>
        <v>78.319999999999993</v>
      </c>
      <c r="I63" s="208">
        <f t="shared" si="2"/>
        <v>0.51859999999999995</v>
      </c>
      <c r="J63" s="177">
        <f t="shared" si="31"/>
        <v>3909.5</v>
      </c>
      <c r="K63" s="177">
        <f t="shared" si="17"/>
        <v>-3915.9300000000003</v>
      </c>
      <c r="L63" s="177">
        <f t="shared" si="32"/>
        <v>19.5</v>
      </c>
      <c r="M63" s="177">
        <f t="shared" si="33"/>
        <v>1.9889999999999999</v>
      </c>
      <c r="N63" s="177">
        <f t="shared" si="34"/>
        <v>3.91</v>
      </c>
      <c r="O63" s="177">
        <f t="shared" si="35"/>
        <v>0.1368325</v>
      </c>
      <c r="P63" s="177">
        <f t="shared" si="36"/>
        <v>0.39095000000000002</v>
      </c>
      <c r="Q63" s="93">
        <f t="shared" si="37"/>
        <v>0</v>
      </c>
      <c r="R63" s="177">
        <v>-3916.22</v>
      </c>
      <c r="S63" s="179">
        <f t="shared" si="9"/>
        <v>0.28999999999950887</v>
      </c>
      <c r="T63" s="176">
        <v>38695</v>
      </c>
      <c r="U63" s="318"/>
      <c r="V63" s="176"/>
      <c r="W63" s="177"/>
      <c r="X63" s="317"/>
      <c r="Y63" s="93" t="s">
        <v>405</v>
      </c>
      <c r="Z63" s="93"/>
    </row>
    <row r="64" spans="1:26" ht="12" customHeight="1">
      <c r="A64" s="176">
        <v>38693</v>
      </c>
      <c r="B64" s="315" t="s">
        <v>1003</v>
      </c>
      <c r="C64" s="93" t="s">
        <v>448</v>
      </c>
      <c r="D64" s="93">
        <v>25</v>
      </c>
      <c r="E64" s="177">
        <v>81.45</v>
      </c>
      <c r="F64" s="177">
        <f t="shared" si="29"/>
        <v>0.41</v>
      </c>
      <c r="G64" s="177">
        <f t="shared" si="30"/>
        <v>81.86</v>
      </c>
      <c r="H64" s="177">
        <f t="shared" si="1"/>
        <v>81.99</v>
      </c>
      <c r="I64" s="208">
        <f t="shared" si="2"/>
        <v>0.54489999999999994</v>
      </c>
      <c r="J64" s="177">
        <f t="shared" si="31"/>
        <v>2046.5</v>
      </c>
      <c r="K64" s="177">
        <f t="shared" si="17"/>
        <v>-2049.88</v>
      </c>
      <c r="L64" s="177">
        <f t="shared" si="32"/>
        <v>10.25</v>
      </c>
      <c r="M64" s="177">
        <f t="shared" si="33"/>
        <v>1.0454999999999999</v>
      </c>
      <c r="N64" s="177">
        <f t="shared" si="34"/>
        <v>2.0499999999999998</v>
      </c>
      <c r="O64" s="177">
        <f t="shared" si="35"/>
        <v>7.1627499999999997E-2</v>
      </c>
      <c r="P64" s="177">
        <f t="shared" si="36"/>
        <v>0.20465</v>
      </c>
      <c r="Q64" s="93">
        <f t="shared" si="37"/>
        <v>0</v>
      </c>
      <c r="R64" s="177">
        <v>-2050</v>
      </c>
      <c r="S64" s="179">
        <f t="shared" si="9"/>
        <v>0.11999999999989086</v>
      </c>
      <c r="T64" s="176">
        <v>38695</v>
      </c>
      <c r="U64" s="318"/>
      <c r="V64" s="176"/>
      <c r="W64" s="177"/>
      <c r="X64" s="317"/>
      <c r="Y64" s="93" t="s">
        <v>405</v>
      </c>
      <c r="Z64" s="93"/>
    </row>
    <row r="65" spans="1:26" ht="12" customHeight="1">
      <c r="A65" s="176">
        <v>38693</v>
      </c>
      <c r="B65" s="315" t="s">
        <v>1004</v>
      </c>
      <c r="C65" s="93" t="s">
        <v>448</v>
      </c>
      <c r="D65" s="93">
        <v>50</v>
      </c>
      <c r="E65" s="177">
        <v>70.2</v>
      </c>
      <c r="F65" s="177">
        <f t="shared" si="29"/>
        <v>0.35</v>
      </c>
      <c r="G65" s="177">
        <f t="shared" si="30"/>
        <v>70.55</v>
      </c>
      <c r="H65" s="177">
        <f t="shared" si="1"/>
        <v>70.67</v>
      </c>
      <c r="I65" s="208">
        <f t="shared" si="2"/>
        <v>0.46589999999999998</v>
      </c>
      <c r="J65" s="177">
        <f t="shared" si="31"/>
        <v>3527.5</v>
      </c>
      <c r="K65" s="177">
        <f t="shared" si="17"/>
        <v>-3533.3</v>
      </c>
      <c r="L65" s="177">
        <f t="shared" si="32"/>
        <v>17.5</v>
      </c>
      <c r="M65" s="177">
        <f t="shared" si="33"/>
        <v>1.7849999999999999</v>
      </c>
      <c r="N65" s="177">
        <f t="shared" si="34"/>
        <v>3.53</v>
      </c>
      <c r="O65" s="177">
        <f t="shared" si="35"/>
        <v>0.12346249999999999</v>
      </c>
      <c r="P65" s="177">
        <f t="shared" si="36"/>
        <v>0.35275000000000001</v>
      </c>
      <c r="Q65" s="93">
        <f t="shared" si="37"/>
        <v>0</v>
      </c>
      <c r="R65" s="177">
        <v>-3533.98</v>
      </c>
      <c r="S65" s="179">
        <f t="shared" si="9"/>
        <v>0.67999999999983629</v>
      </c>
      <c r="T65" s="176">
        <v>38695</v>
      </c>
      <c r="U65" s="318"/>
      <c r="V65" s="176"/>
      <c r="W65" s="177"/>
      <c r="X65" s="317"/>
      <c r="Y65" s="93" t="s">
        <v>405</v>
      </c>
      <c r="Z65" s="93"/>
    </row>
    <row r="66" spans="1:26" ht="12" customHeight="1">
      <c r="A66" s="176">
        <v>38695</v>
      </c>
      <c r="B66" s="315" t="s">
        <v>1005</v>
      </c>
      <c r="C66" s="93" t="s">
        <v>448</v>
      </c>
      <c r="D66" s="93">
        <v>10</v>
      </c>
      <c r="E66" s="177">
        <v>441.6</v>
      </c>
      <c r="F66" s="177">
        <f t="shared" si="29"/>
        <v>2.21</v>
      </c>
      <c r="G66" s="177">
        <f t="shared" si="30"/>
        <v>443.81</v>
      </c>
      <c r="H66" s="177">
        <f t="shared" si="1"/>
        <v>444.54</v>
      </c>
      <c r="I66" s="208">
        <f t="shared" si="2"/>
        <v>2.9394</v>
      </c>
      <c r="J66" s="177">
        <f t="shared" si="31"/>
        <v>4438.1000000000004</v>
      </c>
      <c r="K66" s="177">
        <f t="shared" si="17"/>
        <v>-4445.4000000000005</v>
      </c>
      <c r="L66" s="177">
        <f t="shared" si="32"/>
        <v>22.1</v>
      </c>
      <c r="M66" s="177">
        <f t="shared" si="33"/>
        <v>2.2542</v>
      </c>
      <c r="N66" s="177">
        <f t="shared" si="34"/>
        <v>4.4400000000000004</v>
      </c>
      <c r="O66" s="177">
        <f t="shared" si="35"/>
        <v>0.15533349999999999</v>
      </c>
      <c r="P66" s="177">
        <f t="shared" si="36"/>
        <v>0.44381000000000004</v>
      </c>
      <c r="Q66" s="93">
        <f t="shared" si="37"/>
        <v>0</v>
      </c>
      <c r="R66" s="177">
        <v>-4445</v>
      </c>
      <c r="S66" s="179">
        <f t="shared" si="9"/>
        <v>-0.4000000000005457</v>
      </c>
      <c r="T66" s="176">
        <v>38699</v>
      </c>
      <c r="U66" s="318"/>
      <c r="V66" s="176"/>
      <c r="W66" s="177"/>
      <c r="X66" s="317"/>
      <c r="Y66" s="93" t="s">
        <v>405</v>
      </c>
      <c r="Z66" s="93"/>
    </row>
    <row r="67" spans="1:26" ht="12" customHeight="1">
      <c r="A67" s="176">
        <v>38699</v>
      </c>
      <c r="B67" s="315" t="s">
        <v>974</v>
      </c>
      <c r="C67" s="93" t="s">
        <v>448</v>
      </c>
      <c r="D67" s="93">
        <v>25</v>
      </c>
      <c r="E67" s="177">
        <v>151.65</v>
      </c>
      <c r="F67" s="177">
        <f t="shared" si="29"/>
        <v>0.76</v>
      </c>
      <c r="G67" s="177">
        <f t="shared" si="30"/>
        <v>152.41</v>
      </c>
      <c r="H67" s="177">
        <f t="shared" si="1"/>
        <v>152.66</v>
      </c>
      <c r="I67" s="208">
        <f t="shared" si="2"/>
        <v>1.0105</v>
      </c>
      <c r="J67" s="177">
        <f t="shared" si="31"/>
        <v>3810.25</v>
      </c>
      <c r="K67" s="177">
        <f t="shared" si="17"/>
        <v>-3816.5200000000004</v>
      </c>
      <c r="L67" s="177">
        <f t="shared" si="32"/>
        <v>19</v>
      </c>
      <c r="M67" s="177">
        <f t="shared" si="33"/>
        <v>1.9379999999999999</v>
      </c>
      <c r="N67" s="177">
        <f t="shared" si="34"/>
        <v>3.81</v>
      </c>
      <c r="O67" s="177">
        <f t="shared" si="35"/>
        <v>0.13335875</v>
      </c>
      <c r="P67" s="177">
        <f t="shared" si="36"/>
        <v>0.381025</v>
      </c>
      <c r="Q67" s="93">
        <f t="shared" si="37"/>
        <v>0</v>
      </c>
      <c r="R67" s="177">
        <v>-3816</v>
      </c>
      <c r="S67" s="179">
        <f t="shared" si="9"/>
        <v>-0.52000000000043656</v>
      </c>
      <c r="T67" s="176">
        <v>38701</v>
      </c>
      <c r="U67" s="318"/>
      <c r="V67" s="176"/>
      <c r="W67" s="177"/>
      <c r="X67" s="317"/>
      <c r="Y67" s="93" t="s">
        <v>405</v>
      </c>
      <c r="Z67" s="93"/>
    </row>
    <row r="68" spans="1:26" ht="12" customHeight="1">
      <c r="A68" s="176">
        <v>38700</v>
      </c>
      <c r="B68" s="315" t="s">
        <v>1006</v>
      </c>
      <c r="C68" s="93" t="s">
        <v>448</v>
      </c>
      <c r="D68" s="93">
        <v>10</v>
      </c>
      <c r="E68" s="177">
        <v>1102</v>
      </c>
      <c r="F68" s="177">
        <f t="shared" si="29"/>
        <v>5.51</v>
      </c>
      <c r="G68" s="177">
        <f t="shared" si="30"/>
        <v>1107.51</v>
      </c>
      <c r="H68" s="177">
        <f t="shared" si="1"/>
        <v>1109.33</v>
      </c>
      <c r="I68" s="208">
        <f t="shared" si="2"/>
        <v>7.3296000000000001</v>
      </c>
      <c r="J68" s="177">
        <f t="shared" si="31"/>
        <v>11075.1</v>
      </c>
      <c r="K68" s="177">
        <f t="shared" si="17"/>
        <v>-11093.300000000001</v>
      </c>
      <c r="L68" s="177">
        <f t="shared" si="32"/>
        <v>55.099999999999994</v>
      </c>
      <c r="M68" s="177">
        <f t="shared" si="33"/>
        <v>5.6201999999999988</v>
      </c>
      <c r="N68" s="177">
        <f t="shared" si="34"/>
        <v>11.08</v>
      </c>
      <c r="O68" s="177">
        <f t="shared" si="35"/>
        <v>0.38762849999999999</v>
      </c>
      <c r="P68" s="177">
        <f t="shared" si="36"/>
        <v>1.10751</v>
      </c>
      <c r="Q68" s="93">
        <f t="shared" si="37"/>
        <v>0</v>
      </c>
      <c r="R68" s="177">
        <v>-11095</v>
      </c>
      <c r="S68" s="179">
        <f t="shared" si="9"/>
        <v>1.6999999999989086</v>
      </c>
      <c r="T68" s="176">
        <v>38702</v>
      </c>
      <c r="U68" s="318"/>
      <c r="V68" s="176"/>
      <c r="W68" s="177"/>
      <c r="X68" s="317"/>
      <c r="Y68" s="93" t="s">
        <v>405</v>
      </c>
      <c r="Z68" s="93"/>
    </row>
    <row r="69" spans="1:26" ht="12" customHeight="1">
      <c r="A69" s="176">
        <v>38700</v>
      </c>
      <c r="B69" s="315" t="s">
        <v>1007</v>
      </c>
      <c r="C69" s="93" t="s">
        <v>448</v>
      </c>
      <c r="D69" s="93">
        <v>25</v>
      </c>
      <c r="E69" s="177">
        <v>121.7</v>
      </c>
      <c r="F69" s="177">
        <f t="shared" si="29"/>
        <v>0.61</v>
      </c>
      <c r="G69" s="177">
        <f t="shared" si="30"/>
        <v>122.31</v>
      </c>
      <c r="H69" s="177">
        <f t="shared" si="1"/>
        <v>122.51</v>
      </c>
      <c r="I69" s="208">
        <f t="shared" si="2"/>
        <v>0.81120000000000003</v>
      </c>
      <c r="J69" s="177">
        <f t="shared" si="31"/>
        <v>3057.75</v>
      </c>
      <c r="K69" s="177">
        <f t="shared" si="17"/>
        <v>-3062.78</v>
      </c>
      <c r="L69" s="177">
        <f t="shared" si="32"/>
        <v>15.25</v>
      </c>
      <c r="M69" s="177">
        <f t="shared" si="33"/>
        <v>1.5554999999999999</v>
      </c>
      <c r="N69" s="177">
        <f t="shared" si="34"/>
        <v>3.06</v>
      </c>
      <c r="O69" s="177">
        <f t="shared" si="35"/>
        <v>0.10702124999999998</v>
      </c>
      <c r="P69" s="177">
        <f t="shared" si="36"/>
        <v>0.30577500000000002</v>
      </c>
      <c r="Q69" s="93">
        <f t="shared" si="37"/>
        <v>0</v>
      </c>
      <c r="R69" s="177">
        <v>-3064</v>
      </c>
      <c r="S69" s="179">
        <f t="shared" si="9"/>
        <v>1.2199999999997999</v>
      </c>
      <c r="T69" s="176">
        <v>38702</v>
      </c>
      <c r="U69" s="318"/>
      <c r="V69" s="176"/>
      <c r="W69" s="177"/>
      <c r="X69" s="317"/>
      <c r="Y69" s="93" t="s">
        <v>405</v>
      </c>
      <c r="Z69" s="93"/>
    </row>
    <row r="70" spans="1:26" ht="12" customHeight="1">
      <c r="A70" s="176">
        <v>38705</v>
      </c>
      <c r="B70" s="315" t="s">
        <v>989</v>
      </c>
      <c r="C70" s="93" t="s">
        <v>448</v>
      </c>
      <c r="D70" s="93">
        <v>25</v>
      </c>
      <c r="E70" s="177">
        <v>143.1</v>
      </c>
      <c r="F70" s="177">
        <f t="shared" si="29"/>
        <v>0.72</v>
      </c>
      <c r="G70" s="177">
        <f t="shared" si="30"/>
        <v>143.82</v>
      </c>
      <c r="H70" s="177">
        <f t="shared" si="1"/>
        <v>144.06</v>
      </c>
      <c r="I70" s="208">
        <f t="shared" si="2"/>
        <v>0.95689999999999997</v>
      </c>
      <c r="J70" s="177">
        <f t="shared" si="31"/>
        <v>3595.5</v>
      </c>
      <c r="K70" s="177">
        <f t="shared" si="17"/>
        <v>-3601.4300000000003</v>
      </c>
      <c r="L70" s="177">
        <f t="shared" si="32"/>
        <v>18</v>
      </c>
      <c r="M70" s="177">
        <f t="shared" si="33"/>
        <v>1.8359999999999999</v>
      </c>
      <c r="N70" s="177">
        <f t="shared" si="34"/>
        <v>3.6</v>
      </c>
      <c r="O70" s="177">
        <f t="shared" si="35"/>
        <v>0.1258425</v>
      </c>
      <c r="P70" s="177">
        <f t="shared" si="36"/>
        <v>0.35955000000000004</v>
      </c>
      <c r="Q70" s="93">
        <f t="shared" si="37"/>
        <v>0</v>
      </c>
      <c r="R70" s="177">
        <v>-3601.25</v>
      </c>
      <c r="S70" s="179">
        <f t="shared" si="9"/>
        <v>-0.18000000000029104</v>
      </c>
      <c r="T70" s="176">
        <v>38707</v>
      </c>
      <c r="U70" s="318"/>
      <c r="V70" s="176"/>
      <c r="W70" s="177"/>
      <c r="X70" s="317"/>
      <c r="Y70" s="93" t="s">
        <v>405</v>
      </c>
      <c r="Z70" s="93"/>
    </row>
    <row r="71" spans="1:26" ht="12" customHeight="1">
      <c r="A71" s="176">
        <v>38705</v>
      </c>
      <c r="B71" s="315" t="s">
        <v>985</v>
      </c>
      <c r="C71" s="93" t="s">
        <v>448</v>
      </c>
      <c r="D71" s="93">
        <v>50</v>
      </c>
      <c r="E71" s="177">
        <v>107.98</v>
      </c>
      <c r="F71" s="177">
        <f t="shared" si="29"/>
        <v>0.54</v>
      </c>
      <c r="G71" s="177">
        <f t="shared" si="30"/>
        <v>108.52000000000001</v>
      </c>
      <c r="H71" s="177">
        <f t="shared" si="1"/>
        <v>108.7</v>
      </c>
      <c r="I71" s="208">
        <f t="shared" si="2"/>
        <v>0.71840000000000004</v>
      </c>
      <c r="J71" s="177">
        <f t="shared" si="31"/>
        <v>5426.0000000000009</v>
      </c>
      <c r="K71" s="177">
        <f t="shared" si="17"/>
        <v>-5434.92</v>
      </c>
      <c r="L71" s="177">
        <f t="shared" si="32"/>
        <v>27</v>
      </c>
      <c r="M71" s="177">
        <f t="shared" si="33"/>
        <v>2.754</v>
      </c>
      <c r="N71" s="177">
        <f t="shared" si="34"/>
        <v>5.43</v>
      </c>
      <c r="O71" s="177">
        <f t="shared" si="35"/>
        <v>0.18991000000000002</v>
      </c>
      <c r="P71" s="177">
        <f t="shared" si="36"/>
        <v>0.54260000000000008</v>
      </c>
      <c r="Q71" s="93">
        <f t="shared" si="37"/>
        <v>0</v>
      </c>
      <c r="R71" s="177">
        <v>-5435</v>
      </c>
      <c r="S71" s="179">
        <f t="shared" si="9"/>
        <v>7.999999999992724E-2</v>
      </c>
      <c r="T71" s="176">
        <v>38702</v>
      </c>
      <c r="U71" s="318">
        <f>ROUND(((K27*(T45-T27))+(K45*(T71-T45))+K71*1)/(K27+K45+K71),0)</f>
        <v>25</v>
      </c>
      <c r="V71" s="176">
        <f>T27+U71</f>
        <v>38641</v>
      </c>
      <c r="W71" s="177">
        <f>-ROUND((R27+R45+R71)/(D27+D45+D71),2)</f>
        <v>134.58000000000001</v>
      </c>
      <c r="X71" s="317"/>
      <c r="Y71" s="93" t="s">
        <v>405</v>
      </c>
      <c r="Z71" s="93"/>
    </row>
    <row r="72" spans="1:26" ht="12" customHeight="1">
      <c r="A72" s="176">
        <v>38706</v>
      </c>
      <c r="B72" s="315" t="s">
        <v>998</v>
      </c>
      <c r="C72" s="93" t="s">
        <v>448</v>
      </c>
      <c r="D72" s="93">
        <v>10</v>
      </c>
      <c r="E72" s="177">
        <v>361.3</v>
      </c>
      <c r="F72" s="177">
        <f t="shared" si="29"/>
        <v>1.81</v>
      </c>
      <c r="G72" s="177">
        <f t="shared" si="30"/>
        <v>363.11</v>
      </c>
      <c r="H72" s="177">
        <f t="shared" si="1"/>
        <v>363.71</v>
      </c>
      <c r="I72" s="208">
        <f t="shared" si="2"/>
        <v>2.4067000000000003</v>
      </c>
      <c r="J72" s="177">
        <f t="shared" si="31"/>
        <v>3631.1000000000004</v>
      </c>
      <c r="K72" s="177">
        <f t="shared" si="17"/>
        <v>-3637.07</v>
      </c>
      <c r="L72" s="177">
        <f t="shared" si="32"/>
        <v>18.100000000000001</v>
      </c>
      <c r="M72" s="177">
        <f t="shared" si="33"/>
        <v>1.8462000000000001</v>
      </c>
      <c r="N72" s="177">
        <f t="shared" si="34"/>
        <v>3.63</v>
      </c>
      <c r="O72" s="177">
        <f t="shared" si="35"/>
        <v>0.12708849999999999</v>
      </c>
      <c r="P72" s="177">
        <f t="shared" si="36"/>
        <v>0.36311000000000004</v>
      </c>
      <c r="Q72" s="93">
        <f t="shared" si="37"/>
        <v>0</v>
      </c>
      <c r="R72" s="177">
        <v>-3638.16</v>
      </c>
      <c r="S72" s="179">
        <f t="shared" si="9"/>
        <v>1.0899999999996908</v>
      </c>
      <c r="T72" s="176">
        <v>38708</v>
      </c>
      <c r="U72" s="318"/>
      <c r="V72" s="176"/>
      <c r="W72" s="177"/>
      <c r="X72" s="317"/>
      <c r="Y72" s="93" t="s">
        <v>405</v>
      </c>
      <c r="Z72" s="93"/>
    </row>
    <row r="73" spans="1:26" ht="12" customHeight="1">
      <c r="A73" s="176">
        <v>38709</v>
      </c>
      <c r="B73" s="315" t="s">
        <v>1008</v>
      </c>
      <c r="C73" s="93" t="s">
        <v>448</v>
      </c>
      <c r="D73" s="93">
        <v>25</v>
      </c>
      <c r="E73" s="177">
        <v>162</v>
      </c>
      <c r="F73" s="177">
        <f t="shared" si="29"/>
        <v>0.81</v>
      </c>
      <c r="G73" s="177">
        <f t="shared" si="30"/>
        <v>162.81</v>
      </c>
      <c r="H73" s="177">
        <f t="shared" si="1"/>
        <v>163.08000000000001</v>
      </c>
      <c r="I73" s="208">
        <f t="shared" si="2"/>
        <v>1.0773999999999999</v>
      </c>
      <c r="J73" s="177">
        <f t="shared" si="31"/>
        <v>4070.25</v>
      </c>
      <c r="K73" s="177">
        <f t="shared" si="17"/>
        <v>-4076.94</v>
      </c>
      <c r="L73" s="177">
        <f t="shared" si="32"/>
        <v>20.25</v>
      </c>
      <c r="M73" s="177">
        <f t="shared" si="33"/>
        <v>2.0654999999999997</v>
      </c>
      <c r="N73" s="177">
        <f t="shared" si="34"/>
        <v>4.07</v>
      </c>
      <c r="O73" s="177">
        <f t="shared" si="35"/>
        <v>0.14245875</v>
      </c>
      <c r="P73" s="177">
        <f t="shared" si="36"/>
        <v>0.40702500000000003</v>
      </c>
      <c r="Q73" s="93">
        <f t="shared" si="37"/>
        <v>0</v>
      </c>
      <c r="R73" s="177">
        <v>-4077.5</v>
      </c>
      <c r="S73" s="179">
        <f t="shared" si="9"/>
        <v>0.55999999999994543</v>
      </c>
      <c r="T73" s="176">
        <v>38708</v>
      </c>
      <c r="U73" s="318"/>
      <c r="V73" s="176"/>
      <c r="W73" s="177"/>
      <c r="X73" s="317"/>
      <c r="Y73" s="93" t="s">
        <v>405</v>
      </c>
      <c r="Z73" s="93"/>
    </row>
    <row r="74" spans="1:26" ht="12" customHeight="1">
      <c r="A74" s="176">
        <v>38709</v>
      </c>
      <c r="B74" s="315" t="s">
        <v>990</v>
      </c>
      <c r="C74" s="93" t="s">
        <v>448</v>
      </c>
      <c r="D74" s="93">
        <v>50</v>
      </c>
      <c r="E74" s="177">
        <v>64.3</v>
      </c>
      <c r="F74" s="177">
        <f t="shared" si="29"/>
        <v>0.32</v>
      </c>
      <c r="G74" s="177">
        <f t="shared" si="30"/>
        <v>64.61999999999999</v>
      </c>
      <c r="H74" s="177">
        <f t="shared" si="1"/>
        <v>64.73</v>
      </c>
      <c r="I74" s="208">
        <f t="shared" si="2"/>
        <v>0.42599999999999999</v>
      </c>
      <c r="J74" s="177">
        <f t="shared" si="31"/>
        <v>3230.9999999999995</v>
      </c>
      <c r="K74" s="177">
        <f t="shared" si="17"/>
        <v>-3236.3</v>
      </c>
      <c r="L74" s="177">
        <f t="shared" si="32"/>
        <v>16</v>
      </c>
      <c r="M74" s="177">
        <f t="shared" si="33"/>
        <v>1.6319999999999999</v>
      </c>
      <c r="N74" s="177">
        <f t="shared" si="34"/>
        <v>3.23</v>
      </c>
      <c r="O74" s="177">
        <f t="shared" si="35"/>
        <v>0.11308499999999998</v>
      </c>
      <c r="P74" s="177">
        <f t="shared" si="36"/>
        <v>0.32309999999999994</v>
      </c>
      <c r="Q74" s="93">
        <f t="shared" si="37"/>
        <v>0</v>
      </c>
      <c r="R74" s="177">
        <v>-3236.5</v>
      </c>
      <c r="S74" s="179">
        <f t="shared" si="9"/>
        <v>0.1999999999998181</v>
      </c>
      <c r="T74" s="176">
        <v>38713</v>
      </c>
      <c r="U74" s="318"/>
      <c r="V74" s="176"/>
      <c r="W74" s="177"/>
      <c r="X74" s="317"/>
      <c r="Y74" s="93" t="s">
        <v>405</v>
      </c>
      <c r="Z74" s="93"/>
    </row>
    <row r="75" spans="1:26" ht="12" customHeight="1">
      <c r="A75" s="176">
        <v>38709</v>
      </c>
      <c r="B75" s="315" t="s">
        <v>1009</v>
      </c>
      <c r="C75" s="93" t="s">
        <v>448</v>
      </c>
      <c r="D75" s="93">
        <v>25</v>
      </c>
      <c r="E75" s="177">
        <v>112.8</v>
      </c>
      <c r="F75" s="177">
        <f t="shared" si="29"/>
        <v>0.56000000000000005</v>
      </c>
      <c r="G75" s="177">
        <f t="shared" si="30"/>
        <v>113.36</v>
      </c>
      <c r="H75" s="177">
        <f t="shared" si="1"/>
        <v>113.55</v>
      </c>
      <c r="I75" s="208">
        <f t="shared" si="2"/>
        <v>0.74570000000000003</v>
      </c>
      <c r="J75" s="177">
        <f t="shared" si="31"/>
        <v>2834</v>
      </c>
      <c r="K75" s="177">
        <f t="shared" si="17"/>
        <v>-2838.65</v>
      </c>
      <c r="L75" s="177">
        <f t="shared" si="32"/>
        <v>14.000000000000002</v>
      </c>
      <c r="M75" s="177">
        <f t="shared" si="33"/>
        <v>1.4280000000000002</v>
      </c>
      <c r="N75" s="177">
        <f t="shared" si="34"/>
        <v>2.83</v>
      </c>
      <c r="O75" s="177">
        <f t="shared" si="35"/>
        <v>9.9189999999999987E-2</v>
      </c>
      <c r="P75" s="177">
        <f t="shared" si="36"/>
        <v>0.28340000000000004</v>
      </c>
      <c r="Q75" s="93">
        <f t="shared" si="37"/>
        <v>0</v>
      </c>
      <c r="R75" s="177">
        <v>-2839</v>
      </c>
      <c r="S75" s="179">
        <f t="shared" si="9"/>
        <v>0.34999999999990905</v>
      </c>
      <c r="T75" s="176">
        <v>38713</v>
      </c>
      <c r="U75" s="318"/>
      <c r="V75" s="176"/>
      <c r="W75" s="177"/>
      <c r="X75" s="317"/>
      <c r="Y75" s="93" t="s">
        <v>405</v>
      </c>
      <c r="Z75" s="93"/>
    </row>
    <row r="76" spans="1:26" ht="12" customHeight="1">
      <c r="A76" s="176">
        <v>38715</v>
      </c>
      <c r="B76" s="315" t="s">
        <v>980</v>
      </c>
      <c r="C76" s="93" t="s">
        <v>448</v>
      </c>
      <c r="D76" s="93">
        <v>200</v>
      </c>
      <c r="E76" s="177">
        <v>9.82</v>
      </c>
      <c r="F76" s="177">
        <f t="shared" si="29"/>
        <v>0.05</v>
      </c>
      <c r="G76" s="177">
        <f t="shared" si="30"/>
        <v>9.870000000000001</v>
      </c>
      <c r="H76" s="177">
        <f t="shared" si="1"/>
        <v>9.89</v>
      </c>
      <c r="I76" s="208">
        <f t="shared" si="2"/>
        <v>6.6299999999999998E-2</v>
      </c>
      <c r="J76" s="177">
        <f t="shared" si="31"/>
        <v>1974.0000000000002</v>
      </c>
      <c r="K76" s="177">
        <f t="shared" si="17"/>
        <v>-1977.26</v>
      </c>
      <c r="L76" s="177">
        <f t="shared" si="32"/>
        <v>10</v>
      </c>
      <c r="M76" s="177">
        <f t="shared" si="33"/>
        <v>1.02</v>
      </c>
      <c r="N76" s="177">
        <f t="shared" si="34"/>
        <v>1.97</v>
      </c>
      <c r="O76" s="177">
        <f t="shared" si="35"/>
        <v>6.9089999999999999E-2</v>
      </c>
      <c r="P76" s="177">
        <f t="shared" si="36"/>
        <v>0.19740000000000002</v>
      </c>
      <c r="Q76" s="93">
        <f t="shared" si="37"/>
        <v>0</v>
      </c>
      <c r="R76" s="177">
        <v>-1977</v>
      </c>
      <c r="S76" s="179">
        <f t="shared" si="9"/>
        <v>-0.25999999999999091</v>
      </c>
      <c r="T76" s="176">
        <v>38719</v>
      </c>
      <c r="U76" s="318">
        <f>ROUND((K21*(T76-T21)+K76*1)/(K21+K76),0)</f>
        <v>77</v>
      </c>
      <c r="V76" s="176">
        <f>T21+U76</f>
        <v>38675</v>
      </c>
      <c r="W76" s="177">
        <f>-ROUND((R21+R76)/(D21+D76),2)</f>
        <v>13.5</v>
      </c>
      <c r="X76" s="317"/>
      <c r="Y76" s="93" t="s">
        <v>405</v>
      </c>
      <c r="Z76" s="93"/>
    </row>
    <row r="77" spans="1:26" ht="12" customHeight="1">
      <c r="A77" s="176">
        <v>38716</v>
      </c>
      <c r="B77" s="315" t="s">
        <v>971</v>
      </c>
      <c r="C77" s="93" t="s">
        <v>448</v>
      </c>
      <c r="D77" s="93">
        <v>100</v>
      </c>
      <c r="E77" s="177">
        <v>73.2</v>
      </c>
      <c r="F77" s="177">
        <f t="shared" si="29"/>
        <v>0.37</v>
      </c>
      <c r="G77" s="177">
        <f t="shared" si="30"/>
        <v>73.570000000000007</v>
      </c>
      <c r="H77" s="177">
        <f t="shared" si="1"/>
        <v>73.69</v>
      </c>
      <c r="I77" s="208">
        <f t="shared" si="2"/>
        <v>0.49130000000000001</v>
      </c>
      <c r="J77" s="177">
        <f t="shared" si="31"/>
        <v>7357.0000000000009</v>
      </c>
      <c r="K77" s="177">
        <f t="shared" si="17"/>
        <v>-7369.13</v>
      </c>
      <c r="L77" s="177">
        <f t="shared" si="32"/>
        <v>37</v>
      </c>
      <c r="M77" s="177">
        <f t="shared" si="33"/>
        <v>3.7739999999999996</v>
      </c>
      <c r="N77" s="177">
        <f t="shared" si="34"/>
        <v>7.36</v>
      </c>
      <c r="O77" s="177">
        <f t="shared" si="35"/>
        <v>0.25749500000000003</v>
      </c>
      <c r="P77" s="177">
        <f t="shared" si="36"/>
        <v>0.73570000000000013</v>
      </c>
      <c r="Q77" s="93">
        <f t="shared" si="37"/>
        <v>0</v>
      </c>
      <c r="R77" s="177">
        <v>-7366</v>
      </c>
      <c r="S77" s="179">
        <f t="shared" si="9"/>
        <v>-3.1300000000001091</v>
      </c>
      <c r="T77" s="176">
        <v>38720</v>
      </c>
      <c r="U77" s="318"/>
      <c r="V77" s="176"/>
      <c r="W77" s="177"/>
      <c r="X77" s="317"/>
      <c r="Y77" s="93" t="s">
        <v>405</v>
      </c>
      <c r="Z77" s="93"/>
    </row>
    <row r="78" spans="1:26" ht="12" customHeight="1">
      <c r="A78" s="176">
        <v>38721</v>
      </c>
      <c r="B78" s="315" t="s">
        <v>1010</v>
      </c>
      <c r="C78" s="93" t="s">
        <v>448</v>
      </c>
      <c r="D78" s="93">
        <v>100</v>
      </c>
      <c r="E78" s="177">
        <v>78.099999999999994</v>
      </c>
      <c r="F78" s="177">
        <f t="shared" si="29"/>
        <v>0.39</v>
      </c>
      <c r="G78" s="177">
        <f t="shared" si="30"/>
        <v>78.489999999999995</v>
      </c>
      <c r="H78" s="177">
        <f t="shared" si="1"/>
        <v>78.62</v>
      </c>
      <c r="I78" s="208">
        <f t="shared" si="2"/>
        <v>0.51890000000000003</v>
      </c>
      <c r="J78" s="177">
        <f t="shared" si="31"/>
        <v>7848.9999999999991</v>
      </c>
      <c r="K78" s="177">
        <f t="shared" si="17"/>
        <v>-7861.89</v>
      </c>
      <c r="L78" s="177">
        <f t="shared" si="32"/>
        <v>39</v>
      </c>
      <c r="M78" s="177">
        <f t="shared" si="33"/>
        <v>3.9779999999999998</v>
      </c>
      <c r="N78" s="177">
        <f t="shared" si="34"/>
        <v>7.85</v>
      </c>
      <c r="O78" s="177">
        <f t="shared" si="35"/>
        <v>0.27471499999999993</v>
      </c>
      <c r="P78" s="177">
        <f t="shared" si="36"/>
        <v>0.78489999999999993</v>
      </c>
      <c r="Q78" s="93">
        <f t="shared" si="37"/>
        <v>0</v>
      </c>
      <c r="R78" s="177">
        <v>-7862</v>
      </c>
      <c r="S78" s="179">
        <f t="shared" si="9"/>
        <v>0.10999999999967258</v>
      </c>
      <c r="T78" s="176">
        <v>38723</v>
      </c>
      <c r="U78" s="318"/>
      <c r="V78" s="176"/>
      <c r="W78" s="177"/>
      <c r="X78" s="317"/>
      <c r="Y78" s="93" t="s">
        <v>405</v>
      </c>
      <c r="Z78" s="93"/>
    </row>
    <row r="79" spans="1:26" ht="12" customHeight="1">
      <c r="A79" s="176">
        <v>38721</v>
      </c>
      <c r="B79" s="315" t="s">
        <v>984</v>
      </c>
      <c r="C79" s="93" t="s">
        <v>448</v>
      </c>
      <c r="D79" s="93">
        <v>50</v>
      </c>
      <c r="E79" s="177">
        <v>81.400000000000006</v>
      </c>
      <c r="F79" s="177">
        <f t="shared" si="29"/>
        <v>0.41</v>
      </c>
      <c r="G79" s="177">
        <f t="shared" si="30"/>
        <v>81.81</v>
      </c>
      <c r="H79" s="177">
        <f t="shared" si="1"/>
        <v>81.94</v>
      </c>
      <c r="I79" s="208">
        <f t="shared" si="2"/>
        <v>0.54469999999999996</v>
      </c>
      <c r="J79" s="177">
        <f t="shared" si="31"/>
        <v>4090.5</v>
      </c>
      <c r="K79" s="177">
        <f t="shared" si="17"/>
        <v>-4097.24</v>
      </c>
      <c r="L79" s="177">
        <f t="shared" si="32"/>
        <v>20.5</v>
      </c>
      <c r="M79" s="177">
        <f t="shared" si="33"/>
        <v>2.0909999999999997</v>
      </c>
      <c r="N79" s="177">
        <f t="shared" si="34"/>
        <v>4.09</v>
      </c>
      <c r="O79" s="177">
        <f t="shared" si="35"/>
        <v>0.14316749999999998</v>
      </c>
      <c r="P79" s="177">
        <f t="shared" si="36"/>
        <v>0.40905000000000002</v>
      </c>
      <c r="Q79" s="93">
        <f t="shared" si="37"/>
        <v>0</v>
      </c>
      <c r="R79" s="177">
        <v>-4100</v>
      </c>
      <c r="S79" s="179">
        <f t="shared" si="9"/>
        <v>2.7600000000002183</v>
      </c>
      <c r="T79" s="176">
        <v>38723</v>
      </c>
      <c r="U79" s="318"/>
      <c r="V79" s="176"/>
      <c r="W79" s="177"/>
      <c r="X79" s="317"/>
      <c r="Y79" s="93" t="s">
        <v>405</v>
      </c>
      <c r="Z79" s="93"/>
    </row>
    <row r="80" spans="1:26" ht="12" customHeight="1">
      <c r="A80" s="176">
        <v>38721</v>
      </c>
      <c r="B80" s="315" t="s">
        <v>1011</v>
      </c>
      <c r="C80" s="93" t="s">
        <v>448</v>
      </c>
      <c r="D80" s="93">
        <v>100</v>
      </c>
      <c r="E80" s="177">
        <v>61.2</v>
      </c>
      <c r="F80" s="177">
        <f t="shared" si="29"/>
        <v>0.31</v>
      </c>
      <c r="G80" s="177">
        <f t="shared" si="30"/>
        <v>61.510000000000005</v>
      </c>
      <c r="H80" s="177">
        <f t="shared" si="1"/>
        <v>61.61</v>
      </c>
      <c r="I80" s="208">
        <f t="shared" si="2"/>
        <v>0.41149999999999998</v>
      </c>
      <c r="J80" s="177">
        <f t="shared" si="31"/>
        <v>6151.0000000000009</v>
      </c>
      <c r="K80" s="177">
        <f t="shared" si="17"/>
        <v>-6161.1500000000005</v>
      </c>
      <c r="L80" s="177">
        <f t="shared" si="32"/>
        <v>31</v>
      </c>
      <c r="M80" s="177">
        <f t="shared" si="33"/>
        <v>3.1619999999999999</v>
      </c>
      <c r="N80" s="177">
        <f t="shared" si="34"/>
        <v>6.15</v>
      </c>
      <c r="O80" s="177">
        <f t="shared" si="35"/>
        <v>0.215285</v>
      </c>
      <c r="P80" s="177">
        <f t="shared" si="36"/>
        <v>0.61510000000000009</v>
      </c>
      <c r="Q80" s="93">
        <f t="shared" si="37"/>
        <v>0</v>
      </c>
      <c r="R80" s="177">
        <v>-6163.66</v>
      </c>
      <c r="S80" s="179">
        <f t="shared" si="9"/>
        <v>2.5099999999993088</v>
      </c>
      <c r="T80" s="176">
        <v>38723</v>
      </c>
      <c r="U80" s="318"/>
      <c r="V80" s="176"/>
      <c r="W80" s="177"/>
      <c r="X80" s="317"/>
      <c r="Y80" s="93" t="s">
        <v>405</v>
      </c>
      <c r="Z80" s="93"/>
    </row>
    <row r="81" spans="1:26" ht="12" customHeight="1">
      <c r="A81" s="176">
        <v>38721</v>
      </c>
      <c r="B81" s="315" t="s">
        <v>1012</v>
      </c>
      <c r="C81" s="93" t="s">
        <v>448</v>
      </c>
      <c r="D81" s="93">
        <v>50</v>
      </c>
      <c r="E81" s="177">
        <v>80.5</v>
      </c>
      <c r="F81" s="177">
        <f t="shared" si="29"/>
        <v>0.4</v>
      </c>
      <c r="G81" s="177">
        <f t="shared" si="30"/>
        <v>80.900000000000006</v>
      </c>
      <c r="H81" s="177">
        <f t="shared" si="1"/>
        <v>81.03</v>
      </c>
      <c r="I81" s="208">
        <f t="shared" si="2"/>
        <v>0.53279999999999994</v>
      </c>
      <c r="J81" s="177">
        <f t="shared" si="31"/>
        <v>4045.0000000000005</v>
      </c>
      <c r="K81" s="177">
        <f t="shared" si="17"/>
        <v>-4051.6400000000003</v>
      </c>
      <c r="L81" s="177">
        <f t="shared" si="32"/>
        <v>20</v>
      </c>
      <c r="M81" s="177">
        <f t="shared" si="33"/>
        <v>2.04</v>
      </c>
      <c r="N81" s="177">
        <f t="shared" si="34"/>
        <v>4.05</v>
      </c>
      <c r="O81" s="177">
        <f t="shared" si="35"/>
        <v>0.14157500000000001</v>
      </c>
      <c r="P81" s="177">
        <f t="shared" si="36"/>
        <v>0.40450000000000008</v>
      </c>
      <c r="Q81" s="93">
        <f t="shared" si="37"/>
        <v>0</v>
      </c>
      <c r="R81" s="177">
        <v>-4053</v>
      </c>
      <c r="S81" s="179">
        <f t="shared" si="9"/>
        <v>1.3599999999996726</v>
      </c>
      <c r="T81" s="176">
        <v>38723</v>
      </c>
      <c r="U81" s="318"/>
      <c r="V81" s="176"/>
      <c r="W81" s="177"/>
      <c r="X81" s="317"/>
      <c r="Y81" s="93" t="s">
        <v>405</v>
      </c>
      <c r="Z81" s="93"/>
    </row>
    <row r="82" spans="1:26" ht="12" customHeight="1">
      <c r="A82" s="176">
        <v>38721</v>
      </c>
      <c r="B82" s="315" t="s">
        <v>1013</v>
      </c>
      <c r="C82" s="93" t="s">
        <v>448</v>
      </c>
      <c r="D82" s="93">
        <v>50</v>
      </c>
      <c r="E82" s="177">
        <v>111</v>
      </c>
      <c r="F82" s="177">
        <f t="shared" si="29"/>
        <v>0.56000000000000005</v>
      </c>
      <c r="G82" s="177">
        <f t="shared" si="30"/>
        <v>111.56</v>
      </c>
      <c r="H82" s="177">
        <f t="shared" si="1"/>
        <v>111.74</v>
      </c>
      <c r="I82" s="208">
        <f t="shared" si="2"/>
        <v>0.74380000000000002</v>
      </c>
      <c r="J82" s="177">
        <f t="shared" si="31"/>
        <v>5578</v>
      </c>
      <c r="K82" s="177">
        <f t="shared" si="17"/>
        <v>-5587.1900000000005</v>
      </c>
      <c r="L82" s="177">
        <f t="shared" si="32"/>
        <v>28.000000000000004</v>
      </c>
      <c r="M82" s="177">
        <f t="shared" si="33"/>
        <v>2.8560000000000003</v>
      </c>
      <c r="N82" s="177">
        <f t="shared" si="34"/>
        <v>5.58</v>
      </c>
      <c r="O82" s="177">
        <f t="shared" si="35"/>
        <v>0.19522999999999999</v>
      </c>
      <c r="P82" s="177">
        <f t="shared" si="36"/>
        <v>0.55780000000000007</v>
      </c>
      <c r="Q82" s="93">
        <f t="shared" si="37"/>
        <v>0</v>
      </c>
      <c r="R82" s="177">
        <v>-5589.5</v>
      </c>
      <c r="S82" s="179">
        <f t="shared" si="9"/>
        <v>2.3099999999994907</v>
      </c>
      <c r="T82" s="176">
        <v>38723</v>
      </c>
      <c r="U82" s="318"/>
      <c r="V82" s="176"/>
      <c r="W82" s="177"/>
      <c r="X82" s="317"/>
      <c r="Y82" s="93" t="s">
        <v>405</v>
      </c>
      <c r="Z82" s="93"/>
    </row>
    <row r="83" spans="1:26" ht="12" customHeight="1">
      <c r="A83" s="176">
        <v>38721</v>
      </c>
      <c r="B83" s="315" t="s">
        <v>987</v>
      </c>
      <c r="C83" s="93" t="s">
        <v>448</v>
      </c>
      <c r="D83" s="93">
        <v>100</v>
      </c>
      <c r="E83" s="177">
        <v>51.15</v>
      </c>
      <c r="F83" s="177">
        <f t="shared" si="29"/>
        <v>0.26</v>
      </c>
      <c r="G83" s="177">
        <f t="shared" si="30"/>
        <v>51.41</v>
      </c>
      <c r="H83" s="177">
        <f t="shared" si="1"/>
        <v>51.49</v>
      </c>
      <c r="I83" s="208">
        <f t="shared" si="2"/>
        <v>0.34489999999999998</v>
      </c>
      <c r="J83" s="177">
        <f t="shared" si="31"/>
        <v>5141</v>
      </c>
      <c r="K83" s="177">
        <f t="shared" si="17"/>
        <v>-5149.49</v>
      </c>
      <c r="L83" s="177">
        <f t="shared" si="32"/>
        <v>26</v>
      </c>
      <c r="M83" s="177">
        <f t="shared" si="33"/>
        <v>2.6519999999999997</v>
      </c>
      <c r="N83" s="177">
        <f t="shared" si="34"/>
        <v>5.14</v>
      </c>
      <c r="O83" s="177">
        <f t="shared" si="35"/>
        <v>0.17993499999999998</v>
      </c>
      <c r="P83" s="177">
        <f t="shared" si="36"/>
        <v>0.5141</v>
      </c>
      <c r="Q83" s="93">
        <f t="shared" si="37"/>
        <v>0</v>
      </c>
      <c r="R83" s="177">
        <v>-5152</v>
      </c>
      <c r="S83" s="179">
        <f t="shared" si="9"/>
        <v>2.5100000000002183</v>
      </c>
      <c r="T83" s="176">
        <v>38723</v>
      </c>
      <c r="U83" s="318"/>
      <c r="V83" s="176"/>
      <c r="W83" s="177"/>
      <c r="X83" s="317"/>
      <c r="Y83" s="93" t="s">
        <v>405</v>
      </c>
      <c r="Z83" s="93"/>
    </row>
    <row r="84" spans="1:26" ht="12" customHeight="1">
      <c r="A84" s="176">
        <v>38723</v>
      </c>
      <c r="B84" s="315" t="s">
        <v>1014</v>
      </c>
      <c r="C84" s="93" t="s">
        <v>448</v>
      </c>
      <c r="D84" s="93">
        <v>50</v>
      </c>
      <c r="E84" s="177">
        <v>116.7</v>
      </c>
      <c r="F84" s="177">
        <f t="shared" si="29"/>
        <v>0.57999999999999996</v>
      </c>
      <c r="G84" s="177">
        <f t="shared" si="30"/>
        <v>117.28</v>
      </c>
      <c r="H84" s="177">
        <f t="shared" si="1"/>
        <v>117.47</v>
      </c>
      <c r="I84" s="208">
        <f t="shared" si="2"/>
        <v>0.7722</v>
      </c>
      <c r="J84" s="177">
        <f t="shared" si="31"/>
        <v>5864</v>
      </c>
      <c r="K84" s="177">
        <f t="shared" si="17"/>
        <v>-5873.6100000000006</v>
      </c>
      <c r="L84" s="177">
        <f t="shared" si="32"/>
        <v>28.999999999999996</v>
      </c>
      <c r="M84" s="177">
        <f t="shared" si="33"/>
        <v>2.9579999999999993</v>
      </c>
      <c r="N84" s="177">
        <f t="shared" si="34"/>
        <v>5.86</v>
      </c>
      <c r="O84" s="177">
        <f t="shared" si="35"/>
        <v>0.20523999999999998</v>
      </c>
      <c r="P84" s="177">
        <f t="shared" si="36"/>
        <v>0.58640000000000003</v>
      </c>
      <c r="Q84" s="93">
        <f t="shared" si="37"/>
        <v>0</v>
      </c>
      <c r="R84" s="177">
        <v>-5873.97</v>
      </c>
      <c r="S84" s="179">
        <f t="shared" si="9"/>
        <v>0.35999999999967258</v>
      </c>
      <c r="T84" s="176">
        <v>38727</v>
      </c>
      <c r="U84" s="318"/>
      <c r="V84" s="176"/>
      <c r="W84" s="177"/>
      <c r="X84" s="317" t="str">
        <f>IF(X207="Not Sold","Not Sold","")</f>
        <v>Not Sold</v>
      </c>
      <c r="Y84" s="93" t="s">
        <v>405</v>
      </c>
      <c r="Z84" s="93"/>
    </row>
    <row r="85" spans="1:26" ht="12" customHeight="1">
      <c r="A85" s="176">
        <v>38723</v>
      </c>
      <c r="B85" s="315" t="s">
        <v>1015</v>
      </c>
      <c r="C85" s="93" t="s">
        <v>448</v>
      </c>
      <c r="D85" s="93">
        <v>50</v>
      </c>
      <c r="E85" s="177">
        <v>108</v>
      </c>
      <c r="F85" s="177">
        <f t="shared" si="29"/>
        <v>0.54</v>
      </c>
      <c r="G85" s="177">
        <f t="shared" si="30"/>
        <v>108.54</v>
      </c>
      <c r="H85" s="177">
        <f t="shared" si="1"/>
        <v>108.72</v>
      </c>
      <c r="I85" s="208">
        <f t="shared" si="2"/>
        <v>0.71840000000000004</v>
      </c>
      <c r="J85" s="177">
        <f t="shared" si="31"/>
        <v>5427</v>
      </c>
      <c r="K85" s="177">
        <f t="shared" si="17"/>
        <v>-5435.92</v>
      </c>
      <c r="L85" s="177">
        <f t="shared" si="32"/>
        <v>27</v>
      </c>
      <c r="M85" s="177">
        <f t="shared" si="33"/>
        <v>2.754</v>
      </c>
      <c r="N85" s="177">
        <f t="shared" si="34"/>
        <v>5.43</v>
      </c>
      <c r="O85" s="177">
        <f t="shared" si="35"/>
        <v>0.18994499999999997</v>
      </c>
      <c r="P85" s="177">
        <f t="shared" si="36"/>
        <v>0.54270000000000007</v>
      </c>
      <c r="Q85" s="93">
        <f t="shared" si="37"/>
        <v>0</v>
      </c>
      <c r="R85" s="177">
        <v>-5436</v>
      </c>
      <c r="S85" s="179">
        <f t="shared" si="9"/>
        <v>7.999999999992724E-2</v>
      </c>
      <c r="T85" s="176">
        <v>38727</v>
      </c>
      <c r="U85" s="318"/>
      <c r="V85" s="176"/>
      <c r="W85" s="177"/>
      <c r="X85" s="317"/>
      <c r="Y85" s="93" t="s">
        <v>405</v>
      </c>
      <c r="Z85" s="93"/>
    </row>
    <row r="86" spans="1:26" ht="12" customHeight="1">
      <c r="A86" s="176">
        <v>38727</v>
      </c>
      <c r="B86" s="315" t="s">
        <v>1016</v>
      </c>
      <c r="C86" s="93" t="s">
        <v>448</v>
      </c>
      <c r="D86" s="93">
        <v>50</v>
      </c>
      <c r="E86" s="177">
        <v>40.9</v>
      </c>
      <c r="F86" s="177">
        <f t="shared" si="29"/>
        <v>0.2</v>
      </c>
      <c r="G86" s="177">
        <f t="shared" si="30"/>
        <v>41.1</v>
      </c>
      <c r="H86" s="177">
        <f t="shared" si="1"/>
        <v>41.17</v>
      </c>
      <c r="I86" s="208">
        <f t="shared" si="2"/>
        <v>0.26719999999999999</v>
      </c>
      <c r="J86" s="177">
        <f t="shared" si="31"/>
        <v>2055</v>
      </c>
      <c r="K86" s="177">
        <f t="shared" si="17"/>
        <v>-2058.36</v>
      </c>
      <c r="L86" s="177">
        <f t="shared" si="32"/>
        <v>10</v>
      </c>
      <c r="M86" s="177">
        <f t="shared" si="33"/>
        <v>1.02</v>
      </c>
      <c r="N86" s="177">
        <f t="shared" si="34"/>
        <v>2.06</v>
      </c>
      <c r="O86" s="177">
        <f t="shared" si="35"/>
        <v>7.1924999999999989E-2</v>
      </c>
      <c r="P86" s="177">
        <f t="shared" si="36"/>
        <v>0.20550000000000002</v>
      </c>
      <c r="Q86" s="93">
        <f t="shared" si="37"/>
        <v>0</v>
      </c>
      <c r="R86" s="177">
        <v>-2058</v>
      </c>
      <c r="S86" s="179">
        <f t="shared" si="9"/>
        <v>-0.36000000000012733</v>
      </c>
      <c r="T86" s="176">
        <v>38731</v>
      </c>
      <c r="U86" s="318"/>
      <c r="V86" s="176"/>
      <c r="W86" s="177"/>
      <c r="X86" s="317"/>
      <c r="Y86" s="93" t="s">
        <v>405</v>
      </c>
      <c r="Z86" s="93"/>
    </row>
    <row r="87" spans="1:26" ht="12" customHeight="1">
      <c r="A87" s="176">
        <v>38793</v>
      </c>
      <c r="B87" s="315" t="s">
        <v>1017</v>
      </c>
      <c r="C87" s="93" t="s">
        <v>448</v>
      </c>
      <c r="D87" s="93">
        <v>100</v>
      </c>
      <c r="E87" s="177">
        <v>46</v>
      </c>
      <c r="F87" s="177">
        <f t="shared" si="29"/>
        <v>0.23</v>
      </c>
      <c r="G87" s="177">
        <f t="shared" si="30"/>
        <v>46.23</v>
      </c>
      <c r="H87" s="177">
        <f t="shared" si="1"/>
        <v>46.31</v>
      </c>
      <c r="I87" s="208">
        <f t="shared" si="2"/>
        <v>0.30599999999999999</v>
      </c>
      <c r="J87" s="177">
        <f t="shared" si="31"/>
        <v>4623</v>
      </c>
      <c r="K87" s="177">
        <f t="shared" si="17"/>
        <v>-4630.6000000000004</v>
      </c>
      <c r="L87" s="177">
        <f t="shared" si="32"/>
        <v>23</v>
      </c>
      <c r="M87" s="177">
        <f t="shared" si="33"/>
        <v>2.3459999999999996</v>
      </c>
      <c r="N87" s="177">
        <f t="shared" si="34"/>
        <v>4.62</v>
      </c>
      <c r="O87" s="177">
        <f t="shared" si="35"/>
        <v>0.16180499999999998</v>
      </c>
      <c r="P87" s="177">
        <f t="shared" si="36"/>
        <v>0.46230000000000004</v>
      </c>
      <c r="Q87" s="93">
        <f t="shared" si="37"/>
        <v>0</v>
      </c>
      <c r="R87" s="177">
        <v>-4631.2700000000004</v>
      </c>
      <c r="S87" s="179">
        <f t="shared" si="9"/>
        <v>0.67000000000007276</v>
      </c>
      <c r="T87" s="176">
        <v>38797</v>
      </c>
      <c r="U87" s="318"/>
      <c r="V87" s="176"/>
      <c r="W87" s="177"/>
      <c r="X87" s="317"/>
      <c r="Y87" s="93" t="s">
        <v>405</v>
      </c>
      <c r="Z87" s="93"/>
    </row>
    <row r="88" spans="1:26" ht="12" customHeight="1">
      <c r="A88" s="176">
        <v>38812</v>
      </c>
      <c r="B88" s="315" t="s">
        <v>1018</v>
      </c>
      <c r="C88" s="93" t="s">
        <v>448</v>
      </c>
      <c r="D88" s="93">
        <v>5</v>
      </c>
      <c r="E88" s="177">
        <v>1008.7</v>
      </c>
      <c r="F88" s="177">
        <f t="shared" si="29"/>
        <v>5.04</v>
      </c>
      <c r="G88" s="177">
        <f t="shared" si="30"/>
        <v>1013.74</v>
      </c>
      <c r="H88" s="177">
        <f t="shared" si="1"/>
        <v>1015.51</v>
      </c>
      <c r="I88" s="208">
        <f t="shared" si="2"/>
        <v>6.8077999999999994</v>
      </c>
      <c r="J88" s="177">
        <f t="shared" si="31"/>
        <v>5068.7</v>
      </c>
      <c r="K88" s="177">
        <f t="shared" si="17"/>
        <v>-5077.54</v>
      </c>
      <c r="L88" s="177">
        <f t="shared" si="32"/>
        <v>25.2</v>
      </c>
      <c r="M88" s="177">
        <f t="shared" ref="M88:M116" si="38">L88*F$328</f>
        <v>3.0844799999999997</v>
      </c>
      <c r="N88" s="177">
        <f t="shared" si="34"/>
        <v>5.07</v>
      </c>
      <c r="O88" s="177">
        <f t="shared" si="35"/>
        <v>0.17740449999999996</v>
      </c>
      <c r="P88" s="177">
        <f t="shared" si="36"/>
        <v>0.50687000000000004</v>
      </c>
      <c r="Q88" s="93">
        <f t="shared" si="37"/>
        <v>0</v>
      </c>
      <c r="R88" s="177">
        <v>-5077.29</v>
      </c>
      <c r="S88" s="179">
        <f t="shared" si="9"/>
        <v>-0.25</v>
      </c>
      <c r="T88" s="176">
        <v>38814</v>
      </c>
      <c r="U88" s="318"/>
      <c r="V88" s="176"/>
      <c r="W88" s="177"/>
      <c r="X88" s="317" t="str">
        <f>IF(X211="Not Sold","Not Sold","")</f>
        <v/>
      </c>
      <c r="Y88" s="93" t="s">
        <v>405</v>
      </c>
      <c r="Z88" s="93"/>
    </row>
    <row r="89" spans="1:26" ht="12" customHeight="1">
      <c r="A89" s="176">
        <v>38814</v>
      </c>
      <c r="B89" s="315" t="s">
        <v>1019</v>
      </c>
      <c r="C89" s="93" t="s">
        <v>448</v>
      </c>
      <c r="D89" s="93">
        <v>50</v>
      </c>
      <c r="E89" s="177">
        <v>81</v>
      </c>
      <c r="F89" s="177">
        <f t="shared" si="29"/>
        <v>0.41</v>
      </c>
      <c r="G89" s="177">
        <f t="shared" si="30"/>
        <v>81.41</v>
      </c>
      <c r="H89" s="177">
        <f t="shared" si="1"/>
        <v>81.55</v>
      </c>
      <c r="I89" s="208">
        <f t="shared" si="2"/>
        <v>0.55259999999999998</v>
      </c>
      <c r="J89" s="177">
        <f t="shared" si="31"/>
        <v>4070.5</v>
      </c>
      <c r="K89" s="177">
        <f t="shared" si="17"/>
        <v>-4077.63</v>
      </c>
      <c r="L89" s="177">
        <f t="shared" si="32"/>
        <v>20.5</v>
      </c>
      <c r="M89" s="177">
        <f t="shared" si="38"/>
        <v>2.5091999999999999</v>
      </c>
      <c r="N89" s="177">
        <f t="shared" si="34"/>
        <v>4.07</v>
      </c>
      <c r="O89" s="177">
        <f t="shared" si="35"/>
        <v>0.1424675</v>
      </c>
      <c r="P89" s="177">
        <f t="shared" si="36"/>
        <v>0.40705000000000002</v>
      </c>
      <c r="Q89" s="93">
        <f t="shared" si="37"/>
        <v>0</v>
      </c>
      <c r="R89" s="177">
        <v>-4076.86</v>
      </c>
      <c r="S89" s="179">
        <f t="shared" si="9"/>
        <v>-0.76999999999998181</v>
      </c>
      <c r="T89" s="176">
        <v>38818</v>
      </c>
      <c r="U89" s="318"/>
      <c r="V89" s="176"/>
      <c r="W89" s="177"/>
      <c r="X89" s="317"/>
      <c r="Y89" s="93" t="s">
        <v>405</v>
      </c>
      <c r="Z89" s="93"/>
    </row>
    <row r="90" spans="1:26" ht="12" customHeight="1">
      <c r="A90" s="176">
        <v>38820</v>
      </c>
      <c r="B90" s="315" t="s">
        <v>1017</v>
      </c>
      <c r="C90" s="93" t="s">
        <v>448</v>
      </c>
      <c r="D90" s="93">
        <v>50</v>
      </c>
      <c r="E90" s="177">
        <v>44.3</v>
      </c>
      <c r="F90" s="177">
        <f t="shared" si="29"/>
        <v>0.22</v>
      </c>
      <c r="G90" s="177">
        <f t="shared" si="30"/>
        <v>44.519999999999996</v>
      </c>
      <c r="H90" s="177">
        <f t="shared" si="1"/>
        <v>44.6</v>
      </c>
      <c r="I90" s="208">
        <f t="shared" si="2"/>
        <v>0.29759999999999998</v>
      </c>
      <c r="J90" s="177">
        <f t="shared" si="31"/>
        <v>2226</v>
      </c>
      <c r="K90" s="177">
        <f t="shared" si="17"/>
        <v>-2229.88</v>
      </c>
      <c r="L90" s="177">
        <f t="shared" si="32"/>
        <v>11</v>
      </c>
      <c r="M90" s="177">
        <f t="shared" si="38"/>
        <v>1.3464</v>
      </c>
      <c r="N90" s="177">
        <f t="shared" si="34"/>
        <v>2.23</v>
      </c>
      <c r="O90" s="177">
        <f t="shared" si="35"/>
        <v>7.7909999999999993E-2</v>
      </c>
      <c r="P90" s="177">
        <f t="shared" si="36"/>
        <v>0.22260000000000002</v>
      </c>
      <c r="Q90" s="93">
        <f t="shared" si="37"/>
        <v>0</v>
      </c>
      <c r="R90" s="177">
        <v>-2229.56</v>
      </c>
      <c r="S90" s="179">
        <f t="shared" si="9"/>
        <v>-0.32000000000016371</v>
      </c>
      <c r="T90" s="176">
        <v>38824</v>
      </c>
      <c r="U90" s="318"/>
      <c r="V90" s="176"/>
      <c r="W90" s="177"/>
      <c r="X90" s="317"/>
      <c r="Y90" s="93" t="s">
        <v>405</v>
      </c>
      <c r="Z90" s="93"/>
    </row>
    <row r="91" spans="1:26" ht="12" customHeight="1">
      <c r="A91" s="176">
        <v>38825</v>
      </c>
      <c r="B91" s="315" t="s">
        <v>626</v>
      </c>
      <c r="C91" s="93" t="s">
        <v>448</v>
      </c>
      <c r="D91" s="93">
        <v>50</v>
      </c>
      <c r="E91" s="177">
        <v>139.69999999999999</v>
      </c>
      <c r="F91" s="177">
        <f t="shared" si="29"/>
        <v>0.7</v>
      </c>
      <c r="G91" s="177">
        <f t="shared" si="30"/>
        <v>140.39999999999998</v>
      </c>
      <c r="H91" s="177">
        <f t="shared" si="1"/>
        <v>140.65</v>
      </c>
      <c r="I91" s="208">
        <f t="shared" si="2"/>
        <v>0.94509999999999994</v>
      </c>
      <c r="J91" s="177">
        <f t="shared" si="31"/>
        <v>7019.9999999999991</v>
      </c>
      <c r="K91" s="177">
        <f t="shared" si="17"/>
        <v>-7032.26</v>
      </c>
      <c r="L91" s="177">
        <f t="shared" si="32"/>
        <v>35</v>
      </c>
      <c r="M91" s="177">
        <f t="shared" si="38"/>
        <v>4.2839999999999998</v>
      </c>
      <c r="N91" s="177">
        <f t="shared" si="34"/>
        <v>7.02</v>
      </c>
      <c r="O91" s="177">
        <f t="shared" si="35"/>
        <v>0.24569999999999995</v>
      </c>
      <c r="P91" s="177">
        <f t="shared" si="36"/>
        <v>0.70199999999999996</v>
      </c>
      <c r="Q91" s="93">
        <f t="shared" si="37"/>
        <v>0</v>
      </c>
      <c r="R91" s="177">
        <v>-7031.97</v>
      </c>
      <c r="S91" s="179">
        <f t="shared" si="9"/>
        <v>-0.28999999999996362</v>
      </c>
      <c r="T91" s="176">
        <v>38827</v>
      </c>
      <c r="U91" s="318"/>
      <c r="V91" s="176"/>
      <c r="W91" s="177"/>
      <c r="X91" s="317"/>
      <c r="Y91" s="93" t="s">
        <v>405</v>
      </c>
      <c r="Z91" s="93"/>
    </row>
    <row r="92" spans="1:26" ht="12" customHeight="1">
      <c r="A92" s="176">
        <v>38828</v>
      </c>
      <c r="B92" s="315" t="s">
        <v>626</v>
      </c>
      <c r="C92" s="93" t="s">
        <v>1020</v>
      </c>
      <c r="D92" s="93">
        <v>50</v>
      </c>
      <c r="E92" s="177">
        <v>138</v>
      </c>
      <c r="F92" s="177">
        <f t="shared" si="29"/>
        <v>0.69</v>
      </c>
      <c r="G92" s="177">
        <f t="shared" si="30"/>
        <v>138.69</v>
      </c>
      <c r="H92" s="177">
        <f t="shared" si="1"/>
        <v>138.93</v>
      </c>
      <c r="I92" s="208">
        <f t="shared" si="2"/>
        <v>0.93179999999999996</v>
      </c>
      <c r="J92" s="177">
        <f t="shared" si="31"/>
        <v>6934.5</v>
      </c>
      <c r="K92" s="177">
        <f t="shared" si="17"/>
        <v>-6946.59</v>
      </c>
      <c r="L92" s="177">
        <f t="shared" si="32"/>
        <v>34.5</v>
      </c>
      <c r="M92" s="177">
        <f t="shared" si="38"/>
        <v>4.2227999999999994</v>
      </c>
      <c r="N92" s="177">
        <f t="shared" si="34"/>
        <v>6.93</v>
      </c>
      <c r="O92" s="177">
        <f t="shared" si="35"/>
        <v>0.24270749999999996</v>
      </c>
      <c r="P92" s="177">
        <f t="shared" si="36"/>
        <v>0.69345000000000001</v>
      </c>
      <c r="Q92" s="93">
        <f t="shared" si="37"/>
        <v>0</v>
      </c>
      <c r="R92" s="177">
        <v>-6947</v>
      </c>
      <c r="S92" s="179">
        <f t="shared" si="9"/>
        <v>0.40999999999985448</v>
      </c>
      <c r="T92" s="176">
        <v>38832</v>
      </c>
      <c r="U92" s="318"/>
      <c r="V92" s="176"/>
      <c r="W92" s="177"/>
      <c r="X92" s="317" t="str">
        <f t="shared" ref="X92:X94" si="39">IF(X215="Not Sold","Not Sold","")</f>
        <v>Not Sold</v>
      </c>
      <c r="Y92" s="41" t="s">
        <v>469</v>
      </c>
      <c r="Z92" s="93"/>
    </row>
    <row r="93" spans="1:26" ht="12" customHeight="1">
      <c r="A93" s="176">
        <v>38828</v>
      </c>
      <c r="B93" s="315" t="s">
        <v>1021</v>
      </c>
      <c r="C93" s="93" t="s">
        <v>1020</v>
      </c>
      <c r="D93" s="93">
        <v>15</v>
      </c>
      <c r="E93" s="177">
        <v>822.1</v>
      </c>
      <c r="F93" s="177">
        <f t="shared" si="29"/>
        <v>4.1100000000000003</v>
      </c>
      <c r="G93" s="177">
        <f t="shared" si="30"/>
        <v>826.21</v>
      </c>
      <c r="H93" s="177">
        <f t="shared" si="1"/>
        <v>827.65</v>
      </c>
      <c r="I93" s="208">
        <f t="shared" si="2"/>
        <v>5.5507</v>
      </c>
      <c r="J93" s="177">
        <f t="shared" si="31"/>
        <v>12393.150000000001</v>
      </c>
      <c r="K93" s="177">
        <f t="shared" si="17"/>
        <v>-12414.76</v>
      </c>
      <c r="L93" s="177">
        <f t="shared" si="32"/>
        <v>61.650000000000006</v>
      </c>
      <c r="M93" s="177">
        <f t="shared" si="38"/>
        <v>7.54596</v>
      </c>
      <c r="N93" s="177">
        <f t="shared" si="34"/>
        <v>12.39</v>
      </c>
      <c r="O93" s="177">
        <f t="shared" si="35"/>
        <v>0.43376025000000001</v>
      </c>
      <c r="P93" s="177">
        <f t="shared" si="36"/>
        <v>1.2393150000000002</v>
      </c>
      <c r="Q93" s="93">
        <f t="shared" si="37"/>
        <v>0</v>
      </c>
      <c r="R93" s="177">
        <v>-12415.28</v>
      </c>
      <c r="S93" s="179">
        <f t="shared" si="9"/>
        <v>0.52000000000043656</v>
      </c>
      <c r="T93" s="176">
        <v>38832</v>
      </c>
      <c r="U93" s="318"/>
      <c r="V93" s="176"/>
      <c r="W93" s="177"/>
      <c r="X93" s="317" t="str">
        <f t="shared" si="39"/>
        <v/>
      </c>
      <c r="Y93" s="41" t="s">
        <v>469</v>
      </c>
      <c r="Z93" s="93"/>
    </row>
    <row r="94" spans="1:26" ht="12" customHeight="1">
      <c r="A94" s="176">
        <v>38831</v>
      </c>
      <c r="B94" s="315" t="s">
        <v>1022</v>
      </c>
      <c r="C94" s="93" t="s">
        <v>1020</v>
      </c>
      <c r="D94" s="93">
        <v>2</v>
      </c>
      <c r="E94" s="177">
        <v>3230</v>
      </c>
      <c r="F94" s="177">
        <f t="shared" si="29"/>
        <v>16.149999999999999</v>
      </c>
      <c r="G94" s="177">
        <f t="shared" si="30"/>
        <v>3246.15</v>
      </c>
      <c r="H94" s="177">
        <f t="shared" si="1"/>
        <v>3251.81</v>
      </c>
      <c r="I94" s="208">
        <f t="shared" si="2"/>
        <v>21.81</v>
      </c>
      <c r="J94" s="177">
        <f t="shared" si="31"/>
        <v>6492.3</v>
      </c>
      <c r="K94" s="177">
        <f t="shared" si="17"/>
        <v>-6503.62</v>
      </c>
      <c r="L94" s="177">
        <f t="shared" si="32"/>
        <v>32.299999999999997</v>
      </c>
      <c r="M94" s="177">
        <f t="shared" si="38"/>
        <v>3.9535199999999997</v>
      </c>
      <c r="N94" s="177">
        <f t="shared" si="34"/>
        <v>6.49</v>
      </c>
      <c r="O94" s="177">
        <f t="shared" si="35"/>
        <v>0.22723049999999997</v>
      </c>
      <c r="P94" s="177">
        <f t="shared" si="36"/>
        <v>0.64923000000000008</v>
      </c>
      <c r="Q94" s="93">
        <f t="shared" si="37"/>
        <v>0</v>
      </c>
      <c r="R94" s="177">
        <v>-6504.54</v>
      </c>
      <c r="S94" s="179">
        <f t="shared" si="9"/>
        <v>0.92000000000007276</v>
      </c>
      <c r="T94" s="176">
        <v>38833</v>
      </c>
      <c r="U94" s="318"/>
      <c r="V94" s="176"/>
      <c r="W94" s="177"/>
      <c r="X94" s="317" t="str">
        <f t="shared" si="39"/>
        <v/>
      </c>
      <c r="Y94" s="93" t="s">
        <v>405</v>
      </c>
      <c r="Z94" s="93"/>
    </row>
    <row r="95" spans="1:26" ht="12" customHeight="1">
      <c r="A95" s="176">
        <v>38832</v>
      </c>
      <c r="B95" s="315" t="s">
        <v>626</v>
      </c>
      <c r="C95" s="93" t="s">
        <v>1020</v>
      </c>
      <c r="D95" s="93">
        <v>50</v>
      </c>
      <c r="E95" s="177">
        <v>130.6</v>
      </c>
      <c r="F95" s="177">
        <f t="shared" si="29"/>
        <v>0.65</v>
      </c>
      <c r="G95" s="177">
        <f t="shared" si="30"/>
        <v>131.25</v>
      </c>
      <c r="H95" s="177">
        <f t="shared" si="1"/>
        <v>131.47999999999999</v>
      </c>
      <c r="I95" s="208">
        <f t="shared" si="2"/>
        <v>0.87849999999999995</v>
      </c>
      <c r="J95" s="177">
        <f t="shared" si="31"/>
        <v>6562.5</v>
      </c>
      <c r="K95" s="177">
        <f t="shared" si="17"/>
        <v>-6573.93</v>
      </c>
      <c r="L95" s="177">
        <f t="shared" si="32"/>
        <v>32.5</v>
      </c>
      <c r="M95" s="177">
        <f t="shared" si="38"/>
        <v>3.9779999999999998</v>
      </c>
      <c r="N95" s="177">
        <f t="shared" si="34"/>
        <v>6.56</v>
      </c>
      <c r="O95" s="177">
        <f t="shared" si="35"/>
        <v>0.22968749999999999</v>
      </c>
      <c r="P95" s="177">
        <f t="shared" si="36"/>
        <v>0.65625</v>
      </c>
      <c r="Q95" s="93">
        <f t="shared" si="37"/>
        <v>0</v>
      </c>
      <c r="R95" s="177">
        <v>-6574</v>
      </c>
      <c r="S95" s="179">
        <f t="shared" si="9"/>
        <v>6.9999999999708962E-2</v>
      </c>
      <c r="T95" s="176">
        <v>38834</v>
      </c>
      <c r="U95" s="318"/>
      <c r="V95" s="176"/>
      <c r="W95" s="177"/>
      <c r="X95" s="317"/>
      <c r="Y95" s="93" t="s">
        <v>405</v>
      </c>
      <c r="Z95" s="93"/>
    </row>
    <row r="96" spans="1:26" ht="12" customHeight="1">
      <c r="A96" s="176">
        <v>38839</v>
      </c>
      <c r="B96" s="315" t="s">
        <v>1022</v>
      </c>
      <c r="C96" s="93" t="s">
        <v>448</v>
      </c>
      <c r="D96" s="93">
        <v>4</v>
      </c>
      <c r="E96" s="177">
        <v>3170</v>
      </c>
      <c r="F96" s="177">
        <f t="shared" si="29"/>
        <v>15.85</v>
      </c>
      <c r="G96" s="177">
        <f t="shared" si="30"/>
        <v>3185.85</v>
      </c>
      <c r="H96" s="177">
        <f t="shared" si="1"/>
        <v>3191.41</v>
      </c>
      <c r="I96" s="208">
        <f t="shared" si="2"/>
        <v>21.405200000000001</v>
      </c>
      <c r="J96" s="177">
        <f t="shared" si="31"/>
        <v>12743.4</v>
      </c>
      <c r="K96" s="177">
        <f t="shared" si="17"/>
        <v>-12765.630000000001</v>
      </c>
      <c r="L96" s="177">
        <f t="shared" si="32"/>
        <v>63.4</v>
      </c>
      <c r="M96" s="177">
        <f t="shared" si="38"/>
        <v>7.7601599999999999</v>
      </c>
      <c r="N96" s="177">
        <f t="shared" si="34"/>
        <v>12.74</v>
      </c>
      <c r="O96" s="177">
        <f t="shared" si="35"/>
        <v>0.44601899999999994</v>
      </c>
      <c r="P96" s="177">
        <f t="shared" si="36"/>
        <v>1.27434</v>
      </c>
      <c r="Q96" s="93">
        <f t="shared" si="37"/>
        <v>0</v>
      </c>
      <c r="R96" s="177">
        <v>-12766</v>
      </c>
      <c r="S96" s="179">
        <f t="shared" si="9"/>
        <v>0.36999999999898137</v>
      </c>
      <c r="T96" s="176">
        <v>38841</v>
      </c>
      <c r="U96" s="318"/>
      <c r="V96" s="176"/>
      <c r="W96" s="177"/>
      <c r="X96" s="317"/>
      <c r="Y96" s="41" t="s">
        <v>469</v>
      </c>
      <c r="Z96" s="93"/>
    </row>
    <row r="97" spans="1:26" ht="12" customHeight="1">
      <c r="A97" s="176">
        <v>38840</v>
      </c>
      <c r="B97" s="315" t="s">
        <v>502</v>
      </c>
      <c r="C97" s="93" t="s">
        <v>448</v>
      </c>
      <c r="D97" s="93">
        <v>50</v>
      </c>
      <c r="E97" s="177">
        <v>214.75</v>
      </c>
      <c r="F97" s="177">
        <f t="shared" si="29"/>
        <v>1.07</v>
      </c>
      <c r="G97" s="177">
        <f t="shared" si="30"/>
        <v>215.82</v>
      </c>
      <c r="H97" s="177">
        <f t="shared" si="1"/>
        <v>216.2</v>
      </c>
      <c r="I97" s="208">
        <f t="shared" si="2"/>
        <v>1.446</v>
      </c>
      <c r="J97" s="177">
        <f t="shared" si="31"/>
        <v>10791</v>
      </c>
      <c r="K97" s="177">
        <f t="shared" si="17"/>
        <v>-10809.800000000001</v>
      </c>
      <c r="L97" s="177">
        <f t="shared" si="32"/>
        <v>53.5</v>
      </c>
      <c r="M97" s="177">
        <f t="shared" si="38"/>
        <v>6.5484</v>
      </c>
      <c r="N97" s="177">
        <f t="shared" si="34"/>
        <v>10.79</v>
      </c>
      <c r="O97" s="177">
        <f t="shared" si="35"/>
        <v>0.37768499999999999</v>
      </c>
      <c r="P97" s="177">
        <f t="shared" si="36"/>
        <v>1.0790999999999999</v>
      </c>
      <c r="Q97" s="93">
        <f t="shared" si="37"/>
        <v>0</v>
      </c>
      <c r="R97" s="177">
        <v>-10812.01</v>
      </c>
      <c r="S97" s="179">
        <f t="shared" si="9"/>
        <v>2.2099999999991269</v>
      </c>
      <c r="T97" s="176">
        <v>38842</v>
      </c>
      <c r="U97" s="318"/>
      <c r="V97" s="176"/>
      <c r="W97" s="177"/>
      <c r="X97" s="317"/>
      <c r="Y97" s="41" t="s">
        <v>469</v>
      </c>
      <c r="Z97" s="93"/>
    </row>
    <row r="98" spans="1:26" ht="12" customHeight="1">
      <c r="A98" s="176">
        <v>38841</v>
      </c>
      <c r="B98" s="315" t="s">
        <v>1023</v>
      </c>
      <c r="C98" s="93" t="s">
        <v>448</v>
      </c>
      <c r="D98" s="93">
        <v>100</v>
      </c>
      <c r="E98" s="177">
        <v>65.8</v>
      </c>
      <c r="F98" s="177">
        <f t="shared" si="29"/>
        <v>0.33</v>
      </c>
      <c r="G98" s="177">
        <f t="shared" si="30"/>
        <v>66.13</v>
      </c>
      <c r="H98" s="177">
        <f t="shared" si="1"/>
        <v>66.25</v>
      </c>
      <c r="I98" s="208">
        <f t="shared" si="2"/>
        <v>0.44550000000000001</v>
      </c>
      <c r="J98" s="177">
        <f t="shared" si="31"/>
        <v>6613</v>
      </c>
      <c r="K98" s="177">
        <f t="shared" si="17"/>
        <v>-6624.55</v>
      </c>
      <c r="L98" s="177">
        <f t="shared" si="32"/>
        <v>33</v>
      </c>
      <c r="M98" s="177">
        <f t="shared" si="38"/>
        <v>4.0392000000000001</v>
      </c>
      <c r="N98" s="177">
        <f t="shared" si="34"/>
        <v>6.61</v>
      </c>
      <c r="O98" s="177">
        <f t="shared" si="35"/>
        <v>0.23145499999999997</v>
      </c>
      <c r="P98" s="177">
        <f t="shared" si="36"/>
        <v>0.6613</v>
      </c>
      <c r="Q98" s="93">
        <f t="shared" si="37"/>
        <v>0</v>
      </c>
      <c r="R98" s="177">
        <v>-6625</v>
      </c>
      <c r="S98" s="179">
        <f t="shared" si="9"/>
        <v>0.4499999999998181</v>
      </c>
      <c r="T98" s="176">
        <v>38845</v>
      </c>
      <c r="U98" s="318"/>
      <c r="V98" s="176"/>
      <c r="W98" s="177"/>
      <c r="X98" s="317"/>
      <c r="Y98" s="41" t="s">
        <v>469</v>
      </c>
      <c r="Z98" s="93"/>
    </row>
    <row r="99" spans="1:26" ht="12" customHeight="1">
      <c r="A99" s="176">
        <v>38841</v>
      </c>
      <c r="B99" s="315" t="s">
        <v>1021</v>
      </c>
      <c r="C99" s="93" t="s">
        <v>448</v>
      </c>
      <c r="D99" s="93">
        <v>10</v>
      </c>
      <c r="E99" s="177">
        <v>775.9</v>
      </c>
      <c r="F99" s="177">
        <f t="shared" si="29"/>
        <v>3.88</v>
      </c>
      <c r="G99" s="177">
        <f t="shared" si="30"/>
        <v>779.78</v>
      </c>
      <c r="H99" s="177">
        <f t="shared" si="1"/>
        <v>781.14</v>
      </c>
      <c r="I99" s="208">
        <f t="shared" si="2"/>
        <v>5.2401999999999997</v>
      </c>
      <c r="J99" s="177">
        <f t="shared" si="31"/>
        <v>7797.7999999999993</v>
      </c>
      <c r="K99" s="177">
        <f t="shared" si="17"/>
        <v>-7811.41</v>
      </c>
      <c r="L99" s="177">
        <f t="shared" si="32"/>
        <v>38.799999999999997</v>
      </c>
      <c r="M99" s="177">
        <f t="shared" si="38"/>
        <v>4.7491199999999996</v>
      </c>
      <c r="N99" s="177">
        <f t="shared" si="34"/>
        <v>7.8</v>
      </c>
      <c r="O99" s="177">
        <f t="shared" si="35"/>
        <v>0.27292299999999997</v>
      </c>
      <c r="P99" s="177">
        <f t="shared" si="36"/>
        <v>0.77977999999999992</v>
      </c>
      <c r="Q99" s="93">
        <f t="shared" si="37"/>
        <v>0</v>
      </c>
      <c r="R99" s="177">
        <v>-7812</v>
      </c>
      <c r="S99" s="179">
        <f t="shared" si="9"/>
        <v>0.59000000000014552</v>
      </c>
      <c r="T99" s="176">
        <v>38845</v>
      </c>
      <c r="U99" s="318"/>
      <c r="V99" s="176"/>
      <c r="W99" s="177"/>
      <c r="X99" s="317"/>
      <c r="Y99" s="41" t="s">
        <v>469</v>
      </c>
      <c r="Z99" s="93"/>
    </row>
    <row r="100" spans="1:26" ht="12" customHeight="1">
      <c r="A100" s="176">
        <v>38842</v>
      </c>
      <c r="B100" s="315" t="s">
        <v>973</v>
      </c>
      <c r="C100" s="93" t="s">
        <v>448</v>
      </c>
      <c r="D100" s="93">
        <v>50</v>
      </c>
      <c r="E100" s="177">
        <v>120.95</v>
      </c>
      <c r="F100" s="177">
        <f t="shared" si="29"/>
        <v>0.6</v>
      </c>
      <c r="G100" s="177">
        <f t="shared" si="30"/>
        <v>121.55</v>
      </c>
      <c r="H100" s="177">
        <f t="shared" si="1"/>
        <v>121.76</v>
      </c>
      <c r="I100" s="208">
        <f t="shared" si="2"/>
        <v>0.8115</v>
      </c>
      <c r="J100" s="177">
        <f t="shared" si="31"/>
        <v>6077.5</v>
      </c>
      <c r="K100" s="177">
        <f t="shared" si="17"/>
        <v>-6088.08</v>
      </c>
      <c r="L100" s="177">
        <f t="shared" si="32"/>
        <v>30</v>
      </c>
      <c r="M100" s="177">
        <f t="shared" si="38"/>
        <v>3.6719999999999997</v>
      </c>
      <c r="N100" s="177">
        <f t="shared" si="34"/>
        <v>6.08</v>
      </c>
      <c r="O100" s="177">
        <f t="shared" si="35"/>
        <v>0.21271249999999997</v>
      </c>
      <c r="P100" s="177">
        <f t="shared" si="36"/>
        <v>0.60775000000000001</v>
      </c>
      <c r="Q100" s="93">
        <f t="shared" si="37"/>
        <v>0</v>
      </c>
      <c r="R100" s="177">
        <v>-6091</v>
      </c>
      <c r="S100" s="179">
        <f t="shared" si="9"/>
        <v>2.9200000000000728</v>
      </c>
      <c r="T100" s="176">
        <v>38846</v>
      </c>
      <c r="U100" s="318"/>
      <c r="V100" s="176"/>
      <c r="W100" s="177"/>
      <c r="X100" s="317" t="str">
        <f t="shared" ref="X100:X102" si="40">IF(X224="Not Sold","Not Sold","")</f>
        <v/>
      </c>
      <c r="Y100" s="41" t="s">
        <v>405</v>
      </c>
      <c r="Z100" s="93"/>
    </row>
    <row r="101" spans="1:26" ht="12" customHeight="1">
      <c r="A101" s="176">
        <v>38845</v>
      </c>
      <c r="B101" s="315" t="s">
        <v>1024</v>
      </c>
      <c r="C101" s="93" t="s">
        <v>448</v>
      </c>
      <c r="D101" s="93">
        <v>50</v>
      </c>
      <c r="E101" s="177">
        <v>208.8</v>
      </c>
      <c r="F101" s="177">
        <f t="shared" si="29"/>
        <v>1.04</v>
      </c>
      <c r="G101" s="177">
        <f t="shared" si="30"/>
        <v>209.84</v>
      </c>
      <c r="H101" s="177">
        <f t="shared" si="1"/>
        <v>210.21</v>
      </c>
      <c r="I101" s="208">
        <f t="shared" si="2"/>
        <v>1.4055</v>
      </c>
      <c r="J101" s="177">
        <f t="shared" si="31"/>
        <v>10492</v>
      </c>
      <c r="K101" s="177">
        <f t="shared" si="17"/>
        <v>-10510.28</v>
      </c>
      <c r="L101" s="177">
        <f t="shared" si="32"/>
        <v>52</v>
      </c>
      <c r="M101" s="177">
        <f t="shared" si="38"/>
        <v>6.3647999999999998</v>
      </c>
      <c r="N101" s="177">
        <f t="shared" si="34"/>
        <v>10.49</v>
      </c>
      <c r="O101" s="177">
        <f t="shared" si="35"/>
        <v>0.36721999999999999</v>
      </c>
      <c r="P101" s="177">
        <f t="shared" si="36"/>
        <v>1.0492000000000001</v>
      </c>
      <c r="Q101" s="93">
        <f t="shared" si="37"/>
        <v>0</v>
      </c>
      <c r="R101" s="177">
        <v>-10510.41</v>
      </c>
      <c r="S101" s="179">
        <f t="shared" si="9"/>
        <v>0.12999999999919964</v>
      </c>
      <c r="T101" s="176">
        <v>38847</v>
      </c>
      <c r="U101" s="318"/>
      <c r="V101" s="176"/>
      <c r="W101" s="177"/>
      <c r="X101" s="317" t="str">
        <f t="shared" si="40"/>
        <v>Not Sold</v>
      </c>
      <c r="Y101" s="41" t="s">
        <v>405</v>
      </c>
      <c r="Z101" s="93"/>
    </row>
    <row r="102" spans="1:26" ht="12" customHeight="1">
      <c r="A102" s="176">
        <v>38845</v>
      </c>
      <c r="B102" s="315" t="s">
        <v>998</v>
      </c>
      <c r="C102" s="93" t="s">
        <v>448</v>
      </c>
      <c r="D102" s="93">
        <v>25</v>
      </c>
      <c r="E102" s="177">
        <v>515.15</v>
      </c>
      <c r="F102" s="177">
        <f t="shared" si="29"/>
        <v>2.58</v>
      </c>
      <c r="G102" s="177">
        <f t="shared" si="30"/>
        <v>517.73</v>
      </c>
      <c r="H102" s="177">
        <f t="shared" si="1"/>
        <v>518.63</v>
      </c>
      <c r="I102" s="208">
        <f t="shared" si="2"/>
        <v>3.4833000000000003</v>
      </c>
      <c r="J102" s="177">
        <f t="shared" si="31"/>
        <v>12943.25</v>
      </c>
      <c r="K102" s="177">
        <f t="shared" si="17"/>
        <v>-12965.84</v>
      </c>
      <c r="L102" s="177">
        <f t="shared" si="32"/>
        <v>64.5</v>
      </c>
      <c r="M102" s="177">
        <f t="shared" si="38"/>
        <v>7.8948</v>
      </c>
      <c r="N102" s="177">
        <f t="shared" si="34"/>
        <v>12.94</v>
      </c>
      <c r="O102" s="177">
        <f t="shared" si="35"/>
        <v>0.45301374999999994</v>
      </c>
      <c r="P102" s="177">
        <f t="shared" si="36"/>
        <v>1.2943250000000002</v>
      </c>
      <c r="Q102" s="93">
        <f t="shared" si="37"/>
        <v>0</v>
      </c>
      <c r="R102" s="177">
        <v>-12965.8</v>
      </c>
      <c r="S102" s="179">
        <f t="shared" si="9"/>
        <v>-4.0000000000873115E-2</v>
      </c>
      <c r="T102" s="176">
        <v>38847</v>
      </c>
      <c r="U102" s="318"/>
      <c r="V102" s="176"/>
      <c r="W102" s="177"/>
      <c r="X102" s="317" t="str">
        <f t="shared" si="40"/>
        <v>Not Sold</v>
      </c>
      <c r="Y102" s="41" t="s">
        <v>405</v>
      </c>
      <c r="Z102" s="93"/>
    </row>
    <row r="103" spans="1:26" ht="12" customHeight="1">
      <c r="A103" s="176">
        <v>38846</v>
      </c>
      <c r="B103" s="315" t="s">
        <v>1015</v>
      </c>
      <c r="C103" s="93" t="s">
        <v>448</v>
      </c>
      <c r="D103" s="93">
        <v>50</v>
      </c>
      <c r="E103" s="177">
        <v>94.1</v>
      </c>
      <c r="F103" s="177">
        <f t="shared" si="29"/>
        <v>0.47</v>
      </c>
      <c r="G103" s="177">
        <f t="shared" si="30"/>
        <v>94.57</v>
      </c>
      <c r="H103" s="177">
        <f t="shared" si="1"/>
        <v>94.73</v>
      </c>
      <c r="I103" s="208">
        <f t="shared" si="2"/>
        <v>0.63490000000000002</v>
      </c>
      <c r="J103" s="177">
        <f t="shared" si="31"/>
        <v>4728.5</v>
      </c>
      <c r="K103" s="177">
        <f t="shared" si="17"/>
        <v>-4736.75</v>
      </c>
      <c r="L103" s="177">
        <f t="shared" si="32"/>
        <v>23.5</v>
      </c>
      <c r="M103" s="177">
        <f t="shared" si="38"/>
        <v>2.8763999999999998</v>
      </c>
      <c r="N103" s="177">
        <f t="shared" si="34"/>
        <v>4.7300000000000004</v>
      </c>
      <c r="O103" s="177">
        <f t="shared" si="35"/>
        <v>0.16549749999999999</v>
      </c>
      <c r="P103" s="177">
        <f t="shared" si="36"/>
        <v>0.47285000000000005</v>
      </c>
      <c r="Q103" s="93">
        <f t="shared" si="37"/>
        <v>0</v>
      </c>
      <c r="R103" s="177">
        <v>-4737.8999999999996</v>
      </c>
      <c r="S103" s="179">
        <f t="shared" si="9"/>
        <v>1.1499999999996362</v>
      </c>
      <c r="T103" s="176">
        <v>38848</v>
      </c>
      <c r="U103" s="318"/>
      <c r="V103" s="176"/>
      <c r="W103" s="177"/>
      <c r="X103" s="317"/>
      <c r="Y103" s="41" t="s">
        <v>405</v>
      </c>
      <c r="Z103" s="93"/>
    </row>
    <row r="104" spans="1:26" ht="12" customHeight="1">
      <c r="A104" s="176">
        <v>38846</v>
      </c>
      <c r="B104" s="315" t="s">
        <v>1025</v>
      </c>
      <c r="C104" s="93" t="s">
        <v>448</v>
      </c>
      <c r="D104" s="93">
        <v>116</v>
      </c>
      <c r="E104" s="177">
        <v>60</v>
      </c>
      <c r="F104" s="177">
        <f t="shared" si="29"/>
        <v>0.3</v>
      </c>
      <c r="G104" s="177">
        <f t="shared" si="30"/>
        <v>60.3</v>
      </c>
      <c r="H104" s="177">
        <f t="shared" si="1"/>
        <v>60.41</v>
      </c>
      <c r="I104" s="208">
        <f t="shared" si="2"/>
        <v>0.4052</v>
      </c>
      <c r="J104" s="177">
        <f t="shared" si="31"/>
        <v>6994.7999999999993</v>
      </c>
      <c r="K104" s="177">
        <f t="shared" si="17"/>
        <v>-7007</v>
      </c>
      <c r="L104" s="177">
        <f t="shared" si="32"/>
        <v>34.799999999999997</v>
      </c>
      <c r="M104" s="177">
        <f t="shared" si="38"/>
        <v>4.2595199999999993</v>
      </c>
      <c r="N104" s="177">
        <f t="shared" si="34"/>
        <v>6.99</v>
      </c>
      <c r="O104" s="177">
        <f t="shared" si="35"/>
        <v>0.24481799999999995</v>
      </c>
      <c r="P104" s="177">
        <f t="shared" si="36"/>
        <v>0.69947999999999999</v>
      </c>
      <c r="Q104" s="93">
        <f t="shared" si="37"/>
        <v>0</v>
      </c>
      <c r="R104" s="177">
        <v>-6960</v>
      </c>
      <c r="S104" s="179"/>
      <c r="T104" s="176">
        <v>38833</v>
      </c>
      <c r="U104" s="318"/>
      <c r="V104" s="176"/>
      <c r="W104" s="177">
        <f t="shared" ref="W104:W105" si="41">-ROUND(R104/D104,2)</f>
        <v>60</v>
      </c>
      <c r="X104" s="317" t="str">
        <f>IF(X228="Not Sold","Not Sold","")</f>
        <v>Not Sold</v>
      </c>
      <c r="Y104" s="41"/>
      <c r="Z104" s="93"/>
    </row>
    <row r="105" spans="1:26" ht="12" customHeight="1">
      <c r="A105" s="176">
        <v>38846</v>
      </c>
      <c r="B105" s="315" t="s">
        <v>1025</v>
      </c>
      <c r="C105" s="93" t="s">
        <v>1020</v>
      </c>
      <c r="D105" s="93">
        <v>116</v>
      </c>
      <c r="E105" s="177">
        <v>60</v>
      </c>
      <c r="F105" s="177">
        <f t="shared" si="29"/>
        <v>0.3</v>
      </c>
      <c r="G105" s="177">
        <f t="shared" si="30"/>
        <v>60.3</v>
      </c>
      <c r="H105" s="177">
        <f t="shared" si="1"/>
        <v>60.41</v>
      </c>
      <c r="I105" s="208">
        <f t="shared" si="2"/>
        <v>0.4052</v>
      </c>
      <c r="J105" s="177">
        <f t="shared" si="31"/>
        <v>6994.7999999999993</v>
      </c>
      <c r="K105" s="177">
        <f t="shared" si="17"/>
        <v>-7007</v>
      </c>
      <c r="L105" s="177">
        <f t="shared" si="32"/>
        <v>34.799999999999997</v>
      </c>
      <c r="M105" s="177">
        <f t="shared" si="38"/>
        <v>4.2595199999999993</v>
      </c>
      <c r="N105" s="177">
        <f t="shared" si="34"/>
        <v>6.99</v>
      </c>
      <c r="O105" s="177">
        <f t="shared" si="35"/>
        <v>0.24481799999999995</v>
      </c>
      <c r="P105" s="177">
        <f t="shared" si="36"/>
        <v>0.69947999999999999</v>
      </c>
      <c r="Q105" s="93">
        <f t="shared" si="37"/>
        <v>0</v>
      </c>
      <c r="R105" s="177">
        <v>-6960</v>
      </c>
      <c r="S105" s="179"/>
      <c r="T105" s="176">
        <v>38833</v>
      </c>
      <c r="U105" s="318"/>
      <c r="V105" s="176"/>
      <c r="W105" s="177">
        <f t="shared" si="41"/>
        <v>60</v>
      </c>
      <c r="X105" s="317" t="str">
        <f>IF(X230="Not Sold","Not Sold","")</f>
        <v>Not Sold</v>
      </c>
      <c r="Y105" s="41"/>
      <c r="Z105" s="93"/>
    </row>
    <row r="106" spans="1:26" ht="12" customHeight="1">
      <c r="A106" s="176">
        <v>38847</v>
      </c>
      <c r="B106" s="315" t="s">
        <v>502</v>
      </c>
      <c r="C106" s="93" t="s">
        <v>448</v>
      </c>
      <c r="D106" s="93">
        <v>50</v>
      </c>
      <c r="E106" s="177">
        <v>219.75</v>
      </c>
      <c r="F106" s="177">
        <f t="shared" si="29"/>
        <v>1.1000000000000001</v>
      </c>
      <c r="G106" s="177">
        <f t="shared" si="30"/>
        <v>220.85</v>
      </c>
      <c r="H106" s="177">
        <f t="shared" si="1"/>
        <v>221.24</v>
      </c>
      <c r="I106" s="208">
        <f t="shared" si="2"/>
        <v>1.4853000000000001</v>
      </c>
      <c r="J106" s="177">
        <f t="shared" si="31"/>
        <v>11042.5</v>
      </c>
      <c r="K106" s="177">
        <f t="shared" si="17"/>
        <v>-11061.77</v>
      </c>
      <c r="L106" s="177">
        <f t="shared" si="32"/>
        <v>55.000000000000007</v>
      </c>
      <c r="M106" s="177">
        <f t="shared" si="38"/>
        <v>6.7320000000000002</v>
      </c>
      <c r="N106" s="177">
        <f t="shared" si="34"/>
        <v>11.04</v>
      </c>
      <c r="O106" s="177">
        <f t="shared" si="35"/>
        <v>0.38648749999999998</v>
      </c>
      <c r="P106" s="177">
        <f t="shared" si="36"/>
        <v>1.10425</v>
      </c>
      <c r="Q106" s="93">
        <f t="shared" si="37"/>
        <v>0</v>
      </c>
      <c r="R106" s="177">
        <v>-11062.29</v>
      </c>
      <c r="S106" s="179">
        <f t="shared" ref="S106:S127" si="42">IF(R106=K106,0,IF(R106&lt;0,K106-R106))</f>
        <v>0.52000000000043656</v>
      </c>
      <c r="T106" s="176">
        <v>38849</v>
      </c>
      <c r="U106" s="318"/>
      <c r="V106" s="176"/>
      <c r="W106" s="177"/>
      <c r="X106" s="317" t="str">
        <f t="shared" ref="X106:X107" si="43">IF(X232="Not Sold","Not Sold","")</f>
        <v>Not Sold</v>
      </c>
      <c r="Y106" s="41" t="s">
        <v>405</v>
      </c>
      <c r="Z106" s="93"/>
    </row>
    <row r="107" spans="1:26" ht="12" customHeight="1">
      <c r="A107" s="176">
        <v>38847</v>
      </c>
      <c r="B107" s="315" t="s">
        <v>1026</v>
      </c>
      <c r="C107" s="93" t="s">
        <v>448</v>
      </c>
      <c r="D107" s="93">
        <v>50</v>
      </c>
      <c r="E107" s="177">
        <v>225.5</v>
      </c>
      <c r="F107" s="177">
        <f t="shared" si="29"/>
        <v>1.1299999999999999</v>
      </c>
      <c r="G107" s="177">
        <f t="shared" si="30"/>
        <v>226.63</v>
      </c>
      <c r="H107" s="177">
        <f t="shared" si="1"/>
        <v>227.03</v>
      </c>
      <c r="I107" s="208">
        <f t="shared" si="2"/>
        <v>1.5256000000000001</v>
      </c>
      <c r="J107" s="177">
        <f t="shared" si="31"/>
        <v>11331.5</v>
      </c>
      <c r="K107" s="177">
        <f t="shared" si="17"/>
        <v>-11351.28</v>
      </c>
      <c r="L107" s="177">
        <f t="shared" si="32"/>
        <v>56.499999999999993</v>
      </c>
      <c r="M107" s="177">
        <f t="shared" si="38"/>
        <v>6.9155999999999986</v>
      </c>
      <c r="N107" s="177">
        <f t="shared" si="34"/>
        <v>11.33</v>
      </c>
      <c r="O107" s="177">
        <f t="shared" si="35"/>
        <v>0.39660249999999997</v>
      </c>
      <c r="P107" s="177">
        <f t="shared" si="36"/>
        <v>1.1331500000000001</v>
      </c>
      <c r="Q107" s="93">
        <f t="shared" si="37"/>
        <v>0</v>
      </c>
      <c r="R107" s="177">
        <v>-11352</v>
      </c>
      <c r="S107" s="179">
        <f t="shared" si="42"/>
        <v>0.71999999999934516</v>
      </c>
      <c r="T107" s="176">
        <v>38849</v>
      </c>
      <c r="U107" s="318"/>
      <c r="V107" s="176"/>
      <c r="W107" s="177"/>
      <c r="X107" s="317" t="str">
        <f t="shared" si="43"/>
        <v>Not Sold</v>
      </c>
      <c r="Y107" s="41" t="s">
        <v>405</v>
      </c>
      <c r="Z107" s="93"/>
    </row>
    <row r="108" spans="1:26" ht="12" customHeight="1">
      <c r="A108" s="176">
        <v>38847</v>
      </c>
      <c r="B108" s="315" t="s">
        <v>1024</v>
      </c>
      <c r="C108" s="93" t="s">
        <v>448</v>
      </c>
      <c r="D108" s="93">
        <v>50</v>
      </c>
      <c r="E108" s="177">
        <v>207</v>
      </c>
      <c r="F108" s="177">
        <f t="shared" si="29"/>
        <v>1.04</v>
      </c>
      <c r="G108" s="177">
        <f t="shared" si="30"/>
        <v>208.04</v>
      </c>
      <c r="H108" s="177">
        <f t="shared" si="1"/>
        <v>208.4</v>
      </c>
      <c r="I108" s="208">
        <f t="shared" si="2"/>
        <v>1.4034</v>
      </c>
      <c r="J108" s="177">
        <f t="shared" si="31"/>
        <v>10402</v>
      </c>
      <c r="K108" s="177">
        <f t="shared" si="17"/>
        <v>-10420.17</v>
      </c>
      <c r="L108" s="177">
        <f t="shared" si="32"/>
        <v>52</v>
      </c>
      <c r="M108" s="177">
        <f t="shared" si="38"/>
        <v>6.3647999999999998</v>
      </c>
      <c r="N108" s="177">
        <f t="shared" si="34"/>
        <v>10.4</v>
      </c>
      <c r="O108" s="177">
        <f t="shared" si="35"/>
        <v>0.36406999999999995</v>
      </c>
      <c r="P108" s="177">
        <f t="shared" si="36"/>
        <v>1.0402</v>
      </c>
      <c r="Q108" s="93">
        <f t="shared" si="37"/>
        <v>0</v>
      </c>
      <c r="R108" s="177">
        <v>-10421</v>
      </c>
      <c r="S108" s="179">
        <f t="shared" si="42"/>
        <v>0.82999999999992724</v>
      </c>
      <c r="T108" s="176">
        <v>38849</v>
      </c>
      <c r="U108" s="318">
        <f>ROUND((K53*(T108-T101)+K108*1)/(K108+K101),0)</f>
        <v>1</v>
      </c>
      <c r="V108" s="176">
        <f>U108+T101</f>
        <v>38848</v>
      </c>
      <c r="W108" s="177">
        <f>-ROUND((R108+R101)/(D108+D101),2)</f>
        <v>209.31</v>
      </c>
      <c r="X108" s="317" t="str">
        <f>IF(X225="Not Sold","Not Sold","")</f>
        <v>Not Sold</v>
      </c>
      <c r="Y108" s="41" t="s">
        <v>405</v>
      </c>
      <c r="Z108" s="93"/>
    </row>
    <row r="109" spans="1:26" ht="12" customHeight="1">
      <c r="A109" s="176">
        <v>38848</v>
      </c>
      <c r="B109" s="315" t="s">
        <v>975</v>
      </c>
      <c r="C109" s="93" t="s">
        <v>448</v>
      </c>
      <c r="D109" s="93">
        <v>5</v>
      </c>
      <c r="E109" s="177">
        <v>1144</v>
      </c>
      <c r="F109" s="177">
        <f t="shared" si="29"/>
        <v>5.72</v>
      </c>
      <c r="G109" s="177">
        <f t="shared" si="30"/>
        <v>1149.72</v>
      </c>
      <c r="H109" s="177">
        <f t="shared" si="1"/>
        <v>1151.73</v>
      </c>
      <c r="I109" s="208">
        <f t="shared" si="2"/>
        <v>7.7253999999999996</v>
      </c>
      <c r="J109" s="177">
        <f t="shared" si="31"/>
        <v>5748.6</v>
      </c>
      <c r="K109" s="177">
        <f t="shared" si="17"/>
        <v>-5758.63</v>
      </c>
      <c r="L109" s="177">
        <f t="shared" si="32"/>
        <v>28.599999999999998</v>
      </c>
      <c r="M109" s="177">
        <f t="shared" si="38"/>
        <v>3.5006399999999998</v>
      </c>
      <c r="N109" s="177">
        <f t="shared" si="34"/>
        <v>5.75</v>
      </c>
      <c r="O109" s="177">
        <f t="shared" si="35"/>
        <v>0.20120099999999999</v>
      </c>
      <c r="P109" s="177">
        <f t="shared" si="36"/>
        <v>0.57486000000000004</v>
      </c>
      <c r="Q109" s="93">
        <f t="shared" si="37"/>
        <v>0</v>
      </c>
      <c r="R109" s="177">
        <v>-5761.61</v>
      </c>
      <c r="S109" s="179">
        <f t="shared" si="42"/>
        <v>2.9799999999995634</v>
      </c>
      <c r="T109" s="176">
        <v>38850</v>
      </c>
      <c r="U109" s="318"/>
      <c r="V109" s="176"/>
      <c r="W109" s="177"/>
      <c r="X109" s="317" t="str">
        <f t="shared" ref="X109:X113" si="44">IF(X234="Not Sold","Not Sold","")</f>
        <v/>
      </c>
      <c r="Y109" s="41" t="s">
        <v>405</v>
      </c>
      <c r="Z109" s="93"/>
    </row>
    <row r="110" spans="1:26" ht="12" customHeight="1">
      <c r="A110" s="176">
        <v>38848</v>
      </c>
      <c r="B110" s="315" t="s">
        <v>1000</v>
      </c>
      <c r="C110" s="93" t="s">
        <v>448</v>
      </c>
      <c r="D110" s="93">
        <v>50</v>
      </c>
      <c r="E110" s="177">
        <v>274.89</v>
      </c>
      <c r="F110" s="177">
        <f t="shared" si="29"/>
        <v>1.37</v>
      </c>
      <c r="G110" s="177">
        <f t="shared" si="30"/>
        <v>276.26</v>
      </c>
      <c r="H110" s="177">
        <f t="shared" si="1"/>
        <v>276.74</v>
      </c>
      <c r="I110" s="208">
        <f t="shared" si="2"/>
        <v>1.8512</v>
      </c>
      <c r="J110" s="177">
        <f t="shared" si="31"/>
        <v>13813</v>
      </c>
      <c r="K110" s="177">
        <f t="shared" si="17"/>
        <v>-13837.06</v>
      </c>
      <c r="L110" s="177">
        <f t="shared" si="32"/>
        <v>68.5</v>
      </c>
      <c r="M110" s="177">
        <f t="shared" si="38"/>
        <v>8.3843999999999994</v>
      </c>
      <c r="N110" s="177">
        <f t="shared" si="34"/>
        <v>13.81</v>
      </c>
      <c r="O110" s="177">
        <f t="shared" si="35"/>
        <v>0.48345499999999997</v>
      </c>
      <c r="P110" s="177">
        <f t="shared" si="36"/>
        <v>1.3813</v>
      </c>
      <c r="Q110" s="93">
        <f t="shared" si="37"/>
        <v>0</v>
      </c>
      <c r="R110" s="177">
        <v>-13840</v>
      </c>
      <c r="S110" s="179">
        <f t="shared" si="42"/>
        <v>2.9400000000005093</v>
      </c>
      <c r="T110" s="176">
        <v>38850</v>
      </c>
      <c r="U110" s="318"/>
      <c r="V110" s="176"/>
      <c r="W110" s="177"/>
      <c r="X110" s="317" t="str">
        <f t="shared" si="44"/>
        <v>Not Sold</v>
      </c>
      <c r="Y110" s="41" t="s">
        <v>405</v>
      </c>
      <c r="Z110" s="93"/>
    </row>
    <row r="111" spans="1:26" ht="12" customHeight="1">
      <c r="A111" s="176">
        <v>38853</v>
      </c>
      <c r="B111" s="315" t="s">
        <v>1025</v>
      </c>
      <c r="C111" s="93" t="s">
        <v>448</v>
      </c>
      <c r="D111" s="93">
        <v>200</v>
      </c>
      <c r="E111" s="177">
        <v>77.400000000000006</v>
      </c>
      <c r="F111" s="177">
        <f t="shared" si="29"/>
        <v>0.39</v>
      </c>
      <c r="G111" s="177">
        <f t="shared" si="30"/>
        <v>77.790000000000006</v>
      </c>
      <c r="H111" s="177">
        <f t="shared" si="1"/>
        <v>77.930000000000007</v>
      </c>
      <c r="I111" s="208">
        <f t="shared" si="2"/>
        <v>0.52610000000000001</v>
      </c>
      <c r="J111" s="177">
        <f t="shared" si="31"/>
        <v>15558.000000000002</v>
      </c>
      <c r="K111" s="177">
        <f t="shared" si="17"/>
        <v>-15585.210000000001</v>
      </c>
      <c r="L111" s="177">
        <f t="shared" si="32"/>
        <v>78</v>
      </c>
      <c r="M111" s="177">
        <f t="shared" si="38"/>
        <v>9.5472000000000001</v>
      </c>
      <c r="N111" s="177">
        <f t="shared" si="34"/>
        <v>15.56</v>
      </c>
      <c r="O111" s="177">
        <f t="shared" si="35"/>
        <v>0.54453000000000007</v>
      </c>
      <c r="P111" s="177">
        <f t="shared" si="36"/>
        <v>1.5558000000000003</v>
      </c>
      <c r="Q111" s="93">
        <f t="shared" si="37"/>
        <v>0</v>
      </c>
      <c r="R111" s="177">
        <v>-15584.71</v>
      </c>
      <c r="S111" s="179">
        <f t="shared" si="42"/>
        <v>-0.50000000000181899</v>
      </c>
      <c r="T111" s="176">
        <v>38855</v>
      </c>
      <c r="U111" s="318"/>
      <c r="V111" s="176"/>
      <c r="W111" s="177"/>
      <c r="X111" s="317" t="str">
        <f t="shared" si="44"/>
        <v>Not Sold</v>
      </c>
      <c r="Y111" s="41" t="s">
        <v>405</v>
      </c>
      <c r="Z111" s="93"/>
    </row>
    <row r="112" spans="1:26" ht="12" customHeight="1">
      <c r="A112" s="176">
        <v>38855</v>
      </c>
      <c r="B112" s="315" t="s">
        <v>996</v>
      </c>
      <c r="C112" s="93" t="s">
        <v>448</v>
      </c>
      <c r="D112" s="93">
        <v>100</v>
      </c>
      <c r="E112" s="177">
        <v>201.8</v>
      </c>
      <c r="F112" s="177">
        <f t="shared" si="29"/>
        <v>1.01</v>
      </c>
      <c r="G112" s="177">
        <f t="shared" si="30"/>
        <v>202.81</v>
      </c>
      <c r="H112" s="177">
        <f t="shared" si="1"/>
        <v>203.16</v>
      </c>
      <c r="I112" s="208">
        <f t="shared" si="2"/>
        <v>1.3638999999999999</v>
      </c>
      <c r="J112" s="177">
        <f t="shared" si="31"/>
        <v>20281</v>
      </c>
      <c r="K112" s="177">
        <f t="shared" si="17"/>
        <v>-20316.39</v>
      </c>
      <c r="L112" s="177">
        <f t="shared" si="32"/>
        <v>101</v>
      </c>
      <c r="M112" s="177">
        <f t="shared" si="38"/>
        <v>12.362399999999999</v>
      </c>
      <c r="N112" s="177">
        <f t="shared" si="34"/>
        <v>20.28</v>
      </c>
      <c r="O112" s="177">
        <f t="shared" si="35"/>
        <v>0.70983499999999988</v>
      </c>
      <c r="P112" s="177">
        <f t="shared" si="36"/>
        <v>2.0281000000000002</v>
      </c>
      <c r="Q112" s="93">
        <f t="shared" si="37"/>
        <v>0</v>
      </c>
      <c r="R112" s="177">
        <f t="shared" ref="R112:R116" si="45">K112</f>
        <v>-20316.39</v>
      </c>
      <c r="S112" s="179">
        <f t="shared" si="42"/>
        <v>0</v>
      </c>
      <c r="T112" s="176">
        <v>38859</v>
      </c>
      <c r="U112" s="318"/>
      <c r="V112" s="176"/>
      <c r="W112" s="177"/>
      <c r="X112" s="317" t="str">
        <f t="shared" si="44"/>
        <v>Not Sold</v>
      </c>
      <c r="Y112" s="41" t="s">
        <v>405</v>
      </c>
      <c r="Z112" s="93"/>
    </row>
    <row r="113" spans="1:26" ht="12" customHeight="1">
      <c r="A113" s="176">
        <v>38855</v>
      </c>
      <c r="B113" s="315" t="s">
        <v>996</v>
      </c>
      <c r="C113" s="93" t="s">
        <v>448</v>
      </c>
      <c r="D113" s="93">
        <v>100</v>
      </c>
      <c r="E113" s="177">
        <v>191.5</v>
      </c>
      <c r="F113" s="177">
        <f t="shared" si="29"/>
        <v>0.96</v>
      </c>
      <c r="G113" s="177">
        <f t="shared" si="30"/>
        <v>192.46</v>
      </c>
      <c r="H113" s="177">
        <f t="shared" si="1"/>
        <v>192.8</v>
      </c>
      <c r="I113" s="208">
        <f t="shared" si="2"/>
        <v>1.296</v>
      </c>
      <c r="J113" s="177">
        <f t="shared" si="31"/>
        <v>19246</v>
      </c>
      <c r="K113" s="177">
        <f t="shared" si="17"/>
        <v>-19279.599999999999</v>
      </c>
      <c r="L113" s="177">
        <f t="shared" si="32"/>
        <v>96</v>
      </c>
      <c r="M113" s="177">
        <f t="shared" si="38"/>
        <v>11.750399999999999</v>
      </c>
      <c r="N113" s="177">
        <f t="shared" si="34"/>
        <v>19.25</v>
      </c>
      <c r="O113" s="177">
        <f t="shared" si="35"/>
        <v>0.67360999999999993</v>
      </c>
      <c r="P113" s="177">
        <f t="shared" si="36"/>
        <v>1.9246000000000001</v>
      </c>
      <c r="Q113" s="93">
        <f t="shared" si="37"/>
        <v>0</v>
      </c>
      <c r="R113" s="177">
        <f t="shared" si="45"/>
        <v>-19279.599999999999</v>
      </c>
      <c r="S113" s="179">
        <f t="shared" si="42"/>
        <v>0</v>
      </c>
      <c r="T113" s="176">
        <v>38859</v>
      </c>
      <c r="U113" s="318"/>
      <c r="V113" s="176"/>
      <c r="W113" s="177"/>
      <c r="X113" s="317" t="str">
        <f t="shared" si="44"/>
        <v/>
      </c>
      <c r="Y113" s="41" t="s">
        <v>405</v>
      </c>
      <c r="Z113" s="93"/>
    </row>
    <row r="114" spans="1:26" ht="12" customHeight="1">
      <c r="A114" s="176">
        <v>38855</v>
      </c>
      <c r="B114" s="315" t="s">
        <v>296</v>
      </c>
      <c r="C114" s="93" t="s">
        <v>448</v>
      </c>
      <c r="D114" s="93">
        <v>30</v>
      </c>
      <c r="E114" s="177">
        <v>1364.97</v>
      </c>
      <c r="F114" s="177">
        <f t="shared" si="29"/>
        <v>6.82</v>
      </c>
      <c r="G114" s="177">
        <f t="shared" si="30"/>
        <v>1371.79</v>
      </c>
      <c r="H114" s="177">
        <f t="shared" si="1"/>
        <v>1374.18</v>
      </c>
      <c r="I114" s="208">
        <f t="shared" si="2"/>
        <v>9.2117000000000004</v>
      </c>
      <c r="J114" s="177">
        <f t="shared" si="31"/>
        <v>41153.699999999997</v>
      </c>
      <c r="K114" s="177">
        <f t="shared" si="17"/>
        <v>-41225.450000000004</v>
      </c>
      <c r="L114" s="177">
        <f t="shared" si="32"/>
        <v>204.60000000000002</v>
      </c>
      <c r="M114" s="177">
        <f t="shared" si="38"/>
        <v>25.043040000000001</v>
      </c>
      <c r="N114" s="177">
        <f t="shared" si="34"/>
        <v>41.15</v>
      </c>
      <c r="O114" s="177">
        <f t="shared" si="35"/>
        <v>1.4403794999999997</v>
      </c>
      <c r="P114" s="177">
        <f t="shared" si="36"/>
        <v>4.1153699999999995</v>
      </c>
      <c r="Q114" s="93">
        <f t="shared" si="37"/>
        <v>0</v>
      </c>
      <c r="R114" s="177">
        <f t="shared" si="45"/>
        <v>-41225.450000000004</v>
      </c>
      <c r="S114" s="179">
        <f t="shared" si="42"/>
        <v>0</v>
      </c>
      <c r="T114" s="176">
        <v>38859</v>
      </c>
      <c r="U114" s="318"/>
      <c r="V114" s="176"/>
      <c r="W114" s="177"/>
      <c r="X114" s="317"/>
      <c r="Y114" s="41" t="s">
        <v>405</v>
      </c>
      <c r="Z114" s="93"/>
    </row>
    <row r="115" spans="1:26" ht="12" customHeight="1">
      <c r="A115" s="176">
        <v>38855</v>
      </c>
      <c r="B115" s="315" t="s">
        <v>988</v>
      </c>
      <c r="C115" s="93" t="s">
        <v>448</v>
      </c>
      <c r="D115" s="93">
        <v>200</v>
      </c>
      <c r="E115" s="177">
        <v>23.85</v>
      </c>
      <c r="F115" s="177">
        <f t="shared" si="29"/>
        <v>0.12</v>
      </c>
      <c r="G115" s="177">
        <f t="shared" si="30"/>
        <v>23.970000000000002</v>
      </c>
      <c r="H115" s="177">
        <f t="shared" si="1"/>
        <v>24.01</v>
      </c>
      <c r="I115" s="208">
        <f t="shared" si="2"/>
        <v>0.16189999999999999</v>
      </c>
      <c r="J115" s="177">
        <f t="shared" si="31"/>
        <v>4794.0000000000009</v>
      </c>
      <c r="K115" s="177">
        <f t="shared" si="17"/>
        <v>-4802.38</v>
      </c>
      <c r="L115" s="177">
        <f t="shared" si="32"/>
        <v>24</v>
      </c>
      <c r="M115" s="177">
        <f t="shared" si="38"/>
        <v>2.9375999999999998</v>
      </c>
      <c r="N115" s="177">
        <f t="shared" si="34"/>
        <v>4.79</v>
      </c>
      <c r="O115" s="177">
        <f t="shared" si="35"/>
        <v>0.16779000000000002</v>
      </c>
      <c r="P115" s="177">
        <f t="shared" si="36"/>
        <v>0.4794000000000001</v>
      </c>
      <c r="Q115" s="93">
        <f t="shared" si="37"/>
        <v>0</v>
      </c>
      <c r="R115" s="177">
        <f t="shared" si="45"/>
        <v>-4802.38</v>
      </c>
      <c r="S115" s="179">
        <f t="shared" si="42"/>
        <v>0</v>
      </c>
      <c r="T115" s="176">
        <v>38859</v>
      </c>
      <c r="U115" s="318"/>
      <c r="V115" s="176"/>
      <c r="W115" s="177"/>
      <c r="X115" s="317" t="str">
        <f>IF(X171="Not Sold","Not Sold","")</f>
        <v/>
      </c>
      <c r="Y115" s="41" t="s">
        <v>405</v>
      </c>
      <c r="Z115" s="93"/>
    </row>
    <row r="116" spans="1:26" ht="12" customHeight="1">
      <c r="A116" s="176">
        <v>38904</v>
      </c>
      <c r="B116" s="315" t="s">
        <v>988</v>
      </c>
      <c r="C116" s="93" t="s">
        <v>448</v>
      </c>
      <c r="D116" s="93">
        <v>200</v>
      </c>
      <c r="E116" s="177">
        <v>20.5</v>
      </c>
      <c r="F116" s="177">
        <f t="shared" si="29"/>
        <v>0.1</v>
      </c>
      <c r="G116" s="177">
        <f t="shared" si="30"/>
        <v>20.6</v>
      </c>
      <c r="H116" s="177">
        <f t="shared" si="1"/>
        <v>20.64</v>
      </c>
      <c r="I116" s="208">
        <f t="shared" si="2"/>
        <v>0.13569999999999999</v>
      </c>
      <c r="J116" s="177">
        <f t="shared" si="31"/>
        <v>4120</v>
      </c>
      <c r="K116" s="177">
        <f t="shared" si="17"/>
        <v>-4127.13</v>
      </c>
      <c r="L116" s="177">
        <f t="shared" si="32"/>
        <v>20</v>
      </c>
      <c r="M116" s="177">
        <f t="shared" si="38"/>
        <v>2.448</v>
      </c>
      <c r="N116" s="177">
        <f t="shared" si="34"/>
        <v>4.12</v>
      </c>
      <c r="O116" s="177">
        <f t="shared" si="35"/>
        <v>0.14419999999999999</v>
      </c>
      <c r="P116" s="177">
        <f t="shared" si="36"/>
        <v>0.41200000000000003</v>
      </c>
      <c r="Q116" s="93">
        <f t="shared" si="37"/>
        <v>0</v>
      </c>
      <c r="R116" s="177">
        <f t="shared" si="45"/>
        <v>-4127.13</v>
      </c>
      <c r="S116" s="179">
        <f t="shared" si="42"/>
        <v>0</v>
      </c>
      <c r="T116" s="176">
        <v>38908</v>
      </c>
      <c r="U116" s="318">
        <f>ROUND(((K46*(T115-T46))+(K115*(T116-T115))+K116*1)/(K46+K115+K116),0)</f>
        <v>75</v>
      </c>
      <c r="V116" s="176">
        <f>T46+U116</f>
        <v>38718</v>
      </c>
      <c r="W116" s="177">
        <f>-ROUND((R46+R115+R116)/(D46+D115+D116),2)</f>
        <v>23.88</v>
      </c>
      <c r="X116" s="317" t="str">
        <f>IF(X171="Not Sold","Not Sold","")</f>
        <v/>
      </c>
      <c r="Y116" s="41" t="s">
        <v>405</v>
      </c>
      <c r="Z116" s="93"/>
    </row>
    <row r="117" spans="1:26" ht="12" customHeight="1">
      <c r="A117" s="176">
        <v>38910</v>
      </c>
      <c r="B117" s="315" t="s">
        <v>1022</v>
      </c>
      <c r="C117" s="93" t="s">
        <v>1020</v>
      </c>
      <c r="D117" s="93">
        <v>2</v>
      </c>
      <c r="E117" s="177"/>
      <c r="F117" s="177"/>
      <c r="G117" s="177"/>
      <c r="H117" s="177"/>
      <c r="I117" s="208"/>
      <c r="J117" s="177"/>
      <c r="K117" s="177"/>
      <c r="L117" s="177"/>
      <c r="M117" s="177"/>
      <c r="N117" s="177"/>
      <c r="O117" s="177"/>
      <c r="P117" s="177"/>
      <c r="Q117" s="93"/>
      <c r="R117" s="177"/>
      <c r="S117" s="179">
        <f t="shared" si="42"/>
        <v>0</v>
      </c>
      <c r="T117" s="176"/>
      <c r="U117" s="318"/>
      <c r="V117" s="176"/>
      <c r="W117" s="177">
        <f>-ROUND((R117+R94)/(D117+D94),2)</f>
        <v>1626.14</v>
      </c>
      <c r="X117" s="317" t="str">
        <f>IF(X218="Not Sold","Not Sold","")</f>
        <v/>
      </c>
      <c r="Y117" s="41"/>
      <c r="Z117" s="93"/>
    </row>
    <row r="118" spans="1:26" ht="12" customHeight="1">
      <c r="A118" s="176">
        <v>38911</v>
      </c>
      <c r="B118" s="315" t="s">
        <v>1027</v>
      </c>
      <c r="C118" s="93" t="s">
        <v>448</v>
      </c>
      <c r="D118" s="93">
        <v>2</v>
      </c>
      <c r="E118" s="177">
        <v>1881.9</v>
      </c>
      <c r="F118" s="177">
        <f>IF(E118*D118*E$326&lt;10,10/D118,ROUND(E118*E$326,2))</f>
        <v>9.41</v>
      </c>
      <c r="G118" s="177">
        <f>E118+F118</f>
        <v>1891.3100000000002</v>
      </c>
      <c r="H118" s="177">
        <f>ROUND(E118+I118,2)</f>
        <v>1894.61</v>
      </c>
      <c r="I118" s="208">
        <f>ROUNDUP(SUM(L118:Q118)/D118,4)</f>
        <v>12.7072</v>
      </c>
      <c r="J118" s="177">
        <f>D118*G118</f>
        <v>3782.6200000000003</v>
      </c>
      <c r="K118" s="177">
        <f>-ROUNDUP(J118+M118+N118+O118+P118+Q118,2)</f>
        <v>-3789.2200000000003</v>
      </c>
      <c r="L118" s="177">
        <f>F118*D118</f>
        <v>18.82</v>
      </c>
      <c r="M118" s="177">
        <f>L118*F$328</f>
        <v>2.3035679999999998</v>
      </c>
      <c r="N118" s="177">
        <f>ROUND(J118*E$329,2)</f>
        <v>3.78</v>
      </c>
      <c r="O118" s="177">
        <f>J118*E$332</f>
        <v>0.1323917</v>
      </c>
      <c r="P118" s="177">
        <f>J118*E$334</f>
        <v>0.37826200000000004</v>
      </c>
      <c r="Q118" s="93">
        <f>E$336</f>
        <v>0</v>
      </c>
      <c r="R118" s="177">
        <f>K118</f>
        <v>-3789.2200000000003</v>
      </c>
      <c r="S118" s="179">
        <f t="shared" si="42"/>
        <v>0</v>
      </c>
      <c r="T118" s="176">
        <v>38915</v>
      </c>
      <c r="U118" s="318"/>
      <c r="V118" s="176"/>
      <c r="W118" s="177"/>
      <c r="X118" s="317" t="str">
        <f>IF(X240="Not Sold","Not Sold","")</f>
        <v/>
      </c>
      <c r="Y118" s="41"/>
      <c r="Z118" s="93"/>
    </row>
    <row r="119" spans="1:26" ht="12" customHeight="1">
      <c r="A119" s="176">
        <v>38940</v>
      </c>
      <c r="B119" s="315" t="s">
        <v>1027</v>
      </c>
      <c r="C119" s="93" t="s">
        <v>448</v>
      </c>
      <c r="D119" s="93">
        <v>2</v>
      </c>
      <c r="E119" s="177"/>
      <c r="F119" s="177"/>
      <c r="G119" s="177"/>
      <c r="H119" s="177"/>
      <c r="I119" s="208"/>
      <c r="J119" s="177"/>
      <c r="K119" s="177"/>
      <c r="L119" s="177"/>
      <c r="M119" s="177"/>
      <c r="N119" s="177"/>
      <c r="O119" s="177"/>
      <c r="P119" s="177"/>
      <c r="Q119" s="93"/>
      <c r="R119" s="177"/>
      <c r="S119" s="179">
        <f t="shared" si="42"/>
        <v>0</v>
      </c>
      <c r="T119" s="176"/>
      <c r="U119" s="318"/>
      <c r="V119" s="176"/>
      <c r="W119" s="177">
        <f>-ROUND((R119+R118)/(D119+D118),2)</f>
        <v>947.31</v>
      </c>
      <c r="X119" s="317" t="str">
        <f>IF(X220="Not Sold","Not Sold","")</f>
        <v/>
      </c>
      <c r="Y119" s="41"/>
      <c r="Z119" s="93"/>
    </row>
    <row r="120" spans="1:26" ht="12" customHeight="1">
      <c r="A120" s="176">
        <v>39003</v>
      </c>
      <c r="B120" s="315" t="s">
        <v>1021</v>
      </c>
      <c r="C120" s="93" t="s">
        <v>1020</v>
      </c>
      <c r="D120" s="93">
        <v>15</v>
      </c>
      <c r="E120" s="177"/>
      <c r="F120" s="177"/>
      <c r="G120" s="177"/>
      <c r="H120" s="177"/>
      <c r="I120" s="208"/>
      <c r="J120" s="177"/>
      <c r="K120" s="177"/>
      <c r="L120" s="177"/>
      <c r="M120" s="177"/>
      <c r="N120" s="177"/>
      <c r="O120" s="177"/>
      <c r="P120" s="177"/>
      <c r="Q120" s="93"/>
      <c r="R120" s="177"/>
      <c r="S120" s="179">
        <f t="shared" si="42"/>
        <v>0</v>
      </c>
      <c r="T120" s="176">
        <v>39003</v>
      </c>
      <c r="U120" s="318">
        <f>ROUND((K93*(T120-T93)+K120*1)/(K120+K93),0)</f>
        <v>171</v>
      </c>
      <c r="V120" s="176">
        <f>T93+U120</f>
        <v>39003</v>
      </c>
      <c r="W120" s="177">
        <f>-ROUND((R120+R93)/(D120+D93),2)</f>
        <v>413.84</v>
      </c>
      <c r="X120" s="317" t="str">
        <f>IF(X241="Not Sold","Not Sold","")</f>
        <v/>
      </c>
      <c r="Y120" s="41" t="s">
        <v>405</v>
      </c>
      <c r="Z120" s="93"/>
    </row>
    <row r="121" spans="1:26" ht="12" customHeight="1">
      <c r="A121" s="176">
        <v>39003</v>
      </c>
      <c r="B121" s="315" t="s">
        <v>296</v>
      </c>
      <c r="C121" s="93" t="s">
        <v>448</v>
      </c>
      <c r="D121" s="93">
        <v>15</v>
      </c>
      <c r="E121" s="177"/>
      <c r="F121" s="177"/>
      <c r="G121" s="177"/>
      <c r="H121" s="177"/>
      <c r="I121" s="208"/>
      <c r="J121" s="177"/>
      <c r="K121" s="177"/>
      <c r="L121" s="177"/>
      <c r="M121" s="177"/>
      <c r="N121" s="177"/>
      <c r="O121" s="177"/>
      <c r="P121" s="177"/>
      <c r="Q121" s="93"/>
      <c r="R121" s="177"/>
      <c r="S121" s="179">
        <f t="shared" si="42"/>
        <v>0</v>
      </c>
      <c r="T121" s="176">
        <v>39036</v>
      </c>
      <c r="U121" s="318">
        <f>ROUND((K114*(T121-T114)+K121*1)/(K121+K114),0)</f>
        <v>177</v>
      </c>
      <c r="V121" s="176">
        <f>T114+U121</f>
        <v>39036</v>
      </c>
      <c r="W121" s="177">
        <f>-ROUND((R121+R114)/(D121+D114),2)</f>
        <v>916.12</v>
      </c>
      <c r="X121" s="317" t="str">
        <f>IF(X239="Not Sold","Not Sold","")</f>
        <v>Not Sold</v>
      </c>
      <c r="Y121" s="41" t="s">
        <v>405</v>
      </c>
      <c r="Z121" s="93"/>
    </row>
    <row r="122" spans="1:26" ht="12" customHeight="1">
      <c r="A122" s="176">
        <v>39143</v>
      </c>
      <c r="B122" s="315" t="s">
        <v>1022</v>
      </c>
      <c r="C122" s="93" t="s">
        <v>448</v>
      </c>
      <c r="D122" s="93">
        <v>2</v>
      </c>
      <c r="E122" s="177">
        <v>2093.21</v>
      </c>
      <c r="F122" s="177">
        <f t="shared" ref="F122:F127" si="46">IF(E122*D122*E$326&lt;10,10/D122,ROUND(E122*E$326,2))</f>
        <v>10.47</v>
      </c>
      <c r="G122" s="177">
        <f t="shared" ref="G122:G127" si="47">E122+F122</f>
        <v>2103.6799999999998</v>
      </c>
      <c r="H122" s="177">
        <f t="shared" ref="H122:H127" si="48">ROUND(E122+I122,2)</f>
        <v>2107.35</v>
      </c>
      <c r="I122" s="208">
        <f t="shared" ref="I122:I127" si="49">ROUNDUP(SUM(L122:Q122)/D122,4)</f>
        <v>14.140599999999999</v>
      </c>
      <c r="J122" s="177">
        <f t="shared" ref="J122:J127" si="50">D122*G122</f>
        <v>4207.3599999999997</v>
      </c>
      <c r="K122" s="177">
        <f t="shared" ref="K122:K127" si="51">-ROUNDUP(J122+M122+N122+O122+P122+Q122,2)</f>
        <v>-4214.71</v>
      </c>
      <c r="L122" s="177">
        <f t="shared" ref="L122:L127" si="52">F122*D122</f>
        <v>20.94</v>
      </c>
      <c r="M122" s="177">
        <f t="shared" ref="M122:M127" si="53">L122*F$328</f>
        <v>2.563056</v>
      </c>
      <c r="N122" s="177">
        <f t="shared" ref="N122:N127" si="54">ROUND(J122*E$329,2)</f>
        <v>4.21</v>
      </c>
      <c r="O122" s="177">
        <f t="shared" ref="O122:O127" si="55">J122*E$332</f>
        <v>0.14725759999999999</v>
      </c>
      <c r="P122" s="177">
        <f t="shared" ref="P122:P127" si="56">J122*E$334</f>
        <v>0.420736</v>
      </c>
      <c r="Q122" s="93">
        <f t="shared" ref="Q122:Q127" si="57">E$336</f>
        <v>0</v>
      </c>
      <c r="R122" s="177">
        <f t="shared" ref="R122:R127" si="58">K122</f>
        <v>-4214.71</v>
      </c>
      <c r="S122" s="179">
        <f t="shared" si="42"/>
        <v>0</v>
      </c>
      <c r="T122" s="176">
        <v>39147</v>
      </c>
      <c r="U122" s="318"/>
      <c r="V122" s="176"/>
      <c r="W122" s="177"/>
      <c r="X122" s="317" t="str">
        <f t="shared" ref="X122:X123" si="59">IF(X243="Not Sold","Not Sold","")</f>
        <v>Not Sold</v>
      </c>
      <c r="Y122" s="41" t="s">
        <v>1028</v>
      </c>
      <c r="Z122" s="93"/>
    </row>
    <row r="123" spans="1:26" ht="12" customHeight="1">
      <c r="A123" s="176">
        <v>39143</v>
      </c>
      <c r="B123" s="315" t="s">
        <v>1027</v>
      </c>
      <c r="C123" s="93" t="s">
        <v>448</v>
      </c>
      <c r="D123" s="93">
        <v>2</v>
      </c>
      <c r="E123" s="177">
        <v>1186.229914911665</v>
      </c>
      <c r="F123" s="177">
        <f t="shared" si="46"/>
        <v>5.93</v>
      </c>
      <c r="G123" s="177">
        <f t="shared" si="47"/>
        <v>1192.1599149116651</v>
      </c>
      <c r="H123" s="177">
        <f t="shared" si="48"/>
        <v>1194.24</v>
      </c>
      <c r="I123" s="208">
        <f t="shared" si="49"/>
        <v>8.0068000000000001</v>
      </c>
      <c r="J123" s="177">
        <f t="shared" si="50"/>
        <v>2384.3198298233301</v>
      </c>
      <c r="K123" s="177">
        <f t="shared" si="51"/>
        <v>-2388.48</v>
      </c>
      <c r="L123" s="177">
        <f t="shared" si="52"/>
        <v>11.86</v>
      </c>
      <c r="M123" s="177">
        <f t="shared" si="53"/>
        <v>1.4516639999999998</v>
      </c>
      <c r="N123" s="177">
        <f t="shared" si="54"/>
        <v>2.38</v>
      </c>
      <c r="O123" s="177">
        <f t="shared" si="55"/>
        <v>8.345119404381654E-2</v>
      </c>
      <c r="P123" s="177">
        <f t="shared" si="56"/>
        <v>0.23843198298233304</v>
      </c>
      <c r="Q123" s="93">
        <f t="shared" si="57"/>
        <v>0</v>
      </c>
      <c r="R123" s="177">
        <f t="shared" si="58"/>
        <v>-2388.48</v>
      </c>
      <c r="S123" s="179">
        <f t="shared" si="42"/>
        <v>0</v>
      </c>
      <c r="T123" s="176">
        <v>39147</v>
      </c>
      <c r="U123" s="318"/>
      <c r="V123" s="176"/>
      <c r="W123" s="177"/>
      <c r="X123" s="317" t="str">
        <f t="shared" si="59"/>
        <v>Not Sold</v>
      </c>
      <c r="Y123" s="41" t="s">
        <v>405</v>
      </c>
      <c r="Z123" s="93"/>
    </row>
    <row r="124" spans="1:26" ht="12" customHeight="1">
      <c r="A124" s="176">
        <v>39155</v>
      </c>
      <c r="B124" s="315" t="s">
        <v>989</v>
      </c>
      <c r="C124" s="93" t="s">
        <v>1020</v>
      </c>
      <c r="D124" s="93">
        <v>25</v>
      </c>
      <c r="E124" s="177">
        <v>144.5</v>
      </c>
      <c r="F124" s="177">
        <f t="shared" si="46"/>
        <v>0.72</v>
      </c>
      <c r="G124" s="177">
        <f t="shared" si="47"/>
        <v>145.22</v>
      </c>
      <c r="H124" s="177">
        <f t="shared" si="48"/>
        <v>145.47</v>
      </c>
      <c r="I124" s="208">
        <f t="shared" si="49"/>
        <v>0.97299999999999998</v>
      </c>
      <c r="J124" s="177">
        <f t="shared" si="50"/>
        <v>3630.5</v>
      </c>
      <c r="K124" s="177">
        <f t="shared" si="51"/>
        <v>-3636.8300000000004</v>
      </c>
      <c r="L124" s="177">
        <f t="shared" si="52"/>
        <v>18</v>
      </c>
      <c r="M124" s="177">
        <f t="shared" si="53"/>
        <v>2.2031999999999998</v>
      </c>
      <c r="N124" s="177">
        <f t="shared" si="54"/>
        <v>3.63</v>
      </c>
      <c r="O124" s="177">
        <f t="shared" si="55"/>
        <v>0.1270675</v>
      </c>
      <c r="P124" s="177">
        <f t="shared" si="56"/>
        <v>0.36305000000000004</v>
      </c>
      <c r="Q124" s="93">
        <f t="shared" si="57"/>
        <v>0</v>
      </c>
      <c r="R124" s="177">
        <f t="shared" si="58"/>
        <v>-3636.8300000000004</v>
      </c>
      <c r="S124" s="179">
        <f t="shared" si="42"/>
        <v>0</v>
      </c>
      <c r="T124" s="176">
        <v>39157</v>
      </c>
      <c r="U124" s="318"/>
      <c r="V124" s="176"/>
      <c r="W124" s="177"/>
      <c r="X124" s="317" t="str">
        <f>IF(X247="Not Sold","Not Sold","")</f>
        <v>Not Sold</v>
      </c>
      <c r="Y124" s="41" t="s">
        <v>405</v>
      </c>
      <c r="Z124" s="93"/>
    </row>
    <row r="125" spans="1:26" ht="12" customHeight="1">
      <c r="A125" s="176">
        <v>39157</v>
      </c>
      <c r="B125" s="315" t="s">
        <v>1029</v>
      </c>
      <c r="C125" s="93" t="s">
        <v>1020</v>
      </c>
      <c r="D125" s="93">
        <v>5</v>
      </c>
      <c r="E125" s="177">
        <v>718.8</v>
      </c>
      <c r="F125" s="177">
        <f t="shared" si="46"/>
        <v>3.59</v>
      </c>
      <c r="G125" s="177">
        <f t="shared" si="47"/>
        <v>722.39</v>
      </c>
      <c r="H125" s="177">
        <f t="shared" si="48"/>
        <v>723.65</v>
      </c>
      <c r="I125" s="208">
        <f t="shared" si="49"/>
        <v>4.8490000000000002</v>
      </c>
      <c r="J125" s="177">
        <f t="shared" si="50"/>
        <v>3611.95</v>
      </c>
      <c r="K125" s="177">
        <f t="shared" si="51"/>
        <v>-3618.25</v>
      </c>
      <c r="L125" s="177">
        <f t="shared" si="52"/>
        <v>17.95</v>
      </c>
      <c r="M125" s="177">
        <f t="shared" si="53"/>
        <v>2.1970799999999997</v>
      </c>
      <c r="N125" s="177">
        <f t="shared" si="54"/>
        <v>3.61</v>
      </c>
      <c r="O125" s="177">
        <f t="shared" si="55"/>
        <v>0.12641824999999998</v>
      </c>
      <c r="P125" s="177">
        <f t="shared" si="56"/>
        <v>0.36119499999999999</v>
      </c>
      <c r="Q125" s="93">
        <f t="shared" si="57"/>
        <v>0</v>
      </c>
      <c r="R125" s="177">
        <f t="shared" si="58"/>
        <v>-3618.25</v>
      </c>
      <c r="S125" s="179">
        <f t="shared" si="42"/>
        <v>0</v>
      </c>
      <c r="T125" s="176">
        <v>39161</v>
      </c>
      <c r="U125" s="318"/>
      <c r="V125" s="176"/>
      <c r="W125" s="177"/>
      <c r="X125" s="317" t="str">
        <f t="shared" ref="X125:X127" si="60">IF(X245="Not Sold","Not Sold","")</f>
        <v>Not Sold</v>
      </c>
      <c r="Y125" s="41" t="s">
        <v>405</v>
      </c>
      <c r="Z125" s="93"/>
    </row>
    <row r="126" spans="1:26" ht="12" customHeight="1">
      <c r="A126" s="176">
        <v>39157</v>
      </c>
      <c r="B126" s="315" t="s">
        <v>973</v>
      </c>
      <c r="C126" s="93" t="s">
        <v>1020</v>
      </c>
      <c r="D126" s="93">
        <v>25</v>
      </c>
      <c r="E126" s="177">
        <v>102.65</v>
      </c>
      <c r="F126" s="177">
        <f t="shared" si="46"/>
        <v>0.51</v>
      </c>
      <c r="G126" s="177">
        <f t="shared" si="47"/>
        <v>103.16000000000001</v>
      </c>
      <c r="H126" s="177">
        <f t="shared" si="48"/>
        <v>103.34</v>
      </c>
      <c r="I126" s="208">
        <f t="shared" si="49"/>
        <v>0.68959999999999999</v>
      </c>
      <c r="J126" s="177">
        <f t="shared" si="50"/>
        <v>2579.0000000000005</v>
      </c>
      <c r="K126" s="177">
        <f t="shared" si="51"/>
        <v>-2583.4900000000002</v>
      </c>
      <c r="L126" s="177">
        <f t="shared" si="52"/>
        <v>12.75</v>
      </c>
      <c r="M126" s="177">
        <f t="shared" si="53"/>
        <v>1.5606</v>
      </c>
      <c r="N126" s="177">
        <f t="shared" si="54"/>
        <v>2.58</v>
      </c>
      <c r="O126" s="177">
        <f t="shared" si="55"/>
        <v>9.0265000000000012E-2</v>
      </c>
      <c r="P126" s="177">
        <f t="shared" si="56"/>
        <v>0.25790000000000007</v>
      </c>
      <c r="Q126" s="93">
        <f t="shared" si="57"/>
        <v>0</v>
      </c>
      <c r="R126" s="177">
        <f t="shared" si="58"/>
        <v>-2583.4900000000002</v>
      </c>
      <c r="S126" s="179">
        <f t="shared" si="42"/>
        <v>0</v>
      </c>
      <c r="T126" s="176">
        <v>39161</v>
      </c>
      <c r="U126" s="318"/>
      <c r="V126" s="176"/>
      <c r="W126" s="177"/>
      <c r="X126" s="317" t="str">
        <f t="shared" si="60"/>
        <v/>
      </c>
      <c r="Y126" s="41" t="s">
        <v>405</v>
      </c>
      <c r="Z126" s="93"/>
    </row>
    <row r="127" spans="1:26" ht="12" customHeight="1">
      <c r="A127" s="176">
        <v>39161</v>
      </c>
      <c r="B127" s="315" t="s">
        <v>989</v>
      </c>
      <c r="C127" s="93" t="s">
        <v>1020</v>
      </c>
      <c r="D127" s="93">
        <v>25</v>
      </c>
      <c r="E127" s="177">
        <v>140.1</v>
      </c>
      <c r="F127" s="177">
        <f t="shared" si="46"/>
        <v>0.7</v>
      </c>
      <c r="G127" s="177">
        <f t="shared" si="47"/>
        <v>140.79999999999998</v>
      </c>
      <c r="H127" s="177">
        <f t="shared" si="48"/>
        <v>141.05000000000001</v>
      </c>
      <c r="I127" s="208">
        <f t="shared" si="49"/>
        <v>0.94550000000000001</v>
      </c>
      <c r="J127" s="177">
        <f t="shared" si="50"/>
        <v>3519.9999999999995</v>
      </c>
      <c r="K127" s="177">
        <f t="shared" si="51"/>
        <v>-3526.1400000000003</v>
      </c>
      <c r="L127" s="177">
        <f t="shared" si="52"/>
        <v>17.5</v>
      </c>
      <c r="M127" s="177">
        <f t="shared" si="53"/>
        <v>2.1419999999999999</v>
      </c>
      <c r="N127" s="177">
        <f t="shared" si="54"/>
        <v>3.52</v>
      </c>
      <c r="O127" s="177">
        <f t="shared" si="55"/>
        <v>0.12319999999999998</v>
      </c>
      <c r="P127" s="177">
        <f t="shared" si="56"/>
        <v>0.35199999999999998</v>
      </c>
      <c r="Q127" s="93">
        <f t="shared" si="57"/>
        <v>0</v>
      </c>
      <c r="R127" s="177">
        <f t="shared" si="58"/>
        <v>-3526.1400000000003</v>
      </c>
      <c r="S127" s="179">
        <f t="shared" si="42"/>
        <v>0</v>
      </c>
      <c r="T127" s="176">
        <v>39163</v>
      </c>
      <c r="U127" s="318">
        <f>ROUND((K124*(T127-T124)+K127*1)/(K127+K124),0)</f>
        <v>4</v>
      </c>
      <c r="V127" s="176">
        <f>T124+U127</f>
        <v>39161</v>
      </c>
      <c r="W127" s="177">
        <f>-ROUND((R127+R124)/(D127+D124),2)</f>
        <v>143.26</v>
      </c>
      <c r="X127" s="317" t="str">
        <f t="shared" si="60"/>
        <v>Not Sold</v>
      </c>
      <c r="Y127" s="41" t="s">
        <v>405</v>
      </c>
      <c r="Z127" s="93"/>
    </row>
    <row r="128" spans="1:26" ht="12" customHeight="1">
      <c r="A128" s="176"/>
      <c r="B128" s="315"/>
      <c r="C128" s="315"/>
      <c r="D128" s="93"/>
      <c r="E128" s="177"/>
      <c r="F128" s="177"/>
      <c r="G128" s="177"/>
      <c r="H128" s="177"/>
      <c r="I128" s="208"/>
      <c r="J128" s="177"/>
      <c r="K128" s="177"/>
      <c r="L128" s="177"/>
      <c r="M128" s="177"/>
      <c r="N128" s="177"/>
      <c r="O128" s="177"/>
      <c r="P128" s="177"/>
      <c r="Q128" s="93"/>
      <c r="R128" s="177"/>
      <c r="S128" s="179"/>
      <c r="T128" s="176"/>
      <c r="U128" s="318"/>
      <c r="V128" s="176"/>
      <c r="W128" s="177"/>
      <c r="X128" s="317"/>
      <c r="Y128" s="93"/>
      <c r="Z128" s="93"/>
    </row>
    <row r="129" spans="1:26" ht="12" customHeight="1">
      <c r="A129" s="176"/>
      <c r="B129" s="315"/>
      <c r="C129" s="93"/>
      <c r="D129" s="93">
        <v>20</v>
      </c>
      <c r="E129" s="177">
        <v>100</v>
      </c>
      <c r="F129" s="177">
        <f>IF(E129*D129*E$326&lt;10,10/D129,ROUND(E129*E$326,2))</f>
        <v>0.5</v>
      </c>
      <c r="G129" s="177">
        <f>E129+F129</f>
        <v>100.5</v>
      </c>
      <c r="H129" s="177">
        <f>ROUND(E129+I129,2)</f>
        <v>100.68</v>
      </c>
      <c r="I129" s="208">
        <f>ROUNDUP(SUM(L129:Q129)/D129,4)</f>
        <v>0.67530000000000001</v>
      </c>
      <c r="J129" s="177">
        <f>D129*G129</f>
        <v>2010</v>
      </c>
      <c r="K129" s="177">
        <f>-ROUNDUP(J129+M129+N129+O129+P129+Q129,2)</f>
        <v>-2013.51</v>
      </c>
      <c r="L129" s="177">
        <f>F129*D129</f>
        <v>10</v>
      </c>
      <c r="M129" s="177">
        <f>L129*F$328</f>
        <v>1.224</v>
      </c>
      <c r="N129" s="177">
        <f>ROUND(J129*E$329,2)</f>
        <v>2.0099999999999998</v>
      </c>
      <c r="O129" s="177">
        <f>J129*E$332</f>
        <v>7.0349999999999996E-2</v>
      </c>
      <c r="P129" s="177">
        <f>J129*E$334</f>
        <v>0.20100000000000001</v>
      </c>
      <c r="Q129" s="93">
        <f>E$336</f>
        <v>0</v>
      </c>
      <c r="R129" s="177">
        <f>K129</f>
        <v>-2013.51</v>
      </c>
      <c r="S129" s="179">
        <f>IF(R129=K129,0,IF(R129&lt;0,K129-R129))</f>
        <v>0</v>
      </c>
      <c r="T129" s="176"/>
      <c r="U129" s="318"/>
      <c r="V129" s="176"/>
      <c r="W129" s="177"/>
      <c r="X129" s="317" t="str">
        <f>IF(X249="Not Sold","Not Sold","")</f>
        <v>Not Sold</v>
      </c>
      <c r="Y129" s="41" t="s">
        <v>405</v>
      </c>
      <c r="Z129" s="93"/>
    </row>
    <row r="130" spans="1:26" ht="12" customHeight="1">
      <c r="A130" s="176"/>
      <c r="B130" s="315"/>
      <c r="C130" s="315"/>
      <c r="D130" s="93"/>
      <c r="E130" s="177"/>
      <c r="F130" s="177"/>
      <c r="G130" s="177"/>
      <c r="H130" s="177"/>
      <c r="I130" s="208"/>
      <c r="J130" s="177"/>
      <c r="K130" s="177"/>
      <c r="L130" s="177"/>
      <c r="M130" s="177"/>
      <c r="N130" s="177"/>
      <c r="O130" s="177"/>
      <c r="P130" s="177"/>
      <c r="Q130" s="93"/>
      <c r="R130" s="177"/>
      <c r="S130" s="179"/>
      <c r="T130" s="176"/>
      <c r="U130" s="318"/>
      <c r="V130" s="176"/>
      <c r="W130" s="177"/>
      <c r="X130" s="317"/>
      <c r="Y130" s="93"/>
      <c r="Z130" s="93"/>
    </row>
    <row r="131" spans="1:26" ht="12" customHeight="1">
      <c r="A131" s="93"/>
      <c r="B131" s="93"/>
      <c r="C131" s="319"/>
      <c r="D131" s="320" t="s">
        <v>950</v>
      </c>
      <c r="E131" s="320" t="s">
        <v>427</v>
      </c>
      <c r="F131" s="320" t="s">
        <v>428</v>
      </c>
      <c r="G131" s="320" t="s">
        <v>429</v>
      </c>
      <c r="H131" s="320" t="s">
        <v>1030</v>
      </c>
      <c r="I131" s="320" t="s">
        <v>952</v>
      </c>
      <c r="J131" s="320" t="s">
        <v>953</v>
      </c>
      <c r="K131" s="320" t="s">
        <v>1031</v>
      </c>
      <c r="L131" s="320" t="s">
        <v>428</v>
      </c>
      <c r="M131" s="320" t="s">
        <v>955</v>
      </c>
      <c r="N131" s="320" t="s">
        <v>956</v>
      </c>
      <c r="O131" s="320" t="s">
        <v>957</v>
      </c>
      <c r="P131" s="320" t="s">
        <v>958</v>
      </c>
      <c r="Q131" s="320" t="s">
        <v>436</v>
      </c>
      <c r="R131" s="320" t="s">
        <v>1032</v>
      </c>
      <c r="S131" s="320" t="s">
        <v>960</v>
      </c>
      <c r="T131" s="320" t="s">
        <v>1033</v>
      </c>
      <c r="U131" s="320" t="s">
        <v>9</v>
      </c>
      <c r="V131" s="320" t="s">
        <v>1034</v>
      </c>
      <c r="W131" s="320" t="s">
        <v>1035</v>
      </c>
      <c r="X131" s="320" t="s">
        <v>964</v>
      </c>
      <c r="Y131" s="320" t="s">
        <v>965</v>
      </c>
      <c r="Z131" s="93"/>
    </row>
    <row r="132" spans="1:26" ht="12" customHeight="1">
      <c r="A132" s="176">
        <v>38489</v>
      </c>
      <c r="B132" s="321" t="s">
        <v>966</v>
      </c>
      <c r="C132" s="93" t="s">
        <v>448</v>
      </c>
      <c r="D132" s="93">
        <v>100</v>
      </c>
      <c r="E132" s="177">
        <v>82.75</v>
      </c>
      <c r="F132" s="177">
        <f>ROUND(L132/D132,2)</f>
        <v>0.41</v>
      </c>
      <c r="G132" s="177"/>
      <c r="H132" s="177">
        <f t="shared" ref="H132:H247" si="61">ROUND(E132-I132,2)</f>
        <v>82.22</v>
      </c>
      <c r="I132" s="208">
        <f t="shared" ref="I132:I247" si="62">ROUNDUP(SUM(L132:Q132)/D132,4)</f>
        <v>0.52510000000000001</v>
      </c>
      <c r="J132" s="177">
        <f>ROUNDUP(D132*E132,2)</f>
        <v>8275</v>
      </c>
      <c r="K132" s="177">
        <f>ROUNDUP(J132-L132-M132-N132-O132-P132-Q132,2)</f>
        <v>8222.5</v>
      </c>
      <c r="L132" s="177">
        <f>ROUND(J132*E$326,0)</f>
        <v>41</v>
      </c>
      <c r="M132" s="177">
        <f t="shared" ref="M132:M154" si="63">L132*E$328</f>
        <v>4.1819999999999995</v>
      </c>
      <c r="N132" s="177">
        <f>ROUND(J132*D$329,2)</f>
        <v>6.21</v>
      </c>
      <c r="O132" s="177">
        <f t="shared" ref="O132:O247" si="64">J132*E$332</f>
        <v>0.28962499999999997</v>
      </c>
      <c r="P132" s="177">
        <f t="shared" ref="P132:P247" si="65">J132*E$334</f>
        <v>0.82750000000000001</v>
      </c>
      <c r="Q132" s="93">
        <f t="shared" ref="Q132:Q247" si="66">E$336</f>
        <v>0</v>
      </c>
      <c r="R132" s="322">
        <v>8222.7000000000007</v>
      </c>
      <c r="S132" s="179">
        <f t="shared" ref="S132:S247" si="67">IF(R132=K132,0,IF(R132&gt;0,K132-R132))</f>
        <v>-0.2000000000007276</v>
      </c>
      <c r="T132" s="176">
        <v>38492</v>
      </c>
      <c r="U132" s="323">
        <f>(R132+R2)-D$337</f>
        <v>1106.4300000000003</v>
      </c>
      <c r="V132" s="324">
        <f t="shared" ref="V132:V137" si="68">-(U132/R2)/W132*365</f>
        <v>0.39774607803006734</v>
      </c>
      <c r="W132" s="297">
        <f t="shared" ref="W132:W139" si="69">T132-T2</f>
        <v>143</v>
      </c>
      <c r="X132" s="325"/>
      <c r="Y132" s="93"/>
      <c r="Z132" s="93"/>
    </row>
    <row r="133" spans="1:26" ht="12" customHeight="1">
      <c r="A133" s="176">
        <v>38539</v>
      </c>
      <c r="B133" s="321" t="s">
        <v>967</v>
      </c>
      <c r="C133" s="93" t="s">
        <v>448</v>
      </c>
      <c r="D133" s="93">
        <v>4</v>
      </c>
      <c r="E133" s="177">
        <v>263.14999999999998</v>
      </c>
      <c r="F133" s="177">
        <f>IF(E133*D133*E$326&lt;10,ROUND(10/D133,2),ROUND(E133*E$326,2))</f>
        <v>2.5</v>
      </c>
      <c r="G133" s="177">
        <f>E133-F133</f>
        <v>260.64999999999998</v>
      </c>
      <c r="H133" s="177">
        <f t="shared" si="61"/>
        <v>260.10000000000002</v>
      </c>
      <c r="I133" s="208">
        <f t="shared" si="62"/>
        <v>3.0502000000000002</v>
      </c>
      <c r="J133" s="177">
        <f>ROUNDUP(D133*G133,2)</f>
        <v>1042.5999999999999</v>
      </c>
      <c r="K133" s="177">
        <f>ROUNDUP(J133-M133-N133-O133-P133-Q133,2)</f>
        <v>1040.4000000000001</v>
      </c>
      <c r="L133" s="177">
        <f>F133*D133</f>
        <v>10</v>
      </c>
      <c r="M133" s="177">
        <f t="shared" si="63"/>
        <v>1.02</v>
      </c>
      <c r="N133" s="177">
        <f t="shared" ref="N133:N247" si="70">ROUND(J133*E$329,2)</f>
        <v>1.04</v>
      </c>
      <c r="O133" s="177">
        <f t="shared" si="64"/>
        <v>3.6490999999999996E-2</v>
      </c>
      <c r="P133" s="177">
        <f t="shared" si="65"/>
        <v>0.10425999999999999</v>
      </c>
      <c r="Q133" s="93">
        <f t="shared" si="66"/>
        <v>0</v>
      </c>
      <c r="R133" s="322">
        <v>1040.3900000000001</v>
      </c>
      <c r="S133" s="179">
        <f t="shared" si="67"/>
        <v>9.9999999999909051E-3</v>
      </c>
      <c r="T133" s="176">
        <v>38544</v>
      </c>
      <c r="U133" s="323">
        <f>(R133+R3)-E$337</f>
        <v>-617.93999999999983</v>
      </c>
      <c r="V133" s="324">
        <f t="shared" si="68"/>
        <v>-0.75003511610528317</v>
      </c>
      <c r="W133" s="297">
        <f t="shared" si="69"/>
        <v>184</v>
      </c>
      <c r="X133" s="325"/>
      <c r="Y133" s="93"/>
      <c r="Z133" s="93"/>
    </row>
    <row r="134" spans="1:26" ht="12" customHeight="1">
      <c r="A134" s="176">
        <v>38512</v>
      </c>
      <c r="B134" s="321" t="s">
        <v>966</v>
      </c>
      <c r="C134" s="93" t="s">
        <v>448</v>
      </c>
      <c r="D134" s="93">
        <v>75</v>
      </c>
      <c r="E134" s="177">
        <v>90.3</v>
      </c>
      <c r="F134" s="177">
        <f>ROUND(L134/D134,2)</f>
        <v>0.45</v>
      </c>
      <c r="G134" s="177"/>
      <c r="H134" s="177">
        <f t="shared" si="61"/>
        <v>89.7</v>
      </c>
      <c r="I134" s="208">
        <f t="shared" si="62"/>
        <v>0.6</v>
      </c>
      <c r="J134" s="177">
        <f>ROUNDUP(D134*E134,2)</f>
        <v>6772.5</v>
      </c>
      <c r="K134" s="177">
        <f>ROUNDUP(J134-L134-M134-N134-O134-P134-Q134,2)</f>
        <v>6727.51</v>
      </c>
      <c r="L134" s="177">
        <f>ROUND(J134*E$326,2)</f>
        <v>33.86</v>
      </c>
      <c r="M134" s="177">
        <f t="shared" si="63"/>
        <v>3.4537199999999997</v>
      </c>
      <c r="N134" s="177">
        <f t="shared" si="70"/>
        <v>6.77</v>
      </c>
      <c r="O134" s="177">
        <f t="shared" si="64"/>
        <v>0.23703749999999998</v>
      </c>
      <c r="P134" s="177">
        <f t="shared" si="65"/>
        <v>0.67725000000000002</v>
      </c>
      <c r="Q134" s="93">
        <f t="shared" si="66"/>
        <v>0</v>
      </c>
      <c r="R134" s="322">
        <v>6727.94</v>
      </c>
      <c r="S134" s="179">
        <f t="shared" si="67"/>
        <v>-0.42999999999938154</v>
      </c>
      <c r="T134" s="176">
        <v>38516</v>
      </c>
      <c r="U134" s="323">
        <f>(R134+R4)-D$337</f>
        <v>561.9399999999996</v>
      </c>
      <c r="V134" s="324">
        <f t="shared" si="68"/>
        <v>0.56526967066280798</v>
      </c>
      <c r="W134" s="297">
        <f t="shared" si="69"/>
        <v>59</v>
      </c>
      <c r="X134" s="325"/>
      <c r="Y134" s="93"/>
      <c r="Z134" s="93"/>
    </row>
    <row r="135" spans="1:26" ht="12" customHeight="1">
      <c r="A135" s="176">
        <v>38541</v>
      </c>
      <c r="B135" s="321" t="s">
        <v>968</v>
      </c>
      <c r="C135" s="93" t="s">
        <v>448</v>
      </c>
      <c r="D135" s="93">
        <v>5</v>
      </c>
      <c r="E135" s="177">
        <v>1471</v>
      </c>
      <c r="F135" s="177">
        <f t="shared" ref="F135:F247" si="71">IF(E135*D135*E$326&lt;10,ROUND(10/D135,2),ROUND(E135*E$326,2))</f>
        <v>7.36</v>
      </c>
      <c r="G135" s="177">
        <f t="shared" ref="G135:G247" si="72">E135-F135</f>
        <v>1463.64</v>
      </c>
      <c r="H135" s="177">
        <f t="shared" si="61"/>
        <v>1461.23</v>
      </c>
      <c r="I135" s="208">
        <f t="shared" si="62"/>
        <v>9.7723999999999993</v>
      </c>
      <c r="J135" s="177">
        <f t="shared" ref="J135:J247" si="73">ROUNDUP(D135*G135,2)</f>
        <v>7318.2</v>
      </c>
      <c r="K135" s="177">
        <f t="shared" ref="K135:K247" si="74">ROUNDUP(J135-M135-N135-O135-P135-Q135,2)</f>
        <v>7306.14</v>
      </c>
      <c r="L135" s="177">
        <f t="shared" ref="L135:L247" si="75">F135*D135</f>
        <v>36.800000000000004</v>
      </c>
      <c r="M135" s="177">
        <f t="shared" si="63"/>
        <v>3.7536</v>
      </c>
      <c r="N135" s="177">
        <f t="shared" si="70"/>
        <v>7.32</v>
      </c>
      <c r="O135" s="177">
        <f t="shared" si="64"/>
        <v>0.25613699999999995</v>
      </c>
      <c r="P135" s="177">
        <f t="shared" si="65"/>
        <v>0.73182000000000003</v>
      </c>
      <c r="Q135" s="93">
        <f t="shared" si="66"/>
        <v>0</v>
      </c>
      <c r="R135" s="322">
        <v>7306.13</v>
      </c>
      <c r="S135" s="179">
        <f t="shared" si="67"/>
        <v>1.0000000000218279E-2</v>
      </c>
      <c r="T135" s="176">
        <v>38544</v>
      </c>
      <c r="U135" s="323">
        <f t="shared" ref="U135:U137" si="76">(R135+R5)-E$337</f>
        <v>247.13000000000011</v>
      </c>
      <c r="V135" s="324">
        <f t="shared" si="68"/>
        <v>0.27280754283294784</v>
      </c>
      <c r="W135" s="297">
        <f t="shared" si="69"/>
        <v>47</v>
      </c>
      <c r="X135" s="325"/>
      <c r="Y135" s="93"/>
      <c r="Z135" s="93"/>
    </row>
    <row r="136" spans="1:26" ht="12" customHeight="1">
      <c r="A136" s="176">
        <v>38545</v>
      </c>
      <c r="B136" s="321" t="s">
        <v>626</v>
      </c>
      <c r="C136" s="93" t="s">
        <v>448</v>
      </c>
      <c r="D136" s="93">
        <v>50</v>
      </c>
      <c r="E136" s="177">
        <v>89.75</v>
      </c>
      <c r="F136" s="177">
        <f t="shared" si="71"/>
        <v>0.45</v>
      </c>
      <c r="G136" s="177">
        <f t="shared" si="72"/>
        <v>89.3</v>
      </c>
      <c r="H136" s="177">
        <f t="shared" si="61"/>
        <v>89.15</v>
      </c>
      <c r="I136" s="208">
        <f t="shared" si="62"/>
        <v>0.59740000000000004</v>
      </c>
      <c r="J136" s="177">
        <f t="shared" si="73"/>
        <v>4465</v>
      </c>
      <c r="K136" s="177">
        <f t="shared" si="74"/>
        <v>4457.6400000000003</v>
      </c>
      <c r="L136" s="177">
        <f t="shared" si="75"/>
        <v>22.5</v>
      </c>
      <c r="M136" s="177">
        <f t="shared" si="63"/>
        <v>2.2949999999999999</v>
      </c>
      <c r="N136" s="177">
        <f t="shared" si="70"/>
        <v>4.47</v>
      </c>
      <c r="O136" s="177">
        <f t="shared" si="64"/>
        <v>0.156275</v>
      </c>
      <c r="P136" s="177">
        <f t="shared" si="65"/>
        <v>0.44650000000000001</v>
      </c>
      <c r="Q136" s="93">
        <f t="shared" si="66"/>
        <v>0</v>
      </c>
      <c r="R136" s="322">
        <v>4458</v>
      </c>
      <c r="S136" s="179">
        <f t="shared" si="67"/>
        <v>-0.35999999999967258</v>
      </c>
      <c r="T136" s="176">
        <v>38547</v>
      </c>
      <c r="U136" s="323">
        <f t="shared" si="76"/>
        <v>251</v>
      </c>
      <c r="V136" s="324">
        <f t="shared" si="68"/>
        <v>0.75523259168885548</v>
      </c>
      <c r="W136" s="297">
        <f t="shared" si="69"/>
        <v>29</v>
      </c>
      <c r="X136" s="325"/>
      <c r="Y136" s="93"/>
      <c r="Z136" s="93"/>
    </row>
    <row r="137" spans="1:26" ht="12" customHeight="1">
      <c r="A137" s="176">
        <v>38545</v>
      </c>
      <c r="B137" s="321" t="s">
        <v>969</v>
      </c>
      <c r="C137" s="93" t="s">
        <v>448</v>
      </c>
      <c r="D137" s="93">
        <v>50</v>
      </c>
      <c r="E137" s="177">
        <v>117.25</v>
      </c>
      <c r="F137" s="177">
        <f t="shared" si="71"/>
        <v>0.59</v>
      </c>
      <c r="G137" s="177">
        <f t="shared" si="72"/>
        <v>116.66</v>
      </c>
      <c r="H137" s="177">
        <f t="shared" si="61"/>
        <v>116.47</v>
      </c>
      <c r="I137" s="208">
        <f t="shared" si="62"/>
        <v>0.78259999999999996</v>
      </c>
      <c r="J137" s="177">
        <f t="shared" si="73"/>
        <v>5833</v>
      </c>
      <c r="K137" s="177">
        <f t="shared" si="74"/>
        <v>5823.38</v>
      </c>
      <c r="L137" s="177">
        <f t="shared" si="75"/>
        <v>29.5</v>
      </c>
      <c r="M137" s="177">
        <f t="shared" si="63"/>
        <v>3.0089999999999999</v>
      </c>
      <c r="N137" s="177">
        <f t="shared" si="70"/>
        <v>5.83</v>
      </c>
      <c r="O137" s="177">
        <f t="shared" si="64"/>
        <v>0.20415499999999998</v>
      </c>
      <c r="P137" s="177">
        <f t="shared" si="65"/>
        <v>0.58330000000000004</v>
      </c>
      <c r="Q137" s="93">
        <f t="shared" si="66"/>
        <v>0</v>
      </c>
      <c r="R137" s="322">
        <v>5823</v>
      </c>
      <c r="S137" s="179">
        <f t="shared" si="67"/>
        <v>0.38000000000010914</v>
      </c>
      <c r="T137" s="176">
        <v>38547</v>
      </c>
      <c r="U137" s="323">
        <f t="shared" si="76"/>
        <v>186.77999999999975</v>
      </c>
      <c r="V137" s="324">
        <f t="shared" si="68"/>
        <v>4.0491819636436146</v>
      </c>
      <c r="W137" s="297">
        <f t="shared" si="69"/>
        <v>3</v>
      </c>
      <c r="X137" s="325"/>
      <c r="Y137" s="93"/>
      <c r="Z137" s="93"/>
    </row>
    <row r="138" spans="1:26" ht="12" customHeight="1">
      <c r="A138" s="176">
        <v>38565</v>
      </c>
      <c r="B138" s="321" t="s">
        <v>970</v>
      </c>
      <c r="C138" s="93" t="s">
        <v>448</v>
      </c>
      <c r="D138" s="93">
        <v>100</v>
      </c>
      <c r="E138" s="177">
        <v>71.05</v>
      </c>
      <c r="F138" s="177">
        <f t="shared" si="71"/>
        <v>0.36</v>
      </c>
      <c r="G138" s="177">
        <f t="shared" si="72"/>
        <v>70.69</v>
      </c>
      <c r="H138" s="177">
        <f t="shared" si="61"/>
        <v>70.569999999999993</v>
      </c>
      <c r="I138" s="208">
        <f t="shared" si="62"/>
        <v>0.47699999999999998</v>
      </c>
      <c r="J138" s="177">
        <f t="shared" si="73"/>
        <v>7069</v>
      </c>
      <c r="K138" s="177">
        <f t="shared" si="74"/>
        <v>7057.31</v>
      </c>
      <c r="L138" s="177">
        <f t="shared" si="75"/>
        <v>36</v>
      </c>
      <c r="M138" s="177">
        <f t="shared" si="63"/>
        <v>3.6719999999999997</v>
      </c>
      <c r="N138" s="177">
        <f t="shared" si="70"/>
        <v>7.07</v>
      </c>
      <c r="O138" s="177">
        <f t="shared" si="64"/>
        <v>0.24741499999999997</v>
      </c>
      <c r="P138" s="177">
        <f t="shared" si="65"/>
        <v>0.70690000000000008</v>
      </c>
      <c r="Q138" s="93">
        <f t="shared" si="66"/>
        <v>0</v>
      </c>
      <c r="R138" s="322">
        <v>7057.25</v>
      </c>
      <c r="S138" s="179">
        <f t="shared" si="67"/>
        <v>6.0000000000400178E-2</v>
      </c>
      <c r="T138" s="176">
        <v>38567</v>
      </c>
      <c r="U138" s="323">
        <f>R138-(W$8*D138)-E$337</f>
        <v>2033.25</v>
      </c>
      <c r="V138" s="324">
        <f>(U138/(W$8*D138))/W138*365</f>
        <v>7.8119605263157892</v>
      </c>
      <c r="W138" s="297">
        <f t="shared" si="69"/>
        <v>19</v>
      </c>
      <c r="X138" s="325"/>
      <c r="Y138" s="93"/>
      <c r="Z138" s="93"/>
    </row>
    <row r="139" spans="1:26" ht="12" customHeight="1">
      <c r="A139" s="176">
        <v>38552</v>
      </c>
      <c r="B139" s="321" t="s">
        <v>969</v>
      </c>
      <c r="C139" s="93" t="s">
        <v>448</v>
      </c>
      <c r="D139" s="93">
        <v>50</v>
      </c>
      <c r="E139" s="177">
        <v>118</v>
      </c>
      <c r="F139" s="177">
        <f t="shared" si="71"/>
        <v>0.59</v>
      </c>
      <c r="G139" s="177">
        <f t="shared" si="72"/>
        <v>117.41</v>
      </c>
      <c r="H139" s="177">
        <f t="shared" si="61"/>
        <v>117.22</v>
      </c>
      <c r="I139" s="208">
        <f t="shared" si="62"/>
        <v>0.78349999999999997</v>
      </c>
      <c r="J139" s="177">
        <f t="shared" si="73"/>
        <v>5870.5</v>
      </c>
      <c r="K139" s="177">
        <f t="shared" si="74"/>
        <v>5860.83</v>
      </c>
      <c r="L139" s="177">
        <f t="shared" si="75"/>
        <v>29.5</v>
      </c>
      <c r="M139" s="177">
        <f t="shared" si="63"/>
        <v>3.0089999999999999</v>
      </c>
      <c r="N139" s="177">
        <f t="shared" si="70"/>
        <v>5.87</v>
      </c>
      <c r="O139" s="177">
        <f t="shared" si="64"/>
        <v>0.20546749999999997</v>
      </c>
      <c r="P139" s="177">
        <f t="shared" si="65"/>
        <v>0.58705000000000007</v>
      </c>
      <c r="Q139" s="93">
        <f t="shared" si="66"/>
        <v>0</v>
      </c>
      <c r="R139" s="322">
        <v>5860</v>
      </c>
      <c r="S139" s="179">
        <f t="shared" si="67"/>
        <v>0.82999999999992724</v>
      </c>
      <c r="T139" s="176">
        <v>38554</v>
      </c>
      <c r="U139" s="323">
        <f>(R139+R9)-E$337</f>
        <v>46.770000000000437</v>
      </c>
      <c r="V139" s="324">
        <f>-(U139/R9)/W139*365</f>
        <v>0.4914600041801806</v>
      </c>
      <c r="W139" s="297">
        <f t="shared" si="69"/>
        <v>6</v>
      </c>
      <c r="X139" s="325"/>
      <c r="Y139" s="93"/>
      <c r="Z139" s="93"/>
    </row>
    <row r="140" spans="1:26" ht="12" customHeight="1">
      <c r="A140" s="176">
        <v>38580</v>
      </c>
      <c r="B140" s="321" t="s">
        <v>970</v>
      </c>
      <c r="C140" s="93" t="s">
        <v>448</v>
      </c>
      <c r="D140" s="93">
        <v>25</v>
      </c>
      <c r="E140" s="177">
        <v>77.400000000000006</v>
      </c>
      <c r="F140" s="177">
        <f t="shared" si="71"/>
        <v>0.4</v>
      </c>
      <c r="G140" s="177">
        <f t="shared" si="72"/>
        <v>77</v>
      </c>
      <c r="H140" s="177">
        <f t="shared" si="61"/>
        <v>76.87</v>
      </c>
      <c r="I140" s="208">
        <f t="shared" si="62"/>
        <v>0.52839999999999998</v>
      </c>
      <c r="J140" s="177">
        <f t="shared" si="73"/>
        <v>1925</v>
      </c>
      <c r="K140" s="177">
        <f t="shared" si="74"/>
        <v>1921.8</v>
      </c>
      <c r="L140" s="177">
        <f t="shared" si="75"/>
        <v>10</v>
      </c>
      <c r="M140" s="177">
        <f t="shared" si="63"/>
        <v>1.02</v>
      </c>
      <c r="N140" s="177">
        <f t="shared" si="70"/>
        <v>1.93</v>
      </c>
      <c r="O140" s="177">
        <f t="shared" si="64"/>
        <v>6.737499999999999E-2</v>
      </c>
      <c r="P140" s="177">
        <f t="shared" si="65"/>
        <v>0.1925</v>
      </c>
      <c r="Q140" s="93">
        <f t="shared" si="66"/>
        <v>0</v>
      </c>
      <c r="R140" s="322">
        <v>1921.5</v>
      </c>
      <c r="S140" s="179">
        <f t="shared" si="67"/>
        <v>0.29999999999995453</v>
      </c>
      <c r="T140" s="176">
        <v>38586</v>
      </c>
      <c r="U140" s="323">
        <f>R140-(W$8*D140)-E$337</f>
        <v>647.5</v>
      </c>
      <c r="V140" s="324">
        <f>(U140/(W$8*D140))/W140*365</f>
        <v>4.975526315789474</v>
      </c>
      <c r="W140" s="297">
        <f>T140-T8</f>
        <v>38</v>
      </c>
      <c r="X140" s="325"/>
      <c r="Y140" s="93"/>
      <c r="Z140" s="93"/>
    </row>
    <row r="141" spans="1:26" ht="12" customHeight="1">
      <c r="A141" s="176">
        <v>38719</v>
      </c>
      <c r="B141" s="321" t="s">
        <v>972</v>
      </c>
      <c r="C141" s="93" t="s">
        <v>448</v>
      </c>
      <c r="D141" s="93">
        <v>15</v>
      </c>
      <c r="E141" s="177">
        <v>613</v>
      </c>
      <c r="F141" s="177">
        <f t="shared" si="71"/>
        <v>3.07</v>
      </c>
      <c r="G141" s="177">
        <f t="shared" si="72"/>
        <v>609.92999999999995</v>
      </c>
      <c r="H141" s="177">
        <f t="shared" si="61"/>
        <v>608.91999999999996</v>
      </c>
      <c r="I141" s="208">
        <f t="shared" si="62"/>
        <v>4.0754999999999999</v>
      </c>
      <c r="J141" s="177">
        <f t="shared" si="73"/>
        <v>9148.9500000000007</v>
      </c>
      <c r="K141" s="177">
        <f t="shared" si="74"/>
        <v>9133.8700000000008</v>
      </c>
      <c r="L141" s="177">
        <f t="shared" si="75"/>
        <v>46.05</v>
      </c>
      <c r="M141" s="177">
        <f t="shared" si="63"/>
        <v>4.6970999999999998</v>
      </c>
      <c r="N141" s="177">
        <f t="shared" si="70"/>
        <v>9.15</v>
      </c>
      <c r="O141" s="177">
        <f t="shared" si="64"/>
        <v>0.32021325</v>
      </c>
      <c r="P141" s="177">
        <f t="shared" si="65"/>
        <v>0.91489500000000012</v>
      </c>
      <c r="Q141" s="93">
        <f t="shared" si="66"/>
        <v>0</v>
      </c>
      <c r="R141" s="322">
        <v>9132</v>
      </c>
      <c r="S141" s="179">
        <f t="shared" si="67"/>
        <v>1.8700000000008004</v>
      </c>
      <c r="T141" s="176">
        <v>38721</v>
      </c>
      <c r="U141" s="323">
        <f>R141-(W$14*D141)-E$337</f>
        <v>-772.04999999999927</v>
      </c>
      <c r="V141" s="324">
        <f>(U141/(W$14*D141))/W141*365</f>
        <v>-0.17286027720691496</v>
      </c>
      <c r="W141" s="297">
        <f>T141-V14</f>
        <v>165</v>
      </c>
      <c r="X141" s="325"/>
      <c r="Y141" s="93" t="s">
        <v>405</v>
      </c>
      <c r="Z141" s="93"/>
    </row>
    <row r="142" spans="1:26" ht="12" customHeight="1">
      <c r="A142" s="176">
        <v>38580</v>
      </c>
      <c r="B142" s="321" t="s">
        <v>973</v>
      </c>
      <c r="C142" s="93" t="s">
        <v>448</v>
      </c>
      <c r="D142" s="93">
        <v>50</v>
      </c>
      <c r="E142" s="177">
        <v>65.3</v>
      </c>
      <c r="F142" s="177">
        <f t="shared" si="71"/>
        <v>0.33</v>
      </c>
      <c r="G142" s="177">
        <f t="shared" si="72"/>
        <v>64.97</v>
      </c>
      <c r="H142" s="177">
        <f t="shared" si="61"/>
        <v>64.86</v>
      </c>
      <c r="I142" s="208">
        <f t="shared" si="62"/>
        <v>0.4375</v>
      </c>
      <c r="J142" s="177">
        <f t="shared" si="73"/>
        <v>3248.5</v>
      </c>
      <c r="K142" s="177">
        <f t="shared" si="74"/>
        <v>3243.13</v>
      </c>
      <c r="L142" s="177">
        <f t="shared" si="75"/>
        <v>16.5</v>
      </c>
      <c r="M142" s="177">
        <f t="shared" si="63"/>
        <v>1.6829999999999998</v>
      </c>
      <c r="N142" s="177">
        <f t="shared" si="70"/>
        <v>3.25</v>
      </c>
      <c r="O142" s="177">
        <f t="shared" si="64"/>
        <v>0.11369749999999999</v>
      </c>
      <c r="P142" s="177">
        <f t="shared" si="65"/>
        <v>0.32485000000000003</v>
      </c>
      <c r="Q142" s="93">
        <f t="shared" si="66"/>
        <v>0</v>
      </c>
      <c r="R142" s="322">
        <v>3243</v>
      </c>
      <c r="S142" s="179">
        <f t="shared" si="67"/>
        <v>0.13000000000010914</v>
      </c>
      <c r="T142" s="176">
        <v>38586</v>
      </c>
      <c r="U142" s="323">
        <f t="shared" ref="U142:U143" si="77">(R142+R12)-E$337</f>
        <v>162</v>
      </c>
      <c r="V142" s="324">
        <f t="shared" ref="V142:V143" si="78">-(U142/R12)/W142*365</f>
        <v>0.60445289499509325</v>
      </c>
      <c r="W142" s="297">
        <f t="shared" ref="W142:W143" si="79">T142-T12</f>
        <v>32</v>
      </c>
      <c r="X142" s="325"/>
      <c r="Y142" s="93"/>
      <c r="Z142" s="93"/>
    </row>
    <row r="143" spans="1:26" ht="12" customHeight="1">
      <c r="A143" s="176">
        <v>38580</v>
      </c>
      <c r="B143" s="321" t="s">
        <v>974</v>
      </c>
      <c r="C143" s="93" t="s">
        <v>448</v>
      </c>
      <c r="D143" s="93">
        <v>50</v>
      </c>
      <c r="E143" s="177">
        <v>128</v>
      </c>
      <c r="F143" s="177">
        <f t="shared" si="71"/>
        <v>0.64</v>
      </c>
      <c r="G143" s="177">
        <f t="shared" si="72"/>
        <v>127.36</v>
      </c>
      <c r="H143" s="177">
        <f t="shared" si="61"/>
        <v>127.15</v>
      </c>
      <c r="I143" s="208">
        <f t="shared" si="62"/>
        <v>0.84989999999999999</v>
      </c>
      <c r="J143" s="177">
        <f t="shared" si="73"/>
        <v>6368</v>
      </c>
      <c r="K143" s="177">
        <f t="shared" si="74"/>
        <v>6357.51</v>
      </c>
      <c r="L143" s="177">
        <f t="shared" si="75"/>
        <v>32</v>
      </c>
      <c r="M143" s="177">
        <f t="shared" si="63"/>
        <v>3.2639999999999998</v>
      </c>
      <c r="N143" s="177">
        <f t="shared" si="70"/>
        <v>6.37</v>
      </c>
      <c r="O143" s="177">
        <f t="shared" si="64"/>
        <v>0.22287999999999997</v>
      </c>
      <c r="P143" s="177">
        <f t="shared" si="65"/>
        <v>0.63680000000000003</v>
      </c>
      <c r="Q143" s="93">
        <f t="shared" si="66"/>
        <v>0</v>
      </c>
      <c r="R143" s="322">
        <v>6357.5</v>
      </c>
      <c r="S143" s="179">
        <f t="shared" si="67"/>
        <v>1.0000000000218279E-2</v>
      </c>
      <c r="T143" s="176">
        <v>38586</v>
      </c>
      <c r="U143" s="323">
        <f t="shared" si="77"/>
        <v>981.5</v>
      </c>
      <c r="V143" s="324">
        <f t="shared" si="78"/>
        <v>2.0917851971225709</v>
      </c>
      <c r="W143" s="297">
        <f t="shared" si="79"/>
        <v>32</v>
      </c>
      <c r="X143" s="325"/>
      <c r="Y143" s="93"/>
      <c r="Z143" s="93"/>
    </row>
    <row r="144" spans="1:26" ht="12" customHeight="1">
      <c r="A144" s="176">
        <v>38615</v>
      </c>
      <c r="B144" s="321" t="s">
        <v>975</v>
      </c>
      <c r="C144" s="93" t="s">
        <v>448</v>
      </c>
      <c r="D144" s="93">
        <v>15</v>
      </c>
      <c r="E144" s="177">
        <v>763</v>
      </c>
      <c r="F144" s="177">
        <f t="shared" si="71"/>
        <v>3.82</v>
      </c>
      <c r="G144" s="177">
        <f t="shared" si="72"/>
        <v>759.18</v>
      </c>
      <c r="H144" s="177">
        <f t="shared" si="61"/>
        <v>757.93</v>
      </c>
      <c r="I144" s="208">
        <f t="shared" si="62"/>
        <v>5.0714999999999995</v>
      </c>
      <c r="J144" s="177">
        <f t="shared" si="73"/>
        <v>11387.7</v>
      </c>
      <c r="K144" s="177">
        <f t="shared" si="74"/>
        <v>11368.93</v>
      </c>
      <c r="L144" s="177">
        <f t="shared" si="75"/>
        <v>57.3</v>
      </c>
      <c r="M144" s="177">
        <f t="shared" si="63"/>
        <v>5.8445999999999989</v>
      </c>
      <c r="N144" s="177">
        <f t="shared" si="70"/>
        <v>11.39</v>
      </c>
      <c r="O144" s="177">
        <f t="shared" si="64"/>
        <v>0.39856949999999997</v>
      </c>
      <c r="P144" s="177">
        <f t="shared" si="65"/>
        <v>1.1387700000000001</v>
      </c>
      <c r="Q144" s="93">
        <f t="shared" si="66"/>
        <v>0</v>
      </c>
      <c r="R144" s="322">
        <v>11369</v>
      </c>
      <c r="S144" s="179">
        <f t="shared" si="67"/>
        <v>-6.9999999999708962E-2</v>
      </c>
      <c r="T144" s="176">
        <v>38616</v>
      </c>
      <c r="U144" s="323">
        <f t="shared" ref="U144:U149" si="80">(R144+R15)-E$337</f>
        <v>224</v>
      </c>
      <c r="V144" s="324">
        <f t="shared" ref="V144:V149" si="81">-(U144/R15)/W144*365</f>
        <v>0.15642248611501722</v>
      </c>
      <c r="W144" s="297">
        <f t="shared" ref="W144:W149" si="82">T144-T15</f>
        <v>47</v>
      </c>
      <c r="X144" s="325"/>
      <c r="Y144" s="93"/>
      <c r="Z144" s="93"/>
    </row>
    <row r="145" spans="1:26" ht="12" customHeight="1">
      <c r="A145" s="176">
        <v>38630</v>
      </c>
      <c r="B145" s="321" t="s">
        <v>976</v>
      </c>
      <c r="C145" s="93" t="s">
        <v>448</v>
      </c>
      <c r="D145" s="93">
        <v>100</v>
      </c>
      <c r="E145" s="177">
        <v>37.75</v>
      </c>
      <c r="F145" s="177">
        <f t="shared" si="71"/>
        <v>0.19</v>
      </c>
      <c r="G145" s="177">
        <f t="shared" si="72"/>
        <v>37.56</v>
      </c>
      <c r="H145" s="177">
        <f t="shared" si="61"/>
        <v>37.5</v>
      </c>
      <c r="I145" s="208">
        <f t="shared" si="62"/>
        <v>0.25209999999999999</v>
      </c>
      <c r="J145" s="177">
        <f t="shared" si="73"/>
        <v>3756</v>
      </c>
      <c r="K145" s="177">
        <f t="shared" si="74"/>
        <v>3749.8</v>
      </c>
      <c r="L145" s="177">
        <f t="shared" si="75"/>
        <v>19</v>
      </c>
      <c r="M145" s="177">
        <f t="shared" si="63"/>
        <v>1.9379999999999999</v>
      </c>
      <c r="N145" s="177">
        <f t="shared" si="70"/>
        <v>3.76</v>
      </c>
      <c r="O145" s="177">
        <f t="shared" si="64"/>
        <v>0.13145999999999999</v>
      </c>
      <c r="P145" s="177">
        <f t="shared" si="65"/>
        <v>0.37560000000000004</v>
      </c>
      <c r="Q145" s="93">
        <f t="shared" si="66"/>
        <v>0</v>
      </c>
      <c r="R145" s="322">
        <v>3750</v>
      </c>
      <c r="S145" s="179">
        <f t="shared" si="67"/>
        <v>-0.1999999999998181</v>
      </c>
      <c r="T145" s="176">
        <v>38643</v>
      </c>
      <c r="U145" s="323">
        <f t="shared" si="80"/>
        <v>161.69000000000005</v>
      </c>
      <c r="V145" s="324">
        <f t="shared" si="81"/>
        <v>0.29048633068766005</v>
      </c>
      <c r="W145" s="297">
        <f t="shared" si="82"/>
        <v>57</v>
      </c>
      <c r="X145" s="325"/>
      <c r="Y145" s="93" t="s">
        <v>405</v>
      </c>
      <c r="Z145" s="93"/>
    </row>
    <row r="146" spans="1:26" ht="12" customHeight="1">
      <c r="A146" s="176">
        <v>38784</v>
      </c>
      <c r="B146" s="321" t="s">
        <v>977</v>
      </c>
      <c r="C146" s="93" t="s">
        <v>448</v>
      </c>
      <c r="D146" s="93">
        <v>100</v>
      </c>
      <c r="E146" s="177">
        <v>35.549999999999997</v>
      </c>
      <c r="F146" s="177">
        <f t="shared" si="71"/>
        <v>0.18</v>
      </c>
      <c r="G146" s="177">
        <f t="shared" si="72"/>
        <v>35.369999999999997</v>
      </c>
      <c r="H146" s="177">
        <f t="shared" si="61"/>
        <v>35.31</v>
      </c>
      <c r="I146" s="208">
        <f t="shared" si="62"/>
        <v>0.23859999999999998</v>
      </c>
      <c r="J146" s="177">
        <f t="shared" si="73"/>
        <v>3537</v>
      </c>
      <c r="K146" s="177">
        <f t="shared" si="74"/>
        <v>3531.15</v>
      </c>
      <c r="L146" s="177">
        <f t="shared" si="75"/>
        <v>18</v>
      </c>
      <c r="M146" s="177">
        <f t="shared" si="63"/>
        <v>1.8359999999999999</v>
      </c>
      <c r="N146" s="177">
        <f t="shared" si="70"/>
        <v>3.54</v>
      </c>
      <c r="O146" s="177">
        <f t="shared" si="64"/>
        <v>0.12379499999999999</v>
      </c>
      <c r="P146" s="177">
        <f t="shared" si="65"/>
        <v>0.35370000000000001</v>
      </c>
      <c r="Q146" s="93">
        <f t="shared" si="66"/>
        <v>0</v>
      </c>
      <c r="R146" s="322">
        <v>3530.46</v>
      </c>
      <c r="S146" s="179">
        <f t="shared" si="67"/>
        <v>0.69000000000005457</v>
      </c>
      <c r="T146" s="176">
        <v>38786</v>
      </c>
      <c r="U146" s="323">
        <f t="shared" si="80"/>
        <v>109.46000000000004</v>
      </c>
      <c r="V146" s="324">
        <f t="shared" si="81"/>
        <v>5.9400154027766647E-2</v>
      </c>
      <c r="W146" s="297">
        <f t="shared" si="82"/>
        <v>198</v>
      </c>
      <c r="X146" s="325"/>
      <c r="Y146" s="93" t="s">
        <v>405</v>
      </c>
      <c r="Z146" s="93"/>
    </row>
    <row r="147" spans="1:26" ht="12" customHeight="1">
      <c r="A147" s="176">
        <v>38597</v>
      </c>
      <c r="B147" s="321" t="s">
        <v>970</v>
      </c>
      <c r="C147" s="93" t="s">
        <v>448</v>
      </c>
      <c r="D147" s="93">
        <v>50</v>
      </c>
      <c r="E147" s="177">
        <v>79</v>
      </c>
      <c r="F147" s="177">
        <f t="shared" si="71"/>
        <v>0.4</v>
      </c>
      <c r="G147" s="177">
        <f t="shared" si="72"/>
        <v>78.599999999999994</v>
      </c>
      <c r="H147" s="177">
        <f t="shared" si="61"/>
        <v>78.47</v>
      </c>
      <c r="I147" s="208">
        <f t="shared" si="62"/>
        <v>0.53010000000000002</v>
      </c>
      <c r="J147" s="177">
        <f t="shared" si="73"/>
        <v>3930</v>
      </c>
      <c r="K147" s="177">
        <f t="shared" si="74"/>
        <v>3923.5</v>
      </c>
      <c r="L147" s="177">
        <f t="shared" si="75"/>
        <v>20</v>
      </c>
      <c r="M147" s="177">
        <f t="shared" si="63"/>
        <v>2.04</v>
      </c>
      <c r="N147" s="177">
        <f t="shared" si="70"/>
        <v>3.93</v>
      </c>
      <c r="O147" s="177">
        <f t="shared" si="64"/>
        <v>0.13754999999999998</v>
      </c>
      <c r="P147" s="177">
        <f t="shared" si="65"/>
        <v>0.39300000000000002</v>
      </c>
      <c r="Q147" s="93">
        <f t="shared" si="66"/>
        <v>0</v>
      </c>
      <c r="R147" s="322">
        <v>3923</v>
      </c>
      <c r="S147" s="179">
        <f t="shared" si="67"/>
        <v>0.5</v>
      </c>
      <c r="T147" s="176">
        <v>38598</v>
      </c>
      <c r="U147" s="323">
        <f t="shared" si="80"/>
        <v>275.07000000000016</v>
      </c>
      <c r="V147" s="324">
        <f t="shared" si="81"/>
        <v>2.7704881164923183</v>
      </c>
      <c r="W147" s="297">
        <f t="shared" si="82"/>
        <v>10</v>
      </c>
      <c r="X147" s="325"/>
      <c r="Y147" s="93"/>
      <c r="Z147" s="93"/>
    </row>
    <row r="148" spans="1:26" ht="12" customHeight="1">
      <c r="A148" s="176">
        <v>38705</v>
      </c>
      <c r="B148" s="321" t="s">
        <v>978</v>
      </c>
      <c r="C148" s="93" t="s">
        <v>448</v>
      </c>
      <c r="D148" s="93">
        <v>50</v>
      </c>
      <c r="E148" s="177">
        <v>150</v>
      </c>
      <c r="F148" s="177">
        <f t="shared" si="71"/>
        <v>0.75</v>
      </c>
      <c r="G148" s="177">
        <f t="shared" si="72"/>
        <v>149.25</v>
      </c>
      <c r="H148" s="177">
        <f t="shared" si="61"/>
        <v>149</v>
      </c>
      <c r="I148" s="208">
        <f t="shared" si="62"/>
        <v>0.99590000000000001</v>
      </c>
      <c r="J148" s="177">
        <f t="shared" si="73"/>
        <v>7462.5</v>
      </c>
      <c r="K148" s="177">
        <f t="shared" si="74"/>
        <v>7450.21</v>
      </c>
      <c r="L148" s="177">
        <f t="shared" si="75"/>
        <v>37.5</v>
      </c>
      <c r="M148" s="177">
        <f t="shared" si="63"/>
        <v>3.8249999999999997</v>
      </c>
      <c r="N148" s="177">
        <f t="shared" si="70"/>
        <v>7.46</v>
      </c>
      <c r="O148" s="177">
        <f t="shared" si="64"/>
        <v>0.26118749999999996</v>
      </c>
      <c r="P148" s="177">
        <f t="shared" si="65"/>
        <v>0.74625000000000008</v>
      </c>
      <c r="Q148" s="93">
        <f t="shared" si="66"/>
        <v>0</v>
      </c>
      <c r="R148" s="177">
        <v>7450</v>
      </c>
      <c r="S148" s="179">
        <f t="shared" si="67"/>
        <v>0.21000000000003638</v>
      </c>
      <c r="T148" s="176">
        <v>38707</v>
      </c>
      <c r="U148" s="323">
        <f t="shared" si="80"/>
        <v>258.80000000000018</v>
      </c>
      <c r="V148" s="324">
        <f t="shared" si="81"/>
        <v>0.12091526024263446</v>
      </c>
      <c r="W148" s="297">
        <f t="shared" si="82"/>
        <v>109</v>
      </c>
      <c r="X148" s="325"/>
      <c r="Y148" s="93" t="s">
        <v>405</v>
      </c>
      <c r="Z148" s="93"/>
    </row>
    <row r="149" spans="1:26" ht="12" customHeight="1">
      <c r="A149" s="176">
        <v>38673</v>
      </c>
      <c r="B149" s="321" t="s">
        <v>979</v>
      </c>
      <c r="C149" s="93" t="s">
        <v>448</v>
      </c>
      <c r="D149" s="93">
        <v>50</v>
      </c>
      <c r="E149" s="177">
        <v>30.55</v>
      </c>
      <c r="F149" s="177">
        <f t="shared" si="71"/>
        <v>0.2</v>
      </c>
      <c r="G149" s="177">
        <f t="shared" si="72"/>
        <v>30.35</v>
      </c>
      <c r="H149" s="177">
        <f t="shared" si="61"/>
        <v>30.3</v>
      </c>
      <c r="I149" s="208">
        <f t="shared" si="62"/>
        <v>0.25490000000000002</v>
      </c>
      <c r="J149" s="177">
        <f t="shared" si="73"/>
        <v>1517.5</v>
      </c>
      <c r="K149" s="177">
        <f t="shared" si="74"/>
        <v>1514.76</v>
      </c>
      <c r="L149" s="177">
        <f t="shared" si="75"/>
        <v>10</v>
      </c>
      <c r="M149" s="177">
        <f t="shared" si="63"/>
        <v>1.02</v>
      </c>
      <c r="N149" s="177">
        <f t="shared" si="70"/>
        <v>1.52</v>
      </c>
      <c r="O149" s="177">
        <f t="shared" si="64"/>
        <v>5.3112499999999993E-2</v>
      </c>
      <c r="P149" s="177">
        <f t="shared" si="65"/>
        <v>0.15175</v>
      </c>
      <c r="Q149" s="93">
        <f t="shared" si="66"/>
        <v>0</v>
      </c>
      <c r="R149" s="322">
        <v>1514.28</v>
      </c>
      <c r="S149" s="179">
        <f t="shared" si="67"/>
        <v>0.48000000000001819</v>
      </c>
      <c r="T149" s="176">
        <v>38678</v>
      </c>
      <c r="U149" s="323">
        <f t="shared" si="80"/>
        <v>22.680000000000064</v>
      </c>
      <c r="V149" s="324">
        <f t="shared" si="81"/>
        <v>7.0507972199509605E-2</v>
      </c>
      <c r="W149" s="297">
        <f t="shared" si="82"/>
        <v>80</v>
      </c>
      <c r="X149" s="325"/>
      <c r="Y149" s="93"/>
      <c r="Z149" s="93"/>
    </row>
    <row r="150" spans="1:26" ht="12" customHeight="1">
      <c r="A150" s="176">
        <v>38719</v>
      </c>
      <c r="B150" s="321" t="s">
        <v>980</v>
      </c>
      <c r="C150" s="93" t="s">
        <v>448</v>
      </c>
      <c r="D150" s="93">
        <v>400</v>
      </c>
      <c r="E150" s="177">
        <v>10.18</v>
      </c>
      <c r="F150" s="177">
        <f t="shared" si="71"/>
        <v>0.05</v>
      </c>
      <c r="G150" s="177">
        <f t="shared" si="72"/>
        <v>10.129999999999999</v>
      </c>
      <c r="H150" s="177">
        <f t="shared" si="61"/>
        <v>10.11</v>
      </c>
      <c r="I150" s="208">
        <f t="shared" si="62"/>
        <v>6.6600000000000006E-2</v>
      </c>
      <c r="J150" s="177">
        <f t="shared" si="73"/>
        <v>4052</v>
      </c>
      <c r="K150" s="177">
        <f t="shared" si="74"/>
        <v>4045.3700000000003</v>
      </c>
      <c r="L150" s="177">
        <f t="shared" si="75"/>
        <v>20</v>
      </c>
      <c r="M150" s="177">
        <f t="shared" si="63"/>
        <v>2.04</v>
      </c>
      <c r="N150" s="177">
        <f t="shared" si="70"/>
        <v>4.05</v>
      </c>
      <c r="O150" s="177">
        <f t="shared" si="64"/>
        <v>0.14181999999999997</v>
      </c>
      <c r="P150" s="177">
        <f t="shared" si="65"/>
        <v>0.4052</v>
      </c>
      <c r="Q150" s="93">
        <f t="shared" si="66"/>
        <v>0</v>
      </c>
      <c r="R150" s="322">
        <v>4045</v>
      </c>
      <c r="S150" s="179">
        <f t="shared" si="67"/>
        <v>0.37000000000034561</v>
      </c>
      <c r="T150" s="176">
        <v>38721</v>
      </c>
      <c r="U150" s="323">
        <f>R150-(W$76*D150)-E$337</f>
        <v>-1379</v>
      </c>
      <c r="V150" s="324">
        <f>(U150/(W$76*D150))/W150*365</f>
        <v>-2.0263083735909824</v>
      </c>
      <c r="W150" s="297">
        <f>T150-V76</f>
        <v>46</v>
      </c>
      <c r="X150" s="325"/>
      <c r="Y150" s="93" t="s">
        <v>405</v>
      </c>
      <c r="Z150" s="93"/>
    </row>
    <row r="151" spans="1:26" ht="12" customHeight="1">
      <c r="A151" s="176">
        <v>38716</v>
      </c>
      <c r="B151" s="321" t="s">
        <v>982</v>
      </c>
      <c r="C151" s="93" t="s">
        <v>448</v>
      </c>
      <c r="D151" s="93">
        <v>10</v>
      </c>
      <c r="E151" s="177">
        <v>133.4</v>
      </c>
      <c r="F151" s="177">
        <f t="shared" si="71"/>
        <v>1</v>
      </c>
      <c r="G151" s="177">
        <f t="shared" si="72"/>
        <v>132.4</v>
      </c>
      <c r="H151" s="177">
        <f t="shared" si="61"/>
        <v>132.15</v>
      </c>
      <c r="I151" s="208">
        <f t="shared" si="62"/>
        <v>1.2519</v>
      </c>
      <c r="J151" s="177">
        <f t="shared" si="73"/>
        <v>1324</v>
      </c>
      <c r="K151" s="177">
        <f t="shared" si="74"/>
        <v>1321.49</v>
      </c>
      <c r="L151" s="177">
        <f t="shared" si="75"/>
        <v>10</v>
      </c>
      <c r="M151" s="177">
        <f t="shared" si="63"/>
        <v>1.02</v>
      </c>
      <c r="N151" s="177">
        <f t="shared" si="70"/>
        <v>1.32</v>
      </c>
      <c r="O151" s="177">
        <f t="shared" si="64"/>
        <v>4.6339999999999999E-2</v>
      </c>
      <c r="P151" s="177">
        <f t="shared" si="65"/>
        <v>0.13240000000000002</v>
      </c>
      <c r="Q151" s="93">
        <f t="shared" si="66"/>
        <v>0</v>
      </c>
      <c r="R151" s="322">
        <v>1322.21</v>
      </c>
      <c r="S151" s="179">
        <f t="shared" si="67"/>
        <v>-0.72000000000002728</v>
      </c>
      <c r="T151" s="176">
        <v>38720</v>
      </c>
      <c r="U151" s="323">
        <f t="shared" ref="U151:U154" si="83">(R151+R23)-E$337</f>
        <v>-1470.79</v>
      </c>
      <c r="V151" s="324">
        <f t="shared" ref="V151:V154" si="84">-(U151/R23)/W151*365</f>
        <v>-1.7951337894413015</v>
      </c>
      <c r="W151" s="297">
        <f t="shared" ref="W151:W154" si="85">T151-T23</f>
        <v>108</v>
      </c>
      <c r="X151" s="325"/>
      <c r="Y151" s="93" t="s">
        <v>405</v>
      </c>
      <c r="Z151" s="93"/>
    </row>
    <row r="152" spans="1:26" ht="12" customHeight="1">
      <c r="A152" s="176">
        <v>38686</v>
      </c>
      <c r="B152" s="321" t="s">
        <v>983</v>
      </c>
      <c r="C152" s="93" t="s">
        <v>448</v>
      </c>
      <c r="D152" s="93">
        <v>100</v>
      </c>
      <c r="E152" s="177">
        <v>21.5</v>
      </c>
      <c r="F152" s="177">
        <f t="shared" si="71"/>
        <v>0.11</v>
      </c>
      <c r="G152" s="177">
        <f t="shared" si="72"/>
        <v>21.39</v>
      </c>
      <c r="H152" s="177">
        <f t="shared" si="61"/>
        <v>21.35</v>
      </c>
      <c r="I152" s="208">
        <f t="shared" si="62"/>
        <v>0.14559999999999998</v>
      </c>
      <c r="J152" s="177">
        <f t="shared" si="73"/>
        <v>2139</v>
      </c>
      <c r="K152" s="177">
        <f t="shared" si="74"/>
        <v>2135.4500000000003</v>
      </c>
      <c r="L152" s="177">
        <f t="shared" si="75"/>
        <v>11</v>
      </c>
      <c r="M152" s="177">
        <f t="shared" si="63"/>
        <v>1.1219999999999999</v>
      </c>
      <c r="N152" s="177">
        <f t="shared" si="70"/>
        <v>2.14</v>
      </c>
      <c r="O152" s="177">
        <f t="shared" si="64"/>
        <v>7.4864999999999987E-2</v>
      </c>
      <c r="P152" s="177">
        <f t="shared" si="65"/>
        <v>0.21390000000000001</v>
      </c>
      <c r="Q152" s="93">
        <f t="shared" si="66"/>
        <v>0</v>
      </c>
      <c r="R152" s="322">
        <v>2135.46</v>
      </c>
      <c r="S152" s="179">
        <f t="shared" si="67"/>
        <v>-9.9999999997635314E-3</v>
      </c>
      <c r="T152" s="176">
        <v>38692</v>
      </c>
      <c r="U152" s="323">
        <f t="shared" si="83"/>
        <v>58.460000000000036</v>
      </c>
      <c r="V152" s="324">
        <f t="shared" si="84"/>
        <v>0.13675686415258809</v>
      </c>
      <c r="W152" s="297">
        <f t="shared" si="85"/>
        <v>76</v>
      </c>
      <c r="X152" s="325"/>
      <c r="Y152" s="93" t="s">
        <v>405</v>
      </c>
      <c r="Z152" s="93"/>
    </row>
    <row r="153" spans="1:26" ht="12" customHeight="1">
      <c r="A153" s="176">
        <v>38623</v>
      </c>
      <c r="B153" s="321" t="s">
        <v>974</v>
      </c>
      <c r="C153" s="93" t="s">
        <v>448</v>
      </c>
      <c r="D153" s="93">
        <v>50</v>
      </c>
      <c r="E153" s="177">
        <v>140.75</v>
      </c>
      <c r="F153" s="177">
        <f t="shared" si="71"/>
        <v>0.7</v>
      </c>
      <c r="G153" s="177">
        <f t="shared" si="72"/>
        <v>140.05000000000001</v>
      </c>
      <c r="H153" s="177">
        <f t="shared" si="61"/>
        <v>139.82</v>
      </c>
      <c r="I153" s="208">
        <f t="shared" si="62"/>
        <v>0.9304</v>
      </c>
      <c r="J153" s="177">
        <f t="shared" si="73"/>
        <v>7002.5</v>
      </c>
      <c r="K153" s="177">
        <f t="shared" si="74"/>
        <v>6990.99</v>
      </c>
      <c r="L153" s="177">
        <f t="shared" si="75"/>
        <v>35</v>
      </c>
      <c r="M153" s="177">
        <f t="shared" si="63"/>
        <v>3.57</v>
      </c>
      <c r="N153" s="177">
        <f t="shared" si="70"/>
        <v>7</v>
      </c>
      <c r="O153" s="177">
        <f t="shared" si="64"/>
        <v>0.24508749999999999</v>
      </c>
      <c r="P153" s="177">
        <f t="shared" si="65"/>
        <v>0.70025000000000004</v>
      </c>
      <c r="Q153" s="93">
        <f t="shared" si="66"/>
        <v>0</v>
      </c>
      <c r="R153" s="322">
        <v>6991</v>
      </c>
      <c r="S153" s="179">
        <f t="shared" si="67"/>
        <v>-1.0000000000218279E-2</v>
      </c>
      <c r="T153" s="176">
        <v>38628</v>
      </c>
      <c r="U153" s="323">
        <f t="shared" si="83"/>
        <v>323</v>
      </c>
      <c r="V153" s="324">
        <f t="shared" si="84"/>
        <v>1.6131437797602759</v>
      </c>
      <c r="W153" s="297">
        <f t="shared" si="85"/>
        <v>11</v>
      </c>
      <c r="X153" s="325"/>
      <c r="Y153" s="93" t="s">
        <v>405</v>
      </c>
      <c r="Z153" s="93"/>
    </row>
    <row r="154" spans="1:26" ht="12" customHeight="1">
      <c r="A154" s="176">
        <v>38622</v>
      </c>
      <c r="B154" s="321" t="s">
        <v>984</v>
      </c>
      <c r="C154" s="93" t="s">
        <v>448</v>
      </c>
      <c r="D154" s="93">
        <v>100</v>
      </c>
      <c r="E154" s="177">
        <v>82.55</v>
      </c>
      <c r="F154" s="177">
        <f t="shared" si="71"/>
        <v>0.41</v>
      </c>
      <c r="G154" s="177">
        <f t="shared" si="72"/>
        <v>82.14</v>
      </c>
      <c r="H154" s="177">
        <f t="shared" si="61"/>
        <v>82</v>
      </c>
      <c r="I154" s="208">
        <f t="shared" si="62"/>
        <v>0.54510000000000003</v>
      </c>
      <c r="J154" s="177">
        <f t="shared" si="73"/>
        <v>8214</v>
      </c>
      <c r="K154" s="177">
        <f t="shared" si="74"/>
        <v>8200.5</v>
      </c>
      <c r="L154" s="177">
        <f t="shared" si="75"/>
        <v>41</v>
      </c>
      <c r="M154" s="177">
        <f t="shared" si="63"/>
        <v>4.1819999999999995</v>
      </c>
      <c r="N154" s="177">
        <f t="shared" si="70"/>
        <v>8.2100000000000009</v>
      </c>
      <c r="O154" s="177">
        <f t="shared" si="64"/>
        <v>0.28748999999999997</v>
      </c>
      <c r="P154" s="177">
        <f t="shared" si="65"/>
        <v>0.82140000000000002</v>
      </c>
      <c r="Q154" s="93">
        <f t="shared" si="66"/>
        <v>0</v>
      </c>
      <c r="R154" s="322">
        <v>8201.18</v>
      </c>
      <c r="S154" s="179">
        <f t="shared" si="67"/>
        <v>-0.68000000000029104</v>
      </c>
      <c r="T154" s="176">
        <v>38624</v>
      </c>
      <c r="U154" s="323">
        <f t="shared" si="83"/>
        <v>260.18000000000029</v>
      </c>
      <c r="V154" s="324">
        <f t="shared" si="84"/>
        <v>1.4993952886194282</v>
      </c>
      <c r="W154" s="297">
        <f t="shared" si="85"/>
        <v>8</v>
      </c>
      <c r="X154" s="325"/>
      <c r="Y154" s="93" t="s">
        <v>405</v>
      </c>
      <c r="Z154" s="93"/>
    </row>
    <row r="155" spans="1:26" ht="12" customHeight="1">
      <c r="A155" s="176">
        <v>38839</v>
      </c>
      <c r="B155" s="321" t="s">
        <v>985</v>
      </c>
      <c r="C155" s="93" t="s">
        <v>448</v>
      </c>
      <c r="D155" s="93">
        <v>125</v>
      </c>
      <c r="E155" s="177">
        <v>92</v>
      </c>
      <c r="F155" s="177">
        <f t="shared" si="71"/>
        <v>0.46</v>
      </c>
      <c r="G155" s="177">
        <f t="shared" si="72"/>
        <v>91.54</v>
      </c>
      <c r="H155" s="177">
        <f t="shared" si="61"/>
        <v>91.38</v>
      </c>
      <c r="I155" s="208">
        <f t="shared" si="62"/>
        <v>0.62019999999999997</v>
      </c>
      <c r="J155" s="177">
        <f t="shared" si="73"/>
        <v>11442.5</v>
      </c>
      <c r="K155" s="177">
        <f t="shared" si="74"/>
        <v>11422.48</v>
      </c>
      <c r="L155" s="177">
        <f t="shared" si="75"/>
        <v>57.5</v>
      </c>
      <c r="M155" s="177">
        <f>L155*F$328</f>
        <v>7.0379999999999994</v>
      </c>
      <c r="N155" s="177">
        <f t="shared" si="70"/>
        <v>11.44</v>
      </c>
      <c r="O155" s="177">
        <f t="shared" si="64"/>
        <v>0.40048749999999994</v>
      </c>
      <c r="P155" s="177">
        <f t="shared" si="65"/>
        <v>1.14425</v>
      </c>
      <c r="Q155" s="93">
        <f t="shared" si="66"/>
        <v>0</v>
      </c>
      <c r="R155" s="322">
        <v>11422.11</v>
      </c>
      <c r="S155" s="179">
        <f t="shared" si="67"/>
        <v>0.36999999999898137</v>
      </c>
      <c r="T155" s="176">
        <v>38841</v>
      </c>
      <c r="U155" s="323">
        <f>R155-(W$71*D155)-E$337</f>
        <v>-5424.3899999999994</v>
      </c>
      <c r="V155" s="324">
        <f>(U155/(W$71*D155))/W155*365</f>
        <v>-0.58846852429781538</v>
      </c>
      <c r="W155" s="297">
        <f>T155-V71</f>
        <v>200</v>
      </c>
      <c r="X155" s="325"/>
      <c r="Y155" s="93" t="s">
        <v>405</v>
      </c>
      <c r="Z155" s="93"/>
    </row>
    <row r="156" spans="1:26" ht="12" customHeight="1">
      <c r="A156" s="176">
        <v>38730</v>
      </c>
      <c r="B156" s="321" t="s">
        <v>986</v>
      </c>
      <c r="C156" s="93" t="s">
        <v>448</v>
      </c>
      <c r="D156" s="93">
        <v>50</v>
      </c>
      <c r="E156" s="177">
        <v>167</v>
      </c>
      <c r="F156" s="177">
        <f t="shared" si="71"/>
        <v>0.84</v>
      </c>
      <c r="G156" s="177">
        <f t="shared" si="72"/>
        <v>166.16</v>
      </c>
      <c r="H156" s="177">
        <f t="shared" si="61"/>
        <v>165.89</v>
      </c>
      <c r="I156" s="208">
        <f t="shared" si="62"/>
        <v>1.1144000000000001</v>
      </c>
      <c r="J156" s="177">
        <f t="shared" si="73"/>
        <v>8308</v>
      </c>
      <c r="K156" s="177">
        <f t="shared" si="74"/>
        <v>8294.2900000000009</v>
      </c>
      <c r="L156" s="177">
        <f t="shared" si="75"/>
        <v>42</v>
      </c>
      <c r="M156" s="177">
        <f t="shared" ref="M156:M170" si="86">L156*E$328</f>
        <v>4.2839999999999998</v>
      </c>
      <c r="N156" s="177">
        <f t="shared" si="70"/>
        <v>8.31</v>
      </c>
      <c r="O156" s="177">
        <f t="shared" si="64"/>
        <v>0.29077999999999998</v>
      </c>
      <c r="P156" s="177">
        <f t="shared" si="65"/>
        <v>0.83080000000000009</v>
      </c>
      <c r="Q156" s="93">
        <f t="shared" si="66"/>
        <v>0</v>
      </c>
      <c r="R156" s="322">
        <v>8294.06</v>
      </c>
      <c r="S156" s="179">
        <f t="shared" si="67"/>
        <v>0.23000000000138243</v>
      </c>
      <c r="T156" s="176">
        <v>38734</v>
      </c>
      <c r="U156" s="323">
        <f t="shared" ref="U156:U160" si="87">(R156+R28)-E$337</f>
        <v>66.059999999999491</v>
      </c>
      <c r="V156" s="324">
        <f t="shared" ref="V156:V160" si="88">-(U156/R28)/W156*365</f>
        <v>2.4907135006486929E-2</v>
      </c>
      <c r="W156" s="297">
        <f t="shared" ref="W156:W160" si="89">T156-T28</f>
        <v>118</v>
      </c>
      <c r="X156" s="325"/>
      <c r="Y156" s="93" t="s">
        <v>405</v>
      </c>
      <c r="Z156" s="93"/>
    </row>
    <row r="157" spans="1:26" ht="12" customHeight="1">
      <c r="A157" s="176">
        <v>38713</v>
      </c>
      <c r="B157" s="321" t="s">
        <v>987</v>
      </c>
      <c r="C157" s="93" t="s">
        <v>448</v>
      </c>
      <c r="D157" s="93">
        <v>100</v>
      </c>
      <c r="E157" s="177">
        <v>45.5</v>
      </c>
      <c r="F157" s="177">
        <f t="shared" si="71"/>
        <v>0.23</v>
      </c>
      <c r="G157" s="177">
        <f t="shared" si="72"/>
        <v>45.27</v>
      </c>
      <c r="H157" s="177">
        <f t="shared" si="61"/>
        <v>45.2</v>
      </c>
      <c r="I157" s="208">
        <f t="shared" si="62"/>
        <v>0.3049</v>
      </c>
      <c r="J157" s="177">
        <f t="shared" si="73"/>
        <v>4527</v>
      </c>
      <c r="K157" s="177">
        <f t="shared" si="74"/>
        <v>4519.5200000000004</v>
      </c>
      <c r="L157" s="177">
        <f t="shared" si="75"/>
        <v>23</v>
      </c>
      <c r="M157" s="177">
        <f t="shared" si="86"/>
        <v>2.3459999999999996</v>
      </c>
      <c r="N157" s="177">
        <f t="shared" si="70"/>
        <v>4.53</v>
      </c>
      <c r="O157" s="177">
        <f t="shared" si="64"/>
        <v>0.15844499999999997</v>
      </c>
      <c r="P157" s="177">
        <f t="shared" si="65"/>
        <v>0.45270000000000005</v>
      </c>
      <c r="Q157" s="93">
        <f t="shared" si="66"/>
        <v>0</v>
      </c>
      <c r="R157" s="322">
        <v>4519</v>
      </c>
      <c r="S157" s="179">
        <f t="shared" si="67"/>
        <v>0.52000000000043656</v>
      </c>
      <c r="T157" s="176">
        <v>38715</v>
      </c>
      <c r="U157" s="323">
        <f t="shared" si="87"/>
        <v>16</v>
      </c>
      <c r="V157" s="324">
        <f t="shared" si="88"/>
        <v>1.330471907450187E-2</v>
      </c>
      <c r="W157" s="297">
        <f t="shared" si="89"/>
        <v>98</v>
      </c>
      <c r="X157" s="325"/>
      <c r="Y157" s="93" t="s">
        <v>405</v>
      </c>
      <c r="Z157" s="93"/>
    </row>
    <row r="158" spans="1:26" ht="12" customHeight="1">
      <c r="A158" s="176">
        <v>38630</v>
      </c>
      <c r="B158" s="321" t="s">
        <v>970</v>
      </c>
      <c r="C158" s="93" t="s">
        <v>448</v>
      </c>
      <c r="D158" s="93">
        <v>50</v>
      </c>
      <c r="E158" s="177">
        <v>90.5</v>
      </c>
      <c r="F158" s="177">
        <f t="shared" si="71"/>
        <v>0.45</v>
      </c>
      <c r="G158" s="177">
        <f t="shared" si="72"/>
        <v>90.05</v>
      </c>
      <c r="H158" s="177">
        <f t="shared" si="61"/>
        <v>89.9</v>
      </c>
      <c r="I158" s="208">
        <f t="shared" si="62"/>
        <v>0.59809999999999997</v>
      </c>
      <c r="J158" s="177">
        <f t="shared" si="73"/>
        <v>4502.5</v>
      </c>
      <c r="K158" s="177">
        <f t="shared" si="74"/>
        <v>4495.1000000000004</v>
      </c>
      <c r="L158" s="177">
        <f t="shared" si="75"/>
        <v>22.5</v>
      </c>
      <c r="M158" s="177">
        <f t="shared" si="86"/>
        <v>2.2949999999999999</v>
      </c>
      <c r="N158" s="177">
        <f t="shared" si="70"/>
        <v>4.5</v>
      </c>
      <c r="O158" s="177">
        <f t="shared" si="64"/>
        <v>0.15758749999999999</v>
      </c>
      <c r="P158" s="177">
        <f t="shared" si="65"/>
        <v>0.45025000000000004</v>
      </c>
      <c r="Q158" s="93">
        <f t="shared" si="66"/>
        <v>0</v>
      </c>
      <c r="R158" s="322">
        <v>4495</v>
      </c>
      <c r="S158" s="179">
        <f t="shared" si="67"/>
        <v>0.1000000000003638</v>
      </c>
      <c r="T158" s="176">
        <v>38643</v>
      </c>
      <c r="U158" s="323">
        <f t="shared" si="87"/>
        <v>158</v>
      </c>
      <c r="V158" s="324">
        <f t="shared" si="88"/>
        <v>0.4952297532867902</v>
      </c>
      <c r="W158" s="297">
        <f t="shared" si="89"/>
        <v>27</v>
      </c>
      <c r="X158" s="325"/>
      <c r="Y158" s="93" t="s">
        <v>405</v>
      </c>
      <c r="Z158" s="93"/>
    </row>
    <row r="159" spans="1:26" ht="12" customHeight="1">
      <c r="A159" s="176">
        <v>38624</v>
      </c>
      <c r="B159" s="321" t="s">
        <v>988</v>
      </c>
      <c r="C159" s="93" t="s">
        <v>448</v>
      </c>
      <c r="D159" s="93">
        <v>200</v>
      </c>
      <c r="E159" s="177">
        <v>32.5</v>
      </c>
      <c r="F159" s="177">
        <f t="shared" si="71"/>
        <v>0.16</v>
      </c>
      <c r="G159" s="177">
        <f t="shared" si="72"/>
        <v>32.340000000000003</v>
      </c>
      <c r="H159" s="177">
        <f t="shared" si="61"/>
        <v>32.29</v>
      </c>
      <c r="I159" s="208">
        <f t="shared" si="62"/>
        <v>0.21309999999999998</v>
      </c>
      <c r="J159" s="177">
        <f t="shared" si="73"/>
        <v>6468</v>
      </c>
      <c r="K159" s="177">
        <f t="shared" si="74"/>
        <v>6457.4000000000005</v>
      </c>
      <c r="L159" s="177">
        <f t="shared" si="75"/>
        <v>32</v>
      </c>
      <c r="M159" s="177">
        <f t="shared" si="86"/>
        <v>3.2639999999999998</v>
      </c>
      <c r="N159" s="177">
        <f t="shared" si="70"/>
        <v>6.47</v>
      </c>
      <c r="O159" s="177">
        <f t="shared" si="64"/>
        <v>0.22637999999999997</v>
      </c>
      <c r="P159" s="177">
        <f t="shared" si="65"/>
        <v>0.64680000000000004</v>
      </c>
      <c r="Q159" s="93">
        <f t="shared" si="66"/>
        <v>0</v>
      </c>
      <c r="R159" s="322">
        <v>6457</v>
      </c>
      <c r="S159" s="179">
        <f t="shared" si="67"/>
        <v>0.4000000000005457</v>
      </c>
      <c r="T159" s="176">
        <v>38643</v>
      </c>
      <c r="U159" s="323">
        <f t="shared" si="87"/>
        <v>353</v>
      </c>
      <c r="V159" s="324">
        <f t="shared" si="88"/>
        <v>5.2979029605263159</v>
      </c>
      <c r="W159" s="297">
        <f t="shared" si="89"/>
        <v>4</v>
      </c>
      <c r="X159" s="325"/>
      <c r="Y159" s="93" t="s">
        <v>405</v>
      </c>
      <c r="Z159" s="93"/>
    </row>
    <row r="160" spans="1:26" ht="12" customHeight="1">
      <c r="A160" s="176">
        <v>38622</v>
      </c>
      <c r="B160" s="321" t="s">
        <v>974</v>
      </c>
      <c r="C160" s="93" t="s">
        <v>448</v>
      </c>
      <c r="D160" s="93">
        <v>25</v>
      </c>
      <c r="E160" s="177">
        <v>139.25</v>
      </c>
      <c r="F160" s="177">
        <f t="shared" si="71"/>
        <v>0.7</v>
      </c>
      <c r="G160" s="177">
        <f t="shared" si="72"/>
        <v>138.55000000000001</v>
      </c>
      <c r="H160" s="177">
        <f t="shared" si="61"/>
        <v>138.32</v>
      </c>
      <c r="I160" s="208">
        <f t="shared" si="62"/>
        <v>0.92859999999999998</v>
      </c>
      <c r="J160" s="177">
        <f t="shared" si="73"/>
        <v>3463.75</v>
      </c>
      <c r="K160" s="177">
        <f t="shared" si="74"/>
        <v>3458.0400000000004</v>
      </c>
      <c r="L160" s="177">
        <f t="shared" si="75"/>
        <v>17.5</v>
      </c>
      <c r="M160" s="177">
        <f t="shared" si="86"/>
        <v>1.7849999999999999</v>
      </c>
      <c r="N160" s="177">
        <f t="shared" si="70"/>
        <v>3.46</v>
      </c>
      <c r="O160" s="177">
        <f t="shared" si="64"/>
        <v>0.12123124999999998</v>
      </c>
      <c r="P160" s="177">
        <f t="shared" si="65"/>
        <v>0.34637500000000004</v>
      </c>
      <c r="Q160" s="93">
        <f t="shared" si="66"/>
        <v>0</v>
      </c>
      <c r="R160" s="322">
        <v>3458</v>
      </c>
      <c r="S160" s="179">
        <f t="shared" si="67"/>
        <v>4.0000000000418368E-2</v>
      </c>
      <c r="T160" s="176">
        <v>38643</v>
      </c>
      <c r="U160" s="323">
        <f t="shared" si="87"/>
        <v>326</v>
      </c>
      <c r="V160" s="324">
        <f t="shared" si="88"/>
        <v>9.5712676962676966</v>
      </c>
      <c r="W160" s="297">
        <f t="shared" si="89"/>
        <v>4</v>
      </c>
      <c r="X160" s="325"/>
      <c r="Y160" s="93" t="s">
        <v>405</v>
      </c>
      <c r="Z160" s="93"/>
    </row>
    <row r="161" spans="1:26" ht="12" customHeight="1">
      <c r="A161" s="176">
        <v>38623</v>
      </c>
      <c r="B161" s="321" t="s">
        <v>626</v>
      </c>
      <c r="C161" s="93" t="s">
        <v>448</v>
      </c>
      <c r="D161" s="93">
        <v>50</v>
      </c>
      <c r="E161" s="177">
        <v>108</v>
      </c>
      <c r="F161" s="177">
        <f t="shared" si="71"/>
        <v>0.54</v>
      </c>
      <c r="G161" s="177">
        <f t="shared" si="72"/>
        <v>107.46</v>
      </c>
      <c r="H161" s="177">
        <f t="shared" si="61"/>
        <v>107.28</v>
      </c>
      <c r="I161" s="208">
        <f t="shared" si="62"/>
        <v>0.71699999999999997</v>
      </c>
      <c r="J161" s="177">
        <f t="shared" si="73"/>
        <v>5373</v>
      </c>
      <c r="K161" s="177">
        <f t="shared" si="74"/>
        <v>5364.16</v>
      </c>
      <c r="L161" s="177">
        <f t="shared" si="75"/>
        <v>27</v>
      </c>
      <c r="M161" s="177">
        <f t="shared" si="86"/>
        <v>2.754</v>
      </c>
      <c r="N161" s="177">
        <f t="shared" si="70"/>
        <v>5.37</v>
      </c>
      <c r="O161" s="177">
        <f t="shared" si="64"/>
        <v>0.18805499999999997</v>
      </c>
      <c r="P161" s="177">
        <f t="shared" si="65"/>
        <v>0.5373</v>
      </c>
      <c r="Q161" s="93">
        <f t="shared" si="66"/>
        <v>0</v>
      </c>
      <c r="R161" s="322">
        <v>5364</v>
      </c>
      <c r="S161" s="179">
        <f t="shared" si="67"/>
        <v>0.15999999999985448</v>
      </c>
      <c r="T161" s="176">
        <v>38643</v>
      </c>
      <c r="U161" s="323">
        <f>R161-(W$34*D161)-E$337</f>
        <v>3</v>
      </c>
      <c r="V161" s="324">
        <f>(U161/(W$34*D161))/W161*365</f>
        <v>0.10258572231590782</v>
      </c>
      <c r="W161" s="297">
        <f>T161-V34</f>
        <v>2</v>
      </c>
      <c r="X161" s="325"/>
      <c r="Y161" s="93" t="s">
        <v>405</v>
      </c>
      <c r="Z161" s="93"/>
    </row>
    <row r="162" spans="1:26" ht="12" customHeight="1">
      <c r="A162" s="176">
        <v>38679</v>
      </c>
      <c r="B162" s="321" t="s">
        <v>989</v>
      </c>
      <c r="C162" s="93" t="s">
        <v>448</v>
      </c>
      <c r="D162" s="93">
        <v>25</v>
      </c>
      <c r="E162" s="177">
        <v>128.5</v>
      </c>
      <c r="F162" s="177">
        <f t="shared" si="71"/>
        <v>0.64</v>
      </c>
      <c r="G162" s="177">
        <f t="shared" si="72"/>
        <v>127.86</v>
      </c>
      <c r="H162" s="177">
        <f t="shared" si="61"/>
        <v>127.65</v>
      </c>
      <c r="I162" s="208">
        <f t="shared" si="62"/>
        <v>0.85060000000000002</v>
      </c>
      <c r="J162" s="177">
        <f t="shared" si="73"/>
        <v>3196.5</v>
      </c>
      <c r="K162" s="177">
        <f t="shared" si="74"/>
        <v>3191.2400000000002</v>
      </c>
      <c r="L162" s="177">
        <f t="shared" si="75"/>
        <v>16</v>
      </c>
      <c r="M162" s="177">
        <f t="shared" si="86"/>
        <v>1.6319999999999999</v>
      </c>
      <c r="N162" s="177">
        <f t="shared" si="70"/>
        <v>3.2</v>
      </c>
      <c r="O162" s="177">
        <f t="shared" si="64"/>
        <v>0.11187749999999999</v>
      </c>
      <c r="P162" s="177">
        <f t="shared" si="65"/>
        <v>0.31964999999999999</v>
      </c>
      <c r="Q162" s="93">
        <f t="shared" si="66"/>
        <v>0</v>
      </c>
      <c r="R162" s="322">
        <v>3190.95</v>
      </c>
      <c r="S162" s="179">
        <f t="shared" si="67"/>
        <v>0.29000000000041837</v>
      </c>
      <c r="T162" s="176">
        <v>38681</v>
      </c>
      <c r="U162" s="323">
        <f>(R162+R48)-E$337</f>
        <v>-16.050000000000182</v>
      </c>
      <c r="V162" s="324">
        <f>-(U162/R48)/W162*365</f>
        <v>-3.4726050539719062E-2</v>
      </c>
      <c r="W162" s="297">
        <f>T162-T48</f>
        <v>53</v>
      </c>
      <c r="X162" s="325"/>
      <c r="Y162" s="93" t="s">
        <v>405</v>
      </c>
      <c r="Z162" s="93"/>
    </row>
    <row r="163" spans="1:26" ht="12" customHeight="1">
      <c r="A163" s="176">
        <v>38635</v>
      </c>
      <c r="B163" s="321" t="s">
        <v>990</v>
      </c>
      <c r="C163" s="93" t="s">
        <v>448</v>
      </c>
      <c r="D163" s="93">
        <v>50</v>
      </c>
      <c r="E163" s="177">
        <v>61.4</v>
      </c>
      <c r="F163" s="177">
        <f t="shared" si="71"/>
        <v>0.31</v>
      </c>
      <c r="G163" s="177">
        <f t="shared" si="72"/>
        <v>61.089999999999996</v>
      </c>
      <c r="H163" s="177">
        <f t="shared" si="61"/>
        <v>60.99</v>
      </c>
      <c r="I163" s="208">
        <f t="shared" si="62"/>
        <v>0.41089999999999999</v>
      </c>
      <c r="J163" s="177">
        <f t="shared" si="73"/>
        <v>3054.5</v>
      </c>
      <c r="K163" s="177">
        <f t="shared" si="74"/>
        <v>3049.46</v>
      </c>
      <c r="L163" s="177">
        <f t="shared" si="75"/>
        <v>15.5</v>
      </c>
      <c r="M163" s="177">
        <f t="shared" si="86"/>
        <v>1.581</v>
      </c>
      <c r="N163" s="177">
        <f t="shared" si="70"/>
        <v>3.05</v>
      </c>
      <c r="O163" s="177">
        <f t="shared" si="64"/>
        <v>0.10690749999999999</v>
      </c>
      <c r="P163" s="177">
        <f t="shared" si="65"/>
        <v>0.30545</v>
      </c>
      <c r="Q163" s="93">
        <f t="shared" si="66"/>
        <v>0</v>
      </c>
      <c r="R163" s="322">
        <v>3049</v>
      </c>
      <c r="S163" s="179">
        <f t="shared" si="67"/>
        <v>0.46000000000003638</v>
      </c>
      <c r="T163" s="176">
        <v>38644</v>
      </c>
      <c r="U163" s="323">
        <f t="shared" ref="U163:U167" si="90">(R163+R37)-E$337</f>
        <v>5</v>
      </c>
      <c r="V163" s="324">
        <f t="shared" ref="V163:V167" si="91">-(U163/R37)/W163*365</f>
        <v>0.60430463576158944</v>
      </c>
      <c r="W163" s="297">
        <f t="shared" ref="W163:W167" si="92">T163-T37</f>
        <v>1</v>
      </c>
      <c r="X163" s="325"/>
      <c r="Y163" s="93" t="s">
        <v>405</v>
      </c>
      <c r="Z163" s="93"/>
    </row>
    <row r="164" spans="1:26" ht="12" customHeight="1">
      <c r="A164" s="176">
        <v>38698</v>
      </c>
      <c r="B164" s="321" t="s">
        <v>991</v>
      </c>
      <c r="C164" s="93" t="s">
        <v>448</v>
      </c>
      <c r="D164" s="93">
        <v>50</v>
      </c>
      <c r="E164" s="177">
        <v>94.05</v>
      </c>
      <c r="F164" s="177">
        <f t="shared" si="71"/>
        <v>0.47</v>
      </c>
      <c r="G164" s="177">
        <f t="shared" si="72"/>
        <v>93.58</v>
      </c>
      <c r="H164" s="177">
        <f t="shared" si="61"/>
        <v>93.43</v>
      </c>
      <c r="I164" s="208">
        <f t="shared" si="62"/>
        <v>0.62419999999999998</v>
      </c>
      <c r="J164" s="177">
        <f t="shared" si="73"/>
        <v>4679</v>
      </c>
      <c r="K164" s="177">
        <f t="shared" si="74"/>
        <v>4671.3</v>
      </c>
      <c r="L164" s="177">
        <f t="shared" si="75"/>
        <v>23.5</v>
      </c>
      <c r="M164" s="177">
        <f t="shared" si="86"/>
        <v>2.3969999999999998</v>
      </c>
      <c r="N164" s="177">
        <f t="shared" si="70"/>
        <v>4.68</v>
      </c>
      <c r="O164" s="177">
        <f t="shared" si="64"/>
        <v>0.16376499999999999</v>
      </c>
      <c r="P164" s="177">
        <f t="shared" si="65"/>
        <v>0.46790000000000004</v>
      </c>
      <c r="Q164" s="93">
        <f t="shared" si="66"/>
        <v>0</v>
      </c>
      <c r="R164" s="322">
        <v>4671</v>
      </c>
      <c r="S164" s="179">
        <f t="shared" si="67"/>
        <v>0.3000000000001819</v>
      </c>
      <c r="T164" s="176">
        <v>38700</v>
      </c>
      <c r="U164" s="323">
        <f t="shared" si="90"/>
        <v>7</v>
      </c>
      <c r="V164" s="324">
        <f t="shared" si="91"/>
        <v>9.6604658197217176E-3</v>
      </c>
      <c r="W164" s="297">
        <f t="shared" si="92"/>
        <v>57</v>
      </c>
      <c r="X164" s="325"/>
      <c r="Y164" s="93" t="s">
        <v>405</v>
      </c>
      <c r="Z164" s="93"/>
    </row>
    <row r="165" spans="1:26" ht="12" customHeight="1">
      <c r="A165" s="176">
        <v>38741</v>
      </c>
      <c r="B165" s="321" t="s">
        <v>992</v>
      </c>
      <c r="C165" s="93" t="s">
        <v>448</v>
      </c>
      <c r="D165" s="93">
        <v>25</v>
      </c>
      <c r="E165" s="177">
        <v>108.15</v>
      </c>
      <c r="F165" s="177">
        <f t="shared" si="71"/>
        <v>0.54</v>
      </c>
      <c r="G165" s="177">
        <f t="shared" si="72"/>
        <v>107.61</v>
      </c>
      <c r="H165" s="177">
        <f t="shared" si="61"/>
        <v>107.43</v>
      </c>
      <c r="I165" s="208">
        <f t="shared" si="62"/>
        <v>0.71729999999999994</v>
      </c>
      <c r="J165" s="177">
        <f t="shared" si="73"/>
        <v>2690.25</v>
      </c>
      <c r="K165" s="177">
        <f t="shared" si="74"/>
        <v>2685.82</v>
      </c>
      <c r="L165" s="177">
        <f t="shared" si="75"/>
        <v>13.5</v>
      </c>
      <c r="M165" s="177">
        <f t="shared" si="86"/>
        <v>1.377</v>
      </c>
      <c r="N165" s="177">
        <f t="shared" si="70"/>
        <v>2.69</v>
      </c>
      <c r="O165" s="177">
        <f t="shared" si="64"/>
        <v>9.4158749999999986E-2</v>
      </c>
      <c r="P165" s="177">
        <f t="shared" si="65"/>
        <v>0.26902500000000001</v>
      </c>
      <c r="Q165" s="93">
        <f t="shared" si="66"/>
        <v>0</v>
      </c>
      <c r="R165" s="322">
        <f>K165</f>
        <v>2685.82</v>
      </c>
      <c r="S165" s="179">
        <f t="shared" si="67"/>
        <v>0</v>
      </c>
      <c r="T165" s="176">
        <v>38744</v>
      </c>
      <c r="U165" s="323">
        <f t="shared" si="90"/>
        <v>122.82000000000016</v>
      </c>
      <c r="V165" s="324">
        <f t="shared" si="91"/>
        <v>0.16815506667416891</v>
      </c>
      <c r="W165" s="297">
        <f t="shared" si="92"/>
        <v>105</v>
      </c>
      <c r="X165" s="325"/>
      <c r="Y165" s="93" t="s">
        <v>405</v>
      </c>
      <c r="Z165" s="93"/>
    </row>
    <row r="166" spans="1:26" ht="12" customHeight="1">
      <c r="A166" s="176">
        <v>38692</v>
      </c>
      <c r="B166" s="321" t="s">
        <v>974</v>
      </c>
      <c r="C166" s="93" t="s">
        <v>448</v>
      </c>
      <c r="D166" s="93">
        <v>50</v>
      </c>
      <c r="E166" s="177">
        <v>151</v>
      </c>
      <c r="F166" s="177">
        <f t="shared" si="71"/>
        <v>0.76</v>
      </c>
      <c r="G166" s="177">
        <f t="shared" si="72"/>
        <v>150.24</v>
      </c>
      <c r="H166" s="177">
        <f t="shared" si="61"/>
        <v>149.99</v>
      </c>
      <c r="I166" s="208">
        <f t="shared" si="62"/>
        <v>1.0081</v>
      </c>
      <c r="J166" s="177">
        <f t="shared" si="73"/>
        <v>7512</v>
      </c>
      <c r="K166" s="177">
        <f t="shared" si="74"/>
        <v>7499.6</v>
      </c>
      <c r="L166" s="177">
        <f t="shared" si="75"/>
        <v>38</v>
      </c>
      <c r="M166" s="177">
        <f t="shared" si="86"/>
        <v>3.8759999999999999</v>
      </c>
      <c r="N166" s="177">
        <f t="shared" si="70"/>
        <v>7.51</v>
      </c>
      <c r="O166" s="177">
        <f t="shared" si="64"/>
        <v>0.26291999999999999</v>
      </c>
      <c r="P166" s="177">
        <f t="shared" si="65"/>
        <v>0.75120000000000009</v>
      </c>
      <c r="Q166" s="93">
        <f t="shared" si="66"/>
        <v>0</v>
      </c>
      <c r="R166" s="322">
        <v>7499</v>
      </c>
      <c r="S166" s="179">
        <f t="shared" si="67"/>
        <v>0.6000000000003638</v>
      </c>
      <c r="T166" s="176">
        <v>38694</v>
      </c>
      <c r="U166" s="323">
        <f t="shared" si="90"/>
        <v>638</v>
      </c>
      <c r="V166" s="324">
        <f t="shared" si="91"/>
        <v>0.51606455072887714</v>
      </c>
      <c r="W166" s="297">
        <f t="shared" si="92"/>
        <v>66</v>
      </c>
      <c r="X166" s="325"/>
      <c r="Y166" s="93" t="s">
        <v>405</v>
      </c>
      <c r="Z166" s="93"/>
    </row>
    <row r="167" spans="1:26" ht="12" customHeight="1">
      <c r="A167" s="176">
        <v>38630</v>
      </c>
      <c r="B167" s="321" t="s">
        <v>984</v>
      </c>
      <c r="C167" s="93" t="s">
        <v>448</v>
      </c>
      <c r="D167" s="93">
        <v>25</v>
      </c>
      <c r="E167" s="177">
        <v>87</v>
      </c>
      <c r="F167" s="177">
        <f t="shared" si="71"/>
        <v>0.44</v>
      </c>
      <c r="G167" s="177">
        <f t="shared" si="72"/>
        <v>86.56</v>
      </c>
      <c r="H167" s="177">
        <f t="shared" si="61"/>
        <v>86.42</v>
      </c>
      <c r="I167" s="208">
        <f t="shared" si="62"/>
        <v>0.58299999999999996</v>
      </c>
      <c r="J167" s="177">
        <f t="shared" si="73"/>
        <v>2164</v>
      </c>
      <c r="K167" s="177">
        <f t="shared" si="74"/>
        <v>2160.4300000000003</v>
      </c>
      <c r="L167" s="177">
        <f t="shared" si="75"/>
        <v>11</v>
      </c>
      <c r="M167" s="177">
        <f t="shared" si="86"/>
        <v>1.1219999999999999</v>
      </c>
      <c r="N167" s="177">
        <f t="shared" si="70"/>
        <v>2.16</v>
      </c>
      <c r="O167" s="177">
        <f t="shared" si="64"/>
        <v>7.5739999999999988E-2</v>
      </c>
      <c r="P167" s="177">
        <f t="shared" si="65"/>
        <v>0.21640000000000001</v>
      </c>
      <c r="Q167" s="93">
        <f t="shared" si="66"/>
        <v>0</v>
      </c>
      <c r="R167" s="322">
        <v>2160</v>
      </c>
      <c r="S167" s="179">
        <f t="shared" si="67"/>
        <v>0.43000000000029104</v>
      </c>
      <c r="T167" s="176">
        <v>38644</v>
      </c>
      <c r="U167" s="323">
        <f t="shared" si="90"/>
        <v>106</v>
      </c>
      <c r="V167" s="324">
        <f t="shared" si="91"/>
        <v>19.059113300492609</v>
      </c>
      <c r="W167" s="297">
        <f t="shared" si="92"/>
        <v>1</v>
      </c>
      <c r="X167" s="325"/>
      <c r="Y167" s="93" t="s">
        <v>405</v>
      </c>
      <c r="Z167" s="93"/>
    </row>
    <row r="168" spans="1:26" ht="12" customHeight="1">
      <c r="A168" s="176">
        <v>38628</v>
      </c>
      <c r="B168" s="321" t="s">
        <v>970</v>
      </c>
      <c r="C168" s="93" t="s">
        <v>448</v>
      </c>
      <c r="D168" s="93">
        <v>50</v>
      </c>
      <c r="E168" s="177">
        <v>87.4</v>
      </c>
      <c r="F168" s="177">
        <f t="shared" si="71"/>
        <v>0.44</v>
      </c>
      <c r="G168" s="177">
        <f t="shared" si="72"/>
        <v>86.960000000000008</v>
      </c>
      <c r="H168" s="177">
        <f t="shared" si="61"/>
        <v>86.82</v>
      </c>
      <c r="I168" s="208">
        <f t="shared" si="62"/>
        <v>0.5837</v>
      </c>
      <c r="J168" s="177">
        <f t="shared" si="73"/>
        <v>4348</v>
      </c>
      <c r="K168" s="177">
        <f t="shared" si="74"/>
        <v>4340.8200000000006</v>
      </c>
      <c r="L168" s="177">
        <f t="shared" si="75"/>
        <v>22</v>
      </c>
      <c r="M168" s="177">
        <f t="shared" si="86"/>
        <v>2.2439999999999998</v>
      </c>
      <c r="N168" s="177">
        <f t="shared" si="70"/>
        <v>4.3499999999999996</v>
      </c>
      <c r="O168" s="177">
        <f t="shared" si="64"/>
        <v>0.15217999999999998</v>
      </c>
      <c r="P168" s="177">
        <f t="shared" si="65"/>
        <v>0.43480000000000002</v>
      </c>
      <c r="Q168" s="93">
        <f t="shared" si="66"/>
        <v>0</v>
      </c>
      <c r="R168" s="322">
        <v>4341.17</v>
      </c>
      <c r="S168" s="179">
        <f t="shared" si="67"/>
        <v>-0.3499999999994543</v>
      </c>
      <c r="T168" s="176">
        <v>38630</v>
      </c>
      <c r="U168" s="323">
        <f>(R168+R35)-E$337</f>
        <v>145</v>
      </c>
      <c r="V168" s="324">
        <f>-(U168/R35)/W168*365</f>
        <v>6.3426226639854075</v>
      </c>
      <c r="W168" s="297">
        <f>T168-T35</f>
        <v>2</v>
      </c>
      <c r="X168" s="325"/>
      <c r="Y168" s="93" t="s">
        <v>405</v>
      </c>
      <c r="Z168" s="93"/>
    </row>
    <row r="169" spans="1:26" ht="12" customHeight="1">
      <c r="A169" s="176">
        <v>38681</v>
      </c>
      <c r="B169" s="321" t="s">
        <v>993</v>
      </c>
      <c r="C169" s="93" t="s">
        <v>448</v>
      </c>
      <c r="D169" s="93">
        <v>15</v>
      </c>
      <c r="E169" s="177">
        <v>545.5</v>
      </c>
      <c r="F169" s="177">
        <f t="shared" si="71"/>
        <v>2.73</v>
      </c>
      <c r="G169" s="177">
        <f t="shared" si="72"/>
        <v>542.77</v>
      </c>
      <c r="H169" s="177">
        <f t="shared" si="61"/>
        <v>541.88</v>
      </c>
      <c r="I169" s="208">
        <f t="shared" si="62"/>
        <v>3.6245000000000003</v>
      </c>
      <c r="J169" s="177">
        <f t="shared" si="73"/>
        <v>8141.55</v>
      </c>
      <c r="K169" s="177">
        <f t="shared" si="74"/>
        <v>8128.14</v>
      </c>
      <c r="L169" s="177">
        <f t="shared" si="75"/>
        <v>40.950000000000003</v>
      </c>
      <c r="M169" s="177">
        <f t="shared" si="86"/>
        <v>4.1768999999999998</v>
      </c>
      <c r="N169" s="177">
        <f t="shared" si="70"/>
        <v>8.14</v>
      </c>
      <c r="O169" s="177">
        <f t="shared" si="64"/>
        <v>0.28495424999999996</v>
      </c>
      <c r="P169" s="177">
        <f t="shared" si="65"/>
        <v>0.81415500000000007</v>
      </c>
      <c r="Q169" s="93">
        <f t="shared" si="66"/>
        <v>0</v>
      </c>
      <c r="R169" s="322">
        <v>8127.44</v>
      </c>
      <c r="S169" s="179">
        <f t="shared" si="67"/>
        <v>0.7000000000007276</v>
      </c>
      <c r="T169" s="176">
        <v>38685</v>
      </c>
      <c r="U169" s="323">
        <f>R169-(W$54*D169)-E$337</f>
        <v>155.53999999999905</v>
      </c>
      <c r="V169" s="324">
        <f>(U169/(W$54*D169))/W169*365</f>
        <v>0.24631143077915463</v>
      </c>
      <c r="W169" s="297">
        <f>T169-V54</f>
        <v>29</v>
      </c>
      <c r="X169" s="325"/>
      <c r="Y169" s="93" t="s">
        <v>405</v>
      </c>
      <c r="Z169" s="93"/>
    </row>
    <row r="170" spans="1:26" ht="12" customHeight="1">
      <c r="A170" s="176">
        <v>38674</v>
      </c>
      <c r="B170" s="321" t="s">
        <v>973</v>
      </c>
      <c r="C170" s="93" t="s">
        <v>448</v>
      </c>
      <c r="D170" s="93">
        <v>100</v>
      </c>
      <c r="E170" s="177">
        <v>78.150000000000006</v>
      </c>
      <c r="F170" s="177">
        <f t="shared" si="71"/>
        <v>0.39</v>
      </c>
      <c r="G170" s="177">
        <f t="shared" si="72"/>
        <v>77.760000000000005</v>
      </c>
      <c r="H170" s="177">
        <f t="shared" si="61"/>
        <v>77.63</v>
      </c>
      <c r="I170" s="208">
        <f t="shared" si="62"/>
        <v>0.5181</v>
      </c>
      <c r="J170" s="177">
        <f t="shared" si="73"/>
        <v>7776</v>
      </c>
      <c r="K170" s="177">
        <f t="shared" si="74"/>
        <v>7763.2</v>
      </c>
      <c r="L170" s="177">
        <f t="shared" si="75"/>
        <v>39</v>
      </c>
      <c r="M170" s="177">
        <f t="shared" si="86"/>
        <v>3.9779999999999998</v>
      </c>
      <c r="N170" s="177">
        <f t="shared" si="70"/>
        <v>7.78</v>
      </c>
      <c r="O170" s="177">
        <f t="shared" si="64"/>
        <v>0.27215999999999996</v>
      </c>
      <c r="P170" s="177">
        <f t="shared" si="65"/>
        <v>0.77760000000000007</v>
      </c>
      <c r="Q170" s="93">
        <f t="shared" si="66"/>
        <v>0</v>
      </c>
      <c r="R170" s="322">
        <v>7762.46</v>
      </c>
      <c r="S170" s="179">
        <f t="shared" si="67"/>
        <v>0.73999999999978172</v>
      </c>
      <c r="T170" s="176">
        <v>38678</v>
      </c>
      <c r="U170" s="323">
        <f>R170-(W$52*D170)-E$337</f>
        <v>271.46000000000004</v>
      </c>
      <c r="V170" s="324">
        <f>(U170/(W$52*D170))/W170*365</f>
        <v>0.63187804115887691</v>
      </c>
      <c r="W170" s="297">
        <f>T170-V52</f>
        <v>21</v>
      </c>
      <c r="X170" s="325"/>
      <c r="Y170" s="93" t="s">
        <v>405</v>
      </c>
      <c r="Z170" s="93"/>
    </row>
    <row r="171" spans="1:26" ht="12" customHeight="1">
      <c r="A171" s="176">
        <v>39120</v>
      </c>
      <c r="B171" s="321" t="s">
        <v>988</v>
      </c>
      <c r="C171" s="93" t="s">
        <v>448</v>
      </c>
      <c r="D171" s="93">
        <v>200</v>
      </c>
      <c r="E171" s="177">
        <v>26.85</v>
      </c>
      <c r="F171" s="177">
        <f t="shared" si="71"/>
        <v>0.13</v>
      </c>
      <c r="G171" s="177">
        <f t="shared" si="72"/>
        <v>26.720000000000002</v>
      </c>
      <c r="H171" s="177">
        <f t="shared" si="61"/>
        <v>26.67</v>
      </c>
      <c r="I171" s="208">
        <f t="shared" si="62"/>
        <v>0.17629999999999998</v>
      </c>
      <c r="J171" s="177">
        <f t="shared" si="73"/>
        <v>5344</v>
      </c>
      <c r="K171" s="177">
        <f t="shared" si="74"/>
        <v>5334.76</v>
      </c>
      <c r="L171" s="177">
        <f t="shared" si="75"/>
        <v>26</v>
      </c>
      <c r="M171" s="177">
        <f>L171*F$328</f>
        <v>3.1823999999999999</v>
      </c>
      <c r="N171" s="177">
        <f t="shared" si="70"/>
        <v>5.34</v>
      </c>
      <c r="O171" s="177">
        <f t="shared" si="64"/>
        <v>0.18703999999999998</v>
      </c>
      <c r="P171" s="177">
        <f t="shared" si="65"/>
        <v>0.53439999999999999</v>
      </c>
      <c r="Q171" s="93">
        <f t="shared" si="66"/>
        <v>0</v>
      </c>
      <c r="R171" s="322">
        <f>K171</f>
        <v>5334.76</v>
      </c>
      <c r="S171" s="179">
        <f t="shared" si="67"/>
        <v>0</v>
      </c>
      <c r="T171" s="176">
        <v>39122</v>
      </c>
      <c r="U171" s="323">
        <f>R171-(W$116*D171)-E$337</f>
        <v>534.76000000000022</v>
      </c>
      <c r="V171" s="324">
        <f>(U171/(W$116*D171))/W171*365</f>
        <v>0.10115936530839018</v>
      </c>
      <c r="W171" s="297">
        <f>T171-V116</f>
        <v>404</v>
      </c>
      <c r="X171" s="325" t="str">
        <f>IF(A171="Stock","Not Sold","")</f>
        <v/>
      </c>
      <c r="Y171" s="93" t="s">
        <v>405</v>
      </c>
      <c r="Z171" s="93"/>
    </row>
    <row r="172" spans="1:26" ht="12" customHeight="1">
      <c r="A172" s="176">
        <v>38705</v>
      </c>
      <c r="B172" s="321" t="s">
        <v>970</v>
      </c>
      <c r="C172" s="93" t="s">
        <v>448</v>
      </c>
      <c r="D172" s="93">
        <v>50</v>
      </c>
      <c r="E172" s="177">
        <v>87.95</v>
      </c>
      <c r="F172" s="177">
        <f t="shared" si="71"/>
        <v>0.44</v>
      </c>
      <c r="G172" s="177">
        <f t="shared" si="72"/>
        <v>87.51</v>
      </c>
      <c r="H172" s="177">
        <f t="shared" si="61"/>
        <v>87.37</v>
      </c>
      <c r="I172" s="208">
        <f t="shared" si="62"/>
        <v>0.58430000000000004</v>
      </c>
      <c r="J172" s="177">
        <f t="shared" si="73"/>
        <v>4375.5</v>
      </c>
      <c r="K172" s="177">
        <f t="shared" si="74"/>
        <v>4368.29</v>
      </c>
      <c r="L172" s="177">
        <f t="shared" si="75"/>
        <v>22</v>
      </c>
      <c r="M172" s="177">
        <f t="shared" ref="M172:M198" si="93">L172*E$328</f>
        <v>2.2439999999999998</v>
      </c>
      <c r="N172" s="177">
        <f t="shared" si="70"/>
        <v>4.38</v>
      </c>
      <c r="O172" s="177">
        <f t="shared" si="64"/>
        <v>0.15314249999999999</v>
      </c>
      <c r="P172" s="177">
        <f t="shared" si="65"/>
        <v>0.43754999999999999</v>
      </c>
      <c r="Q172" s="93">
        <f t="shared" si="66"/>
        <v>0</v>
      </c>
      <c r="R172" s="177">
        <v>4368</v>
      </c>
      <c r="S172" s="179">
        <f t="shared" si="67"/>
        <v>0.28999999999996362</v>
      </c>
      <c r="T172" s="176">
        <v>38707</v>
      </c>
      <c r="U172" s="323">
        <f>(R172+R47)-E$337</f>
        <v>1</v>
      </c>
      <c r="V172" s="324">
        <f>-(U172/R47)/W172*365</f>
        <v>1.3131763757771124E-3</v>
      </c>
      <c r="W172" s="297">
        <f>T172-T47</f>
        <v>64</v>
      </c>
      <c r="X172" s="325"/>
      <c r="Y172" s="93" t="s">
        <v>405</v>
      </c>
      <c r="Z172" s="93"/>
    </row>
    <row r="173" spans="1:26" ht="12" customHeight="1">
      <c r="A173" s="176">
        <v>38665</v>
      </c>
      <c r="B173" s="321" t="s">
        <v>994</v>
      </c>
      <c r="C173" s="93" t="s">
        <v>448</v>
      </c>
      <c r="D173" s="93">
        <v>50</v>
      </c>
      <c r="E173" s="177">
        <v>79.099999999999994</v>
      </c>
      <c r="F173" s="177">
        <f t="shared" si="71"/>
        <v>0.4</v>
      </c>
      <c r="G173" s="177">
        <f t="shared" si="72"/>
        <v>78.699999999999989</v>
      </c>
      <c r="H173" s="177">
        <f t="shared" si="61"/>
        <v>78.569999999999993</v>
      </c>
      <c r="I173" s="208">
        <f t="shared" si="62"/>
        <v>0.53029999999999999</v>
      </c>
      <c r="J173" s="177">
        <f t="shared" si="73"/>
        <v>3935</v>
      </c>
      <c r="K173" s="177">
        <f t="shared" si="74"/>
        <v>3928.4900000000002</v>
      </c>
      <c r="L173" s="177">
        <f t="shared" si="75"/>
        <v>20</v>
      </c>
      <c r="M173" s="177">
        <f t="shared" si="93"/>
        <v>2.04</v>
      </c>
      <c r="N173" s="177">
        <f t="shared" si="70"/>
        <v>3.94</v>
      </c>
      <c r="O173" s="177">
        <f t="shared" si="64"/>
        <v>0.13772499999999999</v>
      </c>
      <c r="P173" s="177">
        <f t="shared" si="65"/>
        <v>0.39350000000000002</v>
      </c>
      <c r="Q173" s="93">
        <f t="shared" si="66"/>
        <v>0</v>
      </c>
      <c r="R173" s="322">
        <v>3928.18</v>
      </c>
      <c r="S173" s="179">
        <f t="shared" si="67"/>
        <v>0.31000000000040018</v>
      </c>
      <c r="T173" s="176">
        <v>38671</v>
      </c>
      <c r="U173" s="323">
        <f>(R173+R51)-E$337</f>
        <v>91.399999999999636</v>
      </c>
      <c r="V173" s="324">
        <f>-(U173/R51)/W173*365</f>
        <v>8.7497836224486765</v>
      </c>
      <c r="W173" s="297">
        <f>T173-T51</f>
        <v>1</v>
      </c>
      <c r="X173" s="325"/>
      <c r="Y173" s="93" t="s">
        <v>405</v>
      </c>
      <c r="Z173" s="93"/>
    </row>
    <row r="174" spans="1:26" ht="12" customHeight="1">
      <c r="A174" s="176">
        <v>38716</v>
      </c>
      <c r="B174" s="321" t="s">
        <v>995</v>
      </c>
      <c r="C174" s="93" t="s">
        <v>448</v>
      </c>
      <c r="D174" s="93">
        <v>25</v>
      </c>
      <c r="E174" s="177">
        <v>24.95</v>
      </c>
      <c r="F174" s="177">
        <f t="shared" si="71"/>
        <v>0.4</v>
      </c>
      <c r="G174" s="177">
        <f t="shared" si="72"/>
        <v>24.55</v>
      </c>
      <c r="H174" s="177">
        <f t="shared" si="61"/>
        <v>24.48</v>
      </c>
      <c r="I174" s="208">
        <f t="shared" si="62"/>
        <v>0.46860000000000002</v>
      </c>
      <c r="J174" s="177">
        <f t="shared" si="73"/>
        <v>613.75</v>
      </c>
      <c r="K174" s="177">
        <f t="shared" si="74"/>
        <v>612.04</v>
      </c>
      <c r="L174" s="177">
        <f t="shared" si="75"/>
        <v>10</v>
      </c>
      <c r="M174" s="177">
        <f t="shared" si="93"/>
        <v>1.02</v>
      </c>
      <c r="N174" s="177">
        <f t="shared" si="70"/>
        <v>0.61</v>
      </c>
      <c r="O174" s="177">
        <f t="shared" si="64"/>
        <v>2.1481249999999997E-2</v>
      </c>
      <c r="P174" s="177">
        <f t="shared" si="65"/>
        <v>6.1375000000000006E-2</v>
      </c>
      <c r="Q174" s="93">
        <f t="shared" si="66"/>
        <v>0</v>
      </c>
      <c r="R174" s="322">
        <v>612</v>
      </c>
      <c r="S174" s="179">
        <f t="shared" si="67"/>
        <v>3.999999999996362E-2</v>
      </c>
      <c r="T174" s="176">
        <v>38720</v>
      </c>
      <c r="U174" s="323">
        <f>R174-(W$53*D174)-E$337</f>
        <v>0.25</v>
      </c>
      <c r="V174" s="324">
        <f>(U174/(W$53*D174))/W174*365</f>
        <v>3.1050616758826035E-3</v>
      </c>
      <c r="W174" s="297">
        <f>T174-T53</f>
        <v>50</v>
      </c>
      <c r="X174" s="325"/>
      <c r="Y174" s="93" t="s">
        <v>405</v>
      </c>
      <c r="Z174" s="93"/>
    </row>
    <row r="175" spans="1:26" ht="12" customHeight="1">
      <c r="A175" s="176">
        <v>38699</v>
      </c>
      <c r="B175" s="321" t="s">
        <v>996</v>
      </c>
      <c r="C175" s="93" t="s">
        <v>448</v>
      </c>
      <c r="D175" s="93">
        <v>50</v>
      </c>
      <c r="E175" s="177">
        <v>129.65</v>
      </c>
      <c r="F175" s="177">
        <f t="shared" si="71"/>
        <v>0.65</v>
      </c>
      <c r="G175" s="177">
        <f t="shared" si="72"/>
        <v>129</v>
      </c>
      <c r="H175" s="177">
        <f t="shared" si="61"/>
        <v>128.79</v>
      </c>
      <c r="I175" s="208">
        <f t="shared" si="62"/>
        <v>0.86280000000000001</v>
      </c>
      <c r="J175" s="177">
        <f t="shared" si="73"/>
        <v>6450</v>
      </c>
      <c r="K175" s="177">
        <f t="shared" si="74"/>
        <v>6439.37</v>
      </c>
      <c r="L175" s="177">
        <f t="shared" si="75"/>
        <v>32.5</v>
      </c>
      <c r="M175" s="177">
        <f t="shared" si="93"/>
        <v>3.3149999999999999</v>
      </c>
      <c r="N175" s="177">
        <f t="shared" si="70"/>
        <v>6.45</v>
      </c>
      <c r="O175" s="177">
        <f t="shared" si="64"/>
        <v>0.22574999999999998</v>
      </c>
      <c r="P175" s="177">
        <f t="shared" si="65"/>
        <v>0.64500000000000002</v>
      </c>
      <c r="Q175" s="93">
        <f t="shared" si="66"/>
        <v>0</v>
      </c>
      <c r="R175" s="322">
        <v>6438.72</v>
      </c>
      <c r="S175" s="179">
        <f t="shared" si="67"/>
        <v>0.6499999999996362</v>
      </c>
      <c r="T175" s="176">
        <v>38701</v>
      </c>
      <c r="U175" s="323">
        <f t="shared" ref="U175:U176" si="94">(R175+R55)-E$337</f>
        <v>122.59000000000015</v>
      </c>
      <c r="V175" s="324">
        <f t="shared" ref="V175:V176" si="95">-(U175/R55)/W175*365</f>
        <v>0.32324181882042297</v>
      </c>
      <c r="W175" s="297">
        <f t="shared" ref="W175:W176" si="96">T175-T55</f>
        <v>22</v>
      </c>
      <c r="X175" s="325"/>
      <c r="Y175" s="93" t="s">
        <v>405</v>
      </c>
      <c r="Z175" s="93"/>
    </row>
    <row r="176" spans="1:26" ht="12" customHeight="1">
      <c r="A176" s="176">
        <v>38726</v>
      </c>
      <c r="B176" s="321" t="s">
        <v>997</v>
      </c>
      <c r="C176" s="93" t="s">
        <v>448</v>
      </c>
      <c r="D176" s="93">
        <v>50</v>
      </c>
      <c r="E176" s="177">
        <v>99</v>
      </c>
      <c r="F176" s="177">
        <f t="shared" si="71"/>
        <v>0.5</v>
      </c>
      <c r="G176" s="177">
        <f t="shared" si="72"/>
        <v>98.5</v>
      </c>
      <c r="H176" s="177">
        <f t="shared" si="61"/>
        <v>98.34</v>
      </c>
      <c r="I176" s="208">
        <f t="shared" si="62"/>
        <v>0.66289999999999993</v>
      </c>
      <c r="J176" s="177">
        <f t="shared" si="73"/>
        <v>4925</v>
      </c>
      <c r="K176" s="177">
        <f t="shared" si="74"/>
        <v>4916.8600000000006</v>
      </c>
      <c r="L176" s="177">
        <f t="shared" si="75"/>
        <v>25</v>
      </c>
      <c r="M176" s="177">
        <f t="shared" si="93"/>
        <v>2.5499999999999998</v>
      </c>
      <c r="N176" s="177">
        <f t="shared" si="70"/>
        <v>4.93</v>
      </c>
      <c r="O176" s="177">
        <f t="shared" si="64"/>
        <v>0.17237499999999997</v>
      </c>
      <c r="P176" s="177">
        <f t="shared" si="65"/>
        <v>0.49250000000000005</v>
      </c>
      <c r="Q176" s="93">
        <f t="shared" si="66"/>
        <v>0</v>
      </c>
      <c r="R176" s="322">
        <v>4916.47</v>
      </c>
      <c r="S176" s="179">
        <f t="shared" si="67"/>
        <v>0.39000000000032742</v>
      </c>
      <c r="T176" s="176">
        <v>38728</v>
      </c>
      <c r="U176" s="323">
        <f t="shared" si="94"/>
        <v>105.0600000000004</v>
      </c>
      <c r="V176" s="324">
        <f t="shared" si="95"/>
        <v>0.16687389423508808</v>
      </c>
      <c r="W176" s="297">
        <f t="shared" si="96"/>
        <v>48</v>
      </c>
      <c r="X176" s="325"/>
      <c r="Y176" s="93" t="s">
        <v>405</v>
      </c>
      <c r="Z176" s="93"/>
    </row>
    <row r="177" spans="1:26" ht="12" customHeight="1">
      <c r="A177" s="176">
        <v>38680</v>
      </c>
      <c r="B177" s="321" t="s">
        <v>989</v>
      </c>
      <c r="C177" s="93" t="s">
        <v>448</v>
      </c>
      <c r="D177" s="93">
        <v>25</v>
      </c>
      <c r="E177" s="177">
        <v>135</v>
      </c>
      <c r="F177" s="177">
        <f t="shared" si="71"/>
        <v>0.68</v>
      </c>
      <c r="G177" s="177">
        <f t="shared" si="72"/>
        <v>134.32</v>
      </c>
      <c r="H177" s="177">
        <f t="shared" si="61"/>
        <v>134.1</v>
      </c>
      <c r="I177" s="208">
        <f t="shared" si="62"/>
        <v>0.90190000000000003</v>
      </c>
      <c r="J177" s="177">
        <f t="shared" si="73"/>
        <v>3358</v>
      </c>
      <c r="K177" s="177">
        <f t="shared" si="74"/>
        <v>3352.46</v>
      </c>
      <c r="L177" s="177">
        <f t="shared" si="75"/>
        <v>17</v>
      </c>
      <c r="M177" s="177">
        <f t="shared" si="93"/>
        <v>1.734</v>
      </c>
      <c r="N177" s="177">
        <f t="shared" si="70"/>
        <v>3.36</v>
      </c>
      <c r="O177" s="177">
        <f t="shared" si="64"/>
        <v>0.11753</v>
      </c>
      <c r="P177" s="177">
        <f t="shared" si="65"/>
        <v>0.33580000000000004</v>
      </c>
      <c r="Q177" s="93">
        <f t="shared" si="66"/>
        <v>0</v>
      </c>
      <c r="R177" s="322">
        <v>3352.4</v>
      </c>
      <c r="S177" s="179">
        <f t="shared" si="67"/>
        <v>5.999999999994543E-2</v>
      </c>
      <c r="T177" s="176">
        <v>38684</v>
      </c>
      <c r="U177" s="323">
        <f>(R177+R42)-E$337</f>
        <v>-5.5999999999999091</v>
      </c>
      <c r="V177" s="324">
        <f>-(U177/R42)/W177*365</f>
        <v>-1.495310693958745E-2</v>
      </c>
      <c r="W177" s="297">
        <f>T177-T42</f>
        <v>41</v>
      </c>
      <c r="X177" s="325"/>
      <c r="Y177" s="93" t="s">
        <v>405</v>
      </c>
      <c r="Z177" s="93"/>
    </row>
    <row r="178" spans="1:26" ht="12" customHeight="1">
      <c r="A178" s="176">
        <v>38700</v>
      </c>
      <c r="B178" s="321" t="s">
        <v>989</v>
      </c>
      <c r="C178" s="93" t="s">
        <v>448</v>
      </c>
      <c r="D178" s="93">
        <v>25</v>
      </c>
      <c r="E178" s="177">
        <v>144.05000000000001</v>
      </c>
      <c r="F178" s="177">
        <f t="shared" si="71"/>
        <v>0.72</v>
      </c>
      <c r="G178" s="177">
        <f t="shared" si="72"/>
        <v>143.33000000000001</v>
      </c>
      <c r="H178" s="177">
        <f t="shared" si="61"/>
        <v>143.09</v>
      </c>
      <c r="I178" s="208">
        <f t="shared" si="62"/>
        <v>0.95599999999999996</v>
      </c>
      <c r="J178" s="177">
        <f t="shared" si="73"/>
        <v>3583.25</v>
      </c>
      <c r="K178" s="177">
        <f t="shared" si="74"/>
        <v>3577.36</v>
      </c>
      <c r="L178" s="177">
        <f t="shared" si="75"/>
        <v>18</v>
      </c>
      <c r="M178" s="177">
        <f t="shared" si="93"/>
        <v>1.8359999999999999</v>
      </c>
      <c r="N178" s="177">
        <f t="shared" si="70"/>
        <v>3.58</v>
      </c>
      <c r="O178" s="177">
        <f t="shared" si="64"/>
        <v>0.12541374999999999</v>
      </c>
      <c r="P178" s="177">
        <f t="shared" si="65"/>
        <v>0.358325</v>
      </c>
      <c r="Q178" s="93">
        <f t="shared" si="66"/>
        <v>0</v>
      </c>
      <c r="R178" s="322">
        <v>3578</v>
      </c>
      <c r="S178" s="179">
        <f t="shared" si="67"/>
        <v>-0.63999999999987267</v>
      </c>
      <c r="T178" s="176">
        <v>38702</v>
      </c>
      <c r="U178" s="323">
        <f>(R178+R70)-E$337</f>
        <v>-47.25</v>
      </c>
      <c r="V178" s="324">
        <f>-(U178/R70)/W178*365</f>
        <v>0.95779243318292251</v>
      </c>
      <c r="W178" s="297">
        <f>T178-T70</f>
        <v>-5</v>
      </c>
      <c r="X178" s="325"/>
      <c r="Y178" s="93" t="s">
        <v>405</v>
      </c>
      <c r="Z178" s="93"/>
    </row>
    <row r="179" spans="1:26" ht="12" customHeight="1">
      <c r="A179" s="176">
        <v>38705</v>
      </c>
      <c r="B179" s="321" t="s">
        <v>989</v>
      </c>
      <c r="C179" s="93" t="s">
        <v>448</v>
      </c>
      <c r="D179" s="93">
        <v>25</v>
      </c>
      <c r="E179" s="177">
        <v>145</v>
      </c>
      <c r="F179" s="177">
        <f t="shared" si="71"/>
        <v>0.73</v>
      </c>
      <c r="G179" s="177">
        <f t="shared" si="72"/>
        <v>144.27000000000001</v>
      </c>
      <c r="H179" s="177">
        <f t="shared" si="61"/>
        <v>144.03</v>
      </c>
      <c r="I179" s="208">
        <f t="shared" si="62"/>
        <v>0.96840000000000004</v>
      </c>
      <c r="J179" s="177">
        <f t="shared" si="73"/>
        <v>3606.75</v>
      </c>
      <c r="K179" s="177">
        <f t="shared" si="74"/>
        <v>3600.8</v>
      </c>
      <c r="L179" s="177">
        <f t="shared" si="75"/>
        <v>18.25</v>
      </c>
      <c r="M179" s="177">
        <f t="shared" si="93"/>
        <v>1.8614999999999999</v>
      </c>
      <c r="N179" s="177">
        <f t="shared" si="70"/>
        <v>3.61</v>
      </c>
      <c r="O179" s="177">
        <f t="shared" si="64"/>
        <v>0.12623624999999999</v>
      </c>
      <c r="P179" s="177">
        <f t="shared" si="65"/>
        <v>0.36067500000000002</v>
      </c>
      <c r="Q179" s="93">
        <f t="shared" si="66"/>
        <v>0</v>
      </c>
      <c r="R179" s="177">
        <v>3600.71</v>
      </c>
      <c r="S179" s="179">
        <f t="shared" si="67"/>
        <v>9.0000000000145519E-2</v>
      </c>
      <c r="T179" s="176">
        <v>38707</v>
      </c>
      <c r="U179" s="323">
        <f>(R179+R36)-E$337</f>
        <v>22.710000000000036</v>
      </c>
      <c r="V179" s="324">
        <f>-(U179/R36)/W179*365</f>
        <v>3.4299174087192609E-2</v>
      </c>
      <c r="W179" s="297">
        <f>T179-T36</f>
        <v>68</v>
      </c>
      <c r="X179" s="325"/>
      <c r="Y179" s="93" t="s">
        <v>405</v>
      </c>
      <c r="Z179" s="93"/>
    </row>
    <row r="180" spans="1:26" ht="12" customHeight="1">
      <c r="A180" s="176">
        <v>38698</v>
      </c>
      <c r="B180" s="321" t="s">
        <v>998</v>
      </c>
      <c r="C180" s="93" t="s">
        <v>448</v>
      </c>
      <c r="D180" s="93">
        <v>10</v>
      </c>
      <c r="E180" s="177">
        <v>383.6</v>
      </c>
      <c r="F180" s="177">
        <f t="shared" si="71"/>
        <v>1.92</v>
      </c>
      <c r="G180" s="177">
        <f t="shared" si="72"/>
        <v>381.68</v>
      </c>
      <c r="H180" s="177">
        <f t="shared" si="61"/>
        <v>381.05</v>
      </c>
      <c r="I180" s="208">
        <f t="shared" si="62"/>
        <v>2.5494000000000003</v>
      </c>
      <c r="J180" s="177">
        <f t="shared" si="73"/>
        <v>3816.8</v>
      </c>
      <c r="K180" s="177">
        <f t="shared" si="74"/>
        <v>3810.51</v>
      </c>
      <c r="L180" s="177">
        <f t="shared" si="75"/>
        <v>19.2</v>
      </c>
      <c r="M180" s="177">
        <f t="shared" si="93"/>
        <v>1.9583999999999997</v>
      </c>
      <c r="N180" s="177">
        <f t="shared" si="70"/>
        <v>3.82</v>
      </c>
      <c r="O180" s="177">
        <f t="shared" si="64"/>
        <v>0.13358799999999998</v>
      </c>
      <c r="P180" s="177">
        <f t="shared" si="65"/>
        <v>0.38168000000000002</v>
      </c>
      <c r="Q180" s="93">
        <f t="shared" si="66"/>
        <v>0</v>
      </c>
      <c r="R180" s="322">
        <v>3810</v>
      </c>
      <c r="S180" s="179">
        <f t="shared" si="67"/>
        <v>0.51000000000021828</v>
      </c>
      <c r="T180" s="176">
        <v>38700</v>
      </c>
      <c r="U180" s="323">
        <f t="shared" ref="U180:U181" si="97">(R180+R57)-E$337</f>
        <v>103.86999999999989</v>
      </c>
      <c r="V180" s="324">
        <f t="shared" ref="V180:V181" si="98">-(U180/R57)/W180*365</f>
        <v>0.54191388365458326</v>
      </c>
      <c r="W180" s="297">
        <f t="shared" ref="W180:W181" si="99">T180-T57</f>
        <v>19</v>
      </c>
      <c r="X180" s="325"/>
      <c r="Y180" s="93" t="s">
        <v>405</v>
      </c>
      <c r="Z180" s="93"/>
    </row>
    <row r="181" spans="1:26" ht="12" customHeight="1">
      <c r="A181" s="176">
        <v>38681</v>
      </c>
      <c r="B181" s="321" t="s">
        <v>999</v>
      </c>
      <c r="C181" s="93" t="s">
        <v>448</v>
      </c>
      <c r="D181" s="93">
        <v>50</v>
      </c>
      <c r="E181" s="177">
        <v>192.85</v>
      </c>
      <c r="F181" s="177">
        <f t="shared" si="71"/>
        <v>0.96</v>
      </c>
      <c r="G181" s="177">
        <f t="shared" si="72"/>
        <v>191.89</v>
      </c>
      <c r="H181" s="177">
        <f t="shared" si="61"/>
        <v>191.57</v>
      </c>
      <c r="I181" s="208">
        <f t="shared" si="62"/>
        <v>1.2757000000000001</v>
      </c>
      <c r="J181" s="177">
        <f t="shared" si="73"/>
        <v>9594.5</v>
      </c>
      <c r="K181" s="177">
        <f t="shared" si="74"/>
        <v>9578.7199999999993</v>
      </c>
      <c r="L181" s="177">
        <f t="shared" si="75"/>
        <v>48</v>
      </c>
      <c r="M181" s="177">
        <f t="shared" si="93"/>
        <v>4.8959999999999999</v>
      </c>
      <c r="N181" s="177">
        <f t="shared" si="70"/>
        <v>9.59</v>
      </c>
      <c r="O181" s="177">
        <f t="shared" si="64"/>
        <v>0.33580749999999998</v>
      </c>
      <c r="P181" s="177">
        <f t="shared" si="65"/>
        <v>0.95945000000000003</v>
      </c>
      <c r="Q181" s="93">
        <f t="shared" si="66"/>
        <v>0</v>
      </c>
      <c r="R181" s="322">
        <v>9578</v>
      </c>
      <c r="S181" s="179">
        <f t="shared" si="67"/>
        <v>0.71999999999934516</v>
      </c>
      <c r="T181" s="176">
        <v>38685</v>
      </c>
      <c r="U181" s="323">
        <f t="shared" si="97"/>
        <v>53</v>
      </c>
      <c r="V181" s="324">
        <f t="shared" si="98"/>
        <v>2.0361014630038943</v>
      </c>
      <c r="W181" s="297">
        <f t="shared" si="99"/>
        <v>1</v>
      </c>
      <c r="X181" s="325"/>
      <c r="Y181" s="93" t="s">
        <v>405</v>
      </c>
      <c r="Z181" s="93"/>
    </row>
    <row r="182" spans="1:26" ht="12" customHeight="1">
      <c r="A182" s="176">
        <v>38698</v>
      </c>
      <c r="B182" s="321" t="s">
        <v>993</v>
      </c>
      <c r="C182" s="93" t="s">
        <v>448</v>
      </c>
      <c r="D182" s="93">
        <v>15</v>
      </c>
      <c r="E182" s="177">
        <v>560</v>
      </c>
      <c r="F182" s="177">
        <f t="shared" si="71"/>
        <v>2.8</v>
      </c>
      <c r="G182" s="177">
        <f t="shared" si="72"/>
        <v>557.20000000000005</v>
      </c>
      <c r="H182" s="177">
        <f t="shared" si="61"/>
        <v>556.28</v>
      </c>
      <c r="I182" s="208">
        <f t="shared" si="62"/>
        <v>3.7182000000000004</v>
      </c>
      <c r="J182" s="177">
        <f t="shared" si="73"/>
        <v>8358</v>
      </c>
      <c r="K182" s="177">
        <f t="shared" si="74"/>
        <v>8344.23</v>
      </c>
      <c r="L182" s="177">
        <f t="shared" si="75"/>
        <v>42</v>
      </c>
      <c r="M182" s="177">
        <f t="shared" si="93"/>
        <v>4.2839999999999998</v>
      </c>
      <c r="N182" s="177">
        <f t="shared" si="70"/>
        <v>8.36</v>
      </c>
      <c r="O182" s="177">
        <f t="shared" si="64"/>
        <v>0.29252999999999996</v>
      </c>
      <c r="P182" s="177">
        <f t="shared" si="65"/>
        <v>0.83579999999999999</v>
      </c>
      <c r="Q182" s="93">
        <f t="shared" si="66"/>
        <v>0</v>
      </c>
      <c r="R182" s="322">
        <v>8343.7800000000007</v>
      </c>
      <c r="S182" s="179">
        <f t="shared" si="67"/>
        <v>0.44999999999890861</v>
      </c>
      <c r="T182" s="176">
        <v>38700</v>
      </c>
      <c r="U182" s="323">
        <f>(R182+R43)-E$337</f>
        <v>54.780000000000655</v>
      </c>
      <c r="V182" s="324">
        <f>-(U182/R43)/W182*365</f>
        <v>4.2442130735186927E-2</v>
      </c>
      <c r="W182" s="297">
        <f>T182-T43</f>
        <v>57</v>
      </c>
      <c r="X182" s="325"/>
      <c r="Y182" s="93" t="s">
        <v>405</v>
      </c>
      <c r="Z182" s="93"/>
    </row>
    <row r="183" spans="1:26" ht="12" customHeight="1">
      <c r="A183" s="176">
        <v>38695</v>
      </c>
      <c r="B183" s="321" t="s">
        <v>1000</v>
      </c>
      <c r="C183" s="93" t="s">
        <v>448</v>
      </c>
      <c r="D183" s="93">
        <v>5</v>
      </c>
      <c r="E183" s="177">
        <v>433</v>
      </c>
      <c r="F183" s="177">
        <f t="shared" si="71"/>
        <v>2.17</v>
      </c>
      <c r="G183" s="177">
        <f t="shared" si="72"/>
        <v>430.83</v>
      </c>
      <c r="H183" s="177">
        <f t="shared" si="61"/>
        <v>430.12</v>
      </c>
      <c r="I183" s="208">
        <f t="shared" si="62"/>
        <v>2.8796000000000004</v>
      </c>
      <c r="J183" s="177">
        <f t="shared" si="73"/>
        <v>2154.15</v>
      </c>
      <c r="K183" s="177">
        <f t="shared" si="74"/>
        <v>2150.61</v>
      </c>
      <c r="L183" s="177">
        <f t="shared" si="75"/>
        <v>10.85</v>
      </c>
      <c r="M183" s="177">
        <f t="shared" si="93"/>
        <v>1.1066999999999998</v>
      </c>
      <c r="N183" s="177">
        <f t="shared" si="70"/>
        <v>2.15</v>
      </c>
      <c r="O183" s="177">
        <f t="shared" si="64"/>
        <v>7.5395249999999997E-2</v>
      </c>
      <c r="P183" s="177">
        <f t="shared" si="65"/>
        <v>0.21541500000000002</v>
      </c>
      <c r="Q183" s="93">
        <f t="shared" si="66"/>
        <v>0</v>
      </c>
      <c r="R183" s="322">
        <v>2150</v>
      </c>
      <c r="S183" s="179">
        <f t="shared" si="67"/>
        <v>0.61000000000012733</v>
      </c>
      <c r="T183" s="176">
        <v>38699</v>
      </c>
      <c r="U183" s="323">
        <f t="shared" ref="U183:U193" si="100">(R183+R59)-E$337</f>
        <v>65.5300000000002</v>
      </c>
      <c r="V183" s="324">
        <f t="shared" ref="V183:V193" si="101">-(U183/R59)/W183*365</f>
        <v>0.82916068386616637</v>
      </c>
      <c r="W183" s="297">
        <f t="shared" ref="W183:W193" si="102">T183-T59</f>
        <v>14</v>
      </c>
      <c r="X183" s="325"/>
      <c r="Y183" s="93" t="s">
        <v>405</v>
      </c>
      <c r="Z183" s="93"/>
    </row>
    <row r="184" spans="1:26" ht="12" customHeight="1">
      <c r="A184" s="176">
        <v>38695</v>
      </c>
      <c r="B184" s="321" t="s">
        <v>1001</v>
      </c>
      <c r="C184" s="93" t="s">
        <v>448</v>
      </c>
      <c r="D184" s="93">
        <v>10</v>
      </c>
      <c r="E184" s="177">
        <v>534.4</v>
      </c>
      <c r="F184" s="177">
        <f t="shared" si="71"/>
        <v>2.67</v>
      </c>
      <c r="G184" s="177">
        <f t="shared" si="72"/>
        <v>531.73</v>
      </c>
      <c r="H184" s="177">
        <f t="shared" si="61"/>
        <v>530.85</v>
      </c>
      <c r="I184" s="208">
        <f t="shared" si="62"/>
        <v>3.5462000000000002</v>
      </c>
      <c r="J184" s="177">
        <f t="shared" si="73"/>
        <v>5317.3</v>
      </c>
      <c r="K184" s="177">
        <f t="shared" si="74"/>
        <v>5308.54</v>
      </c>
      <c r="L184" s="177">
        <f t="shared" si="75"/>
        <v>26.7</v>
      </c>
      <c r="M184" s="177">
        <f t="shared" si="93"/>
        <v>2.7233999999999998</v>
      </c>
      <c r="N184" s="177">
        <f t="shared" si="70"/>
        <v>5.32</v>
      </c>
      <c r="O184" s="177">
        <f t="shared" si="64"/>
        <v>0.18610549999999998</v>
      </c>
      <c r="P184" s="177">
        <f t="shared" si="65"/>
        <v>0.53173000000000004</v>
      </c>
      <c r="Q184" s="93">
        <f t="shared" si="66"/>
        <v>0</v>
      </c>
      <c r="R184" s="322">
        <v>5308</v>
      </c>
      <c r="S184" s="179">
        <f t="shared" si="67"/>
        <v>0.53999999999996362</v>
      </c>
      <c r="T184" s="176">
        <v>38699</v>
      </c>
      <c r="U184" s="323">
        <f t="shared" si="100"/>
        <v>51.529999999999745</v>
      </c>
      <c r="V184" s="324">
        <f t="shared" si="101"/>
        <v>0.27650494817052729</v>
      </c>
      <c r="W184" s="297">
        <f t="shared" si="102"/>
        <v>13</v>
      </c>
      <c r="X184" s="325"/>
      <c r="Y184" s="93" t="s">
        <v>405</v>
      </c>
      <c r="Z184" s="93"/>
    </row>
    <row r="185" spans="1:26" ht="12" customHeight="1">
      <c r="A185" s="176">
        <v>38721</v>
      </c>
      <c r="B185" s="321" t="s">
        <v>994</v>
      </c>
      <c r="C185" s="93" t="s">
        <v>448</v>
      </c>
      <c r="D185" s="93">
        <v>50</v>
      </c>
      <c r="E185" s="177">
        <v>89</v>
      </c>
      <c r="F185" s="177">
        <f t="shared" si="71"/>
        <v>0.45</v>
      </c>
      <c r="G185" s="177">
        <f t="shared" si="72"/>
        <v>88.55</v>
      </c>
      <c r="H185" s="177">
        <f t="shared" si="61"/>
        <v>88.4</v>
      </c>
      <c r="I185" s="208">
        <f t="shared" si="62"/>
        <v>0.59650000000000003</v>
      </c>
      <c r="J185" s="177">
        <f t="shared" si="73"/>
        <v>4427.5</v>
      </c>
      <c r="K185" s="177">
        <f t="shared" si="74"/>
        <v>4420.18</v>
      </c>
      <c r="L185" s="177">
        <f t="shared" si="75"/>
        <v>22.5</v>
      </c>
      <c r="M185" s="177">
        <f t="shared" si="93"/>
        <v>2.2949999999999999</v>
      </c>
      <c r="N185" s="177">
        <f t="shared" si="70"/>
        <v>4.43</v>
      </c>
      <c r="O185" s="177">
        <f t="shared" si="64"/>
        <v>0.15496249999999998</v>
      </c>
      <c r="P185" s="177">
        <f t="shared" si="65"/>
        <v>0.44275000000000003</v>
      </c>
      <c r="Q185" s="93">
        <f t="shared" si="66"/>
        <v>0</v>
      </c>
      <c r="R185" s="322">
        <v>4420</v>
      </c>
      <c r="S185" s="179">
        <f t="shared" si="67"/>
        <v>0.18000000000029104</v>
      </c>
      <c r="T185" s="176">
        <v>38723</v>
      </c>
      <c r="U185" s="323">
        <f t="shared" si="100"/>
        <v>11</v>
      </c>
      <c r="V185" s="324">
        <f t="shared" si="101"/>
        <v>2.4746525316650746E-2</v>
      </c>
      <c r="W185" s="297">
        <f t="shared" si="102"/>
        <v>37</v>
      </c>
      <c r="X185" s="325"/>
      <c r="Y185" s="93" t="s">
        <v>405</v>
      </c>
      <c r="Z185" s="93"/>
    </row>
    <row r="186" spans="1:26" ht="12" customHeight="1">
      <c r="A186" s="176">
        <v>38688</v>
      </c>
      <c r="B186" s="321" t="s">
        <v>1002</v>
      </c>
      <c r="C186" s="93" t="s">
        <v>448</v>
      </c>
      <c r="D186" s="93">
        <v>10</v>
      </c>
      <c r="E186" s="177">
        <v>305</v>
      </c>
      <c r="F186" s="177">
        <f t="shared" si="71"/>
        <v>1.53</v>
      </c>
      <c r="G186" s="177">
        <f t="shared" si="72"/>
        <v>303.47000000000003</v>
      </c>
      <c r="H186" s="177">
        <f t="shared" si="61"/>
        <v>302.97000000000003</v>
      </c>
      <c r="I186" s="208">
        <f t="shared" si="62"/>
        <v>2.0301</v>
      </c>
      <c r="J186" s="177">
        <f t="shared" si="73"/>
        <v>3034.7</v>
      </c>
      <c r="K186" s="177">
        <f t="shared" si="74"/>
        <v>3029.7000000000003</v>
      </c>
      <c r="L186" s="177">
        <f t="shared" si="75"/>
        <v>15.3</v>
      </c>
      <c r="M186" s="177">
        <f t="shared" si="93"/>
        <v>1.5606</v>
      </c>
      <c r="N186" s="177">
        <f t="shared" si="70"/>
        <v>3.03</v>
      </c>
      <c r="O186" s="177">
        <f t="shared" si="64"/>
        <v>0.10621449999999999</v>
      </c>
      <c r="P186" s="177">
        <f t="shared" si="65"/>
        <v>0.30347000000000002</v>
      </c>
      <c r="Q186" s="93">
        <f t="shared" si="66"/>
        <v>0</v>
      </c>
      <c r="R186" s="322">
        <v>3029.65</v>
      </c>
      <c r="S186" s="179">
        <f t="shared" si="67"/>
        <v>5.0000000000181899E-2</v>
      </c>
      <c r="T186" s="176">
        <v>38692</v>
      </c>
      <c r="U186" s="323">
        <f t="shared" si="100"/>
        <v>262.11999999999989</v>
      </c>
      <c r="V186" s="324">
        <f t="shared" si="101"/>
        <v>5.8120863753388239</v>
      </c>
      <c r="W186" s="297">
        <f t="shared" si="102"/>
        <v>6</v>
      </c>
      <c r="X186" s="325"/>
      <c r="Y186" s="93" t="s">
        <v>405</v>
      </c>
      <c r="Z186" s="93"/>
    </row>
    <row r="187" spans="1:26" ht="12" customHeight="1">
      <c r="A187" s="176">
        <v>38700</v>
      </c>
      <c r="B187" s="321" t="s">
        <v>966</v>
      </c>
      <c r="C187" s="93" t="s">
        <v>448</v>
      </c>
      <c r="D187" s="93">
        <v>50</v>
      </c>
      <c r="E187" s="177">
        <v>80.95</v>
      </c>
      <c r="F187" s="177">
        <f t="shared" si="71"/>
        <v>0.4</v>
      </c>
      <c r="G187" s="177">
        <f t="shared" si="72"/>
        <v>80.55</v>
      </c>
      <c r="H187" s="177">
        <f t="shared" si="61"/>
        <v>80.42</v>
      </c>
      <c r="I187" s="208">
        <f t="shared" si="62"/>
        <v>0.5323</v>
      </c>
      <c r="J187" s="177">
        <f t="shared" si="73"/>
        <v>4027.5</v>
      </c>
      <c r="K187" s="177">
        <f t="shared" si="74"/>
        <v>4020.8900000000003</v>
      </c>
      <c r="L187" s="177">
        <f t="shared" si="75"/>
        <v>20</v>
      </c>
      <c r="M187" s="177">
        <f t="shared" si="93"/>
        <v>2.04</v>
      </c>
      <c r="N187" s="177">
        <f t="shared" si="70"/>
        <v>4.03</v>
      </c>
      <c r="O187" s="177">
        <f t="shared" si="64"/>
        <v>0.14096249999999999</v>
      </c>
      <c r="P187" s="177">
        <f t="shared" si="65"/>
        <v>0.40275</v>
      </c>
      <c r="Q187" s="93">
        <f t="shared" si="66"/>
        <v>0</v>
      </c>
      <c r="R187" s="322">
        <v>4021</v>
      </c>
      <c r="S187" s="179">
        <f t="shared" si="67"/>
        <v>-0.10999999999967258</v>
      </c>
      <c r="T187" s="176">
        <v>38702</v>
      </c>
      <c r="U187" s="323">
        <f t="shared" si="100"/>
        <v>80.7800000000002</v>
      </c>
      <c r="V187" s="324">
        <f t="shared" si="101"/>
        <v>1.0755524459810764</v>
      </c>
      <c r="W187" s="297">
        <f t="shared" si="102"/>
        <v>7</v>
      </c>
      <c r="X187" s="325"/>
      <c r="Y187" s="93" t="s">
        <v>405</v>
      </c>
      <c r="Z187" s="93"/>
    </row>
    <row r="188" spans="1:26" ht="12" customHeight="1">
      <c r="A188" s="176">
        <v>38715</v>
      </c>
      <c r="B188" s="321" t="s">
        <v>1003</v>
      </c>
      <c r="C188" s="93" t="s">
        <v>448</v>
      </c>
      <c r="D188" s="93">
        <v>25</v>
      </c>
      <c r="E188" s="177">
        <v>78.5</v>
      </c>
      <c r="F188" s="177">
        <f t="shared" si="71"/>
        <v>0.4</v>
      </c>
      <c r="G188" s="177">
        <f t="shared" si="72"/>
        <v>78.099999999999994</v>
      </c>
      <c r="H188" s="177">
        <f t="shared" si="61"/>
        <v>77.97</v>
      </c>
      <c r="I188" s="208">
        <f t="shared" si="62"/>
        <v>0.52939999999999998</v>
      </c>
      <c r="J188" s="177">
        <f t="shared" si="73"/>
        <v>1952.5</v>
      </c>
      <c r="K188" s="177">
        <f t="shared" si="74"/>
        <v>1949.27</v>
      </c>
      <c r="L188" s="177">
        <f t="shared" si="75"/>
        <v>10</v>
      </c>
      <c r="M188" s="177">
        <f t="shared" si="93"/>
        <v>1.02</v>
      </c>
      <c r="N188" s="177">
        <f t="shared" si="70"/>
        <v>1.95</v>
      </c>
      <c r="O188" s="177">
        <f t="shared" si="64"/>
        <v>6.8337499999999995E-2</v>
      </c>
      <c r="P188" s="177">
        <f t="shared" si="65"/>
        <v>0.19525000000000001</v>
      </c>
      <c r="Q188" s="93">
        <f t="shared" si="66"/>
        <v>0</v>
      </c>
      <c r="R188" s="322">
        <v>1947.56</v>
      </c>
      <c r="S188" s="179">
        <f t="shared" si="67"/>
        <v>1.7100000000000364</v>
      </c>
      <c r="T188" s="176">
        <v>38719</v>
      </c>
      <c r="U188" s="323">
        <f t="shared" si="100"/>
        <v>-126.44000000000005</v>
      </c>
      <c r="V188" s="324">
        <f t="shared" si="101"/>
        <v>-0.93802032520325251</v>
      </c>
      <c r="W188" s="297">
        <f t="shared" si="102"/>
        <v>24</v>
      </c>
      <c r="X188" s="325"/>
      <c r="Y188" s="93" t="s">
        <v>405</v>
      </c>
      <c r="Z188" s="93"/>
    </row>
    <row r="189" spans="1:26" ht="12" customHeight="1">
      <c r="A189" s="176">
        <v>38701</v>
      </c>
      <c r="B189" s="321" t="s">
        <v>1004</v>
      </c>
      <c r="C189" s="93" t="s">
        <v>448</v>
      </c>
      <c r="D189" s="93">
        <v>50</v>
      </c>
      <c r="E189" s="177">
        <v>74.55</v>
      </c>
      <c r="F189" s="177">
        <f t="shared" si="71"/>
        <v>0.37</v>
      </c>
      <c r="G189" s="177">
        <f t="shared" si="72"/>
        <v>74.179999999999993</v>
      </c>
      <c r="H189" s="177">
        <f t="shared" si="61"/>
        <v>74.06</v>
      </c>
      <c r="I189" s="208">
        <f t="shared" si="62"/>
        <v>0.49199999999999999</v>
      </c>
      <c r="J189" s="177">
        <f t="shared" si="73"/>
        <v>3709</v>
      </c>
      <c r="K189" s="177">
        <f t="shared" si="74"/>
        <v>3702.9100000000003</v>
      </c>
      <c r="L189" s="177">
        <f t="shared" si="75"/>
        <v>18.5</v>
      </c>
      <c r="M189" s="177">
        <f t="shared" si="93"/>
        <v>1.8869999999999998</v>
      </c>
      <c r="N189" s="177">
        <f t="shared" si="70"/>
        <v>3.71</v>
      </c>
      <c r="O189" s="177">
        <f t="shared" si="64"/>
        <v>0.12981499999999999</v>
      </c>
      <c r="P189" s="177">
        <f t="shared" si="65"/>
        <v>0.37090000000000001</v>
      </c>
      <c r="Q189" s="93">
        <f t="shared" si="66"/>
        <v>0</v>
      </c>
      <c r="R189" s="322">
        <v>3700.86</v>
      </c>
      <c r="S189" s="179">
        <f t="shared" si="67"/>
        <v>2.0500000000001819</v>
      </c>
      <c r="T189" s="176">
        <v>38705</v>
      </c>
      <c r="U189" s="323">
        <f t="shared" si="100"/>
        <v>142.88000000000011</v>
      </c>
      <c r="V189" s="324">
        <f t="shared" si="101"/>
        <v>1.4757072762154864</v>
      </c>
      <c r="W189" s="297">
        <f t="shared" si="102"/>
        <v>10</v>
      </c>
      <c r="X189" s="325"/>
      <c r="Y189" s="93" t="s">
        <v>405</v>
      </c>
      <c r="Z189" s="93"/>
    </row>
    <row r="190" spans="1:26" ht="12" customHeight="1">
      <c r="A190" s="176">
        <v>38705</v>
      </c>
      <c r="B190" s="321" t="s">
        <v>1005</v>
      </c>
      <c r="C190" s="93" t="s">
        <v>448</v>
      </c>
      <c r="D190" s="93">
        <v>10</v>
      </c>
      <c r="E190" s="177">
        <v>452.75</v>
      </c>
      <c r="F190" s="177">
        <f t="shared" si="71"/>
        <v>2.2599999999999998</v>
      </c>
      <c r="G190" s="177">
        <f t="shared" si="72"/>
        <v>450.49</v>
      </c>
      <c r="H190" s="177">
        <f t="shared" si="61"/>
        <v>449.75</v>
      </c>
      <c r="I190" s="208">
        <f t="shared" si="62"/>
        <v>3.0014000000000003</v>
      </c>
      <c r="J190" s="177">
        <f t="shared" si="73"/>
        <v>4504.8999999999996</v>
      </c>
      <c r="K190" s="177">
        <f t="shared" si="74"/>
        <v>4497.49</v>
      </c>
      <c r="L190" s="177">
        <f t="shared" si="75"/>
        <v>22.599999999999998</v>
      </c>
      <c r="M190" s="177">
        <f t="shared" si="93"/>
        <v>2.3051999999999997</v>
      </c>
      <c r="N190" s="177">
        <f t="shared" si="70"/>
        <v>4.5</v>
      </c>
      <c r="O190" s="177">
        <f t="shared" si="64"/>
        <v>0.15767149999999996</v>
      </c>
      <c r="P190" s="177">
        <f t="shared" si="65"/>
        <v>0.45049</v>
      </c>
      <c r="Q190" s="93">
        <f t="shared" si="66"/>
        <v>0</v>
      </c>
      <c r="R190" s="177">
        <v>4497</v>
      </c>
      <c r="S190" s="179">
        <f t="shared" si="67"/>
        <v>0.48999999999978172</v>
      </c>
      <c r="T190" s="176">
        <v>38707</v>
      </c>
      <c r="U190" s="323">
        <f t="shared" si="100"/>
        <v>28</v>
      </c>
      <c r="V190" s="324">
        <f t="shared" si="101"/>
        <v>0.2874015748031496</v>
      </c>
      <c r="W190" s="297">
        <f t="shared" si="102"/>
        <v>8</v>
      </c>
      <c r="X190" s="325"/>
      <c r="Y190" s="93" t="s">
        <v>405</v>
      </c>
      <c r="Z190" s="93"/>
    </row>
    <row r="191" spans="1:26" ht="12" customHeight="1">
      <c r="A191" s="176">
        <v>38702</v>
      </c>
      <c r="B191" s="321" t="s">
        <v>974</v>
      </c>
      <c r="C191" s="93" t="s">
        <v>448</v>
      </c>
      <c r="D191" s="93">
        <v>25</v>
      </c>
      <c r="E191" s="177">
        <v>158</v>
      </c>
      <c r="F191" s="177">
        <f t="shared" si="71"/>
        <v>0.79</v>
      </c>
      <c r="G191" s="177">
        <f t="shared" si="72"/>
        <v>157.21</v>
      </c>
      <c r="H191" s="177">
        <f t="shared" si="61"/>
        <v>156.94999999999999</v>
      </c>
      <c r="I191" s="208">
        <f t="shared" si="62"/>
        <v>1.0490999999999999</v>
      </c>
      <c r="J191" s="177">
        <f t="shared" si="73"/>
        <v>3930.25</v>
      </c>
      <c r="K191" s="177">
        <f t="shared" si="74"/>
        <v>3923.78</v>
      </c>
      <c r="L191" s="177">
        <f t="shared" si="75"/>
        <v>19.75</v>
      </c>
      <c r="M191" s="177">
        <f t="shared" si="93"/>
        <v>2.0145</v>
      </c>
      <c r="N191" s="177">
        <f t="shared" si="70"/>
        <v>3.93</v>
      </c>
      <c r="O191" s="177">
        <f t="shared" si="64"/>
        <v>0.13755874999999998</v>
      </c>
      <c r="P191" s="177">
        <f t="shared" si="65"/>
        <v>0.39302500000000001</v>
      </c>
      <c r="Q191" s="93">
        <f t="shared" si="66"/>
        <v>0</v>
      </c>
      <c r="R191" s="322">
        <v>3923.46</v>
      </c>
      <c r="S191" s="179">
        <f t="shared" si="67"/>
        <v>0.32000000000016371</v>
      </c>
      <c r="T191" s="176">
        <v>38706</v>
      </c>
      <c r="U191" s="323">
        <f t="shared" si="100"/>
        <v>83.460000000000036</v>
      </c>
      <c r="V191" s="324">
        <f t="shared" si="101"/>
        <v>1.596588050314466</v>
      </c>
      <c r="W191" s="297">
        <f t="shared" si="102"/>
        <v>5</v>
      </c>
      <c r="X191" s="325"/>
      <c r="Y191" s="93" t="s">
        <v>405</v>
      </c>
      <c r="Z191" s="93"/>
    </row>
    <row r="192" spans="1:26" ht="12" customHeight="1">
      <c r="A192" s="176">
        <v>38797</v>
      </c>
      <c r="B192" s="321" t="s">
        <v>1006</v>
      </c>
      <c r="C192" s="93" t="s">
        <v>448</v>
      </c>
      <c r="D192" s="93">
        <v>10</v>
      </c>
      <c r="E192" s="177">
        <v>1252</v>
      </c>
      <c r="F192" s="177">
        <f t="shared" si="71"/>
        <v>6.26</v>
      </c>
      <c r="G192" s="177">
        <f t="shared" si="72"/>
        <v>1245.74</v>
      </c>
      <c r="H192" s="177">
        <f t="shared" si="61"/>
        <v>1243.69</v>
      </c>
      <c r="I192" s="208">
        <f t="shared" si="62"/>
        <v>8.3126999999999995</v>
      </c>
      <c r="J192" s="177">
        <f t="shared" si="73"/>
        <v>12457.4</v>
      </c>
      <c r="K192" s="177">
        <f t="shared" si="74"/>
        <v>12436.880000000001</v>
      </c>
      <c r="L192" s="177">
        <f t="shared" si="75"/>
        <v>62.599999999999994</v>
      </c>
      <c r="M192" s="177">
        <f t="shared" si="93"/>
        <v>6.3851999999999993</v>
      </c>
      <c r="N192" s="177">
        <f t="shared" si="70"/>
        <v>12.46</v>
      </c>
      <c r="O192" s="177">
        <f t="shared" si="64"/>
        <v>0.43600899999999992</v>
      </c>
      <c r="P192" s="177">
        <f t="shared" si="65"/>
        <v>1.2457400000000001</v>
      </c>
      <c r="Q192" s="93">
        <f t="shared" si="66"/>
        <v>0</v>
      </c>
      <c r="R192" s="322">
        <v>12435.51</v>
      </c>
      <c r="S192" s="179">
        <f t="shared" si="67"/>
        <v>1.3700000000008004</v>
      </c>
      <c r="T192" s="176">
        <v>38799</v>
      </c>
      <c r="U192" s="323">
        <f t="shared" si="100"/>
        <v>1316.5100000000002</v>
      </c>
      <c r="V192" s="324">
        <f t="shared" si="101"/>
        <v>0.44649642497084696</v>
      </c>
      <c r="W192" s="297">
        <f t="shared" si="102"/>
        <v>97</v>
      </c>
      <c r="X192" s="325"/>
      <c r="Y192" s="93" t="s">
        <v>405</v>
      </c>
      <c r="Z192" s="93"/>
    </row>
    <row r="193" spans="1:26" ht="12" customHeight="1">
      <c r="A193" s="176">
        <v>38719</v>
      </c>
      <c r="B193" s="321" t="s">
        <v>1007</v>
      </c>
      <c r="C193" s="93" t="s">
        <v>448</v>
      </c>
      <c r="D193" s="93">
        <v>25</v>
      </c>
      <c r="E193" s="177">
        <v>124.25</v>
      </c>
      <c r="F193" s="177">
        <f t="shared" si="71"/>
        <v>0.62</v>
      </c>
      <c r="G193" s="177">
        <f t="shared" si="72"/>
        <v>123.63</v>
      </c>
      <c r="H193" s="177">
        <f t="shared" si="61"/>
        <v>123.43</v>
      </c>
      <c r="I193" s="208">
        <f t="shared" si="62"/>
        <v>0.8236</v>
      </c>
      <c r="J193" s="177">
        <f t="shared" si="73"/>
        <v>3090.75</v>
      </c>
      <c r="K193" s="177">
        <f t="shared" si="74"/>
        <v>3085.67</v>
      </c>
      <c r="L193" s="177">
        <f t="shared" si="75"/>
        <v>15.5</v>
      </c>
      <c r="M193" s="177">
        <f t="shared" si="93"/>
        <v>1.581</v>
      </c>
      <c r="N193" s="177">
        <f t="shared" si="70"/>
        <v>3.09</v>
      </c>
      <c r="O193" s="177">
        <f t="shared" si="64"/>
        <v>0.10817624999999999</v>
      </c>
      <c r="P193" s="177">
        <f t="shared" si="65"/>
        <v>0.30907499999999999</v>
      </c>
      <c r="Q193" s="93">
        <f t="shared" si="66"/>
        <v>0</v>
      </c>
      <c r="R193" s="322">
        <v>3085</v>
      </c>
      <c r="S193" s="179">
        <f t="shared" si="67"/>
        <v>0.67000000000007276</v>
      </c>
      <c r="T193" s="176">
        <v>38721</v>
      </c>
      <c r="U193" s="323">
        <f t="shared" si="100"/>
        <v>-3</v>
      </c>
      <c r="V193" s="324">
        <f t="shared" si="101"/>
        <v>-1.8809262058540607E-2</v>
      </c>
      <c r="W193" s="297">
        <f t="shared" si="102"/>
        <v>19</v>
      </c>
      <c r="X193" s="325"/>
      <c r="Y193" s="93" t="s">
        <v>405</v>
      </c>
      <c r="Z193" s="93"/>
    </row>
    <row r="194" spans="1:26" ht="12" customHeight="1">
      <c r="A194" s="176">
        <v>38721</v>
      </c>
      <c r="B194" s="321" t="s">
        <v>970</v>
      </c>
      <c r="C194" s="93" t="s">
        <v>448</v>
      </c>
      <c r="D194" s="93">
        <v>25</v>
      </c>
      <c r="E194" s="177">
        <v>92.25</v>
      </c>
      <c r="F194" s="177">
        <f t="shared" si="71"/>
        <v>0.46</v>
      </c>
      <c r="G194" s="177">
        <f t="shared" si="72"/>
        <v>91.79</v>
      </c>
      <c r="H194" s="177">
        <f t="shared" si="61"/>
        <v>91.64</v>
      </c>
      <c r="I194" s="208">
        <f t="shared" si="62"/>
        <v>0.61099999999999999</v>
      </c>
      <c r="J194" s="177">
        <f t="shared" si="73"/>
        <v>2294.75</v>
      </c>
      <c r="K194" s="177">
        <f t="shared" si="74"/>
        <v>2290.98</v>
      </c>
      <c r="L194" s="177">
        <f t="shared" si="75"/>
        <v>11.5</v>
      </c>
      <c r="M194" s="177">
        <f t="shared" si="93"/>
        <v>1.1729999999999998</v>
      </c>
      <c r="N194" s="177">
        <f t="shared" si="70"/>
        <v>2.29</v>
      </c>
      <c r="O194" s="177">
        <f t="shared" si="64"/>
        <v>8.0316249999999992E-2</v>
      </c>
      <c r="P194" s="177">
        <f t="shared" si="65"/>
        <v>0.22947500000000001</v>
      </c>
      <c r="Q194" s="93">
        <f t="shared" si="66"/>
        <v>0</v>
      </c>
      <c r="R194" s="322">
        <v>2291</v>
      </c>
      <c r="S194" s="179">
        <f t="shared" si="67"/>
        <v>-1.999999999998181E-2</v>
      </c>
      <c r="T194" s="176">
        <v>38723</v>
      </c>
      <c r="U194" s="323">
        <f>(R194+R49)-E$337</f>
        <v>139</v>
      </c>
      <c r="V194" s="324">
        <f>-(U194/R49)/W194*365</f>
        <v>0.29802044172932335</v>
      </c>
      <c r="W194" s="297">
        <f>T194-T49</f>
        <v>80</v>
      </c>
      <c r="X194" s="325"/>
      <c r="Y194" s="93" t="s">
        <v>405</v>
      </c>
      <c r="Z194" s="93"/>
    </row>
    <row r="195" spans="1:26" ht="12" customHeight="1">
      <c r="A195" s="176">
        <v>38727</v>
      </c>
      <c r="B195" s="321" t="s">
        <v>998</v>
      </c>
      <c r="C195" s="93" t="s">
        <v>448</v>
      </c>
      <c r="D195" s="93">
        <v>10</v>
      </c>
      <c r="E195" s="177">
        <v>388</v>
      </c>
      <c r="F195" s="177">
        <f t="shared" si="71"/>
        <v>1.94</v>
      </c>
      <c r="G195" s="177">
        <f t="shared" si="72"/>
        <v>386.06</v>
      </c>
      <c r="H195" s="177">
        <f t="shared" si="61"/>
        <v>385.42</v>
      </c>
      <c r="I195" s="208">
        <f t="shared" si="62"/>
        <v>2.5760000000000001</v>
      </c>
      <c r="J195" s="177">
        <f t="shared" si="73"/>
        <v>3860.6</v>
      </c>
      <c r="K195" s="177">
        <f t="shared" si="74"/>
        <v>3854.25</v>
      </c>
      <c r="L195" s="177">
        <f t="shared" si="75"/>
        <v>19.399999999999999</v>
      </c>
      <c r="M195" s="177">
        <f t="shared" si="93"/>
        <v>1.9787999999999997</v>
      </c>
      <c r="N195" s="177">
        <f t="shared" si="70"/>
        <v>3.86</v>
      </c>
      <c r="O195" s="177">
        <f t="shared" si="64"/>
        <v>0.13512099999999999</v>
      </c>
      <c r="P195" s="177">
        <f t="shared" si="65"/>
        <v>0.38606000000000001</v>
      </c>
      <c r="Q195" s="93">
        <f t="shared" si="66"/>
        <v>0</v>
      </c>
      <c r="R195" s="322">
        <v>3853.4</v>
      </c>
      <c r="S195" s="179">
        <f t="shared" si="67"/>
        <v>0.84999999999990905</v>
      </c>
      <c r="T195" s="176"/>
      <c r="U195" s="323">
        <f t="shared" ref="U195:U198" si="103">(R195+R72)-E$337</f>
        <v>191.24000000000024</v>
      </c>
      <c r="V195" s="324">
        <f t="shared" ref="V195:V198" si="104">-(U195/R72)/W195*365</f>
        <v>-4.9566593466266818E-4</v>
      </c>
      <c r="W195" s="297">
        <f t="shared" ref="W195:W198" si="105">T195-T72</f>
        <v>-38708</v>
      </c>
      <c r="X195" s="325"/>
      <c r="Y195" s="93" t="s">
        <v>405</v>
      </c>
      <c r="Z195" s="93"/>
    </row>
    <row r="196" spans="1:26" ht="12" customHeight="1">
      <c r="A196" s="176">
        <v>38721</v>
      </c>
      <c r="B196" s="321" t="s">
        <v>1008</v>
      </c>
      <c r="C196" s="93" t="s">
        <v>448</v>
      </c>
      <c r="D196" s="93">
        <v>25</v>
      </c>
      <c r="E196" s="177">
        <v>165.05</v>
      </c>
      <c r="F196" s="177">
        <f t="shared" si="71"/>
        <v>0.83</v>
      </c>
      <c r="G196" s="177">
        <f t="shared" si="72"/>
        <v>164.22</v>
      </c>
      <c r="H196" s="177">
        <f t="shared" si="61"/>
        <v>163.95</v>
      </c>
      <c r="I196" s="208">
        <f t="shared" si="62"/>
        <v>1.1012999999999999</v>
      </c>
      <c r="J196" s="177">
        <f t="shared" si="73"/>
        <v>4105.5</v>
      </c>
      <c r="K196" s="177">
        <f t="shared" si="74"/>
        <v>4098.72</v>
      </c>
      <c r="L196" s="177">
        <f t="shared" si="75"/>
        <v>20.75</v>
      </c>
      <c r="M196" s="177">
        <f t="shared" si="93"/>
        <v>2.1164999999999998</v>
      </c>
      <c r="N196" s="177">
        <f t="shared" si="70"/>
        <v>4.1100000000000003</v>
      </c>
      <c r="O196" s="177">
        <f t="shared" si="64"/>
        <v>0.1436925</v>
      </c>
      <c r="P196" s="177">
        <f t="shared" si="65"/>
        <v>0.41055000000000003</v>
      </c>
      <c r="Q196" s="93">
        <f t="shared" si="66"/>
        <v>0</v>
      </c>
      <c r="R196" s="322">
        <v>4099</v>
      </c>
      <c r="S196" s="179">
        <f t="shared" si="67"/>
        <v>-0.27999999999974534</v>
      </c>
      <c r="T196" s="176">
        <v>38723</v>
      </c>
      <c r="U196" s="323">
        <f t="shared" si="103"/>
        <v>-2.5</v>
      </c>
      <c r="V196" s="324">
        <f t="shared" si="104"/>
        <v>-1.4919272430002043E-2</v>
      </c>
      <c r="W196" s="297">
        <f t="shared" si="105"/>
        <v>15</v>
      </c>
      <c r="X196" s="325"/>
      <c r="Y196" s="93" t="s">
        <v>405</v>
      </c>
      <c r="Z196" s="93"/>
    </row>
    <row r="197" spans="1:26" ht="12" customHeight="1">
      <c r="A197" s="176">
        <v>38715</v>
      </c>
      <c r="B197" s="321" t="s">
        <v>990</v>
      </c>
      <c r="C197" s="93" t="s">
        <v>448</v>
      </c>
      <c r="D197" s="93">
        <v>50</v>
      </c>
      <c r="E197" s="177">
        <v>65.650000000000006</v>
      </c>
      <c r="F197" s="177">
        <f t="shared" si="71"/>
        <v>0.33</v>
      </c>
      <c r="G197" s="177">
        <f t="shared" si="72"/>
        <v>65.320000000000007</v>
      </c>
      <c r="H197" s="177">
        <f t="shared" si="61"/>
        <v>65.209999999999994</v>
      </c>
      <c r="I197" s="208">
        <f t="shared" si="62"/>
        <v>0.43790000000000001</v>
      </c>
      <c r="J197" s="177">
        <f t="shared" si="73"/>
        <v>3266</v>
      </c>
      <c r="K197" s="177">
        <f t="shared" si="74"/>
        <v>3260.61</v>
      </c>
      <c r="L197" s="177">
        <f t="shared" si="75"/>
        <v>16.5</v>
      </c>
      <c r="M197" s="177">
        <f t="shared" si="93"/>
        <v>1.6829999999999998</v>
      </c>
      <c r="N197" s="177">
        <f t="shared" si="70"/>
        <v>3.27</v>
      </c>
      <c r="O197" s="177">
        <f t="shared" si="64"/>
        <v>0.11430999999999999</v>
      </c>
      <c r="P197" s="177">
        <f t="shared" si="65"/>
        <v>0.3266</v>
      </c>
      <c r="Q197" s="93">
        <f t="shared" si="66"/>
        <v>0</v>
      </c>
      <c r="R197" s="322">
        <v>3259</v>
      </c>
      <c r="S197" s="179">
        <f t="shared" si="67"/>
        <v>1.6100000000001273</v>
      </c>
      <c r="T197" s="176">
        <v>38719</v>
      </c>
      <c r="U197" s="323">
        <f t="shared" si="103"/>
        <v>-1.5</v>
      </c>
      <c r="V197" s="324">
        <f t="shared" si="104"/>
        <v>-2.8194036768113703E-2</v>
      </c>
      <c r="W197" s="297">
        <f t="shared" si="105"/>
        <v>6</v>
      </c>
      <c r="X197" s="325"/>
      <c r="Y197" s="93" t="s">
        <v>405</v>
      </c>
      <c r="Z197" s="93"/>
    </row>
    <row r="198" spans="1:26" ht="12" customHeight="1">
      <c r="A198" s="176">
        <v>38720</v>
      </c>
      <c r="B198" s="321" t="s">
        <v>1009</v>
      </c>
      <c r="C198" s="93" t="s">
        <v>448</v>
      </c>
      <c r="D198" s="93">
        <v>25</v>
      </c>
      <c r="E198" s="177">
        <v>118</v>
      </c>
      <c r="F198" s="177">
        <f t="shared" si="71"/>
        <v>0.59</v>
      </c>
      <c r="G198" s="177">
        <f t="shared" si="72"/>
        <v>117.41</v>
      </c>
      <c r="H198" s="177">
        <f t="shared" si="61"/>
        <v>117.22</v>
      </c>
      <c r="I198" s="208">
        <f t="shared" si="62"/>
        <v>0.78369999999999995</v>
      </c>
      <c r="J198" s="177">
        <f t="shared" si="73"/>
        <v>2935.25</v>
      </c>
      <c r="K198" s="177">
        <f t="shared" si="74"/>
        <v>2930.4100000000003</v>
      </c>
      <c r="L198" s="177">
        <f t="shared" si="75"/>
        <v>14.75</v>
      </c>
      <c r="M198" s="177">
        <f t="shared" si="93"/>
        <v>1.5044999999999999</v>
      </c>
      <c r="N198" s="177">
        <f t="shared" si="70"/>
        <v>2.94</v>
      </c>
      <c r="O198" s="177">
        <f t="shared" si="64"/>
        <v>0.10273374999999998</v>
      </c>
      <c r="P198" s="177">
        <f t="shared" si="65"/>
        <v>0.29352500000000004</v>
      </c>
      <c r="Q198" s="93">
        <f t="shared" si="66"/>
        <v>0</v>
      </c>
      <c r="R198" s="322">
        <f>K198</f>
        <v>2930.4100000000003</v>
      </c>
      <c r="S198" s="179">
        <f t="shared" si="67"/>
        <v>0</v>
      </c>
      <c r="T198" s="176">
        <v>38722</v>
      </c>
      <c r="U198" s="323">
        <f t="shared" si="103"/>
        <v>67.410000000000309</v>
      </c>
      <c r="V198" s="324">
        <f t="shared" si="104"/>
        <v>0.96296231067277638</v>
      </c>
      <c r="W198" s="297">
        <f t="shared" si="105"/>
        <v>9</v>
      </c>
      <c r="X198" s="325"/>
      <c r="Y198" s="93" t="s">
        <v>405</v>
      </c>
      <c r="Z198" s="93"/>
    </row>
    <row r="199" spans="1:26" ht="12" customHeight="1">
      <c r="A199" s="176">
        <v>38817</v>
      </c>
      <c r="B199" s="321" t="s">
        <v>971</v>
      </c>
      <c r="C199" s="93" t="s">
        <v>448</v>
      </c>
      <c r="D199" s="93">
        <v>100</v>
      </c>
      <c r="E199" s="177">
        <v>75.7</v>
      </c>
      <c r="F199" s="177">
        <f t="shared" si="71"/>
        <v>0.38</v>
      </c>
      <c r="G199" s="177">
        <f t="shared" si="72"/>
        <v>75.320000000000007</v>
      </c>
      <c r="H199" s="177">
        <f t="shared" si="61"/>
        <v>75.19</v>
      </c>
      <c r="I199" s="208">
        <f t="shared" si="62"/>
        <v>0.51200000000000001</v>
      </c>
      <c r="J199" s="177">
        <f t="shared" si="73"/>
        <v>7532</v>
      </c>
      <c r="K199" s="177">
        <f t="shared" si="74"/>
        <v>7518.81</v>
      </c>
      <c r="L199" s="177">
        <f t="shared" si="75"/>
        <v>38</v>
      </c>
      <c r="M199" s="177">
        <f>L199*F$328</f>
        <v>4.6512000000000002</v>
      </c>
      <c r="N199" s="177">
        <f t="shared" si="70"/>
        <v>7.53</v>
      </c>
      <c r="O199" s="177">
        <f t="shared" si="64"/>
        <v>0.26361999999999997</v>
      </c>
      <c r="P199" s="177">
        <f t="shared" si="65"/>
        <v>0.75319999999999998</v>
      </c>
      <c r="Q199" s="93">
        <f t="shared" si="66"/>
        <v>0</v>
      </c>
      <c r="R199" s="322">
        <v>7518.62</v>
      </c>
      <c r="S199" s="179">
        <f t="shared" si="67"/>
        <v>0.19000000000050932</v>
      </c>
      <c r="T199" s="176"/>
      <c r="U199" s="323">
        <f>(R199+R77)-E$337</f>
        <v>128.61999999999989</v>
      </c>
      <c r="V199" s="324">
        <f>-(U199/R77)/W199*365</f>
        <v>-1.6460169631296787E-4</v>
      </c>
      <c r="W199" s="297">
        <f>T199-T77</f>
        <v>-38720</v>
      </c>
      <c r="X199" s="325"/>
      <c r="Y199" s="93" t="s">
        <v>405</v>
      </c>
      <c r="Z199" s="93"/>
    </row>
    <row r="200" spans="1:26" ht="12" customHeight="1">
      <c r="A200" s="176">
        <v>38719</v>
      </c>
      <c r="B200" s="321" t="s">
        <v>995</v>
      </c>
      <c r="C200" s="93" t="s">
        <v>448</v>
      </c>
      <c r="D200" s="93">
        <v>75</v>
      </c>
      <c r="E200" s="177">
        <v>25.2</v>
      </c>
      <c r="F200" s="177">
        <f t="shared" si="71"/>
        <v>0.13</v>
      </c>
      <c r="G200" s="177">
        <f t="shared" si="72"/>
        <v>25.07</v>
      </c>
      <c r="H200" s="177">
        <f t="shared" si="61"/>
        <v>25.03</v>
      </c>
      <c r="I200" s="208">
        <f t="shared" si="62"/>
        <v>0.17179999999999998</v>
      </c>
      <c r="J200" s="177">
        <f t="shared" si="73"/>
        <v>1880.25</v>
      </c>
      <c r="K200" s="177">
        <f t="shared" si="74"/>
        <v>1877.1299999999999</v>
      </c>
      <c r="L200" s="177">
        <f t="shared" si="75"/>
        <v>9.75</v>
      </c>
      <c r="M200" s="177">
        <f t="shared" ref="M200:M201" si="106">L200*E$328</f>
        <v>0.99449999999999994</v>
      </c>
      <c r="N200" s="177">
        <f t="shared" si="70"/>
        <v>1.88</v>
      </c>
      <c r="O200" s="177">
        <f t="shared" si="64"/>
        <v>6.5808749999999999E-2</v>
      </c>
      <c r="P200" s="177">
        <f t="shared" si="65"/>
        <v>0.188025</v>
      </c>
      <c r="Q200" s="93">
        <f t="shared" si="66"/>
        <v>0</v>
      </c>
      <c r="R200" s="322">
        <v>1876.5</v>
      </c>
      <c r="S200" s="179">
        <f t="shared" si="67"/>
        <v>0.62999999999988177</v>
      </c>
      <c r="T200" s="176">
        <v>38721</v>
      </c>
      <c r="U200" s="323">
        <f>R200-(W$53*D200)-E$337</f>
        <v>89.249999999999773</v>
      </c>
      <c r="V200" s="324">
        <f>(U200/(W$53*D200))/W200*365</f>
        <v>0.36225719551963603</v>
      </c>
      <c r="W200" s="297">
        <f>T200-T53</f>
        <v>51</v>
      </c>
      <c r="X200" s="325"/>
      <c r="Y200" s="93" t="s">
        <v>405</v>
      </c>
      <c r="Z200" s="93"/>
    </row>
    <row r="201" spans="1:26" ht="12" customHeight="1">
      <c r="A201" s="176">
        <v>38722</v>
      </c>
      <c r="B201" s="321" t="s">
        <v>1010</v>
      </c>
      <c r="C201" s="93" t="s">
        <v>448</v>
      </c>
      <c r="D201" s="93">
        <v>100</v>
      </c>
      <c r="E201" s="177">
        <v>80.45</v>
      </c>
      <c r="F201" s="177">
        <f t="shared" si="71"/>
        <v>0.4</v>
      </c>
      <c r="G201" s="177">
        <f t="shared" si="72"/>
        <v>80.05</v>
      </c>
      <c r="H201" s="177">
        <f t="shared" si="61"/>
        <v>79.92</v>
      </c>
      <c r="I201" s="208">
        <f t="shared" si="62"/>
        <v>0.53179999999999994</v>
      </c>
      <c r="J201" s="177">
        <f t="shared" si="73"/>
        <v>8005</v>
      </c>
      <c r="K201" s="177">
        <f t="shared" si="74"/>
        <v>7991.83</v>
      </c>
      <c r="L201" s="177">
        <f t="shared" si="75"/>
        <v>40</v>
      </c>
      <c r="M201" s="177">
        <f t="shared" si="106"/>
        <v>4.08</v>
      </c>
      <c r="N201" s="177">
        <f t="shared" si="70"/>
        <v>8.01</v>
      </c>
      <c r="O201" s="177">
        <f t="shared" si="64"/>
        <v>0.28017499999999995</v>
      </c>
      <c r="P201" s="177">
        <f t="shared" si="65"/>
        <v>0.80049999999999999</v>
      </c>
      <c r="Q201" s="93">
        <f t="shared" si="66"/>
        <v>0</v>
      </c>
      <c r="R201" s="322">
        <v>7989.74</v>
      </c>
      <c r="S201" s="179">
        <f t="shared" si="67"/>
        <v>2.0900000000001455</v>
      </c>
      <c r="T201" s="176">
        <v>38726</v>
      </c>
      <c r="U201" s="323">
        <f t="shared" ref="U201:U216" si="107">(R201+R78)-E$337</f>
        <v>103.73999999999978</v>
      </c>
      <c r="V201" s="324">
        <f t="shared" ref="V201:V216" si="108">-(U201/R78)/W201*365</f>
        <v>1.6054057491732348</v>
      </c>
      <c r="W201" s="297">
        <f t="shared" ref="W201:W217" si="109">T201-T78</f>
        <v>3</v>
      </c>
      <c r="X201" s="325"/>
      <c r="Y201" s="93" t="s">
        <v>405</v>
      </c>
      <c r="Z201" s="93"/>
    </row>
    <row r="202" spans="1:26" ht="12" customHeight="1">
      <c r="A202" s="176">
        <v>38831</v>
      </c>
      <c r="B202" s="321" t="s">
        <v>984</v>
      </c>
      <c r="C202" s="93" t="s">
        <v>448</v>
      </c>
      <c r="D202" s="93">
        <v>50</v>
      </c>
      <c r="E202" s="177">
        <v>79</v>
      </c>
      <c r="F202" s="177">
        <f t="shared" si="71"/>
        <v>0.4</v>
      </c>
      <c r="G202" s="177">
        <f t="shared" si="72"/>
        <v>78.599999999999994</v>
      </c>
      <c r="H202" s="177">
        <f t="shared" si="61"/>
        <v>78.459999999999994</v>
      </c>
      <c r="I202" s="208">
        <f t="shared" si="62"/>
        <v>0.53820000000000001</v>
      </c>
      <c r="J202" s="177">
        <f t="shared" si="73"/>
        <v>3930</v>
      </c>
      <c r="K202" s="177">
        <f t="shared" si="74"/>
        <v>3923.1000000000004</v>
      </c>
      <c r="L202" s="177">
        <f t="shared" si="75"/>
        <v>20</v>
      </c>
      <c r="M202" s="177">
        <f t="shared" ref="M202:M203" si="110">L202*F$328</f>
        <v>2.448</v>
      </c>
      <c r="N202" s="177">
        <f t="shared" si="70"/>
        <v>3.93</v>
      </c>
      <c r="O202" s="177">
        <f t="shared" si="64"/>
        <v>0.13754999999999998</v>
      </c>
      <c r="P202" s="177">
        <f t="shared" si="65"/>
        <v>0.39300000000000002</v>
      </c>
      <c r="Q202" s="93">
        <f t="shared" si="66"/>
        <v>0</v>
      </c>
      <c r="R202" s="322">
        <v>3922</v>
      </c>
      <c r="S202" s="179">
        <f t="shared" si="67"/>
        <v>1.1000000000003638</v>
      </c>
      <c r="T202" s="176">
        <v>38833</v>
      </c>
      <c r="U202" s="323">
        <f t="shared" si="107"/>
        <v>-202</v>
      </c>
      <c r="V202" s="324">
        <f t="shared" si="108"/>
        <v>-0.16348115299334814</v>
      </c>
      <c r="W202" s="297">
        <f t="shared" si="109"/>
        <v>110</v>
      </c>
      <c r="X202" s="325"/>
      <c r="Y202" s="93" t="s">
        <v>405</v>
      </c>
      <c r="Z202" s="93"/>
    </row>
    <row r="203" spans="1:26" ht="12" customHeight="1">
      <c r="A203" s="176">
        <v>38836</v>
      </c>
      <c r="B203" s="321" t="s">
        <v>1011</v>
      </c>
      <c r="C203" s="93" t="s">
        <v>448</v>
      </c>
      <c r="D203" s="93">
        <v>100</v>
      </c>
      <c r="E203" s="177">
        <v>54.25</v>
      </c>
      <c r="F203" s="177">
        <f t="shared" si="71"/>
        <v>0.27</v>
      </c>
      <c r="G203" s="177">
        <f t="shared" si="72"/>
        <v>53.98</v>
      </c>
      <c r="H203" s="177">
        <f t="shared" si="61"/>
        <v>53.89</v>
      </c>
      <c r="I203" s="208">
        <f t="shared" si="62"/>
        <v>0.3644</v>
      </c>
      <c r="J203" s="177">
        <f t="shared" si="73"/>
        <v>5398</v>
      </c>
      <c r="K203" s="177">
        <f t="shared" si="74"/>
        <v>5388.5700000000006</v>
      </c>
      <c r="L203" s="177">
        <f t="shared" si="75"/>
        <v>27</v>
      </c>
      <c r="M203" s="177">
        <f t="shared" si="110"/>
        <v>3.3047999999999997</v>
      </c>
      <c r="N203" s="177">
        <f t="shared" si="70"/>
        <v>5.4</v>
      </c>
      <c r="O203" s="177">
        <f t="shared" si="64"/>
        <v>0.18892999999999999</v>
      </c>
      <c r="P203" s="177">
        <f t="shared" si="65"/>
        <v>0.53980000000000006</v>
      </c>
      <c r="Q203" s="93">
        <f t="shared" si="66"/>
        <v>0</v>
      </c>
      <c r="R203" s="322">
        <v>5388.5</v>
      </c>
      <c r="S203" s="179">
        <f t="shared" si="67"/>
        <v>7.0000000000618456E-2</v>
      </c>
      <c r="T203" s="176"/>
      <c r="U203" s="323">
        <f t="shared" si="107"/>
        <v>-799.15999999999985</v>
      </c>
      <c r="V203" s="324">
        <f t="shared" si="108"/>
        <v>1.2221342980768442E-3</v>
      </c>
      <c r="W203" s="297">
        <f t="shared" si="109"/>
        <v>-38723</v>
      </c>
      <c r="X203" s="325"/>
      <c r="Y203" s="93" t="s">
        <v>405</v>
      </c>
      <c r="Z203" s="93"/>
    </row>
    <row r="204" spans="1:26" ht="12" customHeight="1">
      <c r="A204" s="176">
        <v>38751</v>
      </c>
      <c r="B204" s="321" t="s">
        <v>1012</v>
      </c>
      <c r="C204" s="93" t="s">
        <v>448</v>
      </c>
      <c r="D204" s="93">
        <v>50</v>
      </c>
      <c r="E204" s="177">
        <v>84.1</v>
      </c>
      <c r="F204" s="177">
        <f t="shared" si="71"/>
        <v>0.42</v>
      </c>
      <c r="G204" s="177">
        <f t="shared" si="72"/>
        <v>83.679999999999993</v>
      </c>
      <c r="H204" s="177">
        <f t="shared" si="61"/>
        <v>83.54</v>
      </c>
      <c r="I204" s="208">
        <f t="shared" si="62"/>
        <v>0.55779999999999996</v>
      </c>
      <c r="J204" s="177">
        <f t="shared" si="73"/>
        <v>4184</v>
      </c>
      <c r="K204" s="177">
        <f t="shared" si="74"/>
        <v>4177.12</v>
      </c>
      <c r="L204" s="177">
        <f t="shared" si="75"/>
        <v>21</v>
      </c>
      <c r="M204" s="177">
        <f>L204*E$328</f>
        <v>2.1419999999999999</v>
      </c>
      <c r="N204" s="177">
        <f t="shared" si="70"/>
        <v>4.18</v>
      </c>
      <c r="O204" s="177">
        <f t="shared" si="64"/>
        <v>0.14643999999999999</v>
      </c>
      <c r="P204" s="177">
        <f t="shared" si="65"/>
        <v>0.41839999999999999</v>
      </c>
      <c r="Q204" s="93">
        <f t="shared" si="66"/>
        <v>0</v>
      </c>
      <c r="R204" s="322">
        <v>4177.0200000000004</v>
      </c>
      <c r="S204" s="179">
        <f t="shared" si="67"/>
        <v>9.9999999999454303E-2</v>
      </c>
      <c r="T204" s="176">
        <v>38755</v>
      </c>
      <c r="U204" s="323">
        <f t="shared" si="107"/>
        <v>100.02000000000044</v>
      </c>
      <c r="V204" s="324">
        <f t="shared" si="108"/>
        <v>0.28148362324204418</v>
      </c>
      <c r="W204" s="297">
        <f t="shared" si="109"/>
        <v>32</v>
      </c>
      <c r="X204" s="325"/>
      <c r="Y204" s="93" t="s">
        <v>405</v>
      </c>
      <c r="Z204" s="93"/>
    </row>
    <row r="205" spans="1:26" ht="12" customHeight="1">
      <c r="A205" s="176">
        <v>38836</v>
      </c>
      <c r="B205" s="321" t="s">
        <v>1013</v>
      </c>
      <c r="C205" s="93" t="s">
        <v>448</v>
      </c>
      <c r="D205" s="93">
        <v>50</v>
      </c>
      <c r="E205" s="177">
        <v>80.5</v>
      </c>
      <c r="F205" s="177">
        <f t="shared" si="71"/>
        <v>0.4</v>
      </c>
      <c r="G205" s="177">
        <f t="shared" si="72"/>
        <v>80.099999999999994</v>
      </c>
      <c r="H205" s="177">
        <f t="shared" si="61"/>
        <v>79.959999999999994</v>
      </c>
      <c r="I205" s="208">
        <f t="shared" si="62"/>
        <v>0.54</v>
      </c>
      <c r="J205" s="177">
        <f t="shared" si="73"/>
        <v>4005</v>
      </c>
      <c r="K205" s="177">
        <f t="shared" si="74"/>
        <v>3998.01</v>
      </c>
      <c r="L205" s="177">
        <f t="shared" si="75"/>
        <v>20</v>
      </c>
      <c r="M205" s="177">
        <f t="shared" ref="M205:M208" si="111">L205*F$328</f>
        <v>2.448</v>
      </c>
      <c r="N205" s="177">
        <f t="shared" si="70"/>
        <v>4.01</v>
      </c>
      <c r="O205" s="177">
        <f t="shared" si="64"/>
        <v>0.14017499999999999</v>
      </c>
      <c r="P205" s="177">
        <f t="shared" si="65"/>
        <v>0.40050000000000002</v>
      </c>
      <c r="Q205" s="93">
        <f t="shared" si="66"/>
        <v>0</v>
      </c>
      <c r="R205" s="322">
        <v>3997.5</v>
      </c>
      <c r="S205" s="179">
        <f t="shared" si="67"/>
        <v>0.51000000000021828</v>
      </c>
      <c r="T205" s="176"/>
      <c r="U205" s="323">
        <f t="shared" si="107"/>
        <v>-1616</v>
      </c>
      <c r="V205" s="324">
        <f t="shared" si="108"/>
        <v>2.7251616220687384E-3</v>
      </c>
      <c r="W205" s="297">
        <f t="shared" si="109"/>
        <v>-38723</v>
      </c>
      <c r="X205" s="325"/>
      <c r="Y205" s="93" t="s">
        <v>405</v>
      </c>
      <c r="Z205" s="93"/>
    </row>
    <row r="206" spans="1:26" ht="12" customHeight="1">
      <c r="A206" s="176">
        <v>38836</v>
      </c>
      <c r="B206" s="321" t="s">
        <v>987</v>
      </c>
      <c r="C206" s="93" t="s">
        <v>448</v>
      </c>
      <c r="D206" s="93">
        <v>100</v>
      </c>
      <c r="E206" s="177">
        <v>43</v>
      </c>
      <c r="F206" s="177">
        <f t="shared" si="71"/>
        <v>0.22</v>
      </c>
      <c r="G206" s="177">
        <f t="shared" si="72"/>
        <v>42.78</v>
      </c>
      <c r="H206" s="177">
        <f t="shared" si="61"/>
        <v>42.7</v>
      </c>
      <c r="I206" s="208">
        <f t="shared" si="62"/>
        <v>0.29559999999999997</v>
      </c>
      <c r="J206" s="177">
        <f t="shared" si="73"/>
        <v>4278</v>
      </c>
      <c r="K206" s="177">
        <f t="shared" si="74"/>
        <v>4270.45</v>
      </c>
      <c r="L206" s="177">
        <f t="shared" si="75"/>
        <v>22</v>
      </c>
      <c r="M206" s="177">
        <f t="shared" si="111"/>
        <v>2.6928000000000001</v>
      </c>
      <c r="N206" s="177">
        <f t="shared" si="70"/>
        <v>4.28</v>
      </c>
      <c r="O206" s="177">
        <f t="shared" si="64"/>
        <v>0.14972999999999997</v>
      </c>
      <c r="P206" s="177">
        <f t="shared" si="65"/>
        <v>0.42780000000000001</v>
      </c>
      <c r="Q206" s="93">
        <f t="shared" si="66"/>
        <v>0</v>
      </c>
      <c r="R206" s="322">
        <v>4269.82</v>
      </c>
      <c r="S206" s="179">
        <f t="shared" si="67"/>
        <v>0.63000000000010914</v>
      </c>
      <c r="T206" s="176"/>
      <c r="U206" s="323">
        <f t="shared" si="107"/>
        <v>-906.18000000000029</v>
      </c>
      <c r="V206" s="324">
        <f t="shared" si="108"/>
        <v>1.6579158621924191E-3</v>
      </c>
      <c r="W206" s="297">
        <f t="shared" si="109"/>
        <v>-38723</v>
      </c>
      <c r="X206" s="325"/>
      <c r="Y206" s="93" t="s">
        <v>405</v>
      </c>
      <c r="Z206" s="93"/>
    </row>
    <row r="207" spans="1:26" ht="12" customHeight="1">
      <c r="A207" s="322" t="s">
        <v>1036</v>
      </c>
      <c r="B207" s="321" t="s">
        <v>1014</v>
      </c>
      <c r="C207" s="93" t="s">
        <v>448</v>
      </c>
      <c r="D207" s="93">
        <v>50</v>
      </c>
      <c r="E207" s="177">
        <f>E84*1.01364+E$337/D207</f>
        <v>118.77178800000002</v>
      </c>
      <c r="F207" s="177">
        <f t="shared" si="71"/>
        <v>0.59</v>
      </c>
      <c r="G207" s="177">
        <f t="shared" si="72"/>
        <v>118.18178800000001</v>
      </c>
      <c r="H207" s="177">
        <f t="shared" si="61"/>
        <v>117.98</v>
      </c>
      <c r="I207" s="208">
        <f t="shared" si="62"/>
        <v>0.7964</v>
      </c>
      <c r="J207" s="177">
        <f t="shared" si="73"/>
        <v>5909.09</v>
      </c>
      <c r="K207" s="177">
        <f t="shared" si="74"/>
        <v>5898.7800000000007</v>
      </c>
      <c r="L207" s="177">
        <f t="shared" si="75"/>
        <v>29.5</v>
      </c>
      <c r="M207" s="177">
        <f t="shared" si="111"/>
        <v>3.6107999999999998</v>
      </c>
      <c r="N207" s="177">
        <f t="shared" si="70"/>
        <v>5.91</v>
      </c>
      <c r="O207" s="177">
        <f t="shared" si="64"/>
        <v>0.20681814999999998</v>
      </c>
      <c r="P207" s="177">
        <f t="shared" si="65"/>
        <v>0.59090900000000002</v>
      </c>
      <c r="Q207" s="93">
        <f t="shared" si="66"/>
        <v>0</v>
      </c>
      <c r="R207" s="322">
        <f>K207</f>
        <v>5898.7800000000007</v>
      </c>
      <c r="S207" s="179">
        <f t="shared" si="67"/>
        <v>0</v>
      </c>
      <c r="T207" s="176"/>
      <c r="U207" s="323">
        <f t="shared" si="107"/>
        <v>0.81000000000040018</v>
      </c>
      <c r="V207" s="324">
        <f t="shared" si="108"/>
        <v>-1.2996676339195254E-6</v>
      </c>
      <c r="W207" s="297">
        <f t="shared" si="109"/>
        <v>-38727</v>
      </c>
      <c r="X207" s="325" t="str">
        <f>IF(A207="Stock","Not Sold","")</f>
        <v>Not Sold</v>
      </c>
      <c r="Y207" s="93" t="s">
        <v>405</v>
      </c>
      <c r="Z207" s="93"/>
    </row>
    <row r="208" spans="1:26" ht="12" customHeight="1">
      <c r="A208" s="176">
        <v>38828</v>
      </c>
      <c r="B208" s="321" t="s">
        <v>1015</v>
      </c>
      <c r="C208" s="93" t="s">
        <v>448</v>
      </c>
      <c r="D208" s="93">
        <v>50</v>
      </c>
      <c r="E208" s="177">
        <v>88.9</v>
      </c>
      <c r="F208" s="177">
        <f t="shared" si="71"/>
        <v>0.44</v>
      </c>
      <c r="G208" s="177">
        <f t="shared" si="72"/>
        <v>88.460000000000008</v>
      </c>
      <c r="H208" s="177">
        <f t="shared" si="61"/>
        <v>88.31</v>
      </c>
      <c r="I208" s="208">
        <f t="shared" si="62"/>
        <v>0.59419999999999995</v>
      </c>
      <c r="J208" s="177">
        <f t="shared" si="73"/>
        <v>4423</v>
      </c>
      <c r="K208" s="177">
        <f t="shared" si="74"/>
        <v>4415.3</v>
      </c>
      <c r="L208" s="177">
        <f t="shared" si="75"/>
        <v>22</v>
      </c>
      <c r="M208" s="177">
        <f t="shared" si="111"/>
        <v>2.6928000000000001</v>
      </c>
      <c r="N208" s="177">
        <f t="shared" si="70"/>
        <v>4.42</v>
      </c>
      <c r="O208" s="177">
        <f t="shared" si="64"/>
        <v>0.154805</v>
      </c>
      <c r="P208" s="177">
        <f t="shared" si="65"/>
        <v>0.44230000000000003</v>
      </c>
      <c r="Q208" s="93">
        <f t="shared" si="66"/>
        <v>0</v>
      </c>
      <c r="R208" s="322">
        <v>4414</v>
      </c>
      <c r="S208" s="179">
        <f t="shared" si="67"/>
        <v>1.3000000000001819</v>
      </c>
      <c r="T208" s="176"/>
      <c r="U208" s="323">
        <f t="shared" si="107"/>
        <v>-1046</v>
      </c>
      <c r="V208" s="324">
        <f t="shared" si="108"/>
        <v>1.8135571479175382E-3</v>
      </c>
      <c r="W208" s="297">
        <f t="shared" si="109"/>
        <v>-38727</v>
      </c>
      <c r="X208" s="325"/>
      <c r="Y208" s="41" t="s">
        <v>469</v>
      </c>
      <c r="Z208" s="93"/>
    </row>
    <row r="209" spans="1:26" ht="12" customHeight="1">
      <c r="A209" s="176">
        <v>38741</v>
      </c>
      <c r="B209" s="321" t="s">
        <v>1016</v>
      </c>
      <c r="C209" s="93" t="s">
        <v>448</v>
      </c>
      <c r="D209" s="93">
        <v>50</v>
      </c>
      <c r="E209" s="177">
        <v>46.5</v>
      </c>
      <c r="F209" s="177">
        <f t="shared" si="71"/>
        <v>0.23</v>
      </c>
      <c r="G209" s="177">
        <f t="shared" si="72"/>
        <v>46.27</v>
      </c>
      <c r="H209" s="177">
        <f t="shared" si="61"/>
        <v>46.19</v>
      </c>
      <c r="I209" s="208">
        <f t="shared" si="62"/>
        <v>0.30599999999999999</v>
      </c>
      <c r="J209" s="177">
        <f t="shared" si="73"/>
        <v>2313.5</v>
      </c>
      <c r="K209" s="177">
        <f t="shared" si="74"/>
        <v>2309.71</v>
      </c>
      <c r="L209" s="177">
        <f t="shared" si="75"/>
        <v>11.5</v>
      </c>
      <c r="M209" s="177">
        <f>L209*E$328</f>
        <v>1.1729999999999998</v>
      </c>
      <c r="N209" s="177">
        <f t="shared" si="70"/>
        <v>2.31</v>
      </c>
      <c r="O209" s="177">
        <f t="shared" si="64"/>
        <v>8.0972499999999989E-2</v>
      </c>
      <c r="P209" s="177">
        <f t="shared" si="65"/>
        <v>0.23135</v>
      </c>
      <c r="Q209" s="93">
        <f t="shared" si="66"/>
        <v>0</v>
      </c>
      <c r="R209" s="322">
        <v>2309.87</v>
      </c>
      <c r="S209" s="179">
        <f t="shared" si="67"/>
        <v>-0.15999999999985448</v>
      </c>
      <c r="T209" s="176">
        <v>38744</v>
      </c>
      <c r="U209" s="323">
        <f t="shared" si="107"/>
        <v>227.86999999999989</v>
      </c>
      <c r="V209" s="324">
        <f t="shared" si="108"/>
        <v>3.1087893399117874</v>
      </c>
      <c r="W209" s="297">
        <f t="shared" si="109"/>
        <v>13</v>
      </c>
      <c r="X209" s="325"/>
      <c r="Y209" s="93" t="s">
        <v>405</v>
      </c>
      <c r="Z209" s="93"/>
    </row>
    <row r="210" spans="1:26" ht="12" customHeight="1">
      <c r="A210" s="176">
        <v>38841</v>
      </c>
      <c r="B210" s="321" t="s">
        <v>1017</v>
      </c>
      <c r="C210" s="93" t="s">
        <v>448</v>
      </c>
      <c r="D210" s="93">
        <v>100</v>
      </c>
      <c r="E210" s="177">
        <v>46.3</v>
      </c>
      <c r="F210" s="177">
        <f t="shared" si="71"/>
        <v>0.23</v>
      </c>
      <c r="G210" s="177">
        <f t="shared" si="72"/>
        <v>46.07</v>
      </c>
      <c r="H210" s="177">
        <f t="shared" si="61"/>
        <v>45.99</v>
      </c>
      <c r="I210" s="208">
        <f t="shared" si="62"/>
        <v>0.3105</v>
      </c>
      <c r="J210" s="177">
        <f t="shared" si="73"/>
        <v>4607</v>
      </c>
      <c r="K210" s="177">
        <f t="shared" si="74"/>
        <v>4598.96</v>
      </c>
      <c r="L210" s="177">
        <f t="shared" si="75"/>
        <v>23</v>
      </c>
      <c r="M210" s="177">
        <f t="shared" ref="M210:M247" si="112">L210*F$328</f>
        <v>2.8151999999999999</v>
      </c>
      <c r="N210" s="177">
        <f t="shared" si="70"/>
        <v>4.6100000000000003</v>
      </c>
      <c r="O210" s="177">
        <f t="shared" si="64"/>
        <v>0.161245</v>
      </c>
      <c r="P210" s="177">
        <f t="shared" si="65"/>
        <v>0.4607</v>
      </c>
      <c r="Q210" s="93">
        <f t="shared" si="66"/>
        <v>0</v>
      </c>
      <c r="R210" s="322">
        <v>4598.79</v>
      </c>
      <c r="S210" s="179">
        <f t="shared" si="67"/>
        <v>0.17000000000007276</v>
      </c>
      <c r="T210" s="176">
        <v>38845</v>
      </c>
      <c r="U210" s="323">
        <f t="shared" si="107"/>
        <v>-56.480000000000473</v>
      </c>
      <c r="V210" s="324">
        <f t="shared" si="108"/>
        <v>-9.2735541942779609E-2</v>
      </c>
      <c r="W210" s="297">
        <f t="shared" si="109"/>
        <v>48</v>
      </c>
      <c r="X210" s="325"/>
      <c r="Y210" s="41" t="s">
        <v>469</v>
      </c>
      <c r="Z210" s="93"/>
    </row>
    <row r="211" spans="1:26" ht="12" customHeight="1">
      <c r="A211" s="176">
        <v>39017</v>
      </c>
      <c r="B211" s="321" t="s">
        <v>1018</v>
      </c>
      <c r="C211" s="93" t="s">
        <v>448</v>
      </c>
      <c r="D211" s="93">
        <v>5</v>
      </c>
      <c r="E211" s="177">
        <v>1078.5</v>
      </c>
      <c r="F211" s="177">
        <f t="shared" si="71"/>
        <v>5.39</v>
      </c>
      <c r="G211" s="177">
        <f t="shared" si="72"/>
        <v>1073.1099999999999</v>
      </c>
      <c r="H211" s="177">
        <f t="shared" si="61"/>
        <v>1071.23</v>
      </c>
      <c r="I211" s="208">
        <f t="shared" si="62"/>
        <v>7.2686999999999999</v>
      </c>
      <c r="J211" s="177">
        <f t="shared" si="73"/>
        <v>5365.55</v>
      </c>
      <c r="K211" s="177">
        <f t="shared" si="74"/>
        <v>5356.16</v>
      </c>
      <c r="L211" s="177">
        <f t="shared" si="75"/>
        <v>26.95</v>
      </c>
      <c r="M211" s="177">
        <f t="shared" si="112"/>
        <v>3.2986799999999996</v>
      </c>
      <c r="N211" s="177">
        <f t="shared" si="70"/>
        <v>5.37</v>
      </c>
      <c r="O211" s="177">
        <f t="shared" si="64"/>
        <v>0.18779425</v>
      </c>
      <c r="P211" s="177">
        <f t="shared" si="65"/>
        <v>0.536555</v>
      </c>
      <c r="Q211" s="93">
        <f t="shared" si="66"/>
        <v>0</v>
      </c>
      <c r="R211" s="322">
        <f>K211</f>
        <v>5356.16</v>
      </c>
      <c r="S211" s="179">
        <f t="shared" si="67"/>
        <v>0</v>
      </c>
      <c r="T211" s="176">
        <v>39021</v>
      </c>
      <c r="U211" s="323">
        <f t="shared" si="107"/>
        <v>254.86999999999989</v>
      </c>
      <c r="V211" s="324">
        <f t="shared" si="108"/>
        <v>8.8513449912508452E-2</v>
      </c>
      <c r="W211" s="297">
        <f t="shared" si="109"/>
        <v>207</v>
      </c>
      <c r="X211" s="325" t="str">
        <f>IF(A211="Stock","Not Sold","")</f>
        <v/>
      </c>
      <c r="Y211" s="93" t="s">
        <v>405</v>
      </c>
      <c r="Z211" s="93"/>
    </row>
    <row r="212" spans="1:26" ht="12" customHeight="1">
      <c r="A212" s="176">
        <v>38819</v>
      </c>
      <c r="B212" s="321" t="s">
        <v>1019</v>
      </c>
      <c r="C212" s="93" t="s">
        <v>448</v>
      </c>
      <c r="D212" s="93">
        <v>50</v>
      </c>
      <c r="E212" s="177">
        <v>81.45</v>
      </c>
      <c r="F212" s="177">
        <f t="shared" si="71"/>
        <v>0.41</v>
      </c>
      <c r="G212" s="177">
        <f t="shared" si="72"/>
        <v>81.040000000000006</v>
      </c>
      <c r="H212" s="177">
        <f t="shared" si="61"/>
        <v>80.900000000000006</v>
      </c>
      <c r="I212" s="208">
        <f t="shared" si="62"/>
        <v>0.55220000000000002</v>
      </c>
      <c r="J212" s="177">
        <f t="shared" si="73"/>
        <v>4052</v>
      </c>
      <c r="K212" s="177">
        <f t="shared" si="74"/>
        <v>4044.9</v>
      </c>
      <c r="L212" s="177">
        <f t="shared" si="75"/>
        <v>20.5</v>
      </c>
      <c r="M212" s="177">
        <f t="shared" si="112"/>
        <v>2.5091999999999999</v>
      </c>
      <c r="N212" s="177">
        <f t="shared" si="70"/>
        <v>4.05</v>
      </c>
      <c r="O212" s="177">
        <f t="shared" si="64"/>
        <v>0.14181999999999997</v>
      </c>
      <c r="P212" s="177">
        <f t="shared" si="65"/>
        <v>0.4052</v>
      </c>
      <c r="Q212" s="93">
        <f t="shared" si="66"/>
        <v>0</v>
      </c>
      <c r="R212" s="322">
        <v>4045.09</v>
      </c>
      <c r="S212" s="179">
        <f t="shared" si="67"/>
        <v>-0.19000000000005457</v>
      </c>
      <c r="T212" s="176">
        <v>38822</v>
      </c>
      <c r="U212" s="323">
        <f t="shared" si="107"/>
        <v>-55.769999999999982</v>
      </c>
      <c r="V212" s="324">
        <f t="shared" si="108"/>
        <v>-1.2482676618770323</v>
      </c>
      <c r="W212" s="297">
        <f t="shared" si="109"/>
        <v>4</v>
      </c>
      <c r="X212" s="325"/>
      <c r="Y212" s="93" t="s">
        <v>405</v>
      </c>
      <c r="Z212" s="93"/>
    </row>
    <row r="213" spans="1:26" ht="12" customHeight="1">
      <c r="A213" s="176">
        <v>38839</v>
      </c>
      <c r="B213" s="321" t="s">
        <v>1017</v>
      </c>
      <c r="C213" s="93" t="s">
        <v>448</v>
      </c>
      <c r="D213" s="93">
        <v>50</v>
      </c>
      <c r="E213" s="177">
        <v>46</v>
      </c>
      <c r="F213" s="177">
        <f t="shared" si="71"/>
        <v>0.23</v>
      </c>
      <c r="G213" s="177">
        <f t="shared" si="72"/>
        <v>45.77</v>
      </c>
      <c r="H213" s="177">
        <f t="shared" si="61"/>
        <v>45.69</v>
      </c>
      <c r="I213" s="208">
        <f t="shared" si="62"/>
        <v>0.31019999999999998</v>
      </c>
      <c r="J213" s="177">
        <f t="shared" si="73"/>
        <v>2288.5</v>
      </c>
      <c r="K213" s="177">
        <f t="shared" si="74"/>
        <v>2284.5</v>
      </c>
      <c r="L213" s="177">
        <f t="shared" si="75"/>
        <v>11.5</v>
      </c>
      <c r="M213" s="177">
        <f t="shared" si="112"/>
        <v>1.4076</v>
      </c>
      <c r="N213" s="177">
        <f t="shared" si="70"/>
        <v>2.29</v>
      </c>
      <c r="O213" s="177">
        <f t="shared" si="64"/>
        <v>8.0097499999999988E-2</v>
      </c>
      <c r="P213" s="177">
        <f t="shared" si="65"/>
        <v>0.22885</v>
      </c>
      <c r="Q213" s="93">
        <f t="shared" si="66"/>
        <v>0</v>
      </c>
      <c r="R213" s="322">
        <v>2284</v>
      </c>
      <c r="S213" s="179">
        <f t="shared" si="67"/>
        <v>0.5</v>
      </c>
      <c r="T213" s="176">
        <v>38841</v>
      </c>
      <c r="U213" s="323">
        <f t="shared" si="107"/>
        <v>30.440000000000055</v>
      </c>
      <c r="V213" s="324">
        <f t="shared" si="108"/>
        <v>0.29313618197418062</v>
      </c>
      <c r="W213" s="297">
        <f t="shared" si="109"/>
        <v>17</v>
      </c>
      <c r="X213" s="325"/>
      <c r="Y213" s="41" t="s">
        <v>469</v>
      </c>
      <c r="Z213" s="93"/>
    </row>
    <row r="214" spans="1:26" ht="12" customHeight="1">
      <c r="A214" s="176">
        <v>38826</v>
      </c>
      <c r="B214" s="321" t="s">
        <v>626</v>
      </c>
      <c r="C214" s="93" t="s">
        <v>448</v>
      </c>
      <c r="D214" s="93">
        <v>50</v>
      </c>
      <c r="E214" s="177">
        <v>143.85</v>
      </c>
      <c r="F214" s="177">
        <f t="shared" si="71"/>
        <v>0.72</v>
      </c>
      <c r="G214" s="177">
        <f t="shared" si="72"/>
        <v>143.13</v>
      </c>
      <c r="H214" s="177">
        <f t="shared" si="61"/>
        <v>142.88</v>
      </c>
      <c r="I214" s="208">
        <f t="shared" si="62"/>
        <v>0.97070000000000001</v>
      </c>
      <c r="J214" s="177">
        <f t="shared" si="73"/>
        <v>7156.5</v>
      </c>
      <c r="K214" s="177">
        <f t="shared" si="74"/>
        <v>7143.97</v>
      </c>
      <c r="L214" s="177">
        <f t="shared" si="75"/>
        <v>36</v>
      </c>
      <c r="M214" s="177">
        <f t="shared" si="112"/>
        <v>4.4063999999999997</v>
      </c>
      <c r="N214" s="177">
        <f t="shared" si="70"/>
        <v>7.16</v>
      </c>
      <c r="O214" s="177">
        <f t="shared" si="64"/>
        <v>0.25047749999999996</v>
      </c>
      <c r="P214" s="177">
        <f t="shared" si="65"/>
        <v>0.71565000000000001</v>
      </c>
      <c r="Q214" s="93">
        <f t="shared" si="66"/>
        <v>0</v>
      </c>
      <c r="R214" s="322">
        <v>7142</v>
      </c>
      <c r="S214" s="179">
        <f t="shared" si="67"/>
        <v>1.9700000000002547</v>
      </c>
      <c r="T214" s="176">
        <v>38828</v>
      </c>
      <c r="U214" s="323">
        <f t="shared" si="107"/>
        <v>86.029999999999745</v>
      </c>
      <c r="V214" s="324">
        <f t="shared" si="108"/>
        <v>4.4654556262327496</v>
      </c>
      <c r="W214" s="297">
        <f t="shared" si="109"/>
        <v>1</v>
      </c>
      <c r="X214" s="325"/>
      <c r="Y214" s="93" t="s">
        <v>405</v>
      </c>
      <c r="Z214" s="93"/>
    </row>
    <row r="215" spans="1:26" ht="12" customHeight="1">
      <c r="A215" s="322" t="s">
        <v>1036</v>
      </c>
      <c r="B215" s="321" t="s">
        <v>626</v>
      </c>
      <c r="C215" s="93" t="s">
        <v>1020</v>
      </c>
      <c r="D215" s="93">
        <v>50</v>
      </c>
      <c r="E215" s="177">
        <f t="shared" ref="E215:E216" si="113">E92*1.01364+E$337/D215</f>
        <v>140.36232000000001</v>
      </c>
      <c r="F215" s="177">
        <f t="shared" si="71"/>
        <v>0.7</v>
      </c>
      <c r="G215" s="177">
        <f t="shared" si="72"/>
        <v>139.66232000000002</v>
      </c>
      <c r="H215" s="177">
        <f t="shared" si="61"/>
        <v>139.41999999999999</v>
      </c>
      <c r="I215" s="208">
        <f t="shared" si="62"/>
        <v>0.94420000000000004</v>
      </c>
      <c r="J215" s="177">
        <f t="shared" si="73"/>
        <v>6983.12</v>
      </c>
      <c r="K215" s="177">
        <f t="shared" si="74"/>
        <v>6970.92</v>
      </c>
      <c r="L215" s="177">
        <f t="shared" si="75"/>
        <v>35</v>
      </c>
      <c r="M215" s="177">
        <f t="shared" si="112"/>
        <v>4.2839999999999998</v>
      </c>
      <c r="N215" s="177">
        <f t="shared" si="70"/>
        <v>6.98</v>
      </c>
      <c r="O215" s="177">
        <f t="shared" si="64"/>
        <v>0.24440919999999997</v>
      </c>
      <c r="P215" s="177">
        <f t="shared" si="65"/>
        <v>0.69831200000000004</v>
      </c>
      <c r="Q215" s="93">
        <f t="shared" si="66"/>
        <v>0</v>
      </c>
      <c r="R215" s="322">
        <f t="shared" ref="R215:R218" si="114">K215</f>
        <v>6970.92</v>
      </c>
      <c r="S215" s="179">
        <f t="shared" si="67"/>
        <v>0</v>
      </c>
      <c r="T215" s="176"/>
      <c r="U215" s="323">
        <f t="shared" si="107"/>
        <v>-7.999999999992724E-2</v>
      </c>
      <c r="V215" s="324">
        <f t="shared" si="108"/>
        <v>1.082419963642753E-7</v>
      </c>
      <c r="W215" s="297">
        <f t="shared" si="109"/>
        <v>-38832</v>
      </c>
      <c r="X215" s="325" t="str">
        <f t="shared" ref="X215:X218" si="115">IF(A215="Stock","Not Sold","")</f>
        <v>Not Sold</v>
      </c>
      <c r="Y215" s="93" t="s">
        <v>405</v>
      </c>
      <c r="Z215" s="93"/>
    </row>
    <row r="216" spans="1:26" ht="12" customHeight="1">
      <c r="A216" s="176">
        <v>39042</v>
      </c>
      <c r="B216" s="321" t="s">
        <v>1021</v>
      </c>
      <c r="C216" s="93" t="s">
        <v>1020</v>
      </c>
      <c r="D216" s="93">
        <v>15</v>
      </c>
      <c r="E216" s="177">
        <f t="shared" si="113"/>
        <v>834.91344400000014</v>
      </c>
      <c r="F216" s="177">
        <f t="shared" si="71"/>
        <v>4.17</v>
      </c>
      <c r="G216" s="177">
        <f t="shared" si="72"/>
        <v>830.74344400000018</v>
      </c>
      <c r="H216" s="177">
        <f t="shared" si="61"/>
        <v>829.29</v>
      </c>
      <c r="I216" s="208">
        <f t="shared" si="62"/>
        <v>5.6232999999999995</v>
      </c>
      <c r="J216" s="177">
        <f t="shared" si="73"/>
        <v>12461.16</v>
      </c>
      <c r="K216" s="177">
        <f t="shared" si="74"/>
        <v>12439.37</v>
      </c>
      <c r="L216" s="177">
        <f t="shared" si="75"/>
        <v>62.55</v>
      </c>
      <c r="M216" s="177">
        <f t="shared" si="112"/>
        <v>7.6561199999999996</v>
      </c>
      <c r="N216" s="177">
        <f t="shared" si="70"/>
        <v>12.46</v>
      </c>
      <c r="O216" s="177">
        <f t="shared" si="64"/>
        <v>0.43614059999999993</v>
      </c>
      <c r="P216" s="177">
        <f t="shared" si="65"/>
        <v>1.246116</v>
      </c>
      <c r="Q216" s="93">
        <f t="shared" si="66"/>
        <v>0</v>
      </c>
      <c r="R216" s="322">
        <f t="shared" si="114"/>
        <v>12439.37</v>
      </c>
      <c r="S216" s="179">
        <f t="shared" si="67"/>
        <v>0</v>
      </c>
      <c r="T216" s="176"/>
      <c r="U216" s="323">
        <f t="shared" si="107"/>
        <v>9.0000000000145519E-2</v>
      </c>
      <c r="V216" s="324">
        <f t="shared" si="108"/>
        <v>-6.8137955192116913E-8</v>
      </c>
      <c r="W216" s="297">
        <f t="shared" si="109"/>
        <v>-38832</v>
      </c>
      <c r="X216" s="325" t="str">
        <f t="shared" si="115"/>
        <v/>
      </c>
      <c r="Y216" s="93" t="s">
        <v>405</v>
      </c>
      <c r="Z216" s="93"/>
    </row>
    <row r="217" spans="1:26" ht="12" customHeight="1">
      <c r="A217" s="176">
        <v>38911</v>
      </c>
      <c r="B217" s="321" t="s">
        <v>1022</v>
      </c>
      <c r="C217" s="93" t="s">
        <v>1020</v>
      </c>
      <c r="D217" s="93">
        <v>2</v>
      </c>
      <c r="E217" s="177">
        <v>1680</v>
      </c>
      <c r="F217" s="177">
        <f t="shared" si="71"/>
        <v>8.4</v>
      </c>
      <c r="G217" s="177">
        <f t="shared" si="72"/>
        <v>1671.6</v>
      </c>
      <c r="H217" s="177">
        <f t="shared" si="61"/>
        <v>1668.68</v>
      </c>
      <c r="I217" s="208">
        <f t="shared" si="62"/>
        <v>11.3239</v>
      </c>
      <c r="J217" s="177">
        <f t="shared" si="73"/>
        <v>3343.2</v>
      </c>
      <c r="K217" s="177">
        <f t="shared" si="74"/>
        <v>3337.36</v>
      </c>
      <c r="L217" s="177">
        <f t="shared" si="75"/>
        <v>16.8</v>
      </c>
      <c r="M217" s="177">
        <f t="shared" si="112"/>
        <v>2.0563199999999999</v>
      </c>
      <c r="N217" s="177">
        <f t="shared" si="70"/>
        <v>3.34</v>
      </c>
      <c r="O217" s="177">
        <f t="shared" si="64"/>
        <v>0.11701199999999998</v>
      </c>
      <c r="P217" s="177">
        <f t="shared" si="65"/>
        <v>0.33432000000000001</v>
      </c>
      <c r="Q217" s="93">
        <f t="shared" si="66"/>
        <v>0</v>
      </c>
      <c r="R217" s="322">
        <f t="shared" si="114"/>
        <v>3337.36</v>
      </c>
      <c r="S217" s="179">
        <f t="shared" si="67"/>
        <v>0</v>
      </c>
      <c r="T217" s="176">
        <v>38915</v>
      </c>
      <c r="U217" s="323">
        <f t="shared" ref="U217:U218" si="116">R217-(W$117*D217)-E$337</f>
        <v>61.079999999999927</v>
      </c>
      <c r="V217" s="324">
        <f t="shared" ref="V217:V218" si="117">(U217/(W$117*D217))/W217*365</f>
        <v>8.3596888276802034E-2</v>
      </c>
      <c r="W217" s="297">
        <f t="shared" si="109"/>
        <v>82</v>
      </c>
      <c r="X217" s="325" t="str">
        <f t="shared" si="115"/>
        <v/>
      </c>
      <c r="Y217" s="93" t="s">
        <v>405</v>
      </c>
      <c r="Z217" s="93"/>
    </row>
    <row r="218" spans="1:26" ht="12" customHeight="1">
      <c r="A218" s="176">
        <v>39006</v>
      </c>
      <c r="B218" s="321" t="s">
        <v>1022</v>
      </c>
      <c r="C218" s="93" t="s">
        <v>1020</v>
      </c>
      <c r="D218" s="93">
        <v>2</v>
      </c>
      <c r="E218" s="177">
        <v>2106.5</v>
      </c>
      <c r="F218" s="177">
        <f t="shared" si="71"/>
        <v>10.53</v>
      </c>
      <c r="G218" s="177">
        <f t="shared" si="72"/>
        <v>2095.9699999999998</v>
      </c>
      <c r="H218" s="177">
        <f t="shared" si="61"/>
        <v>2092.3000000000002</v>
      </c>
      <c r="I218" s="208">
        <f t="shared" si="62"/>
        <v>14.196899999999999</v>
      </c>
      <c r="J218" s="177">
        <f t="shared" si="73"/>
        <v>4191.9399999999996</v>
      </c>
      <c r="K218" s="177">
        <f t="shared" si="74"/>
        <v>4184.6100000000006</v>
      </c>
      <c r="L218" s="177">
        <f t="shared" si="75"/>
        <v>21.06</v>
      </c>
      <c r="M218" s="177">
        <f t="shared" si="112"/>
        <v>2.5777439999999996</v>
      </c>
      <c r="N218" s="177">
        <f t="shared" si="70"/>
        <v>4.1900000000000004</v>
      </c>
      <c r="O218" s="177">
        <f t="shared" si="64"/>
        <v>0.14671789999999998</v>
      </c>
      <c r="P218" s="177">
        <f t="shared" si="65"/>
        <v>0.41919399999999996</v>
      </c>
      <c r="Q218" s="93">
        <f t="shared" si="66"/>
        <v>0</v>
      </c>
      <c r="R218" s="322">
        <f t="shared" si="114"/>
        <v>4184.6100000000006</v>
      </c>
      <c r="S218" s="179">
        <f t="shared" si="67"/>
        <v>0</v>
      </c>
      <c r="T218" s="176">
        <v>39010</v>
      </c>
      <c r="U218" s="323">
        <f t="shared" si="116"/>
        <v>908.33000000000038</v>
      </c>
      <c r="V218" s="324">
        <f t="shared" si="117"/>
        <v>0.57593746141342406</v>
      </c>
      <c r="W218" s="297">
        <f t="shared" ref="W218:W224" si="118">T218-T94</f>
        <v>177</v>
      </c>
      <c r="X218" s="325" t="str">
        <f t="shared" si="115"/>
        <v/>
      </c>
      <c r="Y218" s="93" t="s">
        <v>405</v>
      </c>
      <c r="Z218" s="93"/>
    </row>
    <row r="219" spans="1:26" ht="12" customHeight="1">
      <c r="A219" s="176">
        <v>38835</v>
      </c>
      <c r="B219" s="321" t="s">
        <v>626</v>
      </c>
      <c r="C219" s="93" t="s">
        <v>1020</v>
      </c>
      <c r="D219" s="93">
        <v>50</v>
      </c>
      <c r="E219" s="177">
        <v>134.9</v>
      </c>
      <c r="F219" s="177">
        <f t="shared" si="71"/>
        <v>0.67</v>
      </c>
      <c r="G219" s="177">
        <f t="shared" si="72"/>
        <v>134.23000000000002</v>
      </c>
      <c r="H219" s="177">
        <f t="shared" si="61"/>
        <v>134</v>
      </c>
      <c r="I219" s="208">
        <f t="shared" si="62"/>
        <v>0.90439999999999998</v>
      </c>
      <c r="J219" s="177">
        <f t="shared" si="73"/>
        <v>6711.5</v>
      </c>
      <c r="K219" s="177">
        <f t="shared" si="74"/>
        <v>6699.79</v>
      </c>
      <c r="L219" s="177">
        <f t="shared" si="75"/>
        <v>33.5</v>
      </c>
      <c r="M219" s="177">
        <f t="shared" si="112"/>
        <v>4.1003999999999996</v>
      </c>
      <c r="N219" s="177">
        <f t="shared" si="70"/>
        <v>6.71</v>
      </c>
      <c r="O219" s="177">
        <f t="shared" si="64"/>
        <v>0.23490249999999999</v>
      </c>
      <c r="P219" s="177">
        <f t="shared" si="65"/>
        <v>0.67115000000000002</v>
      </c>
      <c r="Q219" s="93">
        <f t="shared" si="66"/>
        <v>0</v>
      </c>
      <c r="R219" s="322">
        <v>6699.06</v>
      </c>
      <c r="S219" s="179">
        <f t="shared" si="67"/>
        <v>0.72999999999956344</v>
      </c>
      <c r="T219" s="176">
        <v>38839</v>
      </c>
      <c r="U219" s="323">
        <f t="shared" ref="U219:U224" si="119">(R219+R95)-E$337</f>
        <v>101.0600000000004</v>
      </c>
      <c r="V219" s="324">
        <f t="shared" ref="V219:V224" si="120">-(U219/R95)/W219*365</f>
        <v>1.1222056586553133</v>
      </c>
      <c r="W219" s="297">
        <f t="shared" si="118"/>
        <v>5</v>
      </c>
      <c r="X219" s="325"/>
      <c r="Y219" s="93" t="s">
        <v>405</v>
      </c>
      <c r="Z219" s="93"/>
    </row>
    <row r="220" spans="1:26" ht="12" customHeight="1">
      <c r="A220" s="176">
        <v>38845</v>
      </c>
      <c r="B220" s="321" t="s">
        <v>1022</v>
      </c>
      <c r="C220" s="93" t="s">
        <v>448</v>
      </c>
      <c r="D220" s="93">
        <v>4</v>
      </c>
      <c r="E220" s="177">
        <v>3222.9</v>
      </c>
      <c r="F220" s="177">
        <f t="shared" si="71"/>
        <v>16.11</v>
      </c>
      <c r="G220" s="177">
        <f t="shared" si="72"/>
        <v>3206.79</v>
      </c>
      <c r="H220" s="177">
        <f t="shared" si="61"/>
        <v>3201.18</v>
      </c>
      <c r="I220" s="208">
        <f t="shared" si="62"/>
        <v>21.722300000000001</v>
      </c>
      <c r="J220" s="177">
        <f t="shared" si="73"/>
        <v>12827.16</v>
      </c>
      <c r="K220" s="177">
        <f t="shared" si="74"/>
        <v>12804.72</v>
      </c>
      <c r="L220" s="177">
        <f t="shared" si="75"/>
        <v>64.44</v>
      </c>
      <c r="M220" s="177">
        <f t="shared" si="112"/>
        <v>7.8874559999999994</v>
      </c>
      <c r="N220" s="177">
        <f t="shared" si="70"/>
        <v>12.83</v>
      </c>
      <c r="O220" s="177">
        <f t="shared" si="64"/>
        <v>0.44895059999999998</v>
      </c>
      <c r="P220" s="177">
        <f t="shared" si="65"/>
        <v>1.282716</v>
      </c>
      <c r="Q220" s="93">
        <f t="shared" si="66"/>
        <v>0</v>
      </c>
      <c r="R220" s="322">
        <v>12804.7</v>
      </c>
      <c r="S220" s="179">
        <f t="shared" si="67"/>
        <v>1.9999999998617568E-2</v>
      </c>
      <c r="T220" s="176"/>
      <c r="U220" s="323">
        <f t="shared" si="119"/>
        <v>14.700000000000728</v>
      </c>
      <c r="V220" s="324">
        <f t="shared" si="120"/>
        <v>-1.0820939188306791E-5</v>
      </c>
      <c r="W220" s="297">
        <f t="shared" si="118"/>
        <v>-38841</v>
      </c>
      <c r="X220" s="325"/>
      <c r="Y220" s="41" t="s">
        <v>405</v>
      </c>
      <c r="Z220" s="93"/>
    </row>
    <row r="221" spans="1:26" ht="12" customHeight="1">
      <c r="A221" s="176">
        <v>38845</v>
      </c>
      <c r="B221" s="321" t="s">
        <v>502</v>
      </c>
      <c r="C221" s="93" t="s">
        <v>448</v>
      </c>
      <c r="D221" s="93">
        <v>50</v>
      </c>
      <c r="E221" s="177">
        <v>218.85</v>
      </c>
      <c r="F221" s="177">
        <f t="shared" si="71"/>
        <v>1.0900000000000001</v>
      </c>
      <c r="G221" s="177">
        <f t="shared" si="72"/>
        <v>217.76</v>
      </c>
      <c r="H221" s="177">
        <f t="shared" si="61"/>
        <v>217.38</v>
      </c>
      <c r="I221" s="208">
        <f t="shared" si="62"/>
        <v>1.4706999999999999</v>
      </c>
      <c r="J221" s="177">
        <f t="shared" si="73"/>
        <v>10888</v>
      </c>
      <c r="K221" s="177">
        <f t="shared" si="74"/>
        <v>10868.97</v>
      </c>
      <c r="L221" s="177">
        <f t="shared" si="75"/>
        <v>54.500000000000007</v>
      </c>
      <c r="M221" s="177">
        <f t="shared" si="112"/>
        <v>6.6708000000000007</v>
      </c>
      <c r="N221" s="177">
        <f t="shared" si="70"/>
        <v>10.89</v>
      </c>
      <c r="O221" s="177">
        <f t="shared" si="64"/>
        <v>0.38107999999999997</v>
      </c>
      <c r="P221" s="177">
        <f t="shared" si="65"/>
        <v>1.0888</v>
      </c>
      <c r="Q221" s="93">
        <f t="shared" si="66"/>
        <v>0</v>
      </c>
      <c r="R221" s="322">
        <v>10869</v>
      </c>
      <c r="S221" s="179">
        <f t="shared" si="67"/>
        <v>-3.0000000000654836E-2</v>
      </c>
      <c r="T221" s="176"/>
      <c r="U221" s="323">
        <f t="shared" si="119"/>
        <v>32.989999999999782</v>
      </c>
      <c r="V221" s="324">
        <f t="shared" si="120"/>
        <v>-2.867260536736292E-5</v>
      </c>
      <c r="W221" s="297">
        <f t="shared" si="118"/>
        <v>-38842</v>
      </c>
      <c r="X221" s="325"/>
      <c r="Y221" s="41" t="s">
        <v>405</v>
      </c>
      <c r="Z221" s="93"/>
    </row>
    <row r="222" spans="1:26" ht="12" customHeight="1">
      <c r="A222" s="176">
        <v>38842</v>
      </c>
      <c r="B222" s="321" t="s">
        <v>1023</v>
      </c>
      <c r="C222" s="93" t="s">
        <v>448</v>
      </c>
      <c r="D222" s="93">
        <v>100</v>
      </c>
      <c r="E222" s="177">
        <v>66.95</v>
      </c>
      <c r="F222" s="177">
        <f t="shared" si="71"/>
        <v>0.33</v>
      </c>
      <c r="G222" s="177">
        <f t="shared" si="72"/>
        <v>66.62</v>
      </c>
      <c r="H222" s="177">
        <f t="shared" si="61"/>
        <v>66.5</v>
      </c>
      <c r="I222" s="208">
        <f t="shared" si="62"/>
        <v>0.44600000000000001</v>
      </c>
      <c r="J222" s="177">
        <f t="shared" si="73"/>
        <v>6662</v>
      </c>
      <c r="K222" s="177">
        <f t="shared" si="74"/>
        <v>6650.41</v>
      </c>
      <c r="L222" s="177">
        <f t="shared" si="75"/>
        <v>33</v>
      </c>
      <c r="M222" s="177">
        <f t="shared" si="112"/>
        <v>4.0392000000000001</v>
      </c>
      <c r="N222" s="177">
        <f t="shared" si="70"/>
        <v>6.66</v>
      </c>
      <c r="O222" s="177">
        <f t="shared" si="64"/>
        <v>0.23316999999999999</v>
      </c>
      <c r="P222" s="177">
        <f t="shared" si="65"/>
        <v>0.66620000000000001</v>
      </c>
      <c r="Q222" s="93">
        <f t="shared" si="66"/>
        <v>0</v>
      </c>
      <c r="R222" s="322">
        <v>6647.24</v>
      </c>
      <c r="S222" s="179">
        <f t="shared" si="67"/>
        <v>3.1700000000000728</v>
      </c>
      <c r="T222" s="176">
        <v>38846</v>
      </c>
      <c r="U222" s="323">
        <f t="shared" si="119"/>
        <v>-1.7600000000002183</v>
      </c>
      <c r="V222" s="324">
        <f t="shared" si="120"/>
        <v>-9.6966037735861085E-2</v>
      </c>
      <c r="W222" s="297">
        <f t="shared" si="118"/>
        <v>1</v>
      </c>
      <c r="X222" s="325"/>
      <c r="Y222" s="41" t="s">
        <v>405</v>
      </c>
      <c r="Z222" s="93"/>
    </row>
    <row r="223" spans="1:26" ht="12" customHeight="1">
      <c r="A223" s="176">
        <v>38846</v>
      </c>
      <c r="B223" s="321" t="s">
        <v>1021</v>
      </c>
      <c r="C223" s="93" t="s">
        <v>448</v>
      </c>
      <c r="D223" s="93">
        <v>10</v>
      </c>
      <c r="E223" s="177">
        <v>794</v>
      </c>
      <c r="F223" s="177">
        <f t="shared" si="71"/>
        <v>3.97</v>
      </c>
      <c r="G223" s="177">
        <f t="shared" si="72"/>
        <v>790.03</v>
      </c>
      <c r="H223" s="177">
        <f t="shared" si="61"/>
        <v>788.65</v>
      </c>
      <c r="I223" s="208">
        <f t="shared" si="62"/>
        <v>5.3525999999999998</v>
      </c>
      <c r="J223" s="177">
        <f t="shared" si="73"/>
        <v>7900.3</v>
      </c>
      <c r="K223" s="177">
        <f t="shared" si="74"/>
        <v>7886.4800000000005</v>
      </c>
      <c r="L223" s="177">
        <f t="shared" si="75"/>
        <v>39.700000000000003</v>
      </c>
      <c r="M223" s="177">
        <f t="shared" si="112"/>
        <v>4.85928</v>
      </c>
      <c r="N223" s="177">
        <f t="shared" si="70"/>
        <v>7.9</v>
      </c>
      <c r="O223" s="177">
        <f t="shared" si="64"/>
        <v>0.27651049999999999</v>
      </c>
      <c r="P223" s="177">
        <f t="shared" si="65"/>
        <v>0.79003000000000001</v>
      </c>
      <c r="Q223" s="93">
        <f t="shared" si="66"/>
        <v>0</v>
      </c>
      <c r="R223" s="322">
        <v>7885</v>
      </c>
      <c r="S223" s="179">
        <f t="shared" si="67"/>
        <v>1.4800000000004729</v>
      </c>
      <c r="T223" s="176">
        <v>38848</v>
      </c>
      <c r="U223" s="323">
        <f t="shared" si="119"/>
        <v>49</v>
      </c>
      <c r="V223" s="324">
        <f t="shared" si="120"/>
        <v>0.76314217443249699</v>
      </c>
      <c r="W223" s="297">
        <f t="shared" si="118"/>
        <v>3</v>
      </c>
      <c r="X223" s="325"/>
      <c r="Y223" s="41" t="s">
        <v>405</v>
      </c>
      <c r="Z223" s="93"/>
    </row>
    <row r="224" spans="1:26" ht="12" customHeight="1">
      <c r="A224" s="176">
        <v>39037</v>
      </c>
      <c r="B224" s="321" t="s">
        <v>973</v>
      </c>
      <c r="C224" s="93" t="s">
        <v>448</v>
      </c>
      <c r="D224" s="93">
        <v>50</v>
      </c>
      <c r="E224" s="177">
        <v>140.5</v>
      </c>
      <c r="F224" s="177">
        <f t="shared" si="71"/>
        <v>0.7</v>
      </c>
      <c r="G224" s="177">
        <f t="shared" si="72"/>
        <v>139.80000000000001</v>
      </c>
      <c r="H224" s="177">
        <f t="shared" si="61"/>
        <v>139.56</v>
      </c>
      <c r="I224" s="208">
        <f t="shared" si="62"/>
        <v>0.94440000000000002</v>
      </c>
      <c r="J224" s="177">
        <f t="shared" si="73"/>
        <v>6990</v>
      </c>
      <c r="K224" s="177">
        <f t="shared" si="74"/>
        <v>6977.79</v>
      </c>
      <c r="L224" s="177">
        <f t="shared" si="75"/>
        <v>35</v>
      </c>
      <c r="M224" s="177">
        <f t="shared" si="112"/>
        <v>4.2839999999999998</v>
      </c>
      <c r="N224" s="177">
        <f t="shared" si="70"/>
        <v>6.99</v>
      </c>
      <c r="O224" s="177">
        <f t="shared" si="64"/>
        <v>0.24464999999999998</v>
      </c>
      <c r="P224" s="177">
        <f t="shared" si="65"/>
        <v>0.69900000000000007</v>
      </c>
      <c r="Q224" s="93">
        <f t="shared" si="66"/>
        <v>0</v>
      </c>
      <c r="R224" s="322">
        <f t="shared" ref="R224:R226" si="121">K224</f>
        <v>6977.79</v>
      </c>
      <c r="S224" s="179">
        <f t="shared" si="67"/>
        <v>0</v>
      </c>
      <c r="T224" s="176"/>
      <c r="U224" s="323">
        <f t="shared" si="119"/>
        <v>862.79</v>
      </c>
      <c r="V224" s="324">
        <f t="shared" si="120"/>
        <v>-1.3309540496145855E-3</v>
      </c>
      <c r="W224" s="297">
        <f t="shared" si="118"/>
        <v>-38846</v>
      </c>
      <c r="X224" s="325" t="str">
        <f t="shared" ref="X224:X226" si="122">IF(A224="Stock","Not Sold","")</f>
        <v/>
      </c>
      <c r="Y224" s="41" t="s">
        <v>405</v>
      </c>
      <c r="Z224" s="93"/>
    </row>
    <row r="225" spans="1:26" ht="12" customHeight="1">
      <c r="A225" s="322" t="s">
        <v>1036</v>
      </c>
      <c r="B225" s="321" t="s">
        <v>1024</v>
      </c>
      <c r="C225" s="93" t="s">
        <v>448</v>
      </c>
      <c r="D225" s="93">
        <v>100</v>
      </c>
      <c r="E225" s="177">
        <v>210.97</v>
      </c>
      <c r="F225" s="177">
        <f t="shared" si="71"/>
        <v>1.05</v>
      </c>
      <c r="G225" s="177">
        <f t="shared" si="72"/>
        <v>209.92</v>
      </c>
      <c r="H225" s="177">
        <f t="shared" si="61"/>
        <v>209.55</v>
      </c>
      <c r="I225" s="208">
        <f t="shared" si="62"/>
        <v>1.4168000000000001</v>
      </c>
      <c r="J225" s="177">
        <f t="shared" si="73"/>
        <v>20992</v>
      </c>
      <c r="K225" s="177">
        <f t="shared" si="74"/>
        <v>20955.329999999998</v>
      </c>
      <c r="L225" s="177">
        <f t="shared" si="75"/>
        <v>105</v>
      </c>
      <c r="M225" s="177">
        <f t="shared" si="112"/>
        <v>12.852</v>
      </c>
      <c r="N225" s="177">
        <f t="shared" si="70"/>
        <v>20.99</v>
      </c>
      <c r="O225" s="177">
        <f t="shared" si="64"/>
        <v>0.73471999999999993</v>
      </c>
      <c r="P225" s="177">
        <f t="shared" si="65"/>
        <v>2.0992000000000002</v>
      </c>
      <c r="Q225" s="93">
        <f t="shared" si="66"/>
        <v>0</v>
      </c>
      <c r="R225" s="322">
        <f t="shared" si="121"/>
        <v>20955.329999999998</v>
      </c>
      <c r="S225" s="179">
        <f t="shared" si="67"/>
        <v>0</v>
      </c>
      <c r="T225" s="176"/>
      <c r="U225" s="323">
        <f>R225-(W$108*D225)-E$337</f>
        <v>0.32999999999810825</v>
      </c>
      <c r="V225" s="324">
        <f>(U225/(W$108*D225))/W225*365</f>
        <v>-1.4813175274097917E-7</v>
      </c>
      <c r="W225" s="297">
        <f>T225-V108</f>
        <v>-38848</v>
      </c>
      <c r="X225" s="325" t="str">
        <f t="shared" si="122"/>
        <v>Not Sold</v>
      </c>
      <c r="Y225" s="41" t="s">
        <v>405</v>
      </c>
      <c r="Z225" s="93"/>
    </row>
    <row r="226" spans="1:26" ht="12" customHeight="1">
      <c r="A226" s="322" t="s">
        <v>1036</v>
      </c>
      <c r="B226" s="321" t="s">
        <v>998</v>
      </c>
      <c r="C226" s="93" t="s">
        <v>448</v>
      </c>
      <c r="D226" s="93">
        <v>25</v>
      </c>
      <c r="E226" s="177">
        <f>E102*1.01364+E$337/D226</f>
        <v>523.13664600000004</v>
      </c>
      <c r="F226" s="177">
        <f t="shared" si="71"/>
        <v>2.62</v>
      </c>
      <c r="G226" s="177">
        <f t="shared" si="72"/>
        <v>520.51664600000004</v>
      </c>
      <c r="H226" s="177">
        <f t="shared" si="61"/>
        <v>519.61</v>
      </c>
      <c r="I226" s="208">
        <f t="shared" si="62"/>
        <v>3.5314000000000001</v>
      </c>
      <c r="J226" s="177">
        <f t="shared" si="73"/>
        <v>13012.92</v>
      </c>
      <c r="K226" s="177">
        <f t="shared" si="74"/>
        <v>12990.14</v>
      </c>
      <c r="L226" s="177">
        <f t="shared" si="75"/>
        <v>65.5</v>
      </c>
      <c r="M226" s="177">
        <f t="shared" si="112"/>
        <v>8.017199999999999</v>
      </c>
      <c r="N226" s="177">
        <f t="shared" si="70"/>
        <v>13.01</v>
      </c>
      <c r="O226" s="177">
        <f t="shared" si="64"/>
        <v>0.45545219999999997</v>
      </c>
      <c r="P226" s="177">
        <f t="shared" si="65"/>
        <v>1.3012920000000001</v>
      </c>
      <c r="Q226" s="93">
        <f t="shared" si="66"/>
        <v>0</v>
      </c>
      <c r="R226" s="322">
        <f t="shared" si="121"/>
        <v>12990.14</v>
      </c>
      <c r="S226" s="179">
        <f t="shared" si="67"/>
        <v>0</v>
      </c>
      <c r="T226" s="176"/>
      <c r="U226" s="323">
        <f t="shared" ref="U226:U227" si="123">(R226+R102)-E$337</f>
        <v>0.34000000000014552</v>
      </c>
      <c r="V226" s="324">
        <f t="shared" ref="V226:V227" si="124">-(U226/R102)/W226*365</f>
        <v>-2.4638540470719038E-7</v>
      </c>
      <c r="W226" s="297">
        <f t="shared" ref="W226:W228" si="125">T226-T102</f>
        <v>-38847</v>
      </c>
      <c r="X226" s="325" t="str">
        <f t="shared" si="122"/>
        <v>Not Sold</v>
      </c>
      <c r="Y226" s="41" t="s">
        <v>405</v>
      </c>
      <c r="Z226" s="93"/>
    </row>
    <row r="227" spans="1:26" ht="12" customHeight="1">
      <c r="A227" s="176">
        <v>38847</v>
      </c>
      <c r="B227" s="321" t="s">
        <v>1015</v>
      </c>
      <c r="C227" s="93" t="s">
        <v>448</v>
      </c>
      <c r="D227" s="93">
        <v>50</v>
      </c>
      <c r="E227" s="177">
        <v>96.01</v>
      </c>
      <c r="F227" s="177">
        <f t="shared" si="71"/>
        <v>0.48</v>
      </c>
      <c r="G227" s="177">
        <f t="shared" si="72"/>
        <v>95.53</v>
      </c>
      <c r="H227" s="177">
        <f t="shared" si="61"/>
        <v>95.36</v>
      </c>
      <c r="I227" s="208">
        <f t="shared" si="62"/>
        <v>0.64729999999999999</v>
      </c>
      <c r="J227" s="177">
        <f t="shared" si="73"/>
        <v>4776.5</v>
      </c>
      <c r="K227" s="177">
        <f t="shared" si="74"/>
        <v>4768.1400000000003</v>
      </c>
      <c r="L227" s="177">
        <f t="shared" si="75"/>
        <v>24</v>
      </c>
      <c r="M227" s="177">
        <f t="shared" si="112"/>
        <v>2.9375999999999998</v>
      </c>
      <c r="N227" s="177">
        <f t="shared" si="70"/>
        <v>4.78</v>
      </c>
      <c r="O227" s="177">
        <f t="shared" si="64"/>
        <v>0.16717749999999998</v>
      </c>
      <c r="P227" s="177">
        <f t="shared" si="65"/>
        <v>0.47765000000000002</v>
      </c>
      <c r="Q227" s="93">
        <f t="shared" si="66"/>
        <v>0</v>
      </c>
      <c r="R227" s="322">
        <v>4767.5</v>
      </c>
      <c r="S227" s="179">
        <f t="shared" si="67"/>
        <v>0.64000000000032742</v>
      </c>
      <c r="T227" s="176">
        <v>38849</v>
      </c>
      <c r="U227" s="323">
        <f t="shared" si="123"/>
        <v>5.6000000000003638</v>
      </c>
      <c r="V227" s="324">
        <f t="shared" si="124"/>
        <v>0.43141476181433397</v>
      </c>
      <c r="W227" s="297">
        <f t="shared" si="125"/>
        <v>1</v>
      </c>
      <c r="X227" s="325"/>
      <c r="Y227" s="41" t="s">
        <v>405</v>
      </c>
      <c r="Z227" s="93"/>
    </row>
    <row r="228" spans="1:26" ht="12" customHeight="1">
      <c r="A228" s="322" t="s">
        <v>1036</v>
      </c>
      <c r="B228" s="321" t="s">
        <v>1025</v>
      </c>
      <c r="C228" s="93" t="s">
        <v>448</v>
      </c>
      <c r="D228" s="93">
        <v>16</v>
      </c>
      <c r="E228" s="177">
        <v>62.28</v>
      </c>
      <c r="F228" s="177">
        <f t="shared" si="71"/>
        <v>0.63</v>
      </c>
      <c r="G228" s="177">
        <f t="shared" si="72"/>
        <v>61.65</v>
      </c>
      <c r="H228" s="177">
        <f t="shared" si="61"/>
        <v>61.5</v>
      </c>
      <c r="I228" s="208">
        <f t="shared" si="62"/>
        <v>0.77739999999999998</v>
      </c>
      <c r="J228" s="177">
        <f t="shared" si="73"/>
        <v>986.4</v>
      </c>
      <c r="K228" s="177">
        <f t="shared" si="74"/>
        <v>984.05</v>
      </c>
      <c r="L228" s="177">
        <f t="shared" si="75"/>
        <v>10.08</v>
      </c>
      <c r="M228" s="177">
        <f t="shared" si="112"/>
        <v>1.233792</v>
      </c>
      <c r="N228" s="177">
        <f t="shared" si="70"/>
        <v>0.99</v>
      </c>
      <c r="O228" s="177">
        <f t="shared" si="64"/>
        <v>3.4523999999999999E-2</v>
      </c>
      <c r="P228" s="177">
        <f t="shared" si="65"/>
        <v>9.8640000000000005E-2</v>
      </c>
      <c r="Q228" s="93">
        <f t="shared" si="66"/>
        <v>0</v>
      </c>
      <c r="R228" s="322">
        <f>K228</f>
        <v>984.05</v>
      </c>
      <c r="S228" s="179">
        <f t="shared" si="67"/>
        <v>0</v>
      </c>
      <c r="T228" s="176"/>
      <c r="U228" s="323">
        <f t="shared" ref="U228:U229" si="126">R228-(W$104*D228)-E$337</f>
        <v>4.9999999999954525E-2</v>
      </c>
      <c r="V228" s="324">
        <f t="shared" ref="V228:V231" si="127">(U228/(W$8*D228))/W228*365</f>
        <v>-5.8745139443203599E-7</v>
      </c>
      <c r="W228" s="297">
        <f t="shared" si="125"/>
        <v>-38833</v>
      </c>
      <c r="X228" s="325" t="str">
        <f t="shared" ref="X228:X247" si="128">IF(A228="Stock","Not Sold","")</f>
        <v>Not Sold</v>
      </c>
      <c r="Y228" s="41" t="s">
        <v>405</v>
      </c>
      <c r="Z228" s="93"/>
    </row>
    <row r="229" spans="1:26" ht="12" customHeight="1">
      <c r="A229" s="176">
        <v>38849</v>
      </c>
      <c r="B229" s="321" t="s">
        <v>1025</v>
      </c>
      <c r="C229" s="93" t="s">
        <v>448</v>
      </c>
      <c r="D229" s="93">
        <v>100</v>
      </c>
      <c r="E229" s="177">
        <v>84.05</v>
      </c>
      <c r="F229" s="177">
        <f t="shared" si="71"/>
        <v>0.42</v>
      </c>
      <c r="G229" s="177">
        <f t="shared" si="72"/>
        <v>83.63</v>
      </c>
      <c r="H229" s="177">
        <f t="shared" si="61"/>
        <v>83.48</v>
      </c>
      <c r="I229" s="208">
        <f t="shared" si="62"/>
        <v>0.56630000000000003</v>
      </c>
      <c r="J229" s="177">
        <f t="shared" si="73"/>
        <v>8363</v>
      </c>
      <c r="K229" s="177">
        <f t="shared" si="74"/>
        <v>8348.380000000001</v>
      </c>
      <c r="L229" s="177">
        <f t="shared" si="75"/>
        <v>42</v>
      </c>
      <c r="M229" s="177">
        <f t="shared" si="112"/>
        <v>5.1407999999999996</v>
      </c>
      <c r="N229" s="177">
        <f t="shared" si="70"/>
        <v>8.36</v>
      </c>
      <c r="O229" s="177">
        <f t="shared" si="64"/>
        <v>0.29270499999999999</v>
      </c>
      <c r="P229" s="177">
        <f t="shared" si="65"/>
        <v>0.83630000000000004</v>
      </c>
      <c r="Q229" s="93">
        <f t="shared" si="66"/>
        <v>0</v>
      </c>
      <c r="R229" s="322">
        <v>8343.44</v>
      </c>
      <c r="S229" s="179">
        <f t="shared" si="67"/>
        <v>4.9400000000005093</v>
      </c>
      <c r="T229" s="176">
        <v>38853</v>
      </c>
      <c r="U229" s="323">
        <f t="shared" si="126"/>
        <v>2319.4400000000005</v>
      </c>
      <c r="V229" s="324">
        <f t="shared" si="127"/>
        <v>8.465956000000002</v>
      </c>
      <c r="W229" s="297">
        <f t="shared" ref="W229:W230" si="129">T229-T104</f>
        <v>20</v>
      </c>
      <c r="X229" s="325" t="str">
        <f t="shared" si="128"/>
        <v/>
      </c>
      <c r="Y229" s="41" t="s">
        <v>405</v>
      </c>
      <c r="Z229" s="93"/>
    </row>
    <row r="230" spans="1:26" ht="12" customHeight="1">
      <c r="A230" s="322" t="s">
        <v>1036</v>
      </c>
      <c r="B230" s="321" t="s">
        <v>1025</v>
      </c>
      <c r="C230" s="93" t="s">
        <v>1020</v>
      </c>
      <c r="D230" s="93">
        <v>16</v>
      </c>
      <c r="E230" s="177">
        <v>62.28</v>
      </c>
      <c r="F230" s="177">
        <f t="shared" si="71"/>
        <v>0.63</v>
      </c>
      <c r="G230" s="177">
        <f t="shared" si="72"/>
        <v>61.65</v>
      </c>
      <c r="H230" s="177">
        <f t="shared" si="61"/>
        <v>61.5</v>
      </c>
      <c r="I230" s="208">
        <f t="shared" si="62"/>
        <v>0.77739999999999998</v>
      </c>
      <c r="J230" s="177">
        <f t="shared" si="73"/>
        <v>986.4</v>
      </c>
      <c r="K230" s="177">
        <f t="shared" si="74"/>
        <v>984.05</v>
      </c>
      <c r="L230" s="177">
        <f t="shared" si="75"/>
        <v>10.08</v>
      </c>
      <c r="M230" s="177">
        <f t="shared" si="112"/>
        <v>1.233792</v>
      </c>
      <c r="N230" s="177">
        <f t="shared" si="70"/>
        <v>0.99</v>
      </c>
      <c r="O230" s="177">
        <f t="shared" si="64"/>
        <v>3.4523999999999999E-2</v>
      </c>
      <c r="P230" s="177">
        <f t="shared" si="65"/>
        <v>9.8640000000000005E-2</v>
      </c>
      <c r="Q230" s="93">
        <f t="shared" si="66"/>
        <v>0</v>
      </c>
      <c r="R230" s="322">
        <f>K230</f>
        <v>984.05</v>
      </c>
      <c r="S230" s="179">
        <f t="shared" si="67"/>
        <v>0</v>
      </c>
      <c r="T230" s="176"/>
      <c r="U230" s="323">
        <f t="shared" ref="U230:U231" si="130">R230-(W$105*D230)-E$337</f>
        <v>4.9999999999954525E-2</v>
      </c>
      <c r="V230" s="324">
        <f t="shared" si="127"/>
        <v>-5.8745139443203599E-7</v>
      </c>
      <c r="W230" s="297">
        <f t="shared" si="129"/>
        <v>-38833</v>
      </c>
      <c r="X230" s="325" t="str">
        <f t="shared" si="128"/>
        <v>Not Sold</v>
      </c>
      <c r="Y230" s="41" t="s">
        <v>405</v>
      </c>
      <c r="Z230" s="93"/>
    </row>
    <row r="231" spans="1:26" ht="12" customHeight="1">
      <c r="A231" s="176">
        <v>38849</v>
      </c>
      <c r="B231" s="321" t="s">
        <v>1025</v>
      </c>
      <c r="C231" s="93" t="s">
        <v>1020</v>
      </c>
      <c r="D231" s="93">
        <v>100</v>
      </c>
      <c r="E231" s="177">
        <v>84.1</v>
      </c>
      <c r="F231" s="177">
        <f t="shared" si="71"/>
        <v>0.42</v>
      </c>
      <c r="G231" s="177">
        <f t="shared" si="72"/>
        <v>83.679999999999993</v>
      </c>
      <c r="H231" s="177">
        <f t="shared" si="61"/>
        <v>83.53</v>
      </c>
      <c r="I231" s="208">
        <f t="shared" si="62"/>
        <v>0.5665</v>
      </c>
      <c r="J231" s="177">
        <f t="shared" si="73"/>
        <v>8368</v>
      </c>
      <c r="K231" s="177">
        <f t="shared" si="74"/>
        <v>8353.36</v>
      </c>
      <c r="L231" s="177">
        <f t="shared" si="75"/>
        <v>42</v>
      </c>
      <c r="M231" s="177">
        <f t="shared" si="112"/>
        <v>5.1407999999999996</v>
      </c>
      <c r="N231" s="177">
        <f t="shared" si="70"/>
        <v>8.3699999999999992</v>
      </c>
      <c r="O231" s="177">
        <f t="shared" si="64"/>
        <v>0.29287999999999997</v>
      </c>
      <c r="P231" s="177">
        <f t="shared" si="65"/>
        <v>0.83679999999999999</v>
      </c>
      <c r="Q231" s="93">
        <f t="shared" si="66"/>
        <v>0</v>
      </c>
      <c r="R231" s="322">
        <v>8353.18</v>
      </c>
      <c r="S231" s="179">
        <f t="shared" si="67"/>
        <v>0.18000000000029104</v>
      </c>
      <c r="T231" s="176">
        <v>38853</v>
      </c>
      <c r="U231" s="323">
        <f t="shared" si="130"/>
        <v>2329.1800000000003</v>
      </c>
      <c r="V231" s="324">
        <f t="shared" si="127"/>
        <v>8.5015070000000019</v>
      </c>
      <c r="W231" s="297">
        <f t="shared" ref="W231:W233" si="131">T231-T105</f>
        <v>20</v>
      </c>
      <c r="X231" s="325" t="str">
        <f t="shared" si="128"/>
        <v/>
      </c>
      <c r="Y231" s="41" t="s">
        <v>405</v>
      </c>
      <c r="Z231" s="93"/>
    </row>
    <row r="232" spans="1:26" ht="12" customHeight="1">
      <c r="A232" s="322" t="s">
        <v>1036</v>
      </c>
      <c r="B232" s="321" t="s">
        <v>502</v>
      </c>
      <c r="C232" s="93" t="s">
        <v>448</v>
      </c>
      <c r="D232" s="93">
        <f t="shared" ref="D232:D233" si="132">D106</f>
        <v>50</v>
      </c>
      <c r="E232" s="177">
        <f t="shared" ref="E232:E233" si="133">E106*1.01364+E$337/D232</f>
        <v>223.22739000000001</v>
      </c>
      <c r="F232" s="177">
        <f t="shared" si="71"/>
        <v>1.1200000000000001</v>
      </c>
      <c r="G232" s="177">
        <f t="shared" si="72"/>
        <v>222.10739000000001</v>
      </c>
      <c r="H232" s="177">
        <f t="shared" si="61"/>
        <v>221.72</v>
      </c>
      <c r="I232" s="208">
        <f t="shared" si="62"/>
        <v>1.5093000000000001</v>
      </c>
      <c r="J232" s="177">
        <f t="shared" si="73"/>
        <v>11105.37</v>
      </c>
      <c r="K232" s="177">
        <f t="shared" si="74"/>
        <v>11085.91</v>
      </c>
      <c r="L232" s="177">
        <f t="shared" si="75"/>
        <v>56.000000000000007</v>
      </c>
      <c r="M232" s="177">
        <f t="shared" si="112"/>
        <v>6.8544000000000009</v>
      </c>
      <c r="N232" s="177">
        <f t="shared" si="70"/>
        <v>11.11</v>
      </c>
      <c r="O232" s="177">
        <f t="shared" si="64"/>
        <v>0.38868795</v>
      </c>
      <c r="P232" s="177">
        <f t="shared" si="65"/>
        <v>1.1105370000000001</v>
      </c>
      <c r="Q232" s="93">
        <f t="shared" si="66"/>
        <v>0</v>
      </c>
      <c r="R232" s="322">
        <f t="shared" ref="R232:R247" si="134">K232</f>
        <v>11085.91</v>
      </c>
      <c r="S232" s="179">
        <f t="shared" si="67"/>
        <v>0</v>
      </c>
      <c r="T232" s="176"/>
      <c r="U232" s="323">
        <f t="shared" ref="U232:U233" si="135">(R232+R106)-E$337</f>
        <v>-0.38000000000101863</v>
      </c>
      <c r="V232" s="324">
        <f t="shared" ref="V232:V233" si="136">-(U232/R106)/W232*365</f>
        <v>3.2273909543616245E-7</v>
      </c>
      <c r="W232" s="297">
        <f t="shared" si="131"/>
        <v>-38849</v>
      </c>
      <c r="X232" s="325" t="str">
        <f t="shared" si="128"/>
        <v>Not Sold</v>
      </c>
      <c r="Y232" s="41" t="s">
        <v>405</v>
      </c>
      <c r="Z232" s="93"/>
    </row>
    <row r="233" spans="1:26" ht="12" customHeight="1">
      <c r="A233" s="322" t="s">
        <v>1036</v>
      </c>
      <c r="B233" s="321" t="s">
        <v>1026</v>
      </c>
      <c r="C233" s="93" t="s">
        <v>448</v>
      </c>
      <c r="D233" s="93">
        <f t="shared" si="132"/>
        <v>50</v>
      </c>
      <c r="E233" s="177">
        <f t="shared" si="133"/>
        <v>229.05582000000001</v>
      </c>
      <c r="F233" s="177">
        <f t="shared" si="71"/>
        <v>1.1499999999999999</v>
      </c>
      <c r="G233" s="177">
        <f t="shared" si="72"/>
        <v>227.90582000000001</v>
      </c>
      <c r="H233" s="177">
        <f t="shared" si="61"/>
        <v>227.51</v>
      </c>
      <c r="I233" s="208">
        <f t="shared" si="62"/>
        <v>1.5496000000000001</v>
      </c>
      <c r="J233" s="177">
        <f t="shared" si="73"/>
        <v>11395.300000000001</v>
      </c>
      <c r="K233" s="177">
        <f t="shared" si="74"/>
        <v>11375.33</v>
      </c>
      <c r="L233" s="177">
        <f t="shared" si="75"/>
        <v>57.499999999999993</v>
      </c>
      <c r="M233" s="177">
        <f t="shared" si="112"/>
        <v>7.0379999999999985</v>
      </c>
      <c r="N233" s="177">
        <f t="shared" si="70"/>
        <v>11.4</v>
      </c>
      <c r="O233" s="177">
        <f t="shared" si="64"/>
        <v>0.39883550000000001</v>
      </c>
      <c r="P233" s="177">
        <f t="shared" si="65"/>
        <v>1.1395300000000002</v>
      </c>
      <c r="Q233" s="93">
        <f t="shared" si="66"/>
        <v>0</v>
      </c>
      <c r="R233" s="322">
        <f t="shared" si="134"/>
        <v>11375.33</v>
      </c>
      <c r="S233" s="179">
        <f t="shared" si="67"/>
        <v>0</v>
      </c>
      <c r="T233" s="176"/>
      <c r="U233" s="323">
        <f t="shared" si="135"/>
        <v>-0.67000000000007276</v>
      </c>
      <c r="V233" s="324">
        <f t="shared" si="136"/>
        <v>5.5451773478103246E-7</v>
      </c>
      <c r="W233" s="297">
        <f t="shared" si="131"/>
        <v>-38849</v>
      </c>
      <c r="X233" s="325" t="str">
        <f t="shared" si="128"/>
        <v>Not Sold</v>
      </c>
      <c r="Y233" s="41" t="s">
        <v>405</v>
      </c>
      <c r="Z233" s="93"/>
    </row>
    <row r="234" spans="1:26" ht="12" customHeight="1">
      <c r="A234" s="176">
        <v>39006</v>
      </c>
      <c r="B234" s="321" t="s">
        <v>975</v>
      </c>
      <c r="C234" s="93" t="s">
        <v>448</v>
      </c>
      <c r="D234" s="93">
        <f t="shared" ref="D234:D236" si="137">D109</f>
        <v>5</v>
      </c>
      <c r="E234" s="177">
        <v>1199.0999999999999</v>
      </c>
      <c r="F234" s="177">
        <f t="shared" si="71"/>
        <v>6</v>
      </c>
      <c r="G234" s="177">
        <f t="shared" si="72"/>
        <v>1193.0999999999999</v>
      </c>
      <c r="H234" s="177">
        <f t="shared" si="61"/>
        <v>1191.01</v>
      </c>
      <c r="I234" s="208">
        <f t="shared" si="62"/>
        <v>8.0894999999999992</v>
      </c>
      <c r="J234" s="177">
        <f t="shared" si="73"/>
        <v>5965.5</v>
      </c>
      <c r="K234" s="177">
        <f t="shared" si="74"/>
        <v>5955.06</v>
      </c>
      <c r="L234" s="177">
        <f t="shared" si="75"/>
        <v>30</v>
      </c>
      <c r="M234" s="177">
        <f t="shared" si="112"/>
        <v>3.6719999999999997</v>
      </c>
      <c r="N234" s="177">
        <f t="shared" si="70"/>
        <v>5.97</v>
      </c>
      <c r="O234" s="177">
        <f t="shared" si="64"/>
        <v>0.20879249999999999</v>
      </c>
      <c r="P234" s="177">
        <f t="shared" si="65"/>
        <v>0.59655000000000002</v>
      </c>
      <c r="Q234" s="93">
        <f t="shared" si="66"/>
        <v>0</v>
      </c>
      <c r="R234" s="322">
        <f t="shared" si="134"/>
        <v>5955.06</v>
      </c>
      <c r="S234" s="179">
        <f t="shared" si="67"/>
        <v>0</v>
      </c>
      <c r="T234" s="176">
        <v>39010</v>
      </c>
      <c r="U234" s="323">
        <f t="shared" ref="U234:U238" si="138">(R234+R109)-E$337</f>
        <v>169.45000000000073</v>
      </c>
      <c r="V234" s="324">
        <f t="shared" ref="V234:V238" si="139">-(U234/R109)/W234*365</f>
        <v>6.7091978197066734E-2</v>
      </c>
      <c r="W234" s="297">
        <f t="shared" ref="W234:W238" si="140">T234-T109</f>
        <v>160</v>
      </c>
      <c r="X234" s="325" t="str">
        <f t="shared" si="128"/>
        <v/>
      </c>
      <c r="Y234" s="41" t="s">
        <v>405</v>
      </c>
      <c r="Z234" s="93"/>
    </row>
    <row r="235" spans="1:26" ht="12" customHeight="1">
      <c r="A235" s="322" t="s">
        <v>1036</v>
      </c>
      <c r="B235" s="321" t="s">
        <v>1000</v>
      </c>
      <c r="C235" s="93" t="s">
        <v>448</v>
      </c>
      <c r="D235" s="93">
        <f t="shared" si="137"/>
        <v>50</v>
      </c>
      <c r="E235" s="177">
        <f t="shared" ref="E235:E237" si="141">E110*1.01364+E$337/D235</f>
        <v>279.11949960000004</v>
      </c>
      <c r="F235" s="177">
        <f t="shared" si="71"/>
        <v>1.4</v>
      </c>
      <c r="G235" s="177">
        <f t="shared" si="72"/>
        <v>277.71949960000006</v>
      </c>
      <c r="H235" s="177">
        <f t="shared" si="61"/>
        <v>277.23</v>
      </c>
      <c r="I235" s="208">
        <f t="shared" si="62"/>
        <v>1.8867</v>
      </c>
      <c r="J235" s="177">
        <f t="shared" si="73"/>
        <v>13885.98</v>
      </c>
      <c r="K235" s="177">
        <f t="shared" si="74"/>
        <v>13861.65</v>
      </c>
      <c r="L235" s="177">
        <f t="shared" si="75"/>
        <v>70</v>
      </c>
      <c r="M235" s="177">
        <f t="shared" si="112"/>
        <v>8.5679999999999996</v>
      </c>
      <c r="N235" s="177">
        <f t="shared" si="70"/>
        <v>13.89</v>
      </c>
      <c r="O235" s="177">
        <f t="shared" si="64"/>
        <v>0.48600929999999992</v>
      </c>
      <c r="P235" s="177">
        <f t="shared" si="65"/>
        <v>1.388598</v>
      </c>
      <c r="Q235" s="93">
        <f t="shared" si="66"/>
        <v>0</v>
      </c>
      <c r="R235" s="322">
        <f t="shared" si="134"/>
        <v>13861.65</v>
      </c>
      <c r="S235" s="179">
        <f t="shared" si="67"/>
        <v>0</v>
      </c>
      <c r="T235" s="176"/>
      <c r="U235" s="323">
        <f t="shared" si="138"/>
        <v>-2.3500000000003638</v>
      </c>
      <c r="V235" s="324">
        <f t="shared" si="139"/>
        <v>1.5952678524935329E-6</v>
      </c>
      <c r="W235" s="297">
        <f t="shared" si="140"/>
        <v>-38850</v>
      </c>
      <c r="X235" s="325" t="str">
        <f t="shared" si="128"/>
        <v>Not Sold</v>
      </c>
      <c r="Y235" s="41" t="s">
        <v>405</v>
      </c>
      <c r="Z235" s="93"/>
    </row>
    <row r="236" spans="1:26" ht="12" customHeight="1">
      <c r="A236" s="322" t="s">
        <v>1036</v>
      </c>
      <c r="B236" s="321" t="s">
        <v>1025</v>
      </c>
      <c r="C236" s="93" t="s">
        <v>448</v>
      </c>
      <c r="D236" s="93">
        <f t="shared" si="137"/>
        <v>200</v>
      </c>
      <c r="E236" s="177">
        <f t="shared" si="141"/>
        <v>78.57573600000002</v>
      </c>
      <c r="F236" s="177">
        <f t="shared" si="71"/>
        <v>0.39</v>
      </c>
      <c r="G236" s="177">
        <f t="shared" si="72"/>
        <v>78.18573600000002</v>
      </c>
      <c r="H236" s="177">
        <f t="shared" si="61"/>
        <v>78.05</v>
      </c>
      <c r="I236" s="208">
        <f t="shared" si="62"/>
        <v>0.52649999999999997</v>
      </c>
      <c r="J236" s="177">
        <f t="shared" si="73"/>
        <v>15637.15</v>
      </c>
      <c r="K236" s="177">
        <f t="shared" si="74"/>
        <v>15609.86</v>
      </c>
      <c r="L236" s="177">
        <f t="shared" si="75"/>
        <v>78</v>
      </c>
      <c r="M236" s="177">
        <f t="shared" si="112"/>
        <v>9.5472000000000001</v>
      </c>
      <c r="N236" s="177">
        <f t="shared" si="70"/>
        <v>15.64</v>
      </c>
      <c r="O236" s="177">
        <f t="shared" si="64"/>
        <v>0.54730024999999993</v>
      </c>
      <c r="P236" s="177">
        <f t="shared" si="65"/>
        <v>1.563715</v>
      </c>
      <c r="Q236" s="93">
        <f t="shared" si="66"/>
        <v>0</v>
      </c>
      <c r="R236" s="322">
        <f t="shared" si="134"/>
        <v>15609.86</v>
      </c>
      <c r="S236" s="179">
        <f t="shared" si="67"/>
        <v>0</v>
      </c>
      <c r="T236" s="176"/>
      <c r="U236" s="323">
        <f t="shared" si="138"/>
        <v>1.1500000000014552</v>
      </c>
      <c r="V236" s="324">
        <f t="shared" si="139"/>
        <v>-6.9317847164115262E-7</v>
      </c>
      <c r="W236" s="297">
        <f t="shared" si="140"/>
        <v>-38855</v>
      </c>
      <c r="X236" s="325" t="str">
        <f t="shared" si="128"/>
        <v>Not Sold</v>
      </c>
      <c r="Y236" s="41" t="s">
        <v>405</v>
      </c>
      <c r="Z236" s="93"/>
    </row>
    <row r="237" spans="1:26" ht="12" customHeight="1">
      <c r="A237" s="322" t="s">
        <v>1036</v>
      </c>
      <c r="B237" s="321" t="s">
        <v>996</v>
      </c>
      <c r="C237" s="93" t="s">
        <v>448</v>
      </c>
      <c r="D237" s="93">
        <v>100</v>
      </c>
      <c r="E237" s="177">
        <f t="shared" si="141"/>
        <v>204.79255200000003</v>
      </c>
      <c r="F237" s="177">
        <f t="shared" si="71"/>
        <v>1.02</v>
      </c>
      <c r="G237" s="177">
        <f t="shared" si="72"/>
        <v>203.77255200000002</v>
      </c>
      <c r="H237" s="177">
        <f t="shared" si="61"/>
        <v>203.42</v>
      </c>
      <c r="I237" s="208">
        <f t="shared" si="62"/>
        <v>1.3762000000000001</v>
      </c>
      <c r="J237" s="177">
        <f t="shared" si="73"/>
        <v>20377.259999999998</v>
      </c>
      <c r="K237" s="177">
        <f t="shared" si="74"/>
        <v>20341.649999999998</v>
      </c>
      <c r="L237" s="177">
        <f t="shared" si="75"/>
        <v>102</v>
      </c>
      <c r="M237" s="177">
        <f t="shared" si="112"/>
        <v>12.4848</v>
      </c>
      <c r="N237" s="177">
        <f t="shared" si="70"/>
        <v>20.38</v>
      </c>
      <c r="O237" s="177">
        <f t="shared" si="64"/>
        <v>0.7132040999999999</v>
      </c>
      <c r="P237" s="177">
        <f t="shared" si="65"/>
        <v>2.0377260000000001</v>
      </c>
      <c r="Q237" s="93">
        <f t="shared" si="66"/>
        <v>0</v>
      </c>
      <c r="R237" s="322">
        <f t="shared" si="134"/>
        <v>20341.649999999998</v>
      </c>
      <c r="S237" s="179">
        <f t="shared" si="67"/>
        <v>0</v>
      </c>
      <c r="T237" s="176"/>
      <c r="U237" s="323">
        <f t="shared" si="138"/>
        <v>1.2599999999983993</v>
      </c>
      <c r="V237" s="324">
        <f t="shared" si="139"/>
        <v>-5.8253932498414732E-7</v>
      </c>
      <c r="W237" s="297">
        <f t="shared" si="140"/>
        <v>-38859</v>
      </c>
      <c r="X237" s="325" t="str">
        <f t="shared" si="128"/>
        <v>Not Sold</v>
      </c>
      <c r="Y237" s="41" t="s">
        <v>405</v>
      </c>
      <c r="Z237" s="93"/>
    </row>
    <row r="238" spans="1:26" ht="12" customHeight="1">
      <c r="A238" s="176">
        <v>38856</v>
      </c>
      <c r="B238" s="321" t="s">
        <v>996</v>
      </c>
      <c r="C238" s="93" t="s">
        <v>448</v>
      </c>
      <c r="D238" s="93">
        <v>100</v>
      </c>
      <c r="E238" s="177">
        <v>198.1</v>
      </c>
      <c r="F238" s="177">
        <f t="shared" si="71"/>
        <v>0.99</v>
      </c>
      <c r="G238" s="177">
        <f t="shared" si="72"/>
        <v>197.10999999999999</v>
      </c>
      <c r="H238" s="177">
        <f t="shared" si="61"/>
        <v>196.77</v>
      </c>
      <c r="I238" s="208">
        <f t="shared" si="62"/>
        <v>1.3349</v>
      </c>
      <c r="J238" s="177">
        <f t="shared" si="73"/>
        <v>19711</v>
      </c>
      <c r="K238" s="177">
        <f t="shared" si="74"/>
        <v>19676.519999999997</v>
      </c>
      <c r="L238" s="177">
        <f t="shared" si="75"/>
        <v>99</v>
      </c>
      <c r="M238" s="177">
        <f t="shared" si="112"/>
        <v>12.117599999999999</v>
      </c>
      <c r="N238" s="177">
        <f t="shared" si="70"/>
        <v>19.71</v>
      </c>
      <c r="O238" s="177">
        <f t="shared" si="64"/>
        <v>0.68988499999999997</v>
      </c>
      <c r="P238" s="177">
        <f t="shared" si="65"/>
        <v>1.9711000000000001</v>
      </c>
      <c r="Q238" s="93">
        <f t="shared" si="66"/>
        <v>0</v>
      </c>
      <c r="R238" s="322">
        <f t="shared" si="134"/>
        <v>19676.519999999997</v>
      </c>
      <c r="S238" s="179">
        <f t="shared" si="67"/>
        <v>0</v>
      </c>
      <c r="T238" s="176">
        <v>38860</v>
      </c>
      <c r="U238" s="323">
        <f t="shared" si="138"/>
        <v>372.91999999999825</v>
      </c>
      <c r="V238" s="324">
        <f t="shared" si="139"/>
        <v>7.0600946077719131</v>
      </c>
      <c r="W238" s="297">
        <f t="shared" si="140"/>
        <v>1</v>
      </c>
      <c r="X238" s="325" t="str">
        <f t="shared" si="128"/>
        <v/>
      </c>
      <c r="Y238" s="41" t="s">
        <v>405</v>
      </c>
      <c r="Z238" s="93"/>
    </row>
    <row r="239" spans="1:26" ht="12" customHeight="1">
      <c r="A239" s="322" t="s">
        <v>1036</v>
      </c>
      <c r="B239" s="321" t="s">
        <v>296</v>
      </c>
      <c r="C239" s="93" t="s">
        <v>448</v>
      </c>
      <c r="D239" s="93">
        <v>45</v>
      </c>
      <c r="E239" s="177">
        <v>923.4</v>
      </c>
      <c r="F239" s="177">
        <f t="shared" si="71"/>
        <v>4.62</v>
      </c>
      <c r="G239" s="177">
        <f t="shared" si="72"/>
        <v>918.78</v>
      </c>
      <c r="H239" s="177">
        <f t="shared" si="61"/>
        <v>917.17</v>
      </c>
      <c r="I239" s="208">
        <f t="shared" si="62"/>
        <v>6.2284999999999995</v>
      </c>
      <c r="J239" s="177">
        <f t="shared" si="73"/>
        <v>41345.1</v>
      </c>
      <c r="K239" s="177">
        <f t="shared" si="74"/>
        <v>41272.730000000003</v>
      </c>
      <c r="L239" s="177">
        <f t="shared" si="75"/>
        <v>207.9</v>
      </c>
      <c r="M239" s="177">
        <f t="shared" si="112"/>
        <v>25.446960000000001</v>
      </c>
      <c r="N239" s="177">
        <f t="shared" si="70"/>
        <v>41.35</v>
      </c>
      <c r="O239" s="177">
        <f t="shared" si="64"/>
        <v>1.4470784999999997</v>
      </c>
      <c r="P239" s="177">
        <f t="shared" si="65"/>
        <v>4.1345099999999997</v>
      </c>
      <c r="Q239" s="93">
        <f t="shared" si="66"/>
        <v>0</v>
      </c>
      <c r="R239" s="322">
        <f t="shared" si="134"/>
        <v>41272.730000000003</v>
      </c>
      <c r="S239" s="179">
        <f t="shared" si="67"/>
        <v>0</v>
      </c>
      <c r="T239" s="176"/>
      <c r="U239" s="323">
        <f>R239-(W$121*D239)-E$337</f>
        <v>23.330000000001746</v>
      </c>
      <c r="V239" s="324">
        <f>(U239/(W$121*D239))/W239*365</f>
        <v>-5.2914831282709411E-6</v>
      </c>
      <c r="W239" s="297">
        <f>T239-V121</f>
        <v>-39036</v>
      </c>
      <c r="X239" s="325" t="str">
        <f t="shared" si="128"/>
        <v>Not Sold</v>
      </c>
      <c r="Y239" s="41" t="s">
        <v>405</v>
      </c>
      <c r="Z239" s="93"/>
    </row>
    <row r="240" spans="1:26" ht="12" customHeight="1">
      <c r="A240" s="176">
        <v>39006</v>
      </c>
      <c r="B240" s="321" t="s">
        <v>1027</v>
      </c>
      <c r="C240" s="93" t="s">
        <v>448</v>
      </c>
      <c r="D240" s="93">
        <v>4</v>
      </c>
      <c r="E240" s="177">
        <v>1128.25</v>
      </c>
      <c r="F240" s="177">
        <f t="shared" si="71"/>
        <v>5.64</v>
      </c>
      <c r="G240" s="177">
        <f t="shared" si="72"/>
        <v>1122.6099999999999</v>
      </c>
      <c r="H240" s="177">
        <f t="shared" si="61"/>
        <v>1120.6500000000001</v>
      </c>
      <c r="I240" s="208">
        <f t="shared" si="62"/>
        <v>7.6044</v>
      </c>
      <c r="J240" s="177">
        <f t="shared" si="73"/>
        <v>4490.4399999999996</v>
      </c>
      <c r="K240" s="177">
        <f t="shared" si="74"/>
        <v>4482.59</v>
      </c>
      <c r="L240" s="177">
        <f t="shared" si="75"/>
        <v>22.56</v>
      </c>
      <c r="M240" s="177">
        <f t="shared" si="112"/>
        <v>2.7613439999999998</v>
      </c>
      <c r="N240" s="177">
        <f t="shared" si="70"/>
        <v>4.49</v>
      </c>
      <c r="O240" s="177">
        <f t="shared" si="64"/>
        <v>0.15716539999999998</v>
      </c>
      <c r="P240" s="177">
        <f t="shared" si="65"/>
        <v>0.449044</v>
      </c>
      <c r="Q240" s="93">
        <f t="shared" si="66"/>
        <v>0</v>
      </c>
      <c r="R240" s="322">
        <f t="shared" si="134"/>
        <v>4482.59</v>
      </c>
      <c r="S240" s="179">
        <f t="shared" si="67"/>
        <v>0</v>
      </c>
      <c r="T240" s="176">
        <v>39010</v>
      </c>
      <c r="U240" s="323">
        <f>R240-(W$119*D240)-E$337</f>
        <v>669.35000000000036</v>
      </c>
      <c r="V240" s="324">
        <f>(U240/(W$119*D240))/W240*365</f>
        <v>0.67868838022789224</v>
      </c>
      <c r="W240" s="297">
        <f>T240-T118</f>
        <v>95</v>
      </c>
      <c r="X240" s="325" t="str">
        <f t="shared" si="128"/>
        <v/>
      </c>
      <c r="Y240" s="41" t="s">
        <v>405</v>
      </c>
      <c r="Z240" s="93"/>
    </row>
    <row r="241" spans="1:26" ht="12" customHeight="1">
      <c r="A241" s="176">
        <v>39042</v>
      </c>
      <c r="B241" s="321" t="s">
        <v>1021</v>
      </c>
      <c r="C241" s="93" t="s">
        <v>1020</v>
      </c>
      <c r="D241" s="93">
        <v>30</v>
      </c>
      <c r="E241" s="177">
        <v>451.55</v>
      </c>
      <c r="F241" s="177">
        <f t="shared" si="71"/>
        <v>2.2599999999999998</v>
      </c>
      <c r="G241" s="177">
        <f t="shared" si="72"/>
        <v>449.29</v>
      </c>
      <c r="H241" s="177">
        <f t="shared" si="61"/>
        <v>448.5</v>
      </c>
      <c r="I241" s="208">
        <f t="shared" si="62"/>
        <v>3.0467000000000004</v>
      </c>
      <c r="J241" s="177">
        <f t="shared" si="73"/>
        <v>13478.7</v>
      </c>
      <c r="K241" s="177">
        <f t="shared" si="74"/>
        <v>13455.11</v>
      </c>
      <c r="L241" s="177">
        <f t="shared" si="75"/>
        <v>67.8</v>
      </c>
      <c r="M241" s="177">
        <f t="shared" si="112"/>
        <v>8.2987199999999994</v>
      </c>
      <c r="N241" s="177">
        <f t="shared" si="70"/>
        <v>13.48</v>
      </c>
      <c r="O241" s="177">
        <f t="shared" si="64"/>
        <v>0.47175449999999997</v>
      </c>
      <c r="P241" s="177">
        <f t="shared" si="65"/>
        <v>1.3478700000000001</v>
      </c>
      <c r="Q241" s="93">
        <f t="shared" si="66"/>
        <v>0</v>
      </c>
      <c r="R241" s="322">
        <f t="shared" si="134"/>
        <v>13455.11</v>
      </c>
      <c r="S241" s="179">
        <f t="shared" si="67"/>
        <v>0</v>
      </c>
      <c r="T241" s="176">
        <v>39044</v>
      </c>
      <c r="U241" s="323">
        <f>R241-(W$120*D241)-E$337</f>
        <v>1015.9100000000017</v>
      </c>
      <c r="V241" s="324">
        <f>(U241/(W$120*D241))/W241*365</f>
        <v>0.72846807375381051</v>
      </c>
      <c r="W241" s="297">
        <f>T241-T120</f>
        <v>41</v>
      </c>
      <c r="X241" s="325" t="str">
        <f t="shared" si="128"/>
        <v/>
      </c>
      <c r="Y241" s="41" t="s">
        <v>405</v>
      </c>
      <c r="Z241" s="93"/>
    </row>
    <row r="242" spans="1:26" ht="12" customHeight="1">
      <c r="A242" s="322" t="s">
        <v>1036</v>
      </c>
      <c r="B242" s="321" t="s">
        <v>988</v>
      </c>
      <c r="C242" s="93" t="s">
        <v>448</v>
      </c>
      <c r="D242" s="93">
        <v>300</v>
      </c>
      <c r="E242" s="177">
        <v>24.12</v>
      </c>
      <c r="F242" s="177">
        <f t="shared" si="71"/>
        <v>0.12</v>
      </c>
      <c r="G242" s="177">
        <f t="shared" si="72"/>
        <v>24</v>
      </c>
      <c r="H242" s="177">
        <f t="shared" si="61"/>
        <v>23.96</v>
      </c>
      <c r="I242" s="208">
        <f t="shared" si="62"/>
        <v>0.16199999999999998</v>
      </c>
      <c r="J242" s="177">
        <f t="shared" si="73"/>
        <v>7200</v>
      </c>
      <c r="K242" s="177">
        <f t="shared" si="74"/>
        <v>7187.43</v>
      </c>
      <c r="L242" s="177">
        <f t="shared" si="75"/>
        <v>36</v>
      </c>
      <c r="M242" s="177">
        <f t="shared" si="112"/>
        <v>4.4063999999999997</v>
      </c>
      <c r="N242" s="177">
        <f t="shared" si="70"/>
        <v>7.2</v>
      </c>
      <c r="O242" s="177">
        <f t="shared" si="64"/>
        <v>0.252</v>
      </c>
      <c r="P242" s="177">
        <f t="shared" si="65"/>
        <v>0.72000000000000008</v>
      </c>
      <c r="Q242" s="93">
        <f t="shared" si="66"/>
        <v>0</v>
      </c>
      <c r="R242" s="322">
        <f t="shared" si="134"/>
        <v>7187.43</v>
      </c>
      <c r="S242" s="179">
        <f t="shared" si="67"/>
        <v>0</v>
      </c>
      <c r="T242" s="176"/>
      <c r="U242" s="323">
        <f>R242-(W$116*D242)-E$337</f>
        <v>-0.56999999999970896</v>
      </c>
      <c r="V242" s="324">
        <f>(U242/(W$116*D242))/W242*365</f>
        <v>7.5006556449063276E-7</v>
      </c>
      <c r="W242" s="297">
        <f>T242-V116</f>
        <v>-38718</v>
      </c>
      <c r="X242" s="325" t="str">
        <f t="shared" si="128"/>
        <v>Not Sold</v>
      </c>
      <c r="Y242" s="41"/>
      <c r="Z242" s="93"/>
    </row>
    <row r="243" spans="1:26" ht="12" customHeight="1">
      <c r="A243" s="322" t="s">
        <v>1036</v>
      </c>
      <c r="B243" s="321" t="str">
        <f t="shared" ref="B243:D243" si="142">B122</f>
        <v>Infosys Technology</v>
      </c>
      <c r="C243" s="93" t="str">
        <f t="shared" si="142"/>
        <v>Sunita</v>
      </c>
      <c r="D243" s="93">
        <f t="shared" si="142"/>
        <v>2</v>
      </c>
      <c r="E243" s="177">
        <f t="shared" ref="E243:E244" si="143">E122*1.01364+E$337/D243</f>
        <v>2133.7613844000002</v>
      </c>
      <c r="F243" s="177">
        <f t="shared" si="71"/>
        <v>10.67</v>
      </c>
      <c r="G243" s="177">
        <f t="shared" si="72"/>
        <v>2123.0913844000002</v>
      </c>
      <c r="H243" s="177">
        <f t="shared" si="61"/>
        <v>2119.37</v>
      </c>
      <c r="I243" s="208">
        <f t="shared" si="62"/>
        <v>14.387700000000001</v>
      </c>
      <c r="J243" s="177">
        <f t="shared" si="73"/>
        <v>4246.1900000000005</v>
      </c>
      <c r="K243" s="177">
        <f t="shared" si="74"/>
        <v>4238.76</v>
      </c>
      <c r="L243" s="177">
        <f t="shared" si="75"/>
        <v>21.34</v>
      </c>
      <c r="M243" s="177">
        <f t="shared" si="112"/>
        <v>2.6120159999999997</v>
      </c>
      <c r="N243" s="177">
        <f t="shared" si="70"/>
        <v>4.25</v>
      </c>
      <c r="O243" s="177">
        <f t="shared" si="64"/>
        <v>0.14861665000000002</v>
      </c>
      <c r="P243" s="177">
        <f t="shared" si="65"/>
        <v>0.42461900000000008</v>
      </c>
      <c r="Q243" s="93">
        <f t="shared" si="66"/>
        <v>0</v>
      </c>
      <c r="R243" s="322">
        <f t="shared" si="134"/>
        <v>4238.76</v>
      </c>
      <c r="S243" s="179">
        <f t="shared" si="67"/>
        <v>0</v>
      </c>
      <c r="T243" s="176"/>
      <c r="U243" s="323">
        <f t="shared" ref="U243:U244" si="144">(R243+R122)-E$337</f>
        <v>5.0000000000181899E-2</v>
      </c>
      <c r="V243" s="324">
        <f t="shared" ref="V243:V244" si="145">-(U243/R122)/W243*365</f>
        <v>-1.1061058399612899E-7</v>
      </c>
      <c r="W243" s="297">
        <f t="shared" ref="W243:W244" si="146">T243-T122</f>
        <v>-39147</v>
      </c>
      <c r="X243" s="325" t="str">
        <f t="shared" si="128"/>
        <v>Not Sold</v>
      </c>
      <c r="Y243" s="41" t="s">
        <v>405</v>
      </c>
      <c r="Z243" s="93"/>
    </row>
    <row r="244" spans="1:26" ht="12" customHeight="1">
      <c r="A244" s="322" t="s">
        <v>1036</v>
      </c>
      <c r="B244" s="321" t="str">
        <f t="shared" ref="B244:D244" si="147">B123</f>
        <v>Tata Consultancy</v>
      </c>
      <c r="C244" s="93" t="str">
        <f t="shared" si="147"/>
        <v>Sunita</v>
      </c>
      <c r="D244" s="93">
        <f t="shared" si="147"/>
        <v>2</v>
      </c>
      <c r="E244" s="177">
        <f t="shared" si="143"/>
        <v>1214.4100909510603</v>
      </c>
      <c r="F244" s="177">
        <f t="shared" si="71"/>
        <v>6.07</v>
      </c>
      <c r="G244" s="177">
        <f t="shared" si="72"/>
        <v>1208.3400909510603</v>
      </c>
      <c r="H244" s="177">
        <f t="shared" si="61"/>
        <v>1206.22</v>
      </c>
      <c r="I244" s="208">
        <f t="shared" si="62"/>
        <v>8.1860999999999997</v>
      </c>
      <c r="J244" s="177">
        <f t="shared" si="73"/>
        <v>2416.69</v>
      </c>
      <c r="K244" s="177">
        <f t="shared" si="74"/>
        <v>2412.46</v>
      </c>
      <c r="L244" s="177">
        <f t="shared" si="75"/>
        <v>12.14</v>
      </c>
      <c r="M244" s="177">
        <f t="shared" si="112"/>
        <v>1.4859359999999999</v>
      </c>
      <c r="N244" s="177">
        <f t="shared" si="70"/>
        <v>2.42</v>
      </c>
      <c r="O244" s="177">
        <f t="shared" si="64"/>
        <v>8.4584149999999997E-2</v>
      </c>
      <c r="P244" s="177">
        <f t="shared" si="65"/>
        <v>0.24166900000000002</v>
      </c>
      <c r="Q244" s="93">
        <f t="shared" si="66"/>
        <v>0</v>
      </c>
      <c r="R244" s="322">
        <f t="shared" si="134"/>
        <v>2412.46</v>
      </c>
      <c r="S244" s="179">
        <f t="shared" si="67"/>
        <v>0</v>
      </c>
      <c r="T244" s="176"/>
      <c r="U244" s="323">
        <f t="shared" si="144"/>
        <v>-1.999999999998181E-2</v>
      </c>
      <c r="V244" s="324">
        <f t="shared" si="145"/>
        <v>7.807334111605788E-8</v>
      </c>
      <c r="W244" s="297">
        <f t="shared" si="146"/>
        <v>-39147</v>
      </c>
      <c r="X244" s="325" t="str">
        <f t="shared" si="128"/>
        <v>Not Sold</v>
      </c>
      <c r="Y244" s="41" t="s">
        <v>405</v>
      </c>
      <c r="Z244" s="93"/>
    </row>
    <row r="245" spans="1:26" ht="12" customHeight="1">
      <c r="A245" s="322" t="s">
        <v>1036</v>
      </c>
      <c r="B245" s="321" t="str">
        <f t="shared" ref="B245:D245" si="148">B125</f>
        <v>Bharti Airtel</v>
      </c>
      <c r="C245" s="93" t="str">
        <f t="shared" si="148"/>
        <v>SPG</v>
      </c>
      <c r="D245" s="93">
        <f t="shared" si="148"/>
        <v>5</v>
      </c>
      <c r="E245" s="177">
        <f>E125*1.01364+E$337/D245</f>
        <v>733.40443199999993</v>
      </c>
      <c r="F245" s="177">
        <f t="shared" si="71"/>
        <v>3.67</v>
      </c>
      <c r="G245" s="177">
        <f t="shared" si="72"/>
        <v>729.73443199999997</v>
      </c>
      <c r="H245" s="177">
        <f t="shared" si="61"/>
        <v>728.46</v>
      </c>
      <c r="I245" s="208">
        <f t="shared" si="62"/>
        <v>4.9478</v>
      </c>
      <c r="J245" s="177">
        <f t="shared" si="73"/>
        <v>3648.6800000000003</v>
      </c>
      <c r="K245" s="177">
        <f t="shared" si="74"/>
        <v>3642.3</v>
      </c>
      <c r="L245" s="177">
        <f t="shared" si="75"/>
        <v>18.350000000000001</v>
      </c>
      <c r="M245" s="177">
        <f t="shared" si="112"/>
        <v>2.2460400000000003</v>
      </c>
      <c r="N245" s="177">
        <f t="shared" si="70"/>
        <v>3.65</v>
      </c>
      <c r="O245" s="177">
        <f t="shared" si="64"/>
        <v>0.12770380000000001</v>
      </c>
      <c r="P245" s="177">
        <f t="shared" si="65"/>
        <v>0.36486800000000003</v>
      </c>
      <c r="Q245" s="93">
        <f t="shared" si="66"/>
        <v>0</v>
      </c>
      <c r="R245" s="322">
        <f t="shared" si="134"/>
        <v>3642.3</v>
      </c>
      <c r="S245" s="179">
        <f t="shared" si="67"/>
        <v>0</v>
      </c>
      <c r="T245" s="176"/>
      <c r="U245" s="323">
        <f t="shared" ref="U245:U246" si="149">(R245+R125)-E$337</f>
        <v>5.0000000000181899E-2</v>
      </c>
      <c r="V245" s="324">
        <f t="shared" ref="V245:V246" si="150">-(U245/R125)/W245*365</f>
        <v>-1.2879841682726681E-7</v>
      </c>
      <c r="W245" s="297">
        <f t="shared" ref="W245:W246" si="151">T245-T125</f>
        <v>-39161</v>
      </c>
      <c r="X245" s="325" t="str">
        <f t="shared" si="128"/>
        <v>Not Sold</v>
      </c>
      <c r="Y245" s="41" t="s">
        <v>405</v>
      </c>
      <c r="Z245" s="93"/>
    </row>
    <row r="246" spans="1:26" ht="12" customHeight="1">
      <c r="A246" s="176">
        <v>39161</v>
      </c>
      <c r="B246" s="321" t="str">
        <f t="shared" ref="B246:D246" si="152">B126</f>
        <v>Gujarat Ambuja</v>
      </c>
      <c r="C246" s="93" t="str">
        <f t="shared" si="152"/>
        <v>SPG</v>
      </c>
      <c r="D246" s="93">
        <f t="shared" si="152"/>
        <v>25</v>
      </c>
      <c r="E246" s="177">
        <v>110.25</v>
      </c>
      <c r="F246" s="177">
        <f t="shared" si="71"/>
        <v>0.55000000000000004</v>
      </c>
      <c r="G246" s="177">
        <f t="shared" si="72"/>
        <v>109.7</v>
      </c>
      <c r="H246" s="177">
        <f t="shared" si="61"/>
        <v>109.51</v>
      </c>
      <c r="I246" s="208">
        <f t="shared" si="62"/>
        <v>0.74180000000000001</v>
      </c>
      <c r="J246" s="177">
        <f t="shared" si="73"/>
        <v>2742.5</v>
      </c>
      <c r="K246" s="177">
        <f t="shared" si="74"/>
        <v>2737.71</v>
      </c>
      <c r="L246" s="177">
        <f t="shared" si="75"/>
        <v>13.750000000000002</v>
      </c>
      <c r="M246" s="177">
        <f t="shared" si="112"/>
        <v>1.6830000000000001</v>
      </c>
      <c r="N246" s="177">
        <f t="shared" si="70"/>
        <v>2.74</v>
      </c>
      <c r="O246" s="177">
        <f t="shared" si="64"/>
        <v>9.5987499999999989E-2</v>
      </c>
      <c r="P246" s="177">
        <f t="shared" si="65"/>
        <v>0.27424999999999999</v>
      </c>
      <c r="Q246" s="93">
        <f t="shared" si="66"/>
        <v>0</v>
      </c>
      <c r="R246" s="322">
        <f t="shared" si="134"/>
        <v>2737.71</v>
      </c>
      <c r="S246" s="179">
        <f t="shared" si="67"/>
        <v>0</v>
      </c>
      <c r="T246" s="176">
        <v>39163</v>
      </c>
      <c r="U246" s="323">
        <f t="shared" si="149"/>
        <v>130.2199999999998</v>
      </c>
      <c r="V246" s="324">
        <f t="shared" si="150"/>
        <v>9.1988550371783759</v>
      </c>
      <c r="W246" s="297">
        <f t="shared" si="151"/>
        <v>2</v>
      </c>
      <c r="X246" s="325" t="str">
        <f t="shared" si="128"/>
        <v/>
      </c>
      <c r="Y246" s="41" t="s">
        <v>405</v>
      </c>
      <c r="Z246" s="93"/>
    </row>
    <row r="247" spans="1:26" ht="12" customHeight="1">
      <c r="A247" s="322" t="s">
        <v>1036</v>
      </c>
      <c r="B247" s="321" t="str">
        <f t="shared" ref="B247:C247" si="153">B127</f>
        <v>ITC Ltd</v>
      </c>
      <c r="C247" s="93" t="str">
        <f t="shared" si="153"/>
        <v>SPG</v>
      </c>
      <c r="D247" s="93">
        <v>50</v>
      </c>
      <c r="E247" s="177">
        <f>E127*1.01364+E$337/D247</f>
        <v>142.49096399999999</v>
      </c>
      <c r="F247" s="177">
        <f t="shared" si="71"/>
        <v>0.71</v>
      </c>
      <c r="G247" s="177">
        <f t="shared" si="72"/>
        <v>141.78096399999998</v>
      </c>
      <c r="H247" s="177">
        <f t="shared" si="61"/>
        <v>141.53</v>
      </c>
      <c r="I247" s="208">
        <f t="shared" si="62"/>
        <v>0.95789999999999997</v>
      </c>
      <c r="J247" s="177">
        <f t="shared" si="73"/>
        <v>7089.05</v>
      </c>
      <c r="K247" s="177">
        <f t="shared" si="74"/>
        <v>7076.66</v>
      </c>
      <c r="L247" s="177">
        <f t="shared" si="75"/>
        <v>35.5</v>
      </c>
      <c r="M247" s="177">
        <f t="shared" si="112"/>
        <v>4.3452000000000002</v>
      </c>
      <c r="N247" s="177">
        <f t="shared" si="70"/>
        <v>7.09</v>
      </c>
      <c r="O247" s="177">
        <f t="shared" si="64"/>
        <v>0.24811675</v>
      </c>
      <c r="P247" s="177">
        <f t="shared" si="65"/>
        <v>0.70890500000000001</v>
      </c>
      <c r="Q247" s="93">
        <f t="shared" si="66"/>
        <v>0</v>
      </c>
      <c r="R247" s="322">
        <f t="shared" si="134"/>
        <v>7076.66</v>
      </c>
      <c r="S247" s="179">
        <f t="shared" si="67"/>
        <v>0</v>
      </c>
      <c r="T247" s="176"/>
      <c r="U247" s="323">
        <f>R247-(W$127*D247)-E$337</f>
        <v>-110.34000000000015</v>
      </c>
      <c r="V247" s="324">
        <f>(U247/(W$127*D247))/W247*365</f>
        <v>1.4357443624616608E-4</v>
      </c>
      <c r="W247" s="297">
        <f>T247-V127</f>
        <v>-39161</v>
      </c>
      <c r="X247" s="325" t="str">
        <f t="shared" si="128"/>
        <v>Not Sold</v>
      </c>
      <c r="Y247" s="41" t="s">
        <v>405</v>
      </c>
      <c r="Z247" s="93"/>
    </row>
    <row r="248" spans="1:26" ht="12" customHeight="1">
      <c r="A248" s="322"/>
      <c r="B248" s="321"/>
      <c r="C248" s="93"/>
      <c r="D248" s="93"/>
      <c r="E248" s="177"/>
      <c r="F248" s="177"/>
      <c r="G248" s="177"/>
      <c r="H248" s="177"/>
      <c r="I248" s="208"/>
      <c r="J248" s="177"/>
      <c r="K248" s="177"/>
      <c r="L248" s="177"/>
      <c r="M248" s="177"/>
      <c r="N248" s="177"/>
      <c r="O248" s="177"/>
      <c r="P248" s="177"/>
      <c r="Q248" s="93"/>
      <c r="R248" s="322"/>
      <c r="S248" s="179"/>
      <c r="T248" s="176"/>
      <c r="U248" s="323"/>
      <c r="V248" s="324"/>
      <c r="W248" s="297"/>
      <c r="X248" s="325"/>
      <c r="Y248" s="41"/>
      <c r="Z248" s="93"/>
    </row>
    <row r="249" spans="1:26" ht="12" customHeight="1">
      <c r="A249" s="322" t="s">
        <v>1036</v>
      </c>
      <c r="B249" s="321">
        <f t="shared" ref="B249:D249" si="154">B129</f>
        <v>0</v>
      </c>
      <c r="C249" s="93">
        <f t="shared" si="154"/>
        <v>0</v>
      </c>
      <c r="D249" s="93">
        <f t="shared" si="154"/>
        <v>20</v>
      </c>
      <c r="E249" s="177">
        <f>E129*1.01364+E$337/D249</f>
        <v>102.56400000000001</v>
      </c>
      <c r="F249" s="177">
        <f>IF(E249*D249*E$326&lt;10,ROUND(10/D249,2),ROUND(E249*E$326,2))</f>
        <v>0.51</v>
      </c>
      <c r="G249" s="177">
        <f>E249-F249</f>
        <v>102.054</v>
      </c>
      <c r="H249" s="177">
        <f>ROUND(E249-I249,2)</f>
        <v>101.88</v>
      </c>
      <c r="I249" s="208">
        <f>ROUNDUP(SUM(L249:Q249)/D249,4)</f>
        <v>0.68830000000000002</v>
      </c>
      <c r="J249" s="177">
        <f>ROUNDUP(D249*G249,2)</f>
        <v>2041.08</v>
      </c>
      <c r="K249" s="177">
        <f>ROUNDUP(J249-M249-N249-O249-P249-Q249,2)</f>
        <v>2037.52</v>
      </c>
      <c r="L249" s="177">
        <f>F249*D249</f>
        <v>10.199999999999999</v>
      </c>
      <c r="M249" s="177">
        <f>L249*F$328</f>
        <v>1.2484799999999998</v>
      </c>
      <c r="N249" s="177">
        <f>ROUND(J249*E$329,2)</f>
        <v>2.04</v>
      </c>
      <c r="O249" s="177">
        <f>J249*E$332</f>
        <v>7.1437799999999996E-2</v>
      </c>
      <c r="P249" s="177">
        <f>J249*E$334</f>
        <v>0.20410800000000001</v>
      </c>
      <c r="Q249" s="93">
        <f>E$336</f>
        <v>0</v>
      </c>
      <c r="R249" s="322">
        <f>K249</f>
        <v>2037.52</v>
      </c>
      <c r="S249" s="179">
        <f>IF(R249=K249,0,IF(R249&gt;0,K249-R249))</f>
        <v>0</v>
      </c>
      <c r="T249" s="176"/>
      <c r="U249" s="323">
        <f>(R249+R129)-E$337</f>
        <v>9.9999999999909051E-3</v>
      </c>
      <c r="V249" s="324" t="e">
        <f>-(U249/R129)/W249*365</f>
        <v>#DIV/0!</v>
      </c>
      <c r="W249" s="297">
        <f>T249-T129</f>
        <v>0</v>
      </c>
      <c r="X249" s="325" t="str">
        <f>IF(A249="Stock","Not Sold","")</f>
        <v>Not Sold</v>
      </c>
      <c r="Y249" s="41" t="s">
        <v>405</v>
      </c>
      <c r="Z249" s="93"/>
    </row>
    <row r="250" spans="1:26" ht="12" customHeight="1">
      <c r="A250" s="322"/>
      <c r="B250" s="321"/>
      <c r="C250" s="93"/>
      <c r="D250" s="93"/>
      <c r="E250" s="177"/>
      <c r="F250" s="177"/>
      <c r="G250" s="177"/>
      <c r="H250" s="177"/>
      <c r="I250" s="208"/>
      <c r="J250" s="177"/>
      <c r="K250" s="177"/>
      <c r="L250" s="177"/>
      <c r="M250" s="177"/>
      <c r="N250" s="177"/>
      <c r="O250" s="177"/>
      <c r="P250" s="177"/>
      <c r="Q250" s="93"/>
      <c r="R250" s="322"/>
      <c r="S250" s="179"/>
      <c r="T250" s="176"/>
      <c r="U250" s="323"/>
      <c r="V250" s="324"/>
      <c r="W250" s="297"/>
      <c r="X250" s="325"/>
      <c r="Y250" s="41"/>
      <c r="Z250" s="93"/>
    </row>
    <row r="251" spans="1:26" ht="12" customHeight="1">
      <c r="A251" s="93"/>
      <c r="B251" s="93"/>
      <c r="C251" s="326"/>
      <c r="D251" s="327" t="s">
        <v>950</v>
      </c>
      <c r="E251" s="327" t="s">
        <v>1037</v>
      </c>
      <c r="F251" s="327" t="s">
        <v>1038</v>
      </c>
      <c r="G251" s="327" t="s">
        <v>1039</v>
      </c>
      <c r="H251" s="327"/>
      <c r="I251" s="327"/>
      <c r="J251" s="327" t="s">
        <v>646</v>
      </c>
      <c r="K251" s="327" t="s">
        <v>1040</v>
      </c>
      <c r="L251" s="327" t="s">
        <v>953</v>
      </c>
      <c r="M251" s="327" t="s">
        <v>1041</v>
      </c>
      <c r="N251" s="327" t="s">
        <v>428</v>
      </c>
      <c r="O251" s="327" t="s">
        <v>955</v>
      </c>
      <c r="P251" s="327" t="s">
        <v>956</v>
      </c>
      <c r="Q251" s="327" t="s">
        <v>957</v>
      </c>
      <c r="R251" s="327" t="s">
        <v>958</v>
      </c>
      <c r="S251" s="327" t="s">
        <v>1042</v>
      </c>
      <c r="T251" s="327" t="s">
        <v>1043</v>
      </c>
      <c r="U251" s="327" t="s">
        <v>1044</v>
      </c>
      <c r="V251" s="327" t="s">
        <v>1045</v>
      </c>
      <c r="W251" s="328" t="s">
        <v>1046</v>
      </c>
      <c r="X251" s="327" t="s">
        <v>960</v>
      </c>
      <c r="Y251" s="327" t="s">
        <v>965</v>
      </c>
      <c r="Z251" s="93"/>
    </row>
    <row r="252" spans="1:26" ht="12" customHeight="1">
      <c r="A252" s="176">
        <v>38719</v>
      </c>
      <c r="B252" s="239" t="s">
        <v>984</v>
      </c>
      <c r="C252" s="93" t="s">
        <v>448</v>
      </c>
      <c r="D252" s="93">
        <v>50</v>
      </c>
      <c r="E252" s="177">
        <v>77.849999999999994</v>
      </c>
      <c r="F252" s="177">
        <v>77.900000000000006</v>
      </c>
      <c r="G252" s="178">
        <f t="shared" ref="G252:G321" si="155">IF(E252&lt;100,100*0.05%,ROUND(E252*E$327,2))</f>
        <v>0.05</v>
      </c>
      <c r="H252" s="178"/>
      <c r="I252" s="178"/>
      <c r="J252" s="178">
        <f t="shared" ref="J252:J321" si="156">IF(F252&lt;100,100*0.05%,ROUND(F252*E$327,2))</f>
        <v>0.05</v>
      </c>
      <c r="K252" s="178">
        <f t="shared" ref="K252:K321" si="157">F252-E252</f>
        <v>5.0000000000011369E-2</v>
      </c>
      <c r="L252" s="177">
        <f t="shared" ref="L252:L321" si="158">((E252+G252)*D252)+((F252-J252)*D252)</f>
        <v>7787.5</v>
      </c>
      <c r="M252" s="177">
        <f t="shared" ref="M252:M321" si="159">K252*D252</f>
        <v>2.5000000000005684</v>
      </c>
      <c r="N252" s="177">
        <f t="shared" ref="N252:N321" si="160">(D252*G252)+(D252*J252)</f>
        <v>5</v>
      </c>
      <c r="O252" s="177">
        <f t="shared" ref="O252:O271" si="161">N252*E$328</f>
        <v>0.51</v>
      </c>
      <c r="P252" s="177">
        <f t="shared" ref="P252:P305" si="162">ROUND(L252*E$330,2)</f>
        <v>1.56</v>
      </c>
      <c r="Q252" s="177">
        <f t="shared" ref="Q252:Q321" si="163">L252*E$333</f>
        <v>0.27256249999999999</v>
      </c>
      <c r="R252" s="178">
        <f t="shared" ref="R252:R321" si="164">L252*E$335</f>
        <v>0.15575</v>
      </c>
      <c r="S252" s="178">
        <f t="shared" ref="S252:S321" si="165">SUM(O252:R252)</f>
        <v>2.4983124999999999</v>
      </c>
      <c r="T252" s="176"/>
      <c r="U252" s="323">
        <f t="shared" ref="U252:U321" si="166">ROUND(M252-N252-S252,2)</f>
        <v>-5</v>
      </c>
      <c r="V252" s="323">
        <f t="shared" ref="V252:V321" si="167">K252*D252</f>
        <v>2.5000000000005684</v>
      </c>
      <c r="W252" s="323">
        <v>-5</v>
      </c>
      <c r="X252" s="179">
        <f t="shared" ref="X252:X321" si="168">U252-W252</f>
        <v>0</v>
      </c>
      <c r="Y252" s="93" t="s">
        <v>405</v>
      </c>
      <c r="Z252" s="93"/>
    </row>
    <row r="253" spans="1:26" ht="12" customHeight="1">
      <c r="A253" s="176">
        <v>38719</v>
      </c>
      <c r="B253" s="239" t="s">
        <v>1015</v>
      </c>
      <c r="C253" s="93" t="s">
        <v>448</v>
      </c>
      <c r="D253" s="93">
        <v>50</v>
      </c>
      <c r="E253" s="177">
        <v>97.85</v>
      </c>
      <c r="F253" s="177">
        <v>98.3</v>
      </c>
      <c r="G253" s="178">
        <f t="shared" si="155"/>
        <v>0.05</v>
      </c>
      <c r="H253" s="178"/>
      <c r="I253" s="178"/>
      <c r="J253" s="178">
        <f t="shared" si="156"/>
        <v>0.05</v>
      </c>
      <c r="K253" s="178">
        <f t="shared" si="157"/>
        <v>0.45000000000000284</v>
      </c>
      <c r="L253" s="177">
        <f t="shared" si="158"/>
        <v>9807.5</v>
      </c>
      <c r="M253" s="177">
        <f t="shared" si="159"/>
        <v>22.500000000000142</v>
      </c>
      <c r="N253" s="177">
        <f t="shared" si="160"/>
        <v>5</v>
      </c>
      <c r="O253" s="177">
        <f t="shared" si="161"/>
        <v>0.51</v>
      </c>
      <c r="P253" s="177">
        <f t="shared" si="162"/>
        <v>1.96</v>
      </c>
      <c r="Q253" s="177">
        <f t="shared" si="163"/>
        <v>0.34326249999999997</v>
      </c>
      <c r="R253" s="178">
        <f t="shared" si="164"/>
        <v>0.19615000000000002</v>
      </c>
      <c r="S253" s="178">
        <f t="shared" si="165"/>
        <v>3.0094124999999994</v>
      </c>
      <c r="T253" s="176"/>
      <c r="U253" s="323">
        <f t="shared" si="166"/>
        <v>14.49</v>
      </c>
      <c r="V253" s="323">
        <f t="shared" si="167"/>
        <v>22.500000000000142</v>
      </c>
      <c r="W253" s="323">
        <v>14.35</v>
      </c>
      <c r="X253" s="179">
        <f t="shared" si="168"/>
        <v>0.14000000000000057</v>
      </c>
      <c r="Y253" s="93" t="s">
        <v>405</v>
      </c>
      <c r="Z253" s="93"/>
    </row>
    <row r="254" spans="1:26" ht="12" customHeight="1">
      <c r="A254" s="176">
        <v>38719</v>
      </c>
      <c r="B254" s="239" t="s">
        <v>552</v>
      </c>
      <c r="C254" s="93" t="s">
        <v>448</v>
      </c>
      <c r="D254" s="93">
        <v>100</v>
      </c>
      <c r="E254" s="177">
        <v>31.15</v>
      </c>
      <c r="F254" s="177">
        <v>31.65</v>
      </c>
      <c r="G254" s="178">
        <f t="shared" si="155"/>
        <v>0.05</v>
      </c>
      <c r="H254" s="178"/>
      <c r="I254" s="178"/>
      <c r="J254" s="178">
        <f t="shared" si="156"/>
        <v>0.05</v>
      </c>
      <c r="K254" s="178">
        <f t="shared" si="157"/>
        <v>0.5</v>
      </c>
      <c r="L254" s="177">
        <f t="shared" si="158"/>
        <v>6280</v>
      </c>
      <c r="M254" s="177">
        <f t="shared" si="159"/>
        <v>50</v>
      </c>
      <c r="N254" s="177">
        <f t="shared" si="160"/>
        <v>10</v>
      </c>
      <c r="O254" s="177">
        <f t="shared" si="161"/>
        <v>1.02</v>
      </c>
      <c r="P254" s="177">
        <f t="shared" si="162"/>
        <v>1.26</v>
      </c>
      <c r="Q254" s="177">
        <f t="shared" si="163"/>
        <v>0.21979999999999997</v>
      </c>
      <c r="R254" s="178">
        <f t="shared" si="164"/>
        <v>0.12560000000000002</v>
      </c>
      <c r="S254" s="178">
        <f t="shared" si="165"/>
        <v>2.6254</v>
      </c>
      <c r="T254" s="176"/>
      <c r="U254" s="323">
        <f t="shared" si="166"/>
        <v>37.369999999999997</v>
      </c>
      <c r="V254" s="323">
        <f t="shared" si="167"/>
        <v>50</v>
      </c>
      <c r="W254" s="323">
        <v>36.5</v>
      </c>
      <c r="X254" s="179">
        <f t="shared" si="168"/>
        <v>0.86999999999999744</v>
      </c>
      <c r="Y254" s="93" t="s">
        <v>405</v>
      </c>
      <c r="Z254" s="93"/>
    </row>
    <row r="255" spans="1:26" ht="12" customHeight="1">
      <c r="A255" s="176">
        <v>38720</v>
      </c>
      <c r="B255" s="239" t="s">
        <v>1047</v>
      </c>
      <c r="C255" s="93" t="s">
        <v>448</v>
      </c>
      <c r="D255" s="93">
        <v>100</v>
      </c>
      <c r="E255" s="177">
        <v>86</v>
      </c>
      <c r="F255" s="177">
        <v>88</v>
      </c>
      <c r="G255" s="178">
        <f t="shared" si="155"/>
        <v>0.05</v>
      </c>
      <c r="H255" s="178"/>
      <c r="I255" s="178"/>
      <c r="J255" s="178">
        <f t="shared" si="156"/>
        <v>0.05</v>
      </c>
      <c r="K255" s="178">
        <f t="shared" si="157"/>
        <v>2</v>
      </c>
      <c r="L255" s="177">
        <f t="shared" si="158"/>
        <v>17400</v>
      </c>
      <c r="M255" s="177">
        <f t="shared" si="159"/>
        <v>200</v>
      </c>
      <c r="N255" s="177">
        <f t="shared" si="160"/>
        <v>10</v>
      </c>
      <c r="O255" s="177">
        <f t="shared" si="161"/>
        <v>1.02</v>
      </c>
      <c r="P255" s="177">
        <f t="shared" si="162"/>
        <v>3.48</v>
      </c>
      <c r="Q255" s="177">
        <f t="shared" si="163"/>
        <v>0.60899999999999999</v>
      </c>
      <c r="R255" s="178">
        <f t="shared" si="164"/>
        <v>0.34800000000000003</v>
      </c>
      <c r="S255" s="178">
        <f t="shared" si="165"/>
        <v>5.4569999999999999</v>
      </c>
      <c r="T255" s="176"/>
      <c r="U255" s="323">
        <f t="shared" si="166"/>
        <v>184.54</v>
      </c>
      <c r="V255" s="323">
        <f t="shared" si="167"/>
        <v>200</v>
      </c>
      <c r="W255" s="323"/>
      <c r="X255" s="179">
        <f t="shared" si="168"/>
        <v>184.54</v>
      </c>
      <c r="Y255" s="93" t="s">
        <v>405</v>
      </c>
      <c r="Z255" s="93"/>
    </row>
    <row r="256" spans="1:26" ht="12" customHeight="1">
      <c r="A256" s="176">
        <v>38720</v>
      </c>
      <c r="B256" s="239" t="s">
        <v>1010</v>
      </c>
      <c r="C256" s="93" t="s">
        <v>448</v>
      </c>
      <c r="D256" s="93">
        <v>100</v>
      </c>
      <c r="E256" s="177">
        <v>73.98</v>
      </c>
      <c r="F256" s="177">
        <v>76</v>
      </c>
      <c r="G256" s="178">
        <f t="shared" si="155"/>
        <v>0.05</v>
      </c>
      <c r="H256" s="178"/>
      <c r="I256" s="178"/>
      <c r="J256" s="178">
        <f t="shared" si="156"/>
        <v>0.05</v>
      </c>
      <c r="K256" s="178">
        <f t="shared" si="157"/>
        <v>2.019999999999996</v>
      </c>
      <c r="L256" s="177">
        <f t="shared" si="158"/>
        <v>14998</v>
      </c>
      <c r="M256" s="177">
        <f t="shared" si="159"/>
        <v>201.9999999999996</v>
      </c>
      <c r="N256" s="177">
        <f t="shared" si="160"/>
        <v>10</v>
      </c>
      <c r="O256" s="177">
        <f t="shared" si="161"/>
        <v>1.02</v>
      </c>
      <c r="P256" s="177">
        <f t="shared" si="162"/>
        <v>3</v>
      </c>
      <c r="Q256" s="177">
        <f t="shared" si="163"/>
        <v>0.52493000000000001</v>
      </c>
      <c r="R256" s="178">
        <f t="shared" si="164"/>
        <v>0.29996</v>
      </c>
      <c r="S256" s="178">
        <f t="shared" si="165"/>
        <v>4.8448899999999995</v>
      </c>
      <c r="T256" s="176"/>
      <c r="U256" s="323">
        <f t="shared" si="166"/>
        <v>187.16</v>
      </c>
      <c r="V256" s="323">
        <f t="shared" si="167"/>
        <v>201.9999999999996</v>
      </c>
      <c r="W256" s="323"/>
      <c r="X256" s="179">
        <f t="shared" si="168"/>
        <v>187.16</v>
      </c>
      <c r="Y256" s="93" t="s">
        <v>405</v>
      </c>
      <c r="Z256" s="93"/>
    </row>
    <row r="257" spans="1:26" ht="12" customHeight="1">
      <c r="A257" s="176">
        <v>38720</v>
      </c>
      <c r="B257" s="239" t="s">
        <v>984</v>
      </c>
      <c r="C257" s="93" t="s">
        <v>448</v>
      </c>
      <c r="D257" s="93">
        <v>100</v>
      </c>
      <c r="E257" s="177">
        <v>78</v>
      </c>
      <c r="F257" s="177">
        <v>79.5</v>
      </c>
      <c r="G257" s="178">
        <f t="shared" si="155"/>
        <v>0.05</v>
      </c>
      <c r="H257" s="178"/>
      <c r="I257" s="178"/>
      <c r="J257" s="178">
        <f t="shared" si="156"/>
        <v>0.05</v>
      </c>
      <c r="K257" s="178">
        <f t="shared" si="157"/>
        <v>1.5</v>
      </c>
      <c r="L257" s="177">
        <f t="shared" si="158"/>
        <v>15750</v>
      </c>
      <c r="M257" s="177">
        <f t="shared" si="159"/>
        <v>150</v>
      </c>
      <c r="N257" s="177">
        <f t="shared" si="160"/>
        <v>10</v>
      </c>
      <c r="O257" s="177">
        <f t="shared" si="161"/>
        <v>1.02</v>
      </c>
      <c r="P257" s="177">
        <f t="shared" si="162"/>
        <v>3.15</v>
      </c>
      <c r="Q257" s="177">
        <f t="shared" si="163"/>
        <v>0.55124999999999991</v>
      </c>
      <c r="R257" s="178">
        <f t="shared" si="164"/>
        <v>0.315</v>
      </c>
      <c r="S257" s="178">
        <f t="shared" si="165"/>
        <v>5.0362499999999999</v>
      </c>
      <c r="T257" s="176"/>
      <c r="U257" s="323">
        <f t="shared" si="166"/>
        <v>134.96</v>
      </c>
      <c r="V257" s="323">
        <f t="shared" si="167"/>
        <v>150</v>
      </c>
      <c r="W257" s="323"/>
      <c r="X257" s="179">
        <f t="shared" si="168"/>
        <v>134.96</v>
      </c>
      <c r="Y257" s="93" t="s">
        <v>405</v>
      </c>
      <c r="Z257" s="93"/>
    </row>
    <row r="258" spans="1:26" ht="12" customHeight="1">
      <c r="A258" s="176">
        <v>38720</v>
      </c>
      <c r="B258" s="239" t="s">
        <v>1015</v>
      </c>
      <c r="C258" s="93" t="s">
        <v>448</v>
      </c>
      <c r="D258" s="93">
        <v>50</v>
      </c>
      <c r="E258" s="177">
        <v>100.55</v>
      </c>
      <c r="F258" s="177">
        <v>101</v>
      </c>
      <c r="G258" s="178">
        <f t="shared" si="155"/>
        <v>0.05</v>
      </c>
      <c r="H258" s="178"/>
      <c r="I258" s="178"/>
      <c r="J258" s="178">
        <f t="shared" si="156"/>
        <v>0.05</v>
      </c>
      <c r="K258" s="178">
        <f t="shared" si="157"/>
        <v>0.45000000000000284</v>
      </c>
      <c r="L258" s="177">
        <f t="shared" si="158"/>
        <v>10077.5</v>
      </c>
      <c r="M258" s="177">
        <f t="shared" si="159"/>
        <v>22.500000000000142</v>
      </c>
      <c r="N258" s="177">
        <f t="shared" si="160"/>
        <v>5</v>
      </c>
      <c r="O258" s="177">
        <f t="shared" si="161"/>
        <v>0.51</v>
      </c>
      <c r="P258" s="177">
        <f t="shared" si="162"/>
        <v>2.02</v>
      </c>
      <c r="Q258" s="177">
        <f t="shared" si="163"/>
        <v>0.35271249999999998</v>
      </c>
      <c r="R258" s="178">
        <f t="shared" si="164"/>
        <v>0.20155000000000001</v>
      </c>
      <c r="S258" s="178">
        <f t="shared" si="165"/>
        <v>3.0842625000000004</v>
      </c>
      <c r="T258" s="176"/>
      <c r="U258" s="323">
        <f t="shared" si="166"/>
        <v>14.42</v>
      </c>
      <c r="V258" s="323">
        <f t="shared" si="167"/>
        <v>22.500000000000142</v>
      </c>
      <c r="W258" s="323"/>
      <c r="X258" s="179">
        <f t="shared" si="168"/>
        <v>14.42</v>
      </c>
      <c r="Y258" s="93" t="s">
        <v>405</v>
      </c>
      <c r="Z258" s="93"/>
    </row>
    <row r="259" spans="1:26" ht="12" customHeight="1">
      <c r="A259" s="176">
        <v>38720</v>
      </c>
      <c r="B259" s="239" t="s">
        <v>1011</v>
      </c>
      <c r="C259" s="93" t="s">
        <v>448</v>
      </c>
      <c r="D259" s="93">
        <v>100</v>
      </c>
      <c r="E259" s="177">
        <v>60.5</v>
      </c>
      <c r="F259" s="177">
        <v>60.9</v>
      </c>
      <c r="G259" s="178">
        <f t="shared" si="155"/>
        <v>0.05</v>
      </c>
      <c r="H259" s="178"/>
      <c r="I259" s="178"/>
      <c r="J259" s="178">
        <f t="shared" si="156"/>
        <v>0.05</v>
      </c>
      <c r="K259" s="178">
        <f t="shared" si="157"/>
        <v>0.39999999999999858</v>
      </c>
      <c r="L259" s="177">
        <f t="shared" si="158"/>
        <v>12140</v>
      </c>
      <c r="M259" s="177">
        <f t="shared" si="159"/>
        <v>39.999999999999858</v>
      </c>
      <c r="N259" s="177">
        <f t="shared" si="160"/>
        <v>10</v>
      </c>
      <c r="O259" s="177">
        <f t="shared" si="161"/>
        <v>1.02</v>
      </c>
      <c r="P259" s="177">
        <f t="shared" si="162"/>
        <v>2.4300000000000002</v>
      </c>
      <c r="Q259" s="177">
        <f t="shared" si="163"/>
        <v>0.42489999999999994</v>
      </c>
      <c r="R259" s="178">
        <f t="shared" si="164"/>
        <v>0.24280000000000002</v>
      </c>
      <c r="S259" s="178">
        <f t="shared" si="165"/>
        <v>4.1177000000000001</v>
      </c>
      <c r="T259" s="176"/>
      <c r="U259" s="323">
        <f t="shared" si="166"/>
        <v>25.88</v>
      </c>
      <c r="V259" s="323">
        <f t="shared" si="167"/>
        <v>39.999999999999858</v>
      </c>
      <c r="W259" s="323"/>
      <c r="X259" s="179">
        <f t="shared" si="168"/>
        <v>25.88</v>
      </c>
      <c r="Y259" s="93" t="s">
        <v>405</v>
      </c>
      <c r="Z259" s="93"/>
    </row>
    <row r="260" spans="1:26" ht="12" customHeight="1">
      <c r="A260" s="176">
        <v>38720</v>
      </c>
      <c r="B260" s="239" t="s">
        <v>1012</v>
      </c>
      <c r="C260" s="93" t="s">
        <v>448</v>
      </c>
      <c r="D260" s="93">
        <v>100</v>
      </c>
      <c r="E260" s="177">
        <v>80.75</v>
      </c>
      <c r="F260" s="177">
        <v>79.75</v>
      </c>
      <c r="G260" s="178">
        <f t="shared" si="155"/>
        <v>0.05</v>
      </c>
      <c r="H260" s="178"/>
      <c r="I260" s="178"/>
      <c r="J260" s="178">
        <f t="shared" si="156"/>
        <v>0.05</v>
      </c>
      <c r="K260" s="178">
        <f t="shared" si="157"/>
        <v>-1</v>
      </c>
      <c r="L260" s="177">
        <f t="shared" si="158"/>
        <v>16050</v>
      </c>
      <c r="M260" s="177">
        <f t="shared" si="159"/>
        <v>-100</v>
      </c>
      <c r="N260" s="177">
        <f t="shared" si="160"/>
        <v>10</v>
      </c>
      <c r="O260" s="177">
        <f t="shared" si="161"/>
        <v>1.02</v>
      </c>
      <c r="P260" s="177">
        <f t="shared" si="162"/>
        <v>3.21</v>
      </c>
      <c r="Q260" s="177">
        <f t="shared" si="163"/>
        <v>0.56174999999999997</v>
      </c>
      <c r="R260" s="178">
        <f t="shared" si="164"/>
        <v>0.32100000000000001</v>
      </c>
      <c r="S260" s="178">
        <f t="shared" si="165"/>
        <v>5.1127500000000001</v>
      </c>
      <c r="T260" s="176"/>
      <c r="U260" s="323">
        <f t="shared" si="166"/>
        <v>-115.11</v>
      </c>
      <c r="V260" s="323">
        <f t="shared" si="167"/>
        <v>-100</v>
      </c>
      <c r="W260" s="323"/>
      <c r="X260" s="179">
        <f t="shared" si="168"/>
        <v>-115.11</v>
      </c>
      <c r="Y260" s="93" t="s">
        <v>405</v>
      </c>
      <c r="Z260" s="93"/>
    </row>
    <row r="261" spans="1:26" ht="12" customHeight="1">
      <c r="A261" s="176">
        <v>38720</v>
      </c>
      <c r="B261" s="239" t="s">
        <v>994</v>
      </c>
      <c r="C261" s="93" t="s">
        <v>448</v>
      </c>
      <c r="D261" s="93">
        <v>50</v>
      </c>
      <c r="E261" s="177">
        <v>87.6</v>
      </c>
      <c r="F261" s="177">
        <v>89</v>
      </c>
      <c r="G261" s="178">
        <f t="shared" si="155"/>
        <v>0.05</v>
      </c>
      <c r="H261" s="178"/>
      <c r="I261" s="178"/>
      <c r="J261" s="178">
        <f t="shared" si="156"/>
        <v>0.05</v>
      </c>
      <c r="K261" s="178">
        <f t="shared" si="157"/>
        <v>1.4000000000000057</v>
      </c>
      <c r="L261" s="177">
        <f t="shared" si="158"/>
        <v>8830</v>
      </c>
      <c r="M261" s="177">
        <f t="shared" si="159"/>
        <v>70.000000000000284</v>
      </c>
      <c r="N261" s="177">
        <f t="shared" si="160"/>
        <v>5</v>
      </c>
      <c r="O261" s="177">
        <f t="shared" si="161"/>
        <v>0.51</v>
      </c>
      <c r="P261" s="177">
        <f t="shared" si="162"/>
        <v>1.77</v>
      </c>
      <c r="Q261" s="177">
        <f t="shared" si="163"/>
        <v>0.30904999999999999</v>
      </c>
      <c r="R261" s="178">
        <f t="shared" si="164"/>
        <v>0.17660000000000001</v>
      </c>
      <c r="S261" s="178">
        <f t="shared" si="165"/>
        <v>2.7656500000000004</v>
      </c>
      <c r="T261" s="176"/>
      <c r="U261" s="323">
        <f t="shared" si="166"/>
        <v>62.23</v>
      </c>
      <c r="V261" s="323">
        <f t="shared" si="167"/>
        <v>70.000000000000284</v>
      </c>
      <c r="W261" s="323"/>
      <c r="X261" s="179">
        <f t="shared" si="168"/>
        <v>62.23</v>
      </c>
      <c r="Y261" s="93" t="s">
        <v>405</v>
      </c>
      <c r="Z261" s="93"/>
    </row>
    <row r="262" spans="1:26" ht="12" customHeight="1">
      <c r="A262" s="176">
        <v>38720</v>
      </c>
      <c r="B262" s="239" t="s">
        <v>987</v>
      </c>
      <c r="C262" s="93" t="s">
        <v>448</v>
      </c>
      <c r="D262" s="93">
        <v>100</v>
      </c>
      <c r="E262" s="177">
        <v>50.25</v>
      </c>
      <c r="F262" s="177">
        <v>50.5</v>
      </c>
      <c r="G262" s="178">
        <f t="shared" si="155"/>
        <v>0.05</v>
      </c>
      <c r="H262" s="178"/>
      <c r="I262" s="178"/>
      <c r="J262" s="178">
        <f t="shared" si="156"/>
        <v>0.05</v>
      </c>
      <c r="K262" s="178">
        <f t="shared" si="157"/>
        <v>0.25</v>
      </c>
      <c r="L262" s="177">
        <f t="shared" si="158"/>
        <v>10075</v>
      </c>
      <c r="M262" s="177">
        <f t="shared" si="159"/>
        <v>25</v>
      </c>
      <c r="N262" s="177">
        <f t="shared" si="160"/>
        <v>10</v>
      </c>
      <c r="O262" s="177">
        <f t="shared" si="161"/>
        <v>1.02</v>
      </c>
      <c r="P262" s="177">
        <f t="shared" si="162"/>
        <v>2.02</v>
      </c>
      <c r="Q262" s="177">
        <f t="shared" si="163"/>
        <v>0.35262499999999997</v>
      </c>
      <c r="R262" s="178">
        <f t="shared" si="164"/>
        <v>0.20150000000000001</v>
      </c>
      <c r="S262" s="178">
        <f t="shared" si="165"/>
        <v>3.594125</v>
      </c>
      <c r="T262" s="176"/>
      <c r="U262" s="323">
        <f t="shared" si="166"/>
        <v>11.41</v>
      </c>
      <c r="V262" s="323">
        <f t="shared" si="167"/>
        <v>25</v>
      </c>
      <c r="W262" s="323"/>
      <c r="X262" s="179">
        <f t="shared" si="168"/>
        <v>11.41</v>
      </c>
      <c r="Y262" s="93" t="s">
        <v>405</v>
      </c>
      <c r="Z262" s="93"/>
    </row>
    <row r="263" spans="1:26" ht="12" customHeight="1">
      <c r="A263" s="176">
        <v>38720</v>
      </c>
      <c r="B263" s="239" t="s">
        <v>1023</v>
      </c>
      <c r="C263" s="93" t="s">
        <v>448</v>
      </c>
      <c r="D263" s="93">
        <v>100</v>
      </c>
      <c r="E263" s="177">
        <v>45.05</v>
      </c>
      <c r="F263" s="177">
        <v>44.4</v>
      </c>
      <c r="G263" s="178">
        <f t="shared" si="155"/>
        <v>0.05</v>
      </c>
      <c r="H263" s="178"/>
      <c r="I263" s="178"/>
      <c r="J263" s="178">
        <f t="shared" si="156"/>
        <v>0.05</v>
      </c>
      <c r="K263" s="178">
        <f t="shared" si="157"/>
        <v>-0.64999999999999858</v>
      </c>
      <c r="L263" s="177">
        <f t="shared" si="158"/>
        <v>8945</v>
      </c>
      <c r="M263" s="177">
        <f t="shared" si="159"/>
        <v>-64.999999999999858</v>
      </c>
      <c r="N263" s="177">
        <f t="shared" si="160"/>
        <v>10</v>
      </c>
      <c r="O263" s="177">
        <f t="shared" si="161"/>
        <v>1.02</v>
      </c>
      <c r="P263" s="177">
        <f t="shared" si="162"/>
        <v>1.79</v>
      </c>
      <c r="Q263" s="177">
        <f t="shared" si="163"/>
        <v>0.31307499999999999</v>
      </c>
      <c r="R263" s="178">
        <f t="shared" si="164"/>
        <v>0.1789</v>
      </c>
      <c r="S263" s="178">
        <f t="shared" si="165"/>
        <v>3.3019750000000001</v>
      </c>
      <c r="T263" s="176"/>
      <c r="U263" s="323">
        <f t="shared" si="166"/>
        <v>-78.3</v>
      </c>
      <c r="V263" s="323">
        <f t="shared" si="167"/>
        <v>-64.999999999999858</v>
      </c>
      <c r="W263" s="323"/>
      <c r="X263" s="179">
        <f t="shared" si="168"/>
        <v>-78.3</v>
      </c>
      <c r="Y263" s="93" t="s">
        <v>405</v>
      </c>
      <c r="Z263" s="93"/>
    </row>
    <row r="264" spans="1:26" ht="12" customHeight="1">
      <c r="A264" s="176">
        <v>38721</v>
      </c>
      <c r="B264" s="239" t="s">
        <v>984</v>
      </c>
      <c r="C264" s="93" t="s">
        <v>448</v>
      </c>
      <c r="D264" s="93">
        <v>100</v>
      </c>
      <c r="E264" s="177">
        <v>81.5</v>
      </c>
      <c r="F264" s="177">
        <v>82</v>
      </c>
      <c r="G264" s="178">
        <f t="shared" si="155"/>
        <v>0.05</v>
      </c>
      <c r="H264" s="178"/>
      <c r="I264" s="178"/>
      <c r="J264" s="178">
        <f t="shared" si="156"/>
        <v>0.05</v>
      </c>
      <c r="K264" s="178">
        <f t="shared" si="157"/>
        <v>0.5</v>
      </c>
      <c r="L264" s="177">
        <f t="shared" si="158"/>
        <v>16350</v>
      </c>
      <c r="M264" s="177">
        <f t="shared" si="159"/>
        <v>50</v>
      </c>
      <c r="N264" s="177">
        <f t="shared" si="160"/>
        <v>10</v>
      </c>
      <c r="O264" s="177">
        <f t="shared" si="161"/>
        <v>1.02</v>
      </c>
      <c r="P264" s="177">
        <f t="shared" si="162"/>
        <v>3.27</v>
      </c>
      <c r="Q264" s="177">
        <f t="shared" si="163"/>
        <v>0.57224999999999993</v>
      </c>
      <c r="R264" s="178">
        <f t="shared" si="164"/>
        <v>0.32700000000000001</v>
      </c>
      <c r="S264" s="178">
        <f t="shared" si="165"/>
        <v>5.1892499999999995</v>
      </c>
      <c r="T264" s="176"/>
      <c r="U264" s="323">
        <f t="shared" si="166"/>
        <v>34.81</v>
      </c>
      <c r="V264" s="323">
        <f t="shared" si="167"/>
        <v>50</v>
      </c>
      <c r="W264" s="323">
        <v>36</v>
      </c>
      <c r="X264" s="179">
        <f t="shared" si="168"/>
        <v>-1.1899999999999977</v>
      </c>
      <c r="Y264" s="93" t="s">
        <v>405</v>
      </c>
      <c r="Z264" s="93"/>
    </row>
    <row r="265" spans="1:26" ht="12" customHeight="1">
      <c r="A265" s="176">
        <v>38721</v>
      </c>
      <c r="B265" s="239" t="s">
        <v>1015</v>
      </c>
      <c r="C265" s="93" t="s">
        <v>448</v>
      </c>
      <c r="D265" s="93">
        <v>100</v>
      </c>
      <c r="E265" s="177">
        <v>101.5</v>
      </c>
      <c r="F265" s="177">
        <v>102.5</v>
      </c>
      <c r="G265" s="178">
        <f t="shared" si="155"/>
        <v>0.05</v>
      </c>
      <c r="H265" s="178"/>
      <c r="I265" s="178"/>
      <c r="J265" s="178">
        <f t="shared" si="156"/>
        <v>0.05</v>
      </c>
      <c r="K265" s="178">
        <f t="shared" si="157"/>
        <v>1</v>
      </c>
      <c r="L265" s="177">
        <f t="shared" si="158"/>
        <v>20400</v>
      </c>
      <c r="M265" s="177">
        <f t="shared" si="159"/>
        <v>100</v>
      </c>
      <c r="N265" s="177">
        <f t="shared" si="160"/>
        <v>10</v>
      </c>
      <c r="O265" s="177">
        <f t="shared" si="161"/>
        <v>1.02</v>
      </c>
      <c r="P265" s="177">
        <f t="shared" si="162"/>
        <v>4.08</v>
      </c>
      <c r="Q265" s="177">
        <f t="shared" si="163"/>
        <v>0.71399999999999997</v>
      </c>
      <c r="R265" s="178">
        <f t="shared" si="164"/>
        <v>0.40800000000000003</v>
      </c>
      <c r="S265" s="178">
        <f t="shared" si="165"/>
        <v>6.2220000000000004</v>
      </c>
      <c r="T265" s="176"/>
      <c r="U265" s="323">
        <f t="shared" si="166"/>
        <v>83.78</v>
      </c>
      <c r="V265" s="323">
        <f t="shared" si="167"/>
        <v>100</v>
      </c>
      <c r="W265" s="323">
        <v>85</v>
      </c>
      <c r="X265" s="179">
        <f t="shared" si="168"/>
        <v>-1.2199999999999989</v>
      </c>
      <c r="Y265" s="93" t="s">
        <v>405</v>
      </c>
      <c r="Z265" s="93"/>
    </row>
    <row r="266" spans="1:26" ht="12" customHeight="1">
      <c r="A266" s="176">
        <v>38721</v>
      </c>
      <c r="B266" s="239" t="s">
        <v>971</v>
      </c>
      <c r="C266" s="93" t="s">
        <v>448</v>
      </c>
      <c r="D266" s="93">
        <v>100</v>
      </c>
      <c r="E266" s="177">
        <v>73.75</v>
      </c>
      <c r="F266" s="177">
        <v>73.5</v>
      </c>
      <c r="G266" s="178">
        <f t="shared" si="155"/>
        <v>0.05</v>
      </c>
      <c r="H266" s="178"/>
      <c r="I266" s="178"/>
      <c r="J266" s="178">
        <f t="shared" si="156"/>
        <v>0.05</v>
      </c>
      <c r="K266" s="178">
        <f t="shared" si="157"/>
        <v>-0.25</v>
      </c>
      <c r="L266" s="177">
        <f t="shared" si="158"/>
        <v>14725</v>
      </c>
      <c r="M266" s="177">
        <f t="shared" si="159"/>
        <v>-25</v>
      </c>
      <c r="N266" s="177">
        <f t="shared" si="160"/>
        <v>10</v>
      </c>
      <c r="O266" s="177">
        <f t="shared" si="161"/>
        <v>1.02</v>
      </c>
      <c r="P266" s="177">
        <f t="shared" si="162"/>
        <v>2.95</v>
      </c>
      <c r="Q266" s="177">
        <f t="shared" si="163"/>
        <v>0.51537499999999992</v>
      </c>
      <c r="R266" s="178">
        <f t="shared" si="164"/>
        <v>0.29450000000000004</v>
      </c>
      <c r="S266" s="178">
        <f t="shared" si="165"/>
        <v>4.7798750000000005</v>
      </c>
      <c r="T266" s="176"/>
      <c r="U266" s="323">
        <f t="shared" si="166"/>
        <v>-39.78</v>
      </c>
      <c r="V266" s="323">
        <f t="shared" si="167"/>
        <v>-25</v>
      </c>
      <c r="W266" s="323">
        <v>-38</v>
      </c>
      <c r="X266" s="179">
        <f t="shared" si="168"/>
        <v>-1.7800000000000011</v>
      </c>
      <c r="Y266" s="93" t="s">
        <v>405</v>
      </c>
      <c r="Z266" s="93"/>
    </row>
    <row r="267" spans="1:26" ht="12" customHeight="1">
      <c r="A267" s="176">
        <v>38721</v>
      </c>
      <c r="B267" s="239" t="s">
        <v>1048</v>
      </c>
      <c r="C267" s="93" t="s">
        <v>448</v>
      </c>
      <c r="D267" s="93">
        <v>50</v>
      </c>
      <c r="E267" s="177">
        <v>179</v>
      </c>
      <c r="F267" s="177">
        <v>179.7</v>
      </c>
      <c r="G267" s="178">
        <f t="shared" si="155"/>
        <v>0.09</v>
      </c>
      <c r="H267" s="178"/>
      <c r="I267" s="178"/>
      <c r="J267" s="178">
        <f t="shared" si="156"/>
        <v>0.09</v>
      </c>
      <c r="K267" s="178">
        <f t="shared" si="157"/>
        <v>0.69999999999998863</v>
      </c>
      <c r="L267" s="177">
        <f t="shared" si="158"/>
        <v>17935</v>
      </c>
      <c r="M267" s="177">
        <f t="shared" si="159"/>
        <v>34.999999999999432</v>
      </c>
      <c r="N267" s="177">
        <f t="shared" si="160"/>
        <v>9</v>
      </c>
      <c r="O267" s="177">
        <f t="shared" si="161"/>
        <v>0.91799999999999993</v>
      </c>
      <c r="P267" s="177">
        <f t="shared" si="162"/>
        <v>3.59</v>
      </c>
      <c r="Q267" s="177">
        <f t="shared" si="163"/>
        <v>0.62772499999999998</v>
      </c>
      <c r="R267" s="178">
        <f t="shared" si="164"/>
        <v>0.35870000000000002</v>
      </c>
      <c r="S267" s="178">
        <f t="shared" si="165"/>
        <v>5.4944249999999997</v>
      </c>
      <c r="T267" s="176"/>
      <c r="U267" s="323">
        <f t="shared" si="166"/>
        <v>20.51</v>
      </c>
      <c r="V267" s="323">
        <f t="shared" si="167"/>
        <v>34.999999999999432</v>
      </c>
      <c r="W267" s="323">
        <v>22</v>
      </c>
      <c r="X267" s="179">
        <f t="shared" si="168"/>
        <v>-1.4899999999999984</v>
      </c>
      <c r="Y267" s="93" t="s">
        <v>405</v>
      </c>
      <c r="Z267" s="93"/>
    </row>
    <row r="268" spans="1:26" ht="12" customHeight="1">
      <c r="A268" s="176">
        <v>38722</v>
      </c>
      <c r="B268" s="239" t="s">
        <v>985</v>
      </c>
      <c r="C268" s="93" t="s">
        <v>448</v>
      </c>
      <c r="D268" s="93">
        <v>50</v>
      </c>
      <c r="E268" s="177">
        <v>104.1</v>
      </c>
      <c r="F268" s="177">
        <v>104.3</v>
      </c>
      <c r="G268" s="178">
        <f t="shared" si="155"/>
        <v>0.05</v>
      </c>
      <c r="H268" s="178"/>
      <c r="I268" s="178"/>
      <c r="J268" s="178">
        <f t="shared" si="156"/>
        <v>0.05</v>
      </c>
      <c r="K268" s="178">
        <f t="shared" si="157"/>
        <v>0.20000000000000284</v>
      </c>
      <c r="L268" s="177">
        <f t="shared" si="158"/>
        <v>10420</v>
      </c>
      <c r="M268" s="177">
        <f t="shared" si="159"/>
        <v>10.000000000000142</v>
      </c>
      <c r="N268" s="177">
        <f t="shared" si="160"/>
        <v>5</v>
      </c>
      <c r="O268" s="177">
        <f t="shared" si="161"/>
        <v>0.51</v>
      </c>
      <c r="P268" s="177">
        <f t="shared" si="162"/>
        <v>2.08</v>
      </c>
      <c r="Q268" s="177">
        <f t="shared" si="163"/>
        <v>0.36469999999999997</v>
      </c>
      <c r="R268" s="178">
        <f t="shared" si="164"/>
        <v>0.20840000000000003</v>
      </c>
      <c r="S268" s="178">
        <f t="shared" si="165"/>
        <v>3.1631</v>
      </c>
      <c r="T268" s="176"/>
      <c r="U268" s="323">
        <f t="shared" si="166"/>
        <v>1.84</v>
      </c>
      <c r="V268" s="323">
        <f t="shared" si="167"/>
        <v>10.000000000000142</v>
      </c>
      <c r="W268" s="323">
        <v>3</v>
      </c>
      <c r="X268" s="179">
        <f t="shared" si="168"/>
        <v>-1.1599999999999999</v>
      </c>
      <c r="Y268" s="93" t="s">
        <v>405</v>
      </c>
      <c r="Z268" s="93"/>
    </row>
    <row r="269" spans="1:26" ht="12" customHeight="1">
      <c r="A269" s="176">
        <v>38722</v>
      </c>
      <c r="B269" s="239" t="s">
        <v>502</v>
      </c>
      <c r="C269" s="93" t="s">
        <v>448</v>
      </c>
      <c r="D269" s="93">
        <v>50</v>
      </c>
      <c r="E269" s="177">
        <v>144.9</v>
      </c>
      <c r="F269" s="177">
        <v>141.85</v>
      </c>
      <c r="G269" s="178">
        <f t="shared" si="155"/>
        <v>7.0000000000000007E-2</v>
      </c>
      <c r="H269" s="178"/>
      <c r="I269" s="178"/>
      <c r="J269" s="178">
        <f t="shared" si="156"/>
        <v>7.0000000000000007E-2</v>
      </c>
      <c r="K269" s="178">
        <f t="shared" si="157"/>
        <v>-3.0500000000000114</v>
      </c>
      <c r="L269" s="177">
        <f t="shared" si="158"/>
        <v>14337.5</v>
      </c>
      <c r="M269" s="177">
        <f t="shared" si="159"/>
        <v>-152.50000000000057</v>
      </c>
      <c r="N269" s="177">
        <f t="shared" si="160"/>
        <v>7.0000000000000009</v>
      </c>
      <c r="O269" s="177">
        <f t="shared" si="161"/>
        <v>0.71400000000000008</v>
      </c>
      <c r="P269" s="177">
        <f t="shared" si="162"/>
        <v>2.87</v>
      </c>
      <c r="Q269" s="177">
        <f t="shared" si="163"/>
        <v>0.50181249999999999</v>
      </c>
      <c r="R269" s="178">
        <f t="shared" si="164"/>
        <v>0.28675</v>
      </c>
      <c r="S269" s="178">
        <f t="shared" si="165"/>
        <v>4.3725624999999999</v>
      </c>
      <c r="T269" s="176"/>
      <c r="U269" s="323">
        <f t="shared" si="166"/>
        <v>-163.87</v>
      </c>
      <c r="V269" s="323">
        <f t="shared" si="167"/>
        <v>-152.50000000000057</v>
      </c>
      <c r="W269" s="323">
        <v>-162</v>
      </c>
      <c r="X269" s="179">
        <f t="shared" si="168"/>
        <v>-1.8700000000000045</v>
      </c>
      <c r="Y269" s="93" t="s">
        <v>405</v>
      </c>
      <c r="Z269" s="93"/>
    </row>
    <row r="270" spans="1:26" ht="12" customHeight="1">
      <c r="A270" s="176">
        <v>38722</v>
      </c>
      <c r="B270" s="239" t="s">
        <v>552</v>
      </c>
      <c r="C270" s="93" t="s">
        <v>448</v>
      </c>
      <c r="D270" s="93">
        <v>200</v>
      </c>
      <c r="E270" s="177">
        <v>31.9</v>
      </c>
      <c r="F270" s="177">
        <v>31.55</v>
      </c>
      <c r="G270" s="178">
        <f t="shared" si="155"/>
        <v>0.05</v>
      </c>
      <c r="H270" s="178"/>
      <c r="I270" s="178"/>
      <c r="J270" s="178">
        <f t="shared" si="156"/>
        <v>0.05</v>
      </c>
      <c r="K270" s="178">
        <f t="shared" si="157"/>
        <v>-0.34999999999999787</v>
      </c>
      <c r="L270" s="177">
        <f t="shared" si="158"/>
        <v>12690</v>
      </c>
      <c r="M270" s="177">
        <f t="shared" si="159"/>
        <v>-69.999999999999574</v>
      </c>
      <c r="N270" s="177">
        <f t="shared" si="160"/>
        <v>20</v>
      </c>
      <c r="O270" s="177">
        <f t="shared" si="161"/>
        <v>2.04</v>
      </c>
      <c r="P270" s="177">
        <f t="shared" si="162"/>
        <v>2.54</v>
      </c>
      <c r="Q270" s="177">
        <f t="shared" si="163"/>
        <v>0.44414999999999993</v>
      </c>
      <c r="R270" s="178">
        <f t="shared" si="164"/>
        <v>0.25380000000000003</v>
      </c>
      <c r="S270" s="178">
        <f t="shared" si="165"/>
        <v>5.2779499999999997</v>
      </c>
      <c r="T270" s="176"/>
      <c r="U270" s="323">
        <f t="shared" si="166"/>
        <v>-95.28</v>
      </c>
      <c r="V270" s="323">
        <f t="shared" si="167"/>
        <v>-69.999999999999574</v>
      </c>
      <c r="W270" s="323">
        <v>-94</v>
      </c>
      <c r="X270" s="179">
        <f t="shared" si="168"/>
        <v>-1.2800000000000011</v>
      </c>
      <c r="Y270" s="93" t="s">
        <v>405</v>
      </c>
      <c r="Z270" s="93"/>
    </row>
    <row r="271" spans="1:26" ht="12" customHeight="1">
      <c r="A271" s="176">
        <v>38722</v>
      </c>
      <c r="B271" s="239" t="s">
        <v>1049</v>
      </c>
      <c r="C271" s="93" t="s">
        <v>448</v>
      </c>
      <c r="D271" s="93">
        <v>100</v>
      </c>
      <c r="E271" s="177">
        <v>194.5</v>
      </c>
      <c r="F271" s="177">
        <v>193.97</v>
      </c>
      <c r="G271" s="178">
        <f t="shared" si="155"/>
        <v>0.1</v>
      </c>
      <c r="H271" s="178"/>
      <c r="I271" s="178"/>
      <c r="J271" s="178">
        <f t="shared" si="156"/>
        <v>0.1</v>
      </c>
      <c r="K271" s="178">
        <f t="shared" si="157"/>
        <v>-0.53000000000000114</v>
      </c>
      <c r="L271" s="177">
        <f t="shared" si="158"/>
        <v>38847</v>
      </c>
      <c r="M271" s="177">
        <f t="shared" si="159"/>
        <v>-53.000000000000114</v>
      </c>
      <c r="N271" s="177">
        <f t="shared" si="160"/>
        <v>20</v>
      </c>
      <c r="O271" s="177">
        <f t="shared" si="161"/>
        <v>2.04</v>
      </c>
      <c r="P271" s="177">
        <f t="shared" si="162"/>
        <v>7.77</v>
      </c>
      <c r="Q271" s="177">
        <f t="shared" si="163"/>
        <v>1.3596449999999998</v>
      </c>
      <c r="R271" s="178">
        <f t="shared" si="164"/>
        <v>0.77694000000000007</v>
      </c>
      <c r="S271" s="178">
        <f t="shared" si="165"/>
        <v>11.946584999999999</v>
      </c>
      <c r="T271" s="176"/>
      <c r="U271" s="323">
        <f t="shared" si="166"/>
        <v>-84.95</v>
      </c>
      <c r="V271" s="323">
        <f t="shared" si="167"/>
        <v>-53.000000000000114</v>
      </c>
      <c r="W271" s="323">
        <v>-81</v>
      </c>
      <c r="X271" s="179">
        <f t="shared" si="168"/>
        <v>-3.9500000000000028</v>
      </c>
      <c r="Y271" s="93" t="s">
        <v>405</v>
      </c>
      <c r="Z271" s="93"/>
    </row>
    <row r="272" spans="1:26" ht="12" customHeight="1">
      <c r="A272" s="176">
        <v>38826</v>
      </c>
      <c r="B272" s="239" t="s">
        <v>998</v>
      </c>
      <c r="C272" s="93" t="s">
        <v>448</v>
      </c>
      <c r="D272" s="93">
        <v>20</v>
      </c>
      <c r="E272" s="177">
        <v>473.06</v>
      </c>
      <c r="F272" s="177">
        <v>479</v>
      </c>
      <c r="G272" s="178">
        <f t="shared" si="155"/>
        <v>0.24</v>
      </c>
      <c r="H272" s="178"/>
      <c r="I272" s="178"/>
      <c r="J272" s="178">
        <f t="shared" si="156"/>
        <v>0.24</v>
      </c>
      <c r="K272" s="178">
        <f t="shared" si="157"/>
        <v>5.9399999999999977</v>
      </c>
      <c r="L272" s="177">
        <f t="shared" si="158"/>
        <v>19041.2</v>
      </c>
      <c r="M272" s="177">
        <f t="shared" si="159"/>
        <v>118.79999999999995</v>
      </c>
      <c r="N272" s="177">
        <f t="shared" si="160"/>
        <v>9.6</v>
      </c>
      <c r="O272" s="177">
        <f t="shared" ref="O272:O321" si="169">N272*F$328</f>
        <v>1.1750399999999999</v>
      </c>
      <c r="P272" s="177">
        <f t="shared" si="162"/>
        <v>3.81</v>
      </c>
      <c r="Q272" s="177">
        <f t="shared" si="163"/>
        <v>0.66644199999999998</v>
      </c>
      <c r="R272" s="178">
        <f t="shared" si="164"/>
        <v>0.38082400000000005</v>
      </c>
      <c r="S272" s="178">
        <f t="shared" si="165"/>
        <v>6.0323060000000002</v>
      </c>
      <c r="T272" s="176"/>
      <c r="U272" s="323">
        <f t="shared" si="166"/>
        <v>103.17</v>
      </c>
      <c r="V272" s="323">
        <f t="shared" si="167"/>
        <v>118.79999999999995</v>
      </c>
      <c r="W272" s="323">
        <v>103.78</v>
      </c>
      <c r="X272" s="179">
        <f t="shared" si="168"/>
        <v>-0.60999999999999943</v>
      </c>
      <c r="Y272" s="93" t="s">
        <v>405</v>
      </c>
      <c r="Z272" s="93"/>
    </row>
    <row r="273" spans="1:26" ht="12" customHeight="1">
      <c r="A273" s="176">
        <v>38827</v>
      </c>
      <c r="B273" s="239" t="s">
        <v>998</v>
      </c>
      <c r="C273" s="93" t="s">
        <v>1020</v>
      </c>
      <c r="D273" s="93">
        <v>10</v>
      </c>
      <c r="E273" s="177">
        <v>470</v>
      </c>
      <c r="F273" s="177">
        <v>475.95</v>
      </c>
      <c r="G273" s="178">
        <f t="shared" si="155"/>
        <v>0.24</v>
      </c>
      <c r="H273" s="178"/>
      <c r="I273" s="178"/>
      <c r="J273" s="178">
        <f t="shared" si="156"/>
        <v>0.24</v>
      </c>
      <c r="K273" s="178">
        <f t="shared" si="157"/>
        <v>5.9499999999999886</v>
      </c>
      <c r="L273" s="177">
        <f t="shared" si="158"/>
        <v>9459.5</v>
      </c>
      <c r="M273" s="177">
        <f t="shared" si="159"/>
        <v>59.499999999999886</v>
      </c>
      <c r="N273" s="177">
        <f t="shared" si="160"/>
        <v>4.8</v>
      </c>
      <c r="O273" s="177">
        <f t="shared" si="169"/>
        <v>0.58751999999999993</v>
      </c>
      <c r="P273" s="177">
        <f t="shared" si="162"/>
        <v>1.89</v>
      </c>
      <c r="Q273" s="177">
        <f t="shared" si="163"/>
        <v>0.33108249999999995</v>
      </c>
      <c r="R273" s="178">
        <f t="shared" si="164"/>
        <v>0.18919000000000002</v>
      </c>
      <c r="S273" s="178">
        <f t="shared" si="165"/>
        <v>2.9977924999999996</v>
      </c>
      <c r="T273" s="176"/>
      <c r="U273" s="323">
        <f t="shared" si="166"/>
        <v>51.7</v>
      </c>
      <c r="V273" s="323">
        <f t="shared" si="167"/>
        <v>59.499999999999886</v>
      </c>
      <c r="W273" s="323">
        <v>51</v>
      </c>
      <c r="X273" s="179">
        <f t="shared" si="168"/>
        <v>0.70000000000000284</v>
      </c>
      <c r="Y273" s="93" t="s">
        <v>405</v>
      </c>
      <c r="Z273" s="93"/>
    </row>
    <row r="274" spans="1:26" ht="12" customHeight="1">
      <c r="A274" s="176">
        <v>38827</v>
      </c>
      <c r="B274" s="239" t="s">
        <v>1022</v>
      </c>
      <c r="C274" s="93" t="s">
        <v>448</v>
      </c>
      <c r="D274" s="93">
        <v>2</v>
      </c>
      <c r="E274" s="177">
        <v>3262</v>
      </c>
      <c r="F274" s="177">
        <v>3287</v>
      </c>
      <c r="G274" s="178">
        <f t="shared" si="155"/>
        <v>1.63</v>
      </c>
      <c r="H274" s="178"/>
      <c r="I274" s="178"/>
      <c r="J274" s="178">
        <f t="shared" si="156"/>
        <v>1.64</v>
      </c>
      <c r="K274" s="178">
        <f t="shared" si="157"/>
        <v>25</v>
      </c>
      <c r="L274" s="177">
        <f t="shared" si="158"/>
        <v>13097.98</v>
      </c>
      <c r="M274" s="177">
        <f t="shared" si="159"/>
        <v>50</v>
      </c>
      <c r="N274" s="177">
        <f t="shared" si="160"/>
        <v>6.5399999999999991</v>
      </c>
      <c r="O274" s="177">
        <f t="shared" si="169"/>
        <v>0.80049599999999987</v>
      </c>
      <c r="P274" s="177">
        <f t="shared" si="162"/>
        <v>2.62</v>
      </c>
      <c r="Q274" s="177">
        <f t="shared" si="163"/>
        <v>0.45842929999999993</v>
      </c>
      <c r="R274" s="178">
        <f t="shared" si="164"/>
        <v>0.26195960000000001</v>
      </c>
      <c r="S274" s="178">
        <f t="shared" si="165"/>
        <v>4.1408848999999996</v>
      </c>
      <c r="T274" s="176"/>
      <c r="U274" s="323">
        <f t="shared" si="166"/>
        <v>39.32</v>
      </c>
      <c r="V274" s="323">
        <f t="shared" si="167"/>
        <v>50</v>
      </c>
      <c r="W274" s="323">
        <v>39.5</v>
      </c>
      <c r="X274" s="179">
        <f t="shared" si="168"/>
        <v>-0.17999999999999972</v>
      </c>
      <c r="Y274" s="93" t="s">
        <v>405</v>
      </c>
      <c r="Z274" s="93"/>
    </row>
    <row r="275" spans="1:26" ht="12" customHeight="1">
      <c r="A275" s="176">
        <v>38827</v>
      </c>
      <c r="B275" s="239" t="s">
        <v>1022</v>
      </c>
      <c r="C275" s="93" t="s">
        <v>1020</v>
      </c>
      <c r="D275" s="93">
        <v>2</v>
      </c>
      <c r="E275" s="177">
        <v>3255</v>
      </c>
      <c r="F275" s="177">
        <v>3270</v>
      </c>
      <c r="G275" s="178">
        <f t="shared" si="155"/>
        <v>1.63</v>
      </c>
      <c r="H275" s="178"/>
      <c r="I275" s="178"/>
      <c r="J275" s="178">
        <f t="shared" si="156"/>
        <v>1.64</v>
      </c>
      <c r="K275" s="178">
        <f t="shared" si="157"/>
        <v>15</v>
      </c>
      <c r="L275" s="177">
        <f t="shared" si="158"/>
        <v>13049.98</v>
      </c>
      <c r="M275" s="177">
        <f t="shared" si="159"/>
        <v>30</v>
      </c>
      <c r="N275" s="177">
        <f t="shared" si="160"/>
        <v>6.5399999999999991</v>
      </c>
      <c r="O275" s="177">
        <f t="shared" si="169"/>
        <v>0.80049599999999987</v>
      </c>
      <c r="P275" s="177">
        <f t="shared" si="162"/>
        <v>2.61</v>
      </c>
      <c r="Q275" s="177">
        <f t="shared" si="163"/>
        <v>0.45674929999999997</v>
      </c>
      <c r="R275" s="178">
        <f t="shared" si="164"/>
        <v>0.2609996</v>
      </c>
      <c r="S275" s="178">
        <f t="shared" si="165"/>
        <v>4.1282448999999994</v>
      </c>
      <c r="T275" s="176"/>
      <c r="U275" s="323">
        <f t="shared" si="166"/>
        <v>19.329999999999998</v>
      </c>
      <c r="V275" s="323">
        <f t="shared" si="167"/>
        <v>30</v>
      </c>
      <c r="W275" s="323">
        <v>19.28</v>
      </c>
      <c r="X275" s="179">
        <f t="shared" si="168"/>
        <v>4.9999999999997158E-2</v>
      </c>
      <c r="Y275" s="93" t="s">
        <v>405</v>
      </c>
      <c r="Z275" s="93"/>
    </row>
    <row r="276" spans="1:26" ht="12" customHeight="1">
      <c r="A276" s="176">
        <v>38827</v>
      </c>
      <c r="B276" s="239" t="s">
        <v>985</v>
      </c>
      <c r="C276" s="93" t="s">
        <v>448</v>
      </c>
      <c r="D276" s="93">
        <v>25</v>
      </c>
      <c r="E276" s="177">
        <v>93.7</v>
      </c>
      <c r="F276" s="177">
        <v>94.5</v>
      </c>
      <c r="G276" s="178">
        <f t="shared" si="155"/>
        <v>0.05</v>
      </c>
      <c r="H276" s="178"/>
      <c r="I276" s="178"/>
      <c r="J276" s="178">
        <f t="shared" si="156"/>
        <v>0.05</v>
      </c>
      <c r="K276" s="178">
        <f t="shared" si="157"/>
        <v>0.79999999999999716</v>
      </c>
      <c r="L276" s="177">
        <f t="shared" si="158"/>
        <v>4705</v>
      </c>
      <c r="M276" s="177">
        <f t="shared" si="159"/>
        <v>19.999999999999929</v>
      </c>
      <c r="N276" s="177">
        <f t="shared" si="160"/>
        <v>2.5</v>
      </c>
      <c r="O276" s="177">
        <f t="shared" si="169"/>
        <v>0.30599999999999999</v>
      </c>
      <c r="P276" s="177">
        <f t="shared" si="162"/>
        <v>0.94</v>
      </c>
      <c r="Q276" s="177">
        <f t="shared" si="163"/>
        <v>0.16467499999999999</v>
      </c>
      <c r="R276" s="178">
        <f t="shared" si="164"/>
        <v>9.4100000000000003E-2</v>
      </c>
      <c r="S276" s="178">
        <f t="shared" si="165"/>
        <v>1.504775</v>
      </c>
      <c r="T276" s="176"/>
      <c r="U276" s="323">
        <f t="shared" si="166"/>
        <v>16</v>
      </c>
      <c r="V276" s="323">
        <f t="shared" si="167"/>
        <v>19.999999999999929</v>
      </c>
      <c r="W276" s="323">
        <v>15</v>
      </c>
      <c r="X276" s="179">
        <f t="shared" si="168"/>
        <v>1</v>
      </c>
      <c r="Y276" s="93" t="s">
        <v>405</v>
      </c>
      <c r="Z276" s="93"/>
    </row>
    <row r="277" spans="1:26" ht="12" customHeight="1">
      <c r="A277" s="176">
        <v>38827</v>
      </c>
      <c r="B277" s="239" t="s">
        <v>984</v>
      </c>
      <c r="C277" s="93" t="s">
        <v>448</v>
      </c>
      <c r="D277" s="93">
        <v>50</v>
      </c>
      <c r="E277" s="177">
        <v>77</v>
      </c>
      <c r="F277" s="177">
        <v>77.8</v>
      </c>
      <c r="G277" s="178">
        <f t="shared" si="155"/>
        <v>0.05</v>
      </c>
      <c r="H277" s="178"/>
      <c r="I277" s="178"/>
      <c r="J277" s="178">
        <f t="shared" si="156"/>
        <v>0.05</v>
      </c>
      <c r="K277" s="178">
        <f t="shared" si="157"/>
        <v>0.79999999999999716</v>
      </c>
      <c r="L277" s="177">
        <f t="shared" si="158"/>
        <v>7740</v>
      </c>
      <c r="M277" s="177">
        <f t="shared" si="159"/>
        <v>39.999999999999858</v>
      </c>
      <c r="N277" s="177">
        <f t="shared" si="160"/>
        <v>5</v>
      </c>
      <c r="O277" s="177">
        <f t="shared" si="169"/>
        <v>0.61199999999999999</v>
      </c>
      <c r="P277" s="177">
        <f t="shared" si="162"/>
        <v>1.55</v>
      </c>
      <c r="Q277" s="177">
        <f t="shared" si="163"/>
        <v>0.27089999999999997</v>
      </c>
      <c r="R277" s="178">
        <f t="shared" si="164"/>
        <v>0.15480000000000002</v>
      </c>
      <c r="S277" s="178">
        <f t="shared" si="165"/>
        <v>2.5876999999999999</v>
      </c>
      <c r="T277" s="176"/>
      <c r="U277" s="323">
        <f t="shared" si="166"/>
        <v>32.409999999999997</v>
      </c>
      <c r="V277" s="323">
        <f t="shared" si="167"/>
        <v>39.999999999999858</v>
      </c>
      <c r="W277" s="323">
        <v>32</v>
      </c>
      <c r="X277" s="179">
        <f t="shared" si="168"/>
        <v>0.40999999999999659</v>
      </c>
      <c r="Y277" s="93" t="s">
        <v>405</v>
      </c>
      <c r="Z277" s="93"/>
    </row>
    <row r="278" spans="1:26" ht="12" customHeight="1">
      <c r="A278" s="176">
        <v>38827</v>
      </c>
      <c r="B278" s="239" t="s">
        <v>1021</v>
      </c>
      <c r="C278" s="93" t="s">
        <v>448</v>
      </c>
      <c r="D278" s="93">
        <v>5</v>
      </c>
      <c r="E278" s="177">
        <v>859.25</v>
      </c>
      <c r="F278" s="177">
        <v>872.25</v>
      </c>
      <c r="G278" s="178">
        <f t="shared" si="155"/>
        <v>0.43</v>
      </c>
      <c r="H278" s="178"/>
      <c r="I278" s="178"/>
      <c r="J278" s="178">
        <f t="shared" si="156"/>
        <v>0.44</v>
      </c>
      <c r="K278" s="178">
        <f t="shared" si="157"/>
        <v>13</v>
      </c>
      <c r="L278" s="177">
        <f t="shared" si="158"/>
        <v>8657.4499999999989</v>
      </c>
      <c r="M278" s="177">
        <f t="shared" si="159"/>
        <v>65</v>
      </c>
      <c r="N278" s="177">
        <f t="shared" si="160"/>
        <v>4.3499999999999996</v>
      </c>
      <c r="O278" s="177">
        <f t="shared" si="169"/>
        <v>0.53243999999999991</v>
      </c>
      <c r="P278" s="177">
        <f t="shared" si="162"/>
        <v>1.73</v>
      </c>
      <c r="Q278" s="177">
        <f t="shared" si="163"/>
        <v>0.30301074999999994</v>
      </c>
      <c r="R278" s="178">
        <f t="shared" si="164"/>
        <v>0.173149</v>
      </c>
      <c r="S278" s="178">
        <f t="shared" si="165"/>
        <v>2.7385997499999997</v>
      </c>
      <c r="T278" s="176"/>
      <c r="U278" s="323">
        <f t="shared" si="166"/>
        <v>57.91</v>
      </c>
      <c r="V278" s="323">
        <f t="shared" si="167"/>
        <v>65</v>
      </c>
      <c r="W278" s="323">
        <v>58</v>
      </c>
      <c r="X278" s="179">
        <f t="shared" si="168"/>
        <v>-9.0000000000003411E-2</v>
      </c>
      <c r="Y278" s="93" t="s">
        <v>405</v>
      </c>
      <c r="Z278" s="93"/>
    </row>
    <row r="279" spans="1:26" ht="12" customHeight="1">
      <c r="A279" s="176">
        <v>38828</v>
      </c>
      <c r="B279" s="239" t="s">
        <v>984</v>
      </c>
      <c r="C279" s="93" t="s">
        <v>448</v>
      </c>
      <c r="D279" s="93">
        <v>50</v>
      </c>
      <c r="E279" s="177">
        <v>77.5</v>
      </c>
      <c r="F279" s="177">
        <v>78.5</v>
      </c>
      <c r="G279" s="178">
        <f t="shared" si="155"/>
        <v>0.05</v>
      </c>
      <c r="H279" s="178"/>
      <c r="I279" s="178"/>
      <c r="J279" s="178">
        <f t="shared" si="156"/>
        <v>0.05</v>
      </c>
      <c r="K279" s="178">
        <f t="shared" si="157"/>
        <v>1</v>
      </c>
      <c r="L279" s="177">
        <f t="shared" si="158"/>
        <v>7800</v>
      </c>
      <c r="M279" s="177">
        <f t="shared" si="159"/>
        <v>50</v>
      </c>
      <c r="N279" s="177">
        <f t="shared" si="160"/>
        <v>5</v>
      </c>
      <c r="O279" s="177">
        <f t="shared" si="169"/>
        <v>0.61199999999999999</v>
      </c>
      <c r="P279" s="177">
        <f t="shared" si="162"/>
        <v>1.56</v>
      </c>
      <c r="Q279" s="177">
        <f t="shared" si="163"/>
        <v>0.27299999999999996</v>
      </c>
      <c r="R279" s="178">
        <f t="shared" si="164"/>
        <v>0.156</v>
      </c>
      <c r="S279" s="178">
        <f t="shared" si="165"/>
        <v>2.6010000000000004</v>
      </c>
      <c r="T279" s="176"/>
      <c r="U279" s="323">
        <f t="shared" si="166"/>
        <v>42.4</v>
      </c>
      <c r="V279" s="323">
        <f t="shared" si="167"/>
        <v>50</v>
      </c>
      <c r="W279" s="323">
        <v>43.25</v>
      </c>
      <c r="X279" s="179">
        <f t="shared" si="168"/>
        <v>-0.85000000000000142</v>
      </c>
      <c r="Y279" s="41" t="s">
        <v>469</v>
      </c>
      <c r="Z279" s="93"/>
    </row>
    <row r="280" spans="1:26" ht="12" customHeight="1">
      <c r="A280" s="176">
        <v>38828</v>
      </c>
      <c r="B280" s="239" t="s">
        <v>1014</v>
      </c>
      <c r="C280" s="93" t="s">
        <v>448</v>
      </c>
      <c r="D280" s="93">
        <v>50</v>
      </c>
      <c r="E280" s="177">
        <v>90</v>
      </c>
      <c r="F280" s="177">
        <v>91.25</v>
      </c>
      <c r="G280" s="178">
        <f t="shared" si="155"/>
        <v>0.05</v>
      </c>
      <c r="H280" s="178"/>
      <c r="I280" s="178"/>
      <c r="J280" s="178">
        <f t="shared" si="156"/>
        <v>0.05</v>
      </c>
      <c r="K280" s="178">
        <f t="shared" si="157"/>
        <v>1.25</v>
      </c>
      <c r="L280" s="177">
        <f t="shared" si="158"/>
        <v>9062.5</v>
      </c>
      <c r="M280" s="177">
        <f t="shared" si="159"/>
        <v>62.5</v>
      </c>
      <c r="N280" s="177">
        <f t="shared" si="160"/>
        <v>5</v>
      </c>
      <c r="O280" s="177">
        <f t="shared" si="169"/>
        <v>0.61199999999999999</v>
      </c>
      <c r="P280" s="177">
        <f t="shared" si="162"/>
        <v>1.81</v>
      </c>
      <c r="Q280" s="177">
        <f t="shared" si="163"/>
        <v>0.31718749999999996</v>
      </c>
      <c r="R280" s="178">
        <f t="shared" si="164"/>
        <v>0.18125000000000002</v>
      </c>
      <c r="S280" s="178">
        <f t="shared" si="165"/>
        <v>2.9204374999999998</v>
      </c>
      <c r="T280" s="176"/>
      <c r="U280" s="323">
        <f t="shared" si="166"/>
        <v>54.58</v>
      </c>
      <c r="V280" s="323">
        <f t="shared" si="167"/>
        <v>62.5</v>
      </c>
      <c r="W280" s="323">
        <v>54.06</v>
      </c>
      <c r="X280" s="179">
        <f t="shared" si="168"/>
        <v>0.51999999999999602</v>
      </c>
      <c r="Y280" s="41" t="s">
        <v>447</v>
      </c>
      <c r="Z280" s="93"/>
    </row>
    <row r="281" spans="1:26" ht="12" customHeight="1">
      <c r="A281" s="176">
        <v>38831</v>
      </c>
      <c r="B281" s="239" t="s">
        <v>984</v>
      </c>
      <c r="C281" s="93" t="s">
        <v>448</v>
      </c>
      <c r="D281" s="93">
        <v>50</v>
      </c>
      <c r="E281" s="177">
        <v>81.5</v>
      </c>
      <c r="F281" s="177">
        <v>83.55</v>
      </c>
      <c r="G281" s="178">
        <f t="shared" si="155"/>
        <v>0.05</v>
      </c>
      <c r="H281" s="178"/>
      <c r="I281" s="178"/>
      <c r="J281" s="178">
        <f t="shared" si="156"/>
        <v>0.05</v>
      </c>
      <c r="K281" s="178">
        <f t="shared" si="157"/>
        <v>2.0499999999999972</v>
      </c>
      <c r="L281" s="177">
        <f t="shared" si="158"/>
        <v>8252.5</v>
      </c>
      <c r="M281" s="177">
        <f t="shared" si="159"/>
        <v>102.49999999999986</v>
      </c>
      <c r="N281" s="177">
        <f t="shared" si="160"/>
        <v>5</v>
      </c>
      <c r="O281" s="177">
        <f t="shared" si="169"/>
        <v>0.61199999999999999</v>
      </c>
      <c r="P281" s="177">
        <f t="shared" si="162"/>
        <v>1.65</v>
      </c>
      <c r="Q281" s="177">
        <f t="shared" si="163"/>
        <v>0.28883749999999997</v>
      </c>
      <c r="R281" s="178">
        <f t="shared" si="164"/>
        <v>0.16505</v>
      </c>
      <c r="S281" s="178">
        <f t="shared" si="165"/>
        <v>2.7158875</v>
      </c>
      <c r="T281" s="176"/>
      <c r="U281" s="323">
        <f t="shared" si="166"/>
        <v>94.78</v>
      </c>
      <c r="V281" s="323">
        <f t="shared" si="167"/>
        <v>102.49999999999986</v>
      </c>
      <c r="W281" s="323">
        <v>93.87</v>
      </c>
      <c r="X281" s="179">
        <f t="shared" si="168"/>
        <v>0.90999999999999659</v>
      </c>
      <c r="Y281" s="93" t="s">
        <v>405</v>
      </c>
      <c r="Z281" s="93"/>
    </row>
    <row r="282" spans="1:26" ht="12" customHeight="1">
      <c r="A282" s="176">
        <v>38831</v>
      </c>
      <c r="B282" s="239" t="s">
        <v>1050</v>
      </c>
      <c r="C282" s="93" t="s">
        <v>1020</v>
      </c>
      <c r="D282" s="93">
        <v>10</v>
      </c>
      <c r="E282" s="177">
        <v>267.45</v>
      </c>
      <c r="F282" s="177">
        <v>266</v>
      </c>
      <c r="G282" s="178">
        <f t="shared" si="155"/>
        <v>0.13</v>
      </c>
      <c r="H282" s="178"/>
      <c r="I282" s="178"/>
      <c r="J282" s="178">
        <f t="shared" si="156"/>
        <v>0.13</v>
      </c>
      <c r="K282" s="178">
        <f t="shared" si="157"/>
        <v>-1.4499999999999886</v>
      </c>
      <c r="L282" s="177">
        <f t="shared" si="158"/>
        <v>5334.5</v>
      </c>
      <c r="M282" s="177">
        <f t="shared" si="159"/>
        <v>-14.499999999999886</v>
      </c>
      <c r="N282" s="177">
        <f t="shared" si="160"/>
        <v>2.6</v>
      </c>
      <c r="O282" s="177">
        <f t="shared" si="169"/>
        <v>0.31824000000000002</v>
      </c>
      <c r="P282" s="177">
        <f t="shared" si="162"/>
        <v>1.07</v>
      </c>
      <c r="Q282" s="177">
        <f t="shared" si="163"/>
        <v>0.18670749999999997</v>
      </c>
      <c r="R282" s="178">
        <f t="shared" si="164"/>
        <v>0.10669000000000001</v>
      </c>
      <c r="S282" s="178">
        <f t="shared" si="165"/>
        <v>1.6816375000000001</v>
      </c>
      <c r="T282" s="176"/>
      <c r="U282" s="323">
        <f t="shared" si="166"/>
        <v>-18.78</v>
      </c>
      <c r="V282" s="323">
        <f t="shared" si="167"/>
        <v>-14.499999999999886</v>
      </c>
      <c r="W282" s="323">
        <v>-20</v>
      </c>
      <c r="X282" s="179">
        <f t="shared" si="168"/>
        <v>1.2199999999999989</v>
      </c>
      <c r="Y282" s="93" t="s">
        <v>405</v>
      </c>
      <c r="Z282" s="93"/>
    </row>
    <row r="283" spans="1:26" ht="12" customHeight="1">
      <c r="A283" s="176">
        <v>38831</v>
      </c>
      <c r="B283" s="239" t="s">
        <v>1021</v>
      </c>
      <c r="C283" s="93" t="s">
        <v>1020</v>
      </c>
      <c r="D283" s="93">
        <v>5</v>
      </c>
      <c r="E283" s="177">
        <v>781</v>
      </c>
      <c r="F283" s="177">
        <v>782.25</v>
      </c>
      <c r="G283" s="178">
        <f t="shared" si="155"/>
        <v>0.39</v>
      </c>
      <c r="H283" s="178"/>
      <c r="I283" s="178"/>
      <c r="J283" s="178">
        <f t="shared" si="156"/>
        <v>0.39</v>
      </c>
      <c r="K283" s="178">
        <f t="shared" si="157"/>
        <v>1.25</v>
      </c>
      <c r="L283" s="177">
        <f t="shared" si="158"/>
        <v>7816.25</v>
      </c>
      <c r="M283" s="177">
        <f t="shared" si="159"/>
        <v>6.25</v>
      </c>
      <c r="N283" s="177">
        <f t="shared" si="160"/>
        <v>3.9000000000000004</v>
      </c>
      <c r="O283" s="177">
        <f t="shared" si="169"/>
        <v>0.47736000000000001</v>
      </c>
      <c r="P283" s="177">
        <f t="shared" si="162"/>
        <v>1.56</v>
      </c>
      <c r="Q283" s="177">
        <f t="shared" si="163"/>
        <v>0.27356874999999997</v>
      </c>
      <c r="R283" s="178">
        <f t="shared" si="164"/>
        <v>0.15632500000000002</v>
      </c>
      <c r="S283" s="178">
        <f t="shared" si="165"/>
        <v>2.4672537499999998</v>
      </c>
      <c r="T283" s="176"/>
      <c r="U283" s="323">
        <f t="shared" si="166"/>
        <v>-0.12</v>
      </c>
      <c r="V283" s="323">
        <f t="shared" si="167"/>
        <v>6.25</v>
      </c>
      <c r="W283" s="323">
        <v>-1</v>
      </c>
      <c r="X283" s="179">
        <f t="shared" si="168"/>
        <v>0.88</v>
      </c>
      <c r="Y283" s="93" t="s">
        <v>405</v>
      </c>
      <c r="Z283" s="93"/>
    </row>
    <row r="284" spans="1:26" ht="12" customHeight="1">
      <c r="A284" s="176">
        <v>38832</v>
      </c>
      <c r="B284" s="239" t="s">
        <v>1022</v>
      </c>
      <c r="C284" s="93" t="s">
        <v>1020</v>
      </c>
      <c r="D284" s="93">
        <v>2</v>
      </c>
      <c r="E284" s="177">
        <v>3160</v>
      </c>
      <c r="F284" s="177">
        <v>3136.5</v>
      </c>
      <c r="G284" s="178">
        <f t="shared" si="155"/>
        <v>1.58</v>
      </c>
      <c r="H284" s="178"/>
      <c r="I284" s="178"/>
      <c r="J284" s="178">
        <f t="shared" si="156"/>
        <v>1.57</v>
      </c>
      <c r="K284" s="178">
        <f t="shared" si="157"/>
        <v>-23.5</v>
      </c>
      <c r="L284" s="177">
        <f t="shared" si="158"/>
        <v>12593.02</v>
      </c>
      <c r="M284" s="177">
        <f t="shared" si="159"/>
        <v>-47</v>
      </c>
      <c r="N284" s="177">
        <f t="shared" si="160"/>
        <v>6.3000000000000007</v>
      </c>
      <c r="O284" s="177">
        <f t="shared" si="169"/>
        <v>0.77112000000000003</v>
      </c>
      <c r="P284" s="177">
        <f t="shared" si="162"/>
        <v>2.52</v>
      </c>
      <c r="Q284" s="177">
        <f t="shared" si="163"/>
        <v>0.44075569999999997</v>
      </c>
      <c r="R284" s="178">
        <f t="shared" si="164"/>
        <v>0.25186040000000004</v>
      </c>
      <c r="S284" s="178">
        <f t="shared" si="165"/>
        <v>3.9837361000000002</v>
      </c>
      <c r="T284" s="176"/>
      <c r="U284" s="323">
        <f t="shared" si="166"/>
        <v>-57.28</v>
      </c>
      <c r="V284" s="323">
        <f t="shared" si="167"/>
        <v>-47</v>
      </c>
      <c r="W284" s="323">
        <v>-58.39</v>
      </c>
      <c r="X284" s="179">
        <f t="shared" si="168"/>
        <v>1.1099999999999994</v>
      </c>
      <c r="Y284" s="93" t="s">
        <v>405</v>
      </c>
      <c r="Z284" s="93"/>
    </row>
    <row r="285" spans="1:26" ht="12" customHeight="1">
      <c r="A285" s="176">
        <v>38833</v>
      </c>
      <c r="B285" s="239" t="s">
        <v>984</v>
      </c>
      <c r="C285" s="93" t="s">
        <v>448</v>
      </c>
      <c r="D285" s="93">
        <v>50</v>
      </c>
      <c r="E285" s="177">
        <v>92.4</v>
      </c>
      <c r="F285" s="177">
        <v>88.25</v>
      </c>
      <c r="G285" s="178">
        <f t="shared" si="155"/>
        <v>0.05</v>
      </c>
      <c r="H285" s="178"/>
      <c r="I285" s="178"/>
      <c r="J285" s="178">
        <f t="shared" si="156"/>
        <v>0.05</v>
      </c>
      <c r="K285" s="178">
        <f t="shared" si="157"/>
        <v>-4.1500000000000057</v>
      </c>
      <c r="L285" s="177">
        <f t="shared" si="158"/>
        <v>9032.5</v>
      </c>
      <c r="M285" s="177">
        <f t="shared" si="159"/>
        <v>-207.50000000000028</v>
      </c>
      <c r="N285" s="177">
        <f t="shared" si="160"/>
        <v>5</v>
      </c>
      <c r="O285" s="177">
        <f t="shared" si="169"/>
        <v>0.61199999999999999</v>
      </c>
      <c r="P285" s="177">
        <f t="shared" si="162"/>
        <v>1.81</v>
      </c>
      <c r="Q285" s="177">
        <f t="shared" si="163"/>
        <v>0.31613749999999996</v>
      </c>
      <c r="R285" s="178">
        <f t="shared" si="164"/>
        <v>0.18065000000000001</v>
      </c>
      <c r="S285" s="178">
        <f t="shared" si="165"/>
        <v>2.9187875000000001</v>
      </c>
      <c r="T285" s="176"/>
      <c r="U285" s="323">
        <f t="shared" si="166"/>
        <v>-215.42</v>
      </c>
      <c r="V285" s="323">
        <f t="shared" si="167"/>
        <v>-207.50000000000028</v>
      </c>
      <c r="W285" s="323">
        <v>-217</v>
      </c>
      <c r="X285" s="179">
        <f t="shared" si="168"/>
        <v>1.5800000000000125</v>
      </c>
      <c r="Y285" s="93" t="s">
        <v>405</v>
      </c>
      <c r="Z285" s="93"/>
    </row>
    <row r="286" spans="1:26" ht="12" customHeight="1">
      <c r="A286" s="176">
        <v>38833</v>
      </c>
      <c r="B286" s="239" t="s">
        <v>502</v>
      </c>
      <c r="C286" s="93" t="s">
        <v>448</v>
      </c>
      <c r="D286" s="93">
        <v>50</v>
      </c>
      <c r="E286" s="177">
        <v>215.65</v>
      </c>
      <c r="F286" s="177">
        <v>216.95</v>
      </c>
      <c r="G286" s="178">
        <f t="shared" si="155"/>
        <v>0.11</v>
      </c>
      <c r="H286" s="178"/>
      <c r="I286" s="178"/>
      <c r="J286" s="178">
        <f t="shared" si="156"/>
        <v>0.11</v>
      </c>
      <c r="K286" s="178">
        <f t="shared" si="157"/>
        <v>1.2999999999999829</v>
      </c>
      <c r="L286" s="177">
        <f t="shared" si="158"/>
        <v>21630</v>
      </c>
      <c r="M286" s="177">
        <f t="shared" si="159"/>
        <v>64.999999999999147</v>
      </c>
      <c r="N286" s="177">
        <f t="shared" si="160"/>
        <v>11</v>
      </c>
      <c r="O286" s="177">
        <f t="shared" si="169"/>
        <v>1.3464</v>
      </c>
      <c r="P286" s="177">
        <f t="shared" si="162"/>
        <v>4.33</v>
      </c>
      <c r="Q286" s="177">
        <f t="shared" si="163"/>
        <v>0.75704999999999989</v>
      </c>
      <c r="R286" s="178">
        <f t="shared" si="164"/>
        <v>0.43260000000000004</v>
      </c>
      <c r="S286" s="178">
        <f t="shared" si="165"/>
        <v>6.8660499999999995</v>
      </c>
      <c r="T286" s="176"/>
      <c r="U286" s="323">
        <f t="shared" si="166"/>
        <v>47.13</v>
      </c>
      <c r="V286" s="323">
        <f t="shared" si="167"/>
        <v>64.999999999999147</v>
      </c>
      <c r="W286" s="323">
        <v>47.42</v>
      </c>
      <c r="X286" s="179">
        <f t="shared" si="168"/>
        <v>-0.28999999999999915</v>
      </c>
      <c r="Y286" s="93" t="s">
        <v>405</v>
      </c>
      <c r="Z286" s="93"/>
    </row>
    <row r="287" spans="1:26" ht="12" customHeight="1">
      <c r="A287" s="176">
        <v>38840</v>
      </c>
      <c r="B287" s="239" t="s">
        <v>502</v>
      </c>
      <c r="C287" s="93" t="s">
        <v>448</v>
      </c>
      <c r="D287" s="93">
        <v>100</v>
      </c>
      <c r="E287" s="177">
        <v>215.13</v>
      </c>
      <c r="F287" s="177">
        <v>216.65</v>
      </c>
      <c r="G287" s="178">
        <f t="shared" si="155"/>
        <v>0.11</v>
      </c>
      <c r="H287" s="178"/>
      <c r="I287" s="178"/>
      <c r="J287" s="178">
        <f t="shared" si="156"/>
        <v>0.11</v>
      </c>
      <c r="K287" s="178">
        <f t="shared" si="157"/>
        <v>1.5200000000000102</v>
      </c>
      <c r="L287" s="177">
        <f t="shared" si="158"/>
        <v>43178</v>
      </c>
      <c r="M287" s="177">
        <f t="shared" si="159"/>
        <v>152.00000000000102</v>
      </c>
      <c r="N287" s="177">
        <f t="shared" si="160"/>
        <v>22</v>
      </c>
      <c r="O287" s="177">
        <f t="shared" si="169"/>
        <v>2.6928000000000001</v>
      </c>
      <c r="P287" s="177">
        <f t="shared" si="162"/>
        <v>8.64</v>
      </c>
      <c r="Q287" s="177">
        <f t="shared" si="163"/>
        <v>1.5112299999999999</v>
      </c>
      <c r="R287" s="178">
        <f t="shared" si="164"/>
        <v>0.86356000000000011</v>
      </c>
      <c r="S287" s="178">
        <f t="shared" si="165"/>
        <v>13.70759</v>
      </c>
      <c r="T287" s="176"/>
      <c r="U287" s="323">
        <f t="shared" si="166"/>
        <v>116.29</v>
      </c>
      <c r="V287" s="323">
        <f t="shared" si="167"/>
        <v>152.00000000000102</v>
      </c>
      <c r="W287" s="323">
        <v>116</v>
      </c>
      <c r="X287" s="179">
        <f t="shared" si="168"/>
        <v>0.29000000000000625</v>
      </c>
      <c r="Y287" s="41" t="s">
        <v>405</v>
      </c>
      <c r="Z287" s="93"/>
    </row>
    <row r="288" spans="1:26" ht="12" customHeight="1">
      <c r="A288" s="176">
        <v>38842</v>
      </c>
      <c r="B288" s="239" t="s">
        <v>1022</v>
      </c>
      <c r="C288" s="93" t="s">
        <v>448</v>
      </c>
      <c r="D288" s="93">
        <v>4</v>
      </c>
      <c r="E288" s="177">
        <v>3215</v>
      </c>
      <c r="F288" s="177">
        <v>3228</v>
      </c>
      <c r="G288" s="178">
        <f t="shared" si="155"/>
        <v>1.61</v>
      </c>
      <c r="H288" s="178"/>
      <c r="I288" s="178"/>
      <c r="J288" s="178">
        <f t="shared" si="156"/>
        <v>1.61</v>
      </c>
      <c r="K288" s="178">
        <f t="shared" si="157"/>
        <v>13</v>
      </c>
      <c r="L288" s="177">
        <f t="shared" si="158"/>
        <v>25772</v>
      </c>
      <c r="M288" s="177">
        <f t="shared" si="159"/>
        <v>52</v>
      </c>
      <c r="N288" s="177">
        <f t="shared" si="160"/>
        <v>12.88</v>
      </c>
      <c r="O288" s="177">
        <f t="shared" si="169"/>
        <v>1.5765120000000001</v>
      </c>
      <c r="P288" s="177">
        <f t="shared" si="162"/>
        <v>5.15</v>
      </c>
      <c r="Q288" s="177">
        <f t="shared" si="163"/>
        <v>0.90201999999999993</v>
      </c>
      <c r="R288" s="178">
        <f t="shared" si="164"/>
        <v>0.51544000000000001</v>
      </c>
      <c r="S288" s="178">
        <f t="shared" si="165"/>
        <v>8.1439720000000015</v>
      </c>
      <c r="T288" s="176"/>
      <c r="U288" s="323">
        <f t="shared" si="166"/>
        <v>30.98</v>
      </c>
      <c r="V288" s="323">
        <f t="shared" si="167"/>
        <v>52</v>
      </c>
      <c r="W288" s="323">
        <v>31</v>
      </c>
      <c r="X288" s="179">
        <f t="shared" si="168"/>
        <v>-1.9999999999999574E-2</v>
      </c>
      <c r="Y288" s="41" t="s">
        <v>405</v>
      </c>
      <c r="Z288" s="93"/>
    </row>
    <row r="289" spans="1:26" ht="12" customHeight="1">
      <c r="A289" s="176">
        <v>38842</v>
      </c>
      <c r="B289" s="239" t="s">
        <v>975</v>
      </c>
      <c r="C289" s="93" t="s">
        <v>448</v>
      </c>
      <c r="D289" s="93">
        <v>5</v>
      </c>
      <c r="E289" s="177">
        <v>1090.75</v>
      </c>
      <c r="F289" s="177">
        <v>1102</v>
      </c>
      <c r="G289" s="178">
        <f t="shared" si="155"/>
        <v>0.55000000000000004</v>
      </c>
      <c r="H289" s="178"/>
      <c r="I289" s="178"/>
      <c r="J289" s="178">
        <f t="shared" si="156"/>
        <v>0.55000000000000004</v>
      </c>
      <c r="K289" s="178">
        <f t="shared" si="157"/>
        <v>11.25</v>
      </c>
      <c r="L289" s="177">
        <f t="shared" si="158"/>
        <v>10963.75</v>
      </c>
      <c r="M289" s="177">
        <f t="shared" si="159"/>
        <v>56.25</v>
      </c>
      <c r="N289" s="177">
        <f t="shared" si="160"/>
        <v>5.5</v>
      </c>
      <c r="O289" s="177">
        <f t="shared" si="169"/>
        <v>0.67320000000000002</v>
      </c>
      <c r="P289" s="177">
        <f t="shared" si="162"/>
        <v>2.19</v>
      </c>
      <c r="Q289" s="177">
        <f t="shared" si="163"/>
        <v>0.38373124999999997</v>
      </c>
      <c r="R289" s="178">
        <f t="shared" si="164"/>
        <v>0.21927500000000003</v>
      </c>
      <c r="S289" s="178">
        <f t="shared" si="165"/>
        <v>3.4662062499999999</v>
      </c>
      <c r="T289" s="176"/>
      <c r="U289" s="323">
        <f t="shared" si="166"/>
        <v>47.28</v>
      </c>
      <c r="V289" s="323">
        <f t="shared" si="167"/>
        <v>56.25</v>
      </c>
      <c r="W289" s="323">
        <v>47</v>
      </c>
      <c r="X289" s="179">
        <f t="shared" si="168"/>
        <v>0.28000000000000114</v>
      </c>
      <c r="Y289" s="41" t="s">
        <v>405</v>
      </c>
      <c r="Z289" s="93"/>
    </row>
    <row r="290" spans="1:26" ht="12" customHeight="1">
      <c r="A290" s="176">
        <v>38842</v>
      </c>
      <c r="B290" s="239" t="s">
        <v>988</v>
      </c>
      <c r="C290" s="93" t="s">
        <v>448</v>
      </c>
      <c r="D290" s="93">
        <v>200</v>
      </c>
      <c r="E290" s="177">
        <v>25.32</v>
      </c>
      <c r="F290" s="177">
        <v>25.73</v>
      </c>
      <c r="G290" s="178">
        <f t="shared" si="155"/>
        <v>0.05</v>
      </c>
      <c r="H290" s="178"/>
      <c r="I290" s="178"/>
      <c r="J290" s="178">
        <f t="shared" si="156"/>
        <v>0.05</v>
      </c>
      <c r="K290" s="178">
        <f t="shared" si="157"/>
        <v>0.41000000000000014</v>
      </c>
      <c r="L290" s="177">
        <f t="shared" si="158"/>
        <v>10210</v>
      </c>
      <c r="M290" s="177">
        <f t="shared" si="159"/>
        <v>82.000000000000028</v>
      </c>
      <c r="N290" s="177">
        <f t="shared" si="160"/>
        <v>20</v>
      </c>
      <c r="O290" s="177">
        <f t="shared" si="169"/>
        <v>2.448</v>
      </c>
      <c r="P290" s="177">
        <f t="shared" si="162"/>
        <v>2.04</v>
      </c>
      <c r="Q290" s="177">
        <f t="shared" si="163"/>
        <v>0.35734999999999995</v>
      </c>
      <c r="R290" s="178">
        <f t="shared" si="164"/>
        <v>0.20420000000000002</v>
      </c>
      <c r="S290" s="178">
        <f t="shared" si="165"/>
        <v>5.04955</v>
      </c>
      <c r="T290" s="176"/>
      <c r="U290" s="323">
        <f t="shared" si="166"/>
        <v>56.95</v>
      </c>
      <c r="V290" s="323">
        <f t="shared" si="167"/>
        <v>82.000000000000028</v>
      </c>
      <c r="W290" s="323">
        <v>57</v>
      </c>
      <c r="X290" s="179">
        <f t="shared" si="168"/>
        <v>-4.9999999999997158E-2</v>
      </c>
      <c r="Y290" s="41" t="s">
        <v>405</v>
      </c>
      <c r="Z290" s="93"/>
    </row>
    <row r="291" spans="1:26" ht="12" customHeight="1">
      <c r="A291" s="176">
        <v>38842</v>
      </c>
      <c r="B291" s="239" t="s">
        <v>1023</v>
      </c>
      <c r="C291" s="93" t="s">
        <v>448</v>
      </c>
      <c r="D291" s="93">
        <v>100</v>
      </c>
      <c r="E291" s="177">
        <v>63.05</v>
      </c>
      <c r="F291" s="177">
        <v>63.95</v>
      </c>
      <c r="G291" s="178">
        <f t="shared" si="155"/>
        <v>0.05</v>
      </c>
      <c r="H291" s="178"/>
      <c r="I291" s="178"/>
      <c r="J291" s="178">
        <f t="shared" si="156"/>
        <v>0.05</v>
      </c>
      <c r="K291" s="178">
        <f t="shared" si="157"/>
        <v>0.90000000000000568</v>
      </c>
      <c r="L291" s="177">
        <f t="shared" si="158"/>
        <v>12700</v>
      </c>
      <c r="M291" s="177">
        <f t="shared" si="159"/>
        <v>90.000000000000568</v>
      </c>
      <c r="N291" s="177">
        <f t="shared" si="160"/>
        <v>10</v>
      </c>
      <c r="O291" s="177">
        <f t="shared" si="169"/>
        <v>1.224</v>
      </c>
      <c r="P291" s="177">
        <f t="shared" si="162"/>
        <v>2.54</v>
      </c>
      <c r="Q291" s="177">
        <f t="shared" si="163"/>
        <v>0.44449999999999995</v>
      </c>
      <c r="R291" s="178">
        <f t="shared" si="164"/>
        <v>0.254</v>
      </c>
      <c r="S291" s="178">
        <f t="shared" si="165"/>
        <v>4.4625000000000004</v>
      </c>
      <c r="T291" s="176"/>
      <c r="U291" s="323">
        <f t="shared" si="166"/>
        <v>75.540000000000006</v>
      </c>
      <c r="V291" s="323">
        <f t="shared" si="167"/>
        <v>90.000000000000568</v>
      </c>
      <c r="W291" s="323">
        <v>76</v>
      </c>
      <c r="X291" s="179">
        <f t="shared" si="168"/>
        <v>-0.45999999999999375</v>
      </c>
      <c r="Y291" s="41" t="s">
        <v>405</v>
      </c>
      <c r="Z291" s="93"/>
    </row>
    <row r="292" spans="1:26" ht="12" customHeight="1">
      <c r="A292" s="176">
        <v>38845</v>
      </c>
      <c r="B292" s="239" t="s">
        <v>1051</v>
      </c>
      <c r="C292" s="93" t="s">
        <v>448</v>
      </c>
      <c r="D292" s="93">
        <v>50</v>
      </c>
      <c r="E292" s="177">
        <v>182.8</v>
      </c>
      <c r="F292" s="177">
        <v>190</v>
      </c>
      <c r="G292" s="178">
        <f t="shared" si="155"/>
        <v>0.09</v>
      </c>
      <c r="H292" s="178"/>
      <c r="I292" s="178"/>
      <c r="J292" s="178">
        <f t="shared" si="156"/>
        <v>0.1</v>
      </c>
      <c r="K292" s="178">
        <f t="shared" si="157"/>
        <v>7.1999999999999886</v>
      </c>
      <c r="L292" s="177">
        <f t="shared" si="158"/>
        <v>18639.5</v>
      </c>
      <c r="M292" s="177">
        <f t="shared" si="159"/>
        <v>359.99999999999943</v>
      </c>
      <c r="N292" s="177">
        <f t="shared" si="160"/>
        <v>9.5</v>
      </c>
      <c r="O292" s="177">
        <f t="shared" si="169"/>
        <v>1.1628000000000001</v>
      </c>
      <c r="P292" s="177">
        <f t="shared" si="162"/>
        <v>3.73</v>
      </c>
      <c r="Q292" s="177">
        <f t="shared" si="163"/>
        <v>0.65238249999999998</v>
      </c>
      <c r="R292" s="178">
        <f t="shared" si="164"/>
        <v>0.37279000000000001</v>
      </c>
      <c r="S292" s="178">
        <f t="shared" si="165"/>
        <v>5.9179725000000003</v>
      </c>
      <c r="T292" s="176"/>
      <c r="U292" s="323">
        <f t="shared" si="166"/>
        <v>344.58</v>
      </c>
      <c r="V292" s="323">
        <f t="shared" si="167"/>
        <v>359.99999999999943</v>
      </c>
      <c r="W292" s="323">
        <v>344</v>
      </c>
      <c r="X292" s="179">
        <f t="shared" si="168"/>
        <v>0.57999999999998408</v>
      </c>
      <c r="Y292" s="41" t="s">
        <v>405</v>
      </c>
      <c r="Z292" s="93"/>
    </row>
    <row r="293" spans="1:26" ht="12" customHeight="1">
      <c r="A293" s="176">
        <v>38845</v>
      </c>
      <c r="B293" s="239" t="s">
        <v>502</v>
      </c>
      <c r="C293" s="93" t="s">
        <v>448</v>
      </c>
      <c r="D293" s="93">
        <v>50</v>
      </c>
      <c r="E293" s="177">
        <v>220.8</v>
      </c>
      <c r="F293" s="177">
        <v>221.95</v>
      </c>
      <c r="G293" s="178">
        <f t="shared" si="155"/>
        <v>0.11</v>
      </c>
      <c r="H293" s="178"/>
      <c r="I293" s="178"/>
      <c r="J293" s="178">
        <f t="shared" si="156"/>
        <v>0.11</v>
      </c>
      <c r="K293" s="178">
        <f t="shared" si="157"/>
        <v>1.1499999999999773</v>
      </c>
      <c r="L293" s="177">
        <f t="shared" si="158"/>
        <v>22137.5</v>
      </c>
      <c r="M293" s="177">
        <f t="shared" si="159"/>
        <v>57.499999999998863</v>
      </c>
      <c r="N293" s="177">
        <f t="shared" si="160"/>
        <v>11</v>
      </c>
      <c r="O293" s="177">
        <f t="shared" si="169"/>
        <v>1.3464</v>
      </c>
      <c r="P293" s="177">
        <f t="shared" si="162"/>
        <v>4.43</v>
      </c>
      <c r="Q293" s="177">
        <f t="shared" si="163"/>
        <v>0.7748124999999999</v>
      </c>
      <c r="R293" s="178">
        <f t="shared" si="164"/>
        <v>0.44275000000000003</v>
      </c>
      <c r="S293" s="178">
        <f t="shared" si="165"/>
        <v>6.9939625000000003</v>
      </c>
      <c r="T293" s="176"/>
      <c r="U293" s="323">
        <f t="shared" si="166"/>
        <v>39.51</v>
      </c>
      <c r="V293" s="323">
        <f t="shared" si="167"/>
        <v>57.499999999998863</v>
      </c>
      <c r="W293" s="323">
        <v>39</v>
      </c>
      <c r="X293" s="179">
        <f t="shared" si="168"/>
        <v>0.50999999999999801</v>
      </c>
      <c r="Y293" s="41" t="s">
        <v>405</v>
      </c>
      <c r="Z293" s="93"/>
    </row>
    <row r="294" spans="1:26" ht="12" customHeight="1">
      <c r="A294" s="176">
        <v>38845</v>
      </c>
      <c r="B294" s="239" t="s">
        <v>975</v>
      </c>
      <c r="C294" s="93" t="s">
        <v>448</v>
      </c>
      <c r="D294" s="93">
        <v>5</v>
      </c>
      <c r="E294" s="177">
        <v>1157.8</v>
      </c>
      <c r="F294" s="177">
        <v>1153.5999999999999</v>
      </c>
      <c r="G294" s="178">
        <f t="shared" si="155"/>
        <v>0.57999999999999996</v>
      </c>
      <c r="H294" s="178"/>
      <c r="I294" s="178"/>
      <c r="J294" s="178">
        <f t="shared" si="156"/>
        <v>0.57999999999999996</v>
      </c>
      <c r="K294" s="178">
        <f t="shared" si="157"/>
        <v>-4.2000000000000455</v>
      </c>
      <c r="L294" s="177">
        <f t="shared" si="158"/>
        <v>11557</v>
      </c>
      <c r="M294" s="177">
        <f t="shared" si="159"/>
        <v>-21.000000000000227</v>
      </c>
      <c r="N294" s="177">
        <f t="shared" si="160"/>
        <v>5.8</v>
      </c>
      <c r="O294" s="177">
        <f t="shared" si="169"/>
        <v>0.70992</v>
      </c>
      <c r="P294" s="177">
        <f t="shared" si="162"/>
        <v>2.31</v>
      </c>
      <c r="Q294" s="177">
        <f t="shared" si="163"/>
        <v>0.40449499999999994</v>
      </c>
      <c r="R294" s="178">
        <f t="shared" si="164"/>
        <v>0.23114000000000001</v>
      </c>
      <c r="S294" s="178">
        <f t="shared" si="165"/>
        <v>3.6555549999999997</v>
      </c>
      <c r="T294" s="176"/>
      <c r="U294" s="323">
        <f t="shared" si="166"/>
        <v>-30.46</v>
      </c>
      <c r="V294" s="323">
        <f t="shared" si="167"/>
        <v>-21.000000000000227</v>
      </c>
      <c r="W294" s="323">
        <v>-30</v>
      </c>
      <c r="X294" s="179">
        <f t="shared" si="168"/>
        <v>-0.46000000000000085</v>
      </c>
      <c r="Y294" s="41" t="s">
        <v>405</v>
      </c>
      <c r="Z294" s="93"/>
    </row>
    <row r="295" spans="1:26" ht="12" customHeight="1">
      <c r="A295" s="176">
        <v>38845</v>
      </c>
      <c r="B295" s="239" t="s">
        <v>988</v>
      </c>
      <c r="C295" s="93" t="s">
        <v>448</v>
      </c>
      <c r="D295" s="93">
        <v>100</v>
      </c>
      <c r="E295" s="177">
        <v>26.25</v>
      </c>
      <c r="F295" s="177">
        <v>26.5</v>
      </c>
      <c r="G295" s="178">
        <f t="shared" si="155"/>
        <v>0.05</v>
      </c>
      <c r="H295" s="178"/>
      <c r="I295" s="178"/>
      <c r="J295" s="178">
        <f t="shared" si="156"/>
        <v>0.05</v>
      </c>
      <c r="K295" s="178">
        <f t="shared" si="157"/>
        <v>0.25</v>
      </c>
      <c r="L295" s="177">
        <f t="shared" si="158"/>
        <v>5275</v>
      </c>
      <c r="M295" s="177">
        <f t="shared" si="159"/>
        <v>25</v>
      </c>
      <c r="N295" s="177">
        <f t="shared" si="160"/>
        <v>10</v>
      </c>
      <c r="O295" s="177">
        <f t="shared" si="169"/>
        <v>1.224</v>
      </c>
      <c r="P295" s="177">
        <f t="shared" si="162"/>
        <v>1.06</v>
      </c>
      <c r="Q295" s="177">
        <f t="shared" si="163"/>
        <v>0.18462499999999998</v>
      </c>
      <c r="R295" s="178">
        <f t="shared" si="164"/>
        <v>0.10550000000000001</v>
      </c>
      <c r="S295" s="178">
        <f t="shared" si="165"/>
        <v>2.574125</v>
      </c>
      <c r="T295" s="176"/>
      <c r="U295" s="323">
        <f t="shared" si="166"/>
        <v>12.43</v>
      </c>
      <c r="V295" s="323">
        <f t="shared" si="167"/>
        <v>25</v>
      </c>
      <c r="W295" s="323">
        <v>12</v>
      </c>
      <c r="X295" s="179">
        <f t="shared" si="168"/>
        <v>0.42999999999999972</v>
      </c>
      <c r="Y295" s="41" t="s">
        <v>405</v>
      </c>
      <c r="Z295" s="93"/>
    </row>
    <row r="296" spans="1:26" ht="12" customHeight="1">
      <c r="A296" s="176">
        <v>38845</v>
      </c>
      <c r="B296" s="239" t="s">
        <v>1052</v>
      </c>
      <c r="C296" s="93" t="s">
        <v>448</v>
      </c>
      <c r="D296" s="93">
        <v>20</v>
      </c>
      <c r="E296" s="177">
        <v>493.7</v>
      </c>
      <c r="F296" s="177">
        <v>495</v>
      </c>
      <c r="G296" s="178">
        <f t="shared" si="155"/>
        <v>0.25</v>
      </c>
      <c r="H296" s="178"/>
      <c r="I296" s="178"/>
      <c r="J296" s="178">
        <f t="shared" si="156"/>
        <v>0.25</v>
      </c>
      <c r="K296" s="178">
        <f t="shared" si="157"/>
        <v>1.3000000000000114</v>
      </c>
      <c r="L296" s="177">
        <f t="shared" si="158"/>
        <v>19774</v>
      </c>
      <c r="M296" s="177">
        <f t="shared" si="159"/>
        <v>26.000000000000227</v>
      </c>
      <c r="N296" s="177">
        <f t="shared" si="160"/>
        <v>10</v>
      </c>
      <c r="O296" s="177">
        <f t="shared" si="169"/>
        <v>1.224</v>
      </c>
      <c r="P296" s="177">
        <f t="shared" si="162"/>
        <v>3.95</v>
      </c>
      <c r="Q296" s="177">
        <f t="shared" si="163"/>
        <v>0.69208999999999998</v>
      </c>
      <c r="R296" s="178">
        <f t="shared" si="164"/>
        <v>0.39548000000000005</v>
      </c>
      <c r="S296" s="178">
        <f t="shared" si="165"/>
        <v>6.2615700000000007</v>
      </c>
      <c r="T296" s="176"/>
      <c r="U296" s="323">
        <f t="shared" si="166"/>
        <v>9.74</v>
      </c>
      <c r="V296" s="323">
        <f t="shared" si="167"/>
        <v>26.000000000000227</v>
      </c>
      <c r="W296" s="323">
        <v>10</v>
      </c>
      <c r="X296" s="179">
        <f t="shared" si="168"/>
        <v>-0.25999999999999979</v>
      </c>
      <c r="Y296" s="41" t="s">
        <v>405</v>
      </c>
      <c r="Z296" s="93"/>
    </row>
    <row r="297" spans="1:26" ht="12" customHeight="1">
      <c r="A297" s="176">
        <v>38846</v>
      </c>
      <c r="B297" s="239" t="s">
        <v>502</v>
      </c>
      <c r="C297" s="93" t="s">
        <v>448</v>
      </c>
      <c r="D297" s="93">
        <v>100</v>
      </c>
      <c r="E297" s="177">
        <v>217.49</v>
      </c>
      <c r="F297" s="177">
        <v>219.53</v>
      </c>
      <c r="G297" s="178">
        <f t="shared" si="155"/>
        <v>0.11</v>
      </c>
      <c r="H297" s="178"/>
      <c r="I297" s="178"/>
      <c r="J297" s="178">
        <f t="shared" si="156"/>
        <v>0.11</v>
      </c>
      <c r="K297" s="178">
        <f t="shared" si="157"/>
        <v>2.039999999999992</v>
      </c>
      <c r="L297" s="177">
        <f t="shared" si="158"/>
        <v>43702</v>
      </c>
      <c r="M297" s="177">
        <f t="shared" si="159"/>
        <v>203.9999999999992</v>
      </c>
      <c r="N297" s="177">
        <f t="shared" si="160"/>
        <v>22</v>
      </c>
      <c r="O297" s="177">
        <f t="shared" si="169"/>
        <v>2.6928000000000001</v>
      </c>
      <c r="P297" s="177">
        <f t="shared" si="162"/>
        <v>8.74</v>
      </c>
      <c r="Q297" s="177">
        <f t="shared" si="163"/>
        <v>1.5295699999999999</v>
      </c>
      <c r="R297" s="178">
        <f t="shared" si="164"/>
        <v>0.87404000000000004</v>
      </c>
      <c r="S297" s="178">
        <f t="shared" si="165"/>
        <v>13.836410000000001</v>
      </c>
      <c r="T297" s="176"/>
      <c r="U297" s="323">
        <f t="shared" si="166"/>
        <v>168.16</v>
      </c>
      <c r="V297" s="323">
        <f t="shared" si="167"/>
        <v>203.9999999999992</v>
      </c>
      <c r="W297" s="323">
        <v>168</v>
      </c>
      <c r="X297" s="179">
        <f t="shared" si="168"/>
        <v>0.15999999999999659</v>
      </c>
      <c r="Y297" s="41" t="s">
        <v>405</v>
      </c>
      <c r="Z297" s="93"/>
    </row>
    <row r="298" spans="1:26" ht="12" customHeight="1">
      <c r="A298" s="176">
        <v>38846</v>
      </c>
      <c r="B298" s="239" t="s">
        <v>975</v>
      </c>
      <c r="C298" s="93" t="s">
        <v>448</v>
      </c>
      <c r="D298" s="93">
        <v>5</v>
      </c>
      <c r="E298" s="177">
        <v>1157.25</v>
      </c>
      <c r="F298" s="177">
        <v>1153.55</v>
      </c>
      <c r="G298" s="178">
        <f t="shared" si="155"/>
        <v>0.57999999999999996</v>
      </c>
      <c r="H298" s="178"/>
      <c r="I298" s="178"/>
      <c r="J298" s="178">
        <f t="shared" si="156"/>
        <v>0.57999999999999996</v>
      </c>
      <c r="K298" s="178">
        <f t="shared" si="157"/>
        <v>-3.7000000000000455</v>
      </c>
      <c r="L298" s="177">
        <f t="shared" si="158"/>
        <v>11554</v>
      </c>
      <c r="M298" s="177">
        <f t="shared" si="159"/>
        <v>-18.500000000000227</v>
      </c>
      <c r="N298" s="177">
        <f t="shared" si="160"/>
        <v>5.8</v>
      </c>
      <c r="O298" s="177">
        <f t="shared" si="169"/>
        <v>0.70992</v>
      </c>
      <c r="P298" s="177">
        <f t="shared" si="162"/>
        <v>2.31</v>
      </c>
      <c r="Q298" s="177">
        <f t="shared" si="163"/>
        <v>0.40438999999999997</v>
      </c>
      <c r="R298" s="178">
        <f t="shared" si="164"/>
        <v>0.23108000000000001</v>
      </c>
      <c r="S298" s="178">
        <f t="shared" si="165"/>
        <v>3.6553899999999997</v>
      </c>
      <c r="T298" s="176"/>
      <c r="U298" s="323">
        <f t="shared" si="166"/>
        <v>-27.96</v>
      </c>
      <c r="V298" s="323">
        <f t="shared" si="167"/>
        <v>-18.500000000000227</v>
      </c>
      <c r="W298" s="323">
        <v>-28</v>
      </c>
      <c r="X298" s="179">
        <f t="shared" si="168"/>
        <v>3.9999999999999147E-2</v>
      </c>
      <c r="Y298" s="41" t="s">
        <v>405</v>
      </c>
      <c r="Z298" s="93"/>
    </row>
    <row r="299" spans="1:26" ht="12" customHeight="1">
      <c r="A299" s="176">
        <v>38846</v>
      </c>
      <c r="B299" s="239" t="s">
        <v>1053</v>
      </c>
      <c r="C299" s="93" t="s">
        <v>448</v>
      </c>
      <c r="D299" s="93">
        <v>10</v>
      </c>
      <c r="E299" s="177">
        <v>642.95000000000005</v>
      </c>
      <c r="F299" s="177">
        <v>661.55</v>
      </c>
      <c r="G299" s="178">
        <f t="shared" si="155"/>
        <v>0.32</v>
      </c>
      <c r="H299" s="178"/>
      <c r="I299" s="178"/>
      <c r="J299" s="178">
        <f t="shared" si="156"/>
        <v>0.33</v>
      </c>
      <c r="K299" s="178">
        <f t="shared" si="157"/>
        <v>18.599999999999909</v>
      </c>
      <c r="L299" s="177">
        <f t="shared" si="158"/>
        <v>13044.9</v>
      </c>
      <c r="M299" s="177">
        <f t="shared" si="159"/>
        <v>185.99999999999909</v>
      </c>
      <c r="N299" s="177">
        <f t="shared" si="160"/>
        <v>6.5</v>
      </c>
      <c r="O299" s="177">
        <f t="shared" si="169"/>
        <v>0.79559999999999997</v>
      </c>
      <c r="P299" s="177">
        <f t="shared" si="162"/>
        <v>2.61</v>
      </c>
      <c r="Q299" s="177">
        <f t="shared" si="163"/>
        <v>0.45657149999999996</v>
      </c>
      <c r="R299" s="178">
        <f t="shared" si="164"/>
        <v>0.26089800000000002</v>
      </c>
      <c r="S299" s="178">
        <f t="shared" si="165"/>
        <v>4.1230694999999997</v>
      </c>
      <c r="T299" s="176"/>
      <c r="U299" s="323">
        <f t="shared" si="166"/>
        <v>175.38</v>
      </c>
      <c r="V299" s="323">
        <f t="shared" si="167"/>
        <v>185.99999999999909</v>
      </c>
      <c r="W299" s="323">
        <v>175</v>
      </c>
      <c r="X299" s="179">
        <f t="shared" si="168"/>
        <v>0.37999999999999545</v>
      </c>
      <c r="Y299" s="41" t="s">
        <v>405</v>
      </c>
      <c r="Z299" s="93"/>
    </row>
    <row r="300" spans="1:26" ht="12" customHeight="1">
      <c r="A300" s="176">
        <v>38846</v>
      </c>
      <c r="B300" s="239" t="s">
        <v>1054</v>
      </c>
      <c r="C300" s="93" t="s">
        <v>448</v>
      </c>
      <c r="D300" s="93">
        <v>50</v>
      </c>
      <c r="E300" s="177">
        <v>275</v>
      </c>
      <c r="F300" s="177">
        <v>279.95</v>
      </c>
      <c r="G300" s="178">
        <f t="shared" si="155"/>
        <v>0.14000000000000001</v>
      </c>
      <c r="H300" s="178"/>
      <c r="I300" s="178"/>
      <c r="J300" s="178">
        <f t="shared" si="156"/>
        <v>0.14000000000000001</v>
      </c>
      <c r="K300" s="178">
        <f t="shared" si="157"/>
        <v>4.9499999999999886</v>
      </c>
      <c r="L300" s="177">
        <f t="shared" si="158"/>
        <v>27747.5</v>
      </c>
      <c r="M300" s="177">
        <f t="shared" si="159"/>
        <v>247.49999999999943</v>
      </c>
      <c r="N300" s="177">
        <f t="shared" si="160"/>
        <v>14.000000000000002</v>
      </c>
      <c r="O300" s="177">
        <f t="shared" si="169"/>
        <v>1.7136000000000002</v>
      </c>
      <c r="P300" s="177">
        <f t="shared" si="162"/>
        <v>5.55</v>
      </c>
      <c r="Q300" s="177">
        <f t="shared" si="163"/>
        <v>0.97116249999999993</v>
      </c>
      <c r="R300" s="178">
        <f t="shared" si="164"/>
        <v>0.55495000000000005</v>
      </c>
      <c r="S300" s="178">
        <f t="shared" si="165"/>
        <v>8.7897125000000003</v>
      </c>
      <c r="T300" s="176"/>
      <c r="U300" s="323">
        <f t="shared" si="166"/>
        <v>224.71</v>
      </c>
      <c r="V300" s="323">
        <f t="shared" si="167"/>
        <v>247.49999999999943</v>
      </c>
      <c r="W300" s="323">
        <v>224</v>
      </c>
      <c r="X300" s="179">
        <f t="shared" si="168"/>
        <v>0.71000000000000796</v>
      </c>
      <c r="Y300" s="41" t="s">
        <v>405</v>
      </c>
      <c r="Z300" s="93"/>
    </row>
    <row r="301" spans="1:26" ht="12" customHeight="1">
      <c r="A301" s="176">
        <v>38847</v>
      </c>
      <c r="B301" s="239" t="s">
        <v>1053</v>
      </c>
      <c r="C301" s="93" t="s">
        <v>448</v>
      </c>
      <c r="D301" s="93">
        <v>10</v>
      </c>
      <c r="E301" s="177">
        <v>669.7</v>
      </c>
      <c r="F301" s="177">
        <v>671</v>
      </c>
      <c r="G301" s="178">
        <f t="shared" si="155"/>
        <v>0.33</v>
      </c>
      <c r="H301" s="178"/>
      <c r="I301" s="178"/>
      <c r="J301" s="178">
        <f t="shared" si="156"/>
        <v>0.34</v>
      </c>
      <c r="K301" s="178">
        <f t="shared" si="157"/>
        <v>1.2999999999999545</v>
      </c>
      <c r="L301" s="177">
        <f t="shared" si="158"/>
        <v>13406.900000000001</v>
      </c>
      <c r="M301" s="177">
        <f t="shared" si="159"/>
        <v>12.999999999999545</v>
      </c>
      <c r="N301" s="177">
        <f t="shared" si="160"/>
        <v>6.7000000000000011</v>
      </c>
      <c r="O301" s="177">
        <f t="shared" si="169"/>
        <v>0.82008000000000014</v>
      </c>
      <c r="P301" s="177">
        <f t="shared" si="162"/>
        <v>2.68</v>
      </c>
      <c r="Q301" s="177">
        <f t="shared" si="163"/>
        <v>0.46924150000000003</v>
      </c>
      <c r="R301" s="178">
        <f t="shared" si="164"/>
        <v>0.26813800000000004</v>
      </c>
      <c r="S301" s="178">
        <f t="shared" si="165"/>
        <v>4.2374595000000008</v>
      </c>
      <c r="T301" s="176"/>
      <c r="U301" s="323">
        <f t="shared" si="166"/>
        <v>2.06</v>
      </c>
      <c r="V301" s="323">
        <f t="shared" si="167"/>
        <v>12.999999999999545</v>
      </c>
      <c r="W301" s="323">
        <v>2</v>
      </c>
      <c r="X301" s="179">
        <f t="shared" si="168"/>
        <v>6.0000000000000053E-2</v>
      </c>
      <c r="Y301" s="41" t="s">
        <v>405</v>
      </c>
      <c r="Z301" s="93"/>
    </row>
    <row r="302" spans="1:26" ht="12" customHeight="1">
      <c r="A302" s="176">
        <v>38847</v>
      </c>
      <c r="B302" s="239" t="s">
        <v>1055</v>
      </c>
      <c r="C302" s="93" t="s">
        <v>448</v>
      </c>
      <c r="D302" s="93">
        <v>20</v>
      </c>
      <c r="E302" s="177">
        <v>374.9</v>
      </c>
      <c r="F302" s="177">
        <v>375.6</v>
      </c>
      <c r="G302" s="178">
        <f t="shared" si="155"/>
        <v>0.19</v>
      </c>
      <c r="H302" s="178"/>
      <c r="I302" s="178"/>
      <c r="J302" s="178">
        <f t="shared" si="156"/>
        <v>0.19</v>
      </c>
      <c r="K302" s="178">
        <f t="shared" si="157"/>
        <v>0.70000000000004547</v>
      </c>
      <c r="L302" s="177">
        <f t="shared" si="158"/>
        <v>15010</v>
      </c>
      <c r="M302" s="177">
        <f t="shared" si="159"/>
        <v>14.000000000000909</v>
      </c>
      <c r="N302" s="177">
        <f t="shared" si="160"/>
        <v>7.6</v>
      </c>
      <c r="O302" s="177">
        <f t="shared" si="169"/>
        <v>0.93023999999999996</v>
      </c>
      <c r="P302" s="177">
        <f t="shared" si="162"/>
        <v>3</v>
      </c>
      <c r="Q302" s="177">
        <f t="shared" si="163"/>
        <v>0.52534999999999998</v>
      </c>
      <c r="R302" s="178">
        <f t="shared" si="164"/>
        <v>0.30020000000000002</v>
      </c>
      <c r="S302" s="178">
        <f t="shared" si="165"/>
        <v>4.7557900000000002</v>
      </c>
      <c r="T302" s="176"/>
      <c r="U302" s="323">
        <f t="shared" si="166"/>
        <v>1.64</v>
      </c>
      <c r="V302" s="323">
        <f t="shared" si="167"/>
        <v>14.000000000000909</v>
      </c>
      <c r="W302" s="323">
        <v>1.5</v>
      </c>
      <c r="X302" s="179">
        <f t="shared" si="168"/>
        <v>0.1399999999999999</v>
      </c>
      <c r="Y302" s="41" t="s">
        <v>405</v>
      </c>
      <c r="Z302" s="93"/>
    </row>
    <row r="303" spans="1:26" ht="12" customHeight="1">
      <c r="A303" s="176">
        <v>38847</v>
      </c>
      <c r="B303" s="239" t="s">
        <v>988</v>
      </c>
      <c r="C303" s="93" t="s">
        <v>448</v>
      </c>
      <c r="D303" s="93">
        <v>100</v>
      </c>
      <c r="E303" s="177">
        <v>25.85</v>
      </c>
      <c r="F303" s="177">
        <v>26.15</v>
      </c>
      <c r="G303" s="178">
        <f t="shared" si="155"/>
        <v>0.05</v>
      </c>
      <c r="H303" s="178"/>
      <c r="I303" s="178"/>
      <c r="J303" s="178">
        <f t="shared" si="156"/>
        <v>0.05</v>
      </c>
      <c r="K303" s="178">
        <f t="shared" si="157"/>
        <v>0.29999999999999716</v>
      </c>
      <c r="L303" s="177">
        <f t="shared" si="158"/>
        <v>5200</v>
      </c>
      <c r="M303" s="177">
        <f t="shared" si="159"/>
        <v>29.999999999999716</v>
      </c>
      <c r="N303" s="177">
        <f t="shared" si="160"/>
        <v>10</v>
      </c>
      <c r="O303" s="177">
        <f t="shared" si="169"/>
        <v>1.224</v>
      </c>
      <c r="P303" s="177">
        <f t="shared" si="162"/>
        <v>1.04</v>
      </c>
      <c r="Q303" s="177">
        <f t="shared" si="163"/>
        <v>0.182</v>
      </c>
      <c r="R303" s="178">
        <f t="shared" si="164"/>
        <v>0.10400000000000001</v>
      </c>
      <c r="S303" s="178">
        <f t="shared" si="165"/>
        <v>2.5500000000000003</v>
      </c>
      <c r="T303" s="176"/>
      <c r="U303" s="323">
        <f t="shared" si="166"/>
        <v>17.45</v>
      </c>
      <c r="V303" s="323">
        <f t="shared" si="167"/>
        <v>29.999999999999716</v>
      </c>
      <c r="W303" s="323">
        <v>17</v>
      </c>
      <c r="X303" s="179">
        <f t="shared" si="168"/>
        <v>0.44999999999999929</v>
      </c>
      <c r="Y303" s="41" t="s">
        <v>405</v>
      </c>
      <c r="Z303" s="93"/>
    </row>
    <row r="304" spans="1:26" ht="12" customHeight="1">
      <c r="A304" s="176">
        <v>38847</v>
      </c>
      <c r="B304" s="239" t="s">
        <v>996</v>
      </c>
      <c r="C304" s="93" t="s">
        <v>448</v>
      </c>
      <c r="D304" s="93">
        <v>10</v>
      </c>
      <c r="E304" s="177">
        <v>234.7</v>
      </c>
      <c r="F304" s="177">
        <v>238.25</v>
      </c>
      <c r="G304" s="178">
        <f t="shared" si="155"/>
        <v>0.12</v>
      </c>
      <c r="H304" s="178"/>
      <c r="I304" s="178"/>
      <c r="J304" s="178">
        <f t="shared" si="156"/>
        <v>0.12</v>
      </c>
      <c r="K304" s="178">
        <f t="shared" si="157"/>
        <v>3.5500000000000114</v>
      </c>
      <c r="L304" s="177">
        <f t="shared" si="158"/>
        <v>4729.5</v>
      </c>
      <c r="M304" s="177">
        <f t="shared" si="159"/>
        <v>35.500000000000114</v>
      </c>
      <c r="N304" s="177">
        <f t="shared" si="160"/>
        <v>2.4</v>
      </c>
      <c r="O304" s="177">
        <f t="shared" si="169"/>
        <v>0.29375999999999997</v>
      </c>
      <c r="P304" s="177">
        <f t="shared" si="162"/>
        <v>0.95</v>
      </c>
      <c r="Q304" s="177">
        <f t="shared" si="163"/>
        <v>0.1655325</v>
      </c>
      <c r="R304" s="178">
        <f t="shared" si="164"/>
        <v>9.4590000000000007E-2</v>
      </c>
      <c r="S304" s="178">
        <f t="shared" si="165"/>
        <v>1.5038825</v>
      </c>
      <c r="T304" s="176"/>
      <c r="U304" s="323">
        <f t="shared" si="166"/>
        <v>31.6</v>
      </c>
      <c r="V304" s="323">
        <f t="shared" si="167"/>
        <v>35.500000000000114</v>
      </c>
      <c r="W304" s="323">
        <v>31</v>
      </c>
      <c r="X304" s="179">
        <f t="shared" si="168"/>
        <v>0.60000000000000142</v>
      </c>
      <c r="Y304" s="41" t="s">
        <v>405</v>
      </c>
      <c r="Z304" s="93"/>
    </row>
    <row r="305" spans="1:26" ht="12" customHeight="1">
      <c r="A305" s="176">
        <v>38847</v>
      </c>
      <c r="B305" s="239" t="s">
        <v>1056</v>
      </c>
      <c r="C305" s="93" t="s">
        <v>448</v>
      </c>
      <c r="D305" s="93">
        <v>20</v>
      </c>
      <c r="E305" s="177">
        <v>327.2</v>
      </c>
      <c r="F305" s="177">
        <v>319.3</v>
      </c>
      <c r="G305" s="178">
        <f t="shared" si="155"/>
        <v>0.16</v>
      </c>
      <c r="H305" s="178"/>
      <c r="I305" s="178"/>
      <c r="J305" s="178">
        <f t="shared" si="156"/>
        <v>0.16</v>
      </c>
      <c r="K305" s="178">
        <f t="shared" si="157"/>
        <v>-7.8999999999999773</v>
      </c>
      <c r="L305" s="177">
        <f t="shared" si="158"/>
        <v>12930</v>
      </c>
      <c r="M305" s="177">
        <f t="shared" si="159"/>
        <v>-157.99999999999955</v>
      </c>
      <c r="N305" s="177">
        <f t="shared" si="160"/>
        <v>6.4</v>
      </c>
      <c r="O305" s="177">
        <f t="shared" si="169"/>
        <v>0.78336000000000006</v>
      </c>
      <c r="P305" s="177">
        <f t="shared" si="162"/>
        <v>2.59</v>
      </c>
      <c r="Q305" s="177">
        <f t="shared" si="163"/>
        <v>0.45254999999999995</v>
      </c>
      <c r="R305" s="178">
        <f t="shared" si="164"/>
        <v>0.2586</v>
      </c>
      <c r="S305" s="178">
        <f t="shared" si="165"/>
        <v>4.0845099999999999</v>
      </c>
      <c r="T305" s="176"/>
      <c r="U305" s="323">
        <f t="shared" si="166"/>
        <v>-168.48</v>
      </c>
      <c r="V305" s="323">
        <f t="shared" si="167"/>
        <v>-157.99999999999955</v>
      </c>
      <c r="W305" s="323">
        <v>-169</v>
      </c>
      <c r="X305" s="179">
        <f t="shared" si="168"/>
        <v>0.52000000000001023</v>
      </c>
      <c r="Y305" s="41" t="s">
        <v>405</v>
      </c>
      <c r="Z305" s="93"/>
    </row>
    <row r="306" spans="1:26" ht="12" customHeight="1">
      <c r="A306" s="176">
        <v>38848</v>
      </c>
      <c r="B306" s="239" t="s">
        <v>1025</v>
      </c>
      <c r="C306" s="93" t="s">
        <v>1020</v>
      </c>
      <c r="D306" s="93">
        <v>50</v>
      </c>
      <c r="E306" s="177">
        <v>88.25</v>
      </c>
      <c r="F306" s="177">
        <v>89.95</v>
      </c>
      <c r="G306" s="178">
        <f t="shared" si="155"/>
        <v>0.05</v>
      </c>
      <c r="H306" s="178"/>
      <c r="I306" s="178"/>
      <c r="J306" s="178">
        <f t="shared" si="156"/>
        <v>0.05</v>
      </c>
      <c r="K306" s="178">
        <f t="shared" si="157"/>
        <v>1.7000000000000028</v>
      </c>
      <c r="L306" s="177">
        <f t="shared" si="158"/>
        <v>8910</v>
      </c>
      <c r="M306" s="177">
        <f t="shared" si="159"/>
        <v>85.000000000000142</v>
      </c>
      <c r="N306" s="177">
        <f t="shared" si="160"/>
        <v>5</v>
      </c>
      <c r="O306" s="177">
        <f t="shared" si="169"/>
        <v>0.61199999999999999</v>
      </c>
      <c r="P306" s="177">
        <f t="shared" ref="P306:P321" si="170">ROUND(((F306-J306)*D306)*E$330,2)</f>
        <v>0.9</v>
      </c>
      <c r="Q306" s="177">
        <f t="shared" si="163"/>
        <v>0.31184999999999996</v>
      </c>
      <c r="R306" s="178">
        <f t="shared" si="164"/>
        <v>0.17820000000000003</v>
      </c>
      <c r="S306" s="178">
        <f t="shared" si="165"/>
        <v>2.0020500000000001</v>
      </c>
      <c r="T306" s="176"/>
      <c r="U306" s="323">
        <f t="shared" si="166"/>
        <v>78</v>
      </c>
      <c r="V306" s="323">
        <f t="shared" si="167"/>
        <v>85.000000000000142</v>
      </c>
      <c r="W306" s="323">
        <v>76.599999999999994</v>
      </c>
      <c r="X306" s="179">
        <f t="shared" si="168"/>
        <v>1.4000000000000057</v>
      </c>
      <c r="Y306" s="41" t="s">
        <v>405</v>
      </c>
      <c r="Z306" s="93"/>
    </row>
    <row r="307" spans="1:26" ht="12" customHeight="1">
      <c r="A307" s="176">
        <v>38848</v>
      </c>
      <c r="B307" s="239" t="s">
        <v>1055</v>
      </c>
      <c r="C307" s="93" t="s">
        <v>448</v>
      </c>
      <c r="D307" s="93">
        <v>75</v>
      </c>
      <c r="E307" s="177">
        <v>371.33</v>
      </c>
      <c r="F307" s="177">
        <v>379.27</v>
      </c>
      <c r="G307" s="178">
        <f t="shared" si="155"/>
        <v>0.19</v>
      </c>
      <c r="H307" s="178"/>
      <c r="I307" s="178"/>
      <c r="J307" s="178">
        <f t="shared" si="156"/>
        <v>0.19</v>
      </c>
      <c r="K307" s="178">
        <f t="shared" si="157"/>
        <v>7.9399999999999977</v>
      </c>
      <c r="L307" s="177">
        <f t="shared" si="158"/>
        <v>56295</v>
      </c>
      <c r="M307" s="177">
        <f t="shared" si="159"/>
        <v>595.49999999999977</v>
      </c>
      <c r="N307" s="177">
        <f t="shared" si="160"/>
        <v>28.5</v>
      </c>
      <c r="O307" s="177">
        <f t="shared" si="169"/>
        <v>3.4883999999999999</v>
      </c>
      <c r="P307" s="177">
        <f t="shared" si="170"/>
        <v>5.69</v>
      </c>
      <c r="Q307" s="177">
        <f t="shared" si="163"/>
        <v>1.9703249999999999</v>
      </c>
      <c r="R307" s="178">
        <f t="shared" si="164"/>
        <v>1.1259000000000001</v>
      </c>
      <c r="S307" s="178">
        <f t="shared" si="165"/>
        <v>12.274624999999999</v>
      </c>
      <c r="T307" s="176"/>
      <c r="U307" s="323">
        <f t="shared" si="166"/>
        <v>554.73</v>
      </c>
      <c r="V307" s="323">
        <f t="shared" si="167"/>
        <v>595.49999999999977</v>
      </c>
      <c r="W307" s="323">
        <v>550</v>
      </c>
      <c r="X307" s="179">
        <f t="shared" si="168"/>
        <v>4.7300000000000182</v>
      </c>
      <c r="Y307" s="41" t="s">
        <v>405</v>
      </c>
      <c r="Z307" s="93"/>
    </row>
    <row r="308" spans="1:26" ht="12" customHeight="1">
      <c r="A308" s="176">
        <v>38848</v>
      </c>
      <c r="B308" s="239" t="s">
        <v>1025</v>
      </c>
      <c r="C308" s="93" t="s">
        <v>448</v>
      </c>
      <c r="D308" s="93">
        <v>50</v>
      </c>
      <c r="E308" s="177">
        <v>88.2</v>
      </c>
      <c r="F308" s="177">
        <v>89.95</v>
      </c>
      <c r="G308" s="178">
        <f t="shared" si="155"/>
        <v>0.05</v>
      </c>
      <c r="H308" s="178"/>
      <c r="I308" s="178"/>
      <c r="J308" s="178">
        <f t="shared" si="156"/>
        <v>0.05</v>
      </c>
      <c r="K308" s="178">
        <f t="shared" si="157"/>
        <v>1.75</v>
      </c>
      <c r="L308" s="177">
        <f t="shared" si="158"/>
        <v>8907.5</v>
      </c>
      <c r="M308" s="177">
        <f t="shared" si="159"/>
        <v>87.5</v>
      </c>
      <c r="N308" s="177">
        <f t="shared" si="160"/>
        <v>5</v>
      </c>
      <c r="O308" s="177">
        <f t="shared" si="169"/>
        <v>0.61199999999999999</v>
      </c>
      <c r="P308" s="177">
        <f t="shared" si="170"/>
        <v>0.9</v>
      </c>
      <c r="Q308" s="177">
        <f t="shared" si="163"/>
        <v>0.3117625</v>
      </c>
      <c r="R308" s="178">
        <f t="shared" si="164"/>
        <v>0.17815</v>
      </c>
      <c r="S308" s="178">
        <f t="shared" si="165"/>
        <v>2.0019125</v>
      </c>
      <c r="T308" s="176"/>
      <c r="U308" s="323">
        <f t="shared" si="166"/>
        <v>80.5</v>
      </c>
      <c r="V308" s="323">
        <f t="shared" si="167"/>
        <v>87.5</v>
      </c>
      <c r="W308" s="323">
        <v>79</v>
      </c>
      <c r="X308" s="179">
        <f t="shared" si="168"/>
        <v>1.5</v>
      </c>
      <c r="Y308" s="41" t="s">
        <v>405</v>
      </c>
      <c r="Z308" s="93"/>
    </row>
    <row r="309" spans="1:26" ht="12" customHeight="1">
      <c r="A309" s="176">
        <v>38848</v>
      </c>
      <c r="B309" s="239" t="s">
        <v>988</v>
      </c>
      <c r="C309" s="93" t="s">
        <v>448</v>
      </c>
      <c r="D309" s="93">
        <v>200</v>
      </c>
      <c r="E309" s="177">
        <v>27.45</v>
      </c>
      <c r="F309" s="177">
        <v>27.28</v>
      </c>
      <c r="G309" s="178">
        <f t="shared" si="155"/>
        <v>0.05</v>
      </c>
      <c r="H309" s="178"/>
      <c r="I309" s="178"/>
      <c r="J309" s="178">
        <f t="shared" si="156"/>
        <v>0.05</v>
      </c>
      <c r="K309" s="178">
        <f t="shared" si="157"/>
        <v>-0.16999999999999815</v>
      </c>
      <c r="L309" s="177">
        <f t="shared" si="158"/>
        <v>10946</v>
      </c>
      <c r="M309" s="177">
        <f t="shared" si="159"/>
        <v>-33.999999999999631</v>
      </c>
      <c r="N309" s="177">
        <f t="shared" si="160"/>
        <v>20</v>
      </c>
      <c r="O309" s="177">
        <f t="shared" si="169"/>
        <v>2.448</v>
      </c>
      <c r="P309" s="177">
        <f t="shared" si="170"/>
        <v>1.0900000000000001</v>
      </c>
      <c r="Q309" s="177">
        <f t="shared" si="163"/>
        <v>0.38310999999999995</v>
      </c>
      <c r="R309" s="178">
        <f t="shared" si="164"/>
        <v>0.21892000000000003</v>
      </c>
      <c r="S309" s="178">
        <f t="shared" si="165"/>
        <v>4.1400300000000003</v>
      </c>
      <c r="T309" s="176"/>
      <c r="U309" s="323">
        <f t="shared" si="166"/>
        <v>-58.14</v>
      </c>
      <c r="V309" s="323">
        <f t="shared" si="167"/>
        <v>-33.999999999999631</v>
      </c>
      <c r="W309" s="323">
        <v>-59</v>
      </c>
      <c r="X309" s="179">
        <f t="shared" si="168"/>
        <v>0.85999999999999943</v>
      </c>
      <c r="Y309" s="41" t="s">
        <v>405</v>
      </c>
      <c r="Z309" s="93"/>
    </row>
    <row r="310" spans="1:26" ht="12" customHeight="1">
      <c r="A310" s="176">
        <v>38849</v>
      </c>
      <c r="B310" s="239" t="s">
        <v>1057</v>
      </c>
      <c r="C310" s="93" t="s">
        <v>448</v>
      </c>
      <c r="D310" s="93">
        <v>100</v>
      </c>
      <c r="E310" s="177">
        <v>325.77999999999997</v>
      </c>
      <c r="F310" s="177">
        <v>327.25</v>
      </c>
      <c r="G310" s="178">
        <f t="shared" si="155"/>
        <v>0.16</v>
      </c>
      <c r="H310" s="178"/>
      <c r="I310" s="178"/>
      <c r="J310" s="178">
        <f t="shared" si="156"/>
        <v>0.16</v>
      </c>
      <c r="K310" s="178">
        <f t="shared" si="157"/>
        <v>1.4700000000000273</v>
      </c>
      <c r="L310" s="177">
        <f t="shared" si="158"/>
        <v>65303</v>
      </c>
      <c r="M310" s="177">
        <f t="shared" si="159"/>
        <v>147.00000000000273</v>
      </c>
      <c r="N310" s="177">
        <f t="shared" si="160"/>
        <v>32</v>
      </c>
      <c r="O310" s="177">
        <f t="shared" si="169"/>
        <v>3.9167999999999998</v>
      </c>
      <c r="P310" s="177">
        <f t="shared" si="170"/>
        <v>6.54</v>
      </c>
      <c r="Q310" s="177">
        <f t="shared" si="163"/>
        <v>2.2856049999999999</v>
      </c>
      <c r="R310" s="178">
        <f t="shared" si="164"/>
        <v>1.30606</v>
      </c>
      <c r="S310" s="178">
        <f t="shared" si="165"/>
        <v>14.048465</v>
      </c>
      <c r="T310" s="176"/>
      <c r="U310" s="323">
        <f t="shared" si="166"/>
        <v>100.95</v>
      </c>
      <c r="V310" s="323">
        <f t="shared" si="167"/>
        <v>147.00000000000273</v>
      </c>
      <c r="W310" s="323">
        <v>95</v>
      </c>
      <c r="X310" s="179">
        <f t="shared" si="168"/>
        <v>5.9500000000000028</v>
      </c>
      <c r="Y310" s="41" t="s">
        <v>405</v>
      </c>
      <c r="Z310" s="93"/>
    </row>
    <row r="311" spans="1:26" ht="12" customHeight="1">
      <c r="A311" s="176">
        <v>38849</v>
      </c>
      <c r="B311" s="239" t="s">
        <v>1055</v>
      </c>
      <c r="C311" s="93" t="s">
        <v>448</v>
      </c>
      <c r="D311" s="93">
        <v>75</v>
      </c>
      <c r="E311" s="177">
        <v>366.67</v>
      </c>
      <c r="F311" s="177">
        <v>369.3</v>
      </c>
      <c r="G311" s="178">
        <f t="shared" si="155"/>
        <v>0.18</v>
      </c>
      <c r="H311" s="178"/>
      <c r="I311" s="178"/>
      <c r="J311" s="178">
        <f t="shared" si="156"/>
        <v>0.18</v>
      </c>
      <c r="K311" s="178">
        <f t="shared" si="157"/>
        <v>2.6299999999999955</v>
      </c>
      <c r="L311" s="177">
        <f t="shared" si="158"/>
        <v>55197.75</v>
      </c>
      <c r="M311" s="177">
        <f t="shared" si="159"/>
        <v>197.24999999999966</v>
      </c>
      <c r="N311" s="177">
        <f t="shared" si="160"/>
        <v>27</v>
      </c>
      <c r="O311" s="177">
        <f t="shared" si="169"/>
        <v>3.3047999999999997</v>
      </c>
      <c r="P311" s="177">
        <f t="shared" si="170"/>
        <v>5.54</v>
      </c>
      <c r="Q311" s="177">
        <f t="shared" si="163"/>
        <v>1.9319212499999998</v>
      </c>
      <c r="R311" s="178">
        <f t="shared" si="164"/>
        <v>1.103955</v>
      </c>
      <c r="S311" s="178">
        <f t="shared" si="165"/>
        <v>11.88067625</v>
      </c>
      <c r="T311" s="176"/>
      <c r="U311" s="323">
        <f t="shared" si="166"/>
        <v>158.37</v>
      </c>
      <c r="V311" s="323">
        <f t="shared" si="167"/>
        <v>197.24999999999966</v>
      </c>
      <c r="W311" s="323">
        <v>153</v>
      </c>
      <c r="X311" s="179">
        <f t="shared" si="168"/>
        <v>5.3700000000000045</v>
      </c>
      <c r="Y311" s="41" t="s">
        <v>405</v>
      </c>
      <c r="Z311" s="93"/>
    </row>
    <row r="312" spans="1:26" ht="12" customHeight="1">
      <c r="A312" s="176">
        <v>38849</v>
      </c>
      <c r="B312" s="239" t="s">
        <v>1054</v>
      </c>
      <c r="C312" s="93" t="s">
        <v>448</v>
      </c>
      <c r="D312" s="93">
        <v>50</v>
      </c>
      <c r="E312" s="177">
        <v>271.5</v>
      </c>
      <c r="F312" s="177">
        <v>273.89999999999998</v>
      </c>
      <c r="G312" s="178">
        <f t="shared" si="155"/>
        <v>0.14000000000000001</v>
      </c>
      <c r="H312" s="178"/>
      <c r="I312" s="178"/>
      <c r="J312" s="178">
        <f t="shared" si="156"/>
        <v>0.14000000000000001</v>
      </c>
      <c r="K312" s="178">
        <f t="shared" si="157"/>
        <v>2.3999999999999773</v>
      </c>
      <c r="L312" s="177">
        <f t="shared" si="158"/>
        <v>27270</v>
      </c>
      <c r="M312" s="177">
        <f t="shared" si="159"/>
        <v>119.99999999999886</v>
      </c>
      <c r="N312" s="177">
        <f t="shared" si="160"/>
        <v>14.000000000000002</v>
      </c>
      <c r="O312" s="177">
        <f t="shared" si="169"/>
        <v>1.7136000000000002</v>
      </c>
      <c r="P312" s="177">
        <f t="shared" si="170"/>
        <v>2.74</v>
      </c>
      <c r="Q312" s="177">
        <f t="shared" si="163"/>
        <v>0.95444999999999991</v>
      </c>
      <c r="R312" s="178">
        <f t="shared" si="164"/>
        <v>0.5454</v>
      </c>
      <c r="S312" s="178">
        <f t="shared" si="165"/>
        <v>5.9534500000000001</v>
      </c>
      <c r="T312" s="176"/>
      <c r="U312" s="323">
        <f t="shared" si="166"/>
        <v>100.05</v>
      </c>
      <c r="V312" s="323">
        <f t="shared" si="167"/>
        <v>119.99999999999886</v>
      </c>
      <c r="W312" s="323">
        <v>95</v>
      </c>
      <c r="X312" s="179">
        <f t="shared" si="168"/>
        <v>5.0499999999999972</v>
      </c>
      <c r="Y312" s="41" t="s">
        <v>405</v>
      </c>
      <c r="Z312" s="93"/>
    </row>
    <row r="313" spans="1:26" ht="12" customHeight="1">
      <c r="A313" s="176">
        <v>38849</v>
      </c>
      <c r="B313" s="239" t="s">
        <v>1025</v>
      </c>
      <c r="C313" s="93" t="s">
        <v>448</v>
      </c>
      <c r="D313" s="93">
        <v>200</v>
      </c>
      <c r="E313" s="177">
        <v>85.03</v>
      </c>
      <c r="F313" s="177">
        <v>85.4</v>
      </c>
      <c r="G313" s="178">
        <f t="shared" si="155"/>
        <v>0.05</v>
      </c>
      <c r="H313" s="178"/>
      <c r="I313" s="178"/>
      <c r="J313" s="178">
        <f t="shared" si="156"/>
        <v>0.05</v>
      </c>
      <c r="K313" s="178">
        <f t="shared" si="157"/>
        <v>0.37000000000000455</v>
      </c>
      <c r="L313" s="177">
        <f t="shared" si="158"/>
        <v>34086</v>
      </c>
      <c r="M313" s="177">
        <f t="shared" si="159"/>
        <v>74.000000000000909</v>
      </c>
      <c r="N313" s="177">
        <f t="shared" si="160"/>
        <v>20</v>
      </c>
      <c r="O313" s="177">
        <f t="shared" si="169"/>
        <v>2.448</v>
      </c>
      <c r="P313" s="177">
        <f t="shared" si="170"/>
        <v>3.41</v>
      </c>
      <c r="Q313" s="177">
        <f t="shared" si="163"/>
        <v>1.1930099999999999</v>
      </c>
      <c r="R313" s="178">
        <f t="shared" si="164"/>
        <v>0.6817200000000001</v>
      </c>
      <c r="S313" s="178">
        <f t="shared" si="165"/>
        <v>7.732730000000001</v>
      </c>
      <c r="T313" s="176"/>
      <c r="U313" s="323">
        <f t="shared" si="166"/>
        <v>46.27</v>
      </c>
      <c r="V313" s="323">
        <f t="shared" si="167"/>
        <v>74.000000000000909</v>
      </c>
      <c r="W313" s="323">
        <v>42</v>
      </c>
      <c r="X313" s="179">
        <f t="shared" si="168"/>
        <v>4.2700000000000031</v>
      </c>
      <c r="Y313" s="41" t="s">
        <v>405</v>
      </c>
      <c r="Z313" s="93"/>
    </row>
    <row r="314" spans="1:26" ht="12" customHeight="1">
      <c r="A314" s="176">
        <v>38853</v>
      </c>
      <c r="B314" s="239" t="s">
        <v>1025</v>
      </c>
      <c r="C314" s="93" t="s">
        <v>448</v>
      </c>
      <c r="D314" s="93">
        <v>200</v>
      </c>
      <c r="E314" s="177">
        <v>72.88</v>
      </c>
      <c r="F314" s="177">
        <v>73.650000000000006</v>
      </c>
      <c r="G314" s="178">
        <f t="shared" si="155"/>
        <v>0.05</v>
      </c>
      <c r="H314" s="178"/>
      <c r="I314" s="178"/>
      <c r="J314" s="178">
        <f t="shared" si="156"/>
        <v>0.05</v>
      </c>
      <c r="K314" s="178">
        <f t="shared" si="157"/>
        <v>0.77000000000001023</v>
      </c>
      <c r="L314" s="177">
        <f t="shared" si="158"/>
        <v>29306</v>
      </c>
      <c r="M314" s="177">
        <f t="shared" si="159"/>
        <v>154.00000000000205</v>
      </c>
      <c r="N314" s="177">
        <f t="shared" si="160"/>
        <v>20</v>
      </c>
      <c r="O314" s="177">
        <f t="shared" si="169"/>
        <v>2.448</v>
      </c>
      <c r="P314" s="177">
        <f t="shared" si="170"/>
        <v>2.94</v>
      </c>
      <c r="Q314" s="177">
        <f t="shared" si="163"/>
        <v>1.0257099999999999</v>
      </c>
      <c r="R314" s="178">
        <f t="shared" si="164"/>
        <v>0.58612000000000009</v>
      </c>
      <c r="S314" s="178">
        <f t="shared" si="165"/>
        <v>6.9998300000000002</v>
      </c>
      <c r="T314" s="176"/>
      <c r="U314" s="323">
        <f t="shared" si="166"/>
        <v>127</v>
      </c>
      <c r="V314" s="323">
        <f t="shared" si="167"/>
        <v>154.00000000000205</v>
      </c>
      <c r="W314" s="323">
        <v>127</v>
      </c>
      <c r="X314" s="179">
        <f t="shared" si="168"/>
        <v>0</v>
      </c>
      <c r="Y314" s="41" t="s">
        <v>405</v>
      </c>
      <c r="Z314" s="93"/>
    </row>
    <row r="315" spans="1:26" ht="12" customHeight="1">
      <c r="A315" s="176">
        <v>38853</v>
      </c>
      <c r="B315" s="239" t="s">
        <v>988</v>
      </c>
      <c r="C315" s="93" t="s">
        <v>448</v>
      </c>
      <c r="D315" s="93">
        <v>200</v>
      </c>
      <c r="E315" s="177">
        <v>23.75</v>
      </c>
      <c r="F315" s="177">
        <v>24.25</v>
      </c>
      <c r="G315" s="178">
        <f t="shared" si="155"/>
        <v>0.05</v>
      </c>
      <c r="H315" s="178"/>
      <c r="I315" s="178"/>
      <c r="J315" s="178">
        <f t="shared" si="156"/>
        <v>0.05</v>
      </c>
      <c r="K315" s="178">
        <f t="shared" si="157"/>
        <v>0.5</v>
      </c>
      <c r="L315" s="177">
        <f t="shared" si="158"/>
        <v>9600</v>
      </c>
      <c r="M315" s="177">
        <f t="shared" si="159"/>
        <v>100</v>
      </c>
      <c r="N315" s="177">
        <f t="shared" si="160"/>
        <v>20</v>
      </c>
      <c r="O315" s="177">
        <f t="shared" si="169"/>
        <v>2.448</v>
      </c>
      <c r="P315" s="177">
        <f t="shared" si="170"/>
        <v>0.97</v>
      </c>
      <c r="Q315" s="177">
        <f t="shared" si="163"/>
        <v>0.33599999999999997</v>
      </c>
      <c r="R315" s="178">
        <f t="shared" si="164"/>
        <v>0.192</v>
      </c>
      <c r="S315" s="178">
        <f t="shared" si="165"/>
        <v>3.9460000000000002</v>
      </c>
      <c r="T315" s="176"/>
      <c r="U315" s="323">
        <f t="shared" si="166"/>
        <v>76.05</v>
      </c>
      <c r="V315" s="323">
        <f t="shared" si="167"/>
        <v>100</v>
      </c>
      <c r="W315" s="323">
        <v>76</v>
      </c>
      <c r="X315" s="179">
        <f t="shared" si="168"/>
        <v>4.9999999999997158E-2</v>
      </c>
      <c r="Y315" s="41" t="s">
        <v>405</v>
      </c>
      <c r="Z315" s="93"/>
    </row>
    <row r="316" spans="1:26" ht="12" customHeight="1">
      <c r="A316" s="176">
        <v>38854</v>
      </c>
      <c r="B316" s="239" t="s">
        <v>296</v>
      </c>
      <c r="C316" s="93" t="s">
        <v>448</v>
      </c>
      <c r="D316" s="93">
        <v>5</v>
      </c>
      <c r="E316" s="177">
        <v>1419.44</v>
      </c>
      <c r="F316" s="177">
        <v>1435</v>
      </c>
      <c r="G316" s="178">
        <f t="shared" si="155"/>
        <v>0.71</v>
      </c>
      <c r="H316" s="178"/>
      <c r="I316" s="178"/>
      <c r="J316" s="178">
        <f t="shared" si="156"/>
        <v>0.72</v>
      </c>
      <c r="K316" s="178">
        <f t="shared" si="157"/>
        <v>15.559999999999945</v>
      </c>
      <c r="L316" s="177">
        <f t="shared" si="158"/>
        <v>14272.15</v>
      </c>
      <c r="M316" s="177">
        <f t="shared" si="159"/>
        <v>77.799999999999727</v>
      </c>
      <c r="N316" s="177">
        <f t="shared" si="160"/>
        <v>7.1499999999999995</v>
      </c>
      <c r="O316" s="177">
        <f t="shared" si="169"/>
        <v>0.87515999999999994</v>
      </c>
      <c r="P316" s="177">
        <f t="shared" si="170"/>
        <v>1.43</v>
      </c>
      <c r="Q316" s="177">
        <f t="shared" si="163"/>
        <v>0.49952524999999992</v>
      </c>
      <c r="R316" s="178">
        <f t="shared" si="164"/>
        <v>0.285443</v>
      </c>
      <c r="S316" s="178">
        <f t="shared" si="165"/>
        <v>3.0901282499999998</v>
      </c>
      <c r="T316" s="176"/>
      <c r="U316" s="323">
        <f t="shared" si="166"/>
        <v>67.56</v>
      </c>
      <c r="V316" s="323">
        <f t="shared" si="167"/>
        <v>77.799999999999727</v>
      </c>
      <c r="W316" s="323">
        <v>65.92</v>
      </c>
      <c r="X316" s="179">
        <f t="shared" si="168"/>
        <v>1.6400000000000006</v>
      </c>
      <c r="Y316" s="41" t="s">
        <v>405</v>
      </c>
      <c r="Z316" s="93"/>
    </row>
    <row r="317" spans="1:26" ht="12" customHeight="1">
      <c r="A317" s="176">
        <v>38856</v>
      </c>
      <c r="B317" s="239" t="s">
        <v>1026</v>
      </c>
      <c r="C317" s="93" t="s">
        <v>448</v>
      </c>
      <c r="D317" s="93">
        <v>50</v>
      </c>
      <c r="E317" s="177">
        <v>162</v>
      </c>
      <c r="F317" s="177">
        <v>162.30000000000001</v>
      </c>
      <c r="G317" s="178">
        <f t="shared" si="155"/>
        <v>0.08</v>
      </c>
      <c r="H317" s="178"/>
      <c r="I317" s="178"/>
      <c r="J317" s="178">
        <f t="shared" si="156"/>
        <v>0.08</v>
      </c>
      <c r="K317" s="178">
        <f t="shared" si="157"/>
        <v>0.30000000000001137</v>
      </c>
      <c r="L317" s="177">
        <f t="shared" si="158"/>
        <v>16215</v>
      </c>
      <c r="M317" s="177">
        <f t="shared" si="159"/>
        <v>15.000000000000568</v>
      </c>
      <c r="N317" s="177">
        <f t="shared" si="160"/>
        <v>8</v>
      </c>
      <c r="O317" s="177">
        <f t="shared" si="169"/>
        <v>0.97919999999999996</v>
      </c>
      <c r="P317" s="177">
        <f t="shared" si="170"/>
        <v>1.62</v>
      </c>
      <c r="Q317" s="177">
        <f t="shared" si="163"/>
        <v>0.56752499999999995</v>
      </c>
      <c r="R317" s="178">
        <f t="shared" si="164"/>
        <v>0.32430000000000003</v>
      </c>
      <c r="S317" s="178">
        <f t="shared" si="165"/>
        <v>3.491025</v>
      </c>
      <c r="T317" s="176"/>
      <c r="U317" s="323">
        <f t="shared" si="166"/>
        <v>3.51</v>
      </c>
      <c r="V317" s="323">
        <f t="shared" si="167"/>
        <v>15.000000000000568</v>
      </c>
      <c r="W317" s="323"/>
      <c r="X317" s="179">
        <f t="shared" si="168"/>
        <v>3.51</v>
      </c>
      <c r="Y317" s="41" t="s">
        <v>405</v>
      </c>
      <c r="Z317" s="93"/>
    </row>
    <row r="318" spans="1:26" ht="12" customHeight="1">
      <c r="A318" s="176">
        <v>38856</v>
      </c>
      <c r="B318" s="239" t="s">
        <v>296</v>
      </c>
      <c r="C318" s="93" t="s">
        <v>448</v>
      </c>
      <c r="D318" s="93">
        <v>30</v>
      </c>
      <c r="E318" s="177">
        <v>1318.33</v>
      </c>
      <c r="F318" s="177">
        <v>1321.67</v>
      </c>
      <c r="G318" s="178">
        <f t="shared" si="155"/>
        <v>0.66</v>
      </c>
      <c r="H318" s="178"/>
      <c r="I318" s="178"/>
      <c r="J318" s="178">
        <f t="shared" si="156"/>
        <v>0.66</v>
      </c>
      <c r="K318" s="178">
        <f t="shared" si="157"/>
        <v>3.3400000000001455</v>
      </c>
      <c r="L318" s="177">
        <f t="shared" si="158"/>
        <v>79200</v>
      </c>
      <c r="M318" s="177">
        <f t="shared" si="159"/>
        <v>100.20000000000437</v>
      </c>
      <c r="N318" s="177">
        <f t="shared" si="160"/>
        <v>39.6</v>
      </c>
      <c r="O318" s="177">
        <f t="shared" si="169"/>
        <v>4.8470399999999998</v>
      </c>
      <c r="P318" s="177">
        <f t="shared" si="170"/>
        <v>7.93</v>
      </c>
      <c r="Q318" s="177">
        <f t="shared" si="163"/>
        <v>2.7719999999999998</v>
      </c>
      <c r="R318" s="178">
        <f t="shared" si="164"/>
        <v>1.5840000000000001</v>
      </c>
      <c r="S318" s="178">
        <f t="shared" si="165"/>
        <v>17.133040000000001</v>
      </c>
      <c r="T318" s="176"/>
      <c r="U318" s="323">
        <f t="shared" si="166"/>
        <v>43.47</v>
      </c>
      <c r="V318" s="323">
        <f t="shared" si="167"/>
        <v>100.20000000000437</v>
      </c>
      <c r="W318" s="323"/>
      <c r="X318" s="179">
        <f t="shared" si="168"/>
        <v>43.47</v>
      </c>
      <c r="Y318" s="41" t="s">
        <v>405</v>
      </c>
      <c r="Z318" s="93"/>
    </row>
    <row r="319" spans="1:26" ht="12" customHeight="1">
      <c r="A319" s="176">
        <v>38891</v>
      </c>
      <c r="B319" s="239" t="s">
        <v>996</v>
      </c>
      <c r="C319" s="93" t="s">
        <v>448</v>
      </c>
      <c r="D319" s="93">
        <v>25</v>
      </c>
      <c r="E319" s="177">
        <v>170.5</v>
      </c>
      <c r="F319" s="177">
        <v>171.9</v>
      </c>
      <c r="G319" s="178">
        <f t="shared" si="155"/>
        <v>0.09</v>
      </c>
      <c r="H319" s="178"/>
      <c r="I319" s="178"/>
      <c r="J319" s="178">
        <f t="shared" si="156"/>
        <v>0.09</v>
      </c>
      <c r="K319" s="178">
        <f t="shared" si="157"/>
        <v>1.4000000000000057</v>
      </c>
      <c r="L319" s="177">
        <f t="shared" si="158"/>
        <v>8560</v>
      </c>
      <c r="M319" s="177">
        <f t="shared" si="159"/>
        <v>35.000000000000142</v>
      </c>
      <c r="N319" s="177">
        <f t="shared" si="160"/>
        <v>4.5</v>
      </c>
      <c r="O319" s="177">
        <f t="shared" si="169"/>
        <v>0.55079999999999996</v>
      </c>
      <c r="P319" s="177">
        <f t="shared" si="170"/>
        <v>0.86</v>
      </c>
      <c r="Q319" s="177">
        <f t="shared" si="163"/>
        <v>0.29959999999999998</v>
      </c>
      <c r="R319" s="178">
        <f t="shared" si="164"/>
        <v>0.17120000000000002</v>
      </c>
      <c r="S319" s="178">
        <f t="shared" si="165"/>
        <v>1.8815999999999999</v>
      </c>
      <c r="T319" s="176"/>
      <c r="U319" s="323">
        <f t="shared" si="166"/>
        <v>28.62</v>
      </c>
      <c r="V319" s="323">
        <f t="shared" si="167"/>
        <v>35.000000000000142</v>
      </c>
      <c r="W319" s="323"/>
      <c r="X319" s="179">
        <f t="shared" si="168"/>
        <v>28.62</v>
      </c>
      <c r="Y319" s="41" t="s">
        <v>405</v>
      </c>
      <c r="Z319" s="93"/>
    </row>
    <row r="320" spans="1:26" ht="12" customHeight="1">
      <c r="A320" s="176">
        <v>38911</v>
      </c>
      <c r="B320" s="239" t="s">
        <v>973</v>
      </c>
      <c r="C320" s="93" t="s">
        <v>1020</v>
      </c>
      <c r="D320" s="93">
        <v>50</v>
      </c>
      <c r="E320" s="177">
        <v>109.05</v>
      </c>
      <c r="F320" s="177">
        <v>108.65</v>
      </c>
      <c r="G320" s="178">
        <f t="shared" si="155"/>
        <v>0.05</v>
      </c>
      <c r="H320" s="178"/>
      <c r="I320" s="178"/>
      <c r="J320" s="178">
        <f t="shared" si="156"/>
        <v>0.05</v>
      </c>
      <c r="K320" s="178">
        <f t="shared" si="157"/>
        <v>-0.39999999999999147</v>
      </c>
      <c r="L320" s="177">
        <f t="shared" si="158"/>
        <v>10885</v>
      </c>
      <c r="M320" s="177">
        <f t="shared" si="159"/>
        <v>-19.999999999999574</v>
      </c>
      <c r="N320" s="177">
        <f t="shared" si="160"/>
        <v>5</v>
      </c>
      <c r="O320" s="177">
        <f t="shared" si="169"/>
        <v>0.61199999999999999</v>
      </c>
      <c r="P320" s="177">
        <f t="shared" si="170"/>
        <v>1.0900000000000001</v>
      </c>
      <c r="Q320" s="177">
        <f t="shared" si="163"/>
        <v>0.38097499999999995</v>
      </c>
      <c r="R320" s="178">
        <f t="shared" si="164"/>
        <v>0.2177</v>
      </c>
      <c r="S320" s="178">
        <f t="shared" si="165"/>
        <v>2.300675</v>
      </c>
      <c r="T320" s="176"/>
      <c r="U320" s="323">
        <f t="shared" si="166"/>
        <v>-27.3</v>
      </c>
      <c r="V320" s="323">
        <f t="shared" si="167"/>
        <v>-19.999999999999574</v>
      </c>
      <c r="W320" s="323"/>
      <c r="X320" s="179">
        <f t="shared" si="168"/>
        <v>-27.3</v>
      </c>
      <c r="Y320" s="41" t="s">
        <v>405</v>
      </c>
      <c r="Z320" s="93"/>
    </row>
    <row r="321" spans="1:26" ht="12" customHeight="1">
      <c r="A321" s="176">
        <v>38912</v>
      </c>
      <c r="B321" s="239" t="s">
        <v>973</v>
      </c>
      <c r="C321" s="93" t="s">
        <v>448</v>
      </c>
      <c r="D321" s="93">
        <v>150</v>
      </c>
      <c r="E321" s="177">
        <v>106.55</v>
      </c>
      <c r="F321" s="177">
        <v>106.75</v>
      </c>
      <c r="G321" s="178">
        <f t="shared" si="155"/>
        <v>0.05</v>
      </c>
      <c r="H321" s="178"/>
      <c r="I321" s="178"/>
      <c r="J321" s="178">
        <f t="shared" si="156"/>
        <v>0.05</v>
      </c>
      <c r="K321" s="178">
        <f t="shared" si="157"/>
        <v>0.20000000000000284</v>
      </c>
      <c r="L321" s="177">
        <f t="shared" si="158"/>
        <v>31995</v>
      </c>
      <c r="M321" s="177">
        <f t="shared" si="159"/>
        <v>30.000000000000426</v>
      </c>
      <c r="N321" s="177">
        <f t="shared" si="160"/>
        <v>15</v>
      </c>
      <c r="O321" s="177">
        <f t="shared" si="169"/>
        <v>1.8359999999999999</v>
      </c>
      <c r="P321" s="177">
        <f t="shared" si="170"/>
        <v>3.2</v>
      </c>
      <c r="Q321" s="177">
        <f t="shared" si="163"/>
        <v>1.1198249999999998</v>
      </c>
      <c r="R321" s="178">
        <f t="shared" si="164"/>
        <v>0.63990000000000002</v>
      </c>
      <c r="S321" s="178">
        <f t="shared" si="165"/>
        <v>6.7957249999999991</v>
      </c>
      <c r="T321" s="176"/>
      <c r="U321" s="323">
        <f t="shared" si="166"/>
        <v>8.1999999999999993</v>
      </c>
      <c r="V321" s="323">
        <f t="shared" si="167"/>
        <v>30.000000000000426</v>
      </c>
      <c r="W321" s="323"/>
      <c r="X321" s="179">
        <f t="shared" si="168"/>
        <v>8.1999999999999993</v>
      </c>
      <c r="Y321" s="41" t="s">
        <v>405</v>
      </c>
      <c r="Z321" s="93"/>
    </row>
    <row r="322" spans="1:26" ht="12" customHeight="1">
      <c r="A322" s="176"/>
      <c r="B322" s="239"/>
      <c r="C322" s="239"/>
      <c r="D322" s="93"/>
      <c r="E322" s="177"/>
      <c r="F322" s="177"/>
      <c r="G322" s="178"/>
      <c r="H322" s="178"/>
      <c r="I322" s="178"/>
      <c r="J322" s="178"/>
      <c r="K322" s="178"/>
      <c r="L322" s="177"/>
      <c r="M322" s="177"/>
      <c r="N322" s="177"/>
      <c r="O322" s="177"/>
      <c r="P322" s="177"/>
      <c r="Q322" s="177"/>
      <c r="R322" s="178"/>
      <c r="S322" s="178"/>
      <c r="T322" s="176"/>
      <c r="U322" s="323"/>
      <c r="V322" s="323"/>
      <c r="W322" s="323"/>
      <c r="X322" s="179"/>
      <c r="Y322" s="93"/>
      <c r="Z322" s="93"/>
    </row>
    <row r="323" spans="1:26" ht="12" customHeight="1">
      <c r="A323" s="176"/>
      <c r="B323" s="239"/>
      <c r="C323" s="93"/>
      <c r="D323" s="93">
        <v>1</v>
      </c>
      <c r="E323" s="177">
        <v>100</v>
      </c>
      <c r="F323" s="177">
        <v>100.14</v>
      </c>
      <c r="G323" s="178">
        <f>IF(E323&lt;100,100*0.05%,ROUND(E323*E$327,2))</f>
        <v>0.05</v>
      </c>
      <c r="H323" s="178"/>
      <c r="I323" s="178"/>
      <c r="J323" s="178">
        <f>IF(F323&lt;100,100*0.05%,ROUND(F323*E$327,2))</f>
        <v>0.05</v>
      </c>
      <c r="K323" s="178">
        <f>F323-E323</f>
        <v>0.14000000000000057</v>
      </c>
      <c r="L323" s="177">
        <f>((E323+G323)*D323)+((F323-J323)*D323)</f>
        <v>200.14</v>
      </c>
      <c r="M323" s="177">
        <f>K323*D323</f>
        <v>0.14000000000000057</v>
      </c>
      <c r="N323" s="177">
        <f>(D323*G323)+(D323*J323)</f>
        <v>0.1</v>
      </c>
      <c r="O323" s="177">
        <f>N323*F$328</f>
        <v>1.2240000000000001E-2</v>
      </c>
      <c r="P323" s="177">
        <f>ROUND(((F323-J323)*D323)*E$330,2)</f>
        <v>0.02</v>
      </c>
      <c r="Q323" s="177">
        <f>L323*E$333</f>
        <v>7.0048999999999988E-3</v>
      </c>
      <c r="R323" s="178">
        <f>L323*E$335</f>
        <v>4.0027999999999999E-3</v>
      </c>
      <c r="S323" s="178">
        <f>SUM(O323:R323)</f>
        <v>4.3247700000000007E-2</v>
      </c>
      <c r="T323" s="176"/>
      <c r="U323" s="323">
        <f>ROUND(M323-N323-S323,2)</f>
        <v>0</v>
      </c>
      <c r="V323" s="323">
        <f>K323*D323</f>
        <v>0.14000000000000057</v>
      </c>
      <c r="W323" s="323"/>
      <c r="X323" s="179">
        <f>U323-W323</f>
        <v>0</v>
      </c>
      <c r="Y323" s="41" t="s">
        <v>405</v>
      </c>
      <c r="Z323" s="93"/>
    </row>
    <row r="324" spans="1:26" ht="12" customHeight="1">
      <c r="A324" s="176"/>
      <c r="B324" s="239"/>
      <c r="C324" s="239"/>
      <c r="D324" s="93"/>
      <c r="E324" s="177"/>
      <c r="F324" s="177"/>
      <c r="G324" s="178"/>
      <c r="H324" s="178"/>
      <c r="I324" s="178"/>
      <c r="J324" s="178"/>
      <c r="K324" s="177"/>
      <c r="L324" s="323"/>
      <c r="M324" s="177"/>
      <c r="N324" s="177"/>
      <c r="O324" s="177"/>
      <c r="P324" s="177"/>
      <c r="Q324" s="177"/>
      <c r="R324" s="178"/>
      <c r="S324" s="178"/>
      <c r="T324" s="176"/>
      <c r="U324" s="323"/>
      <c r="V324" s="323"/>
      <c r="W324" s="323"/>
      <c r="X324" s="41"/>
      <c r="Y324" s="93"/>
      <c r="Z324" s="93"/>
    </row>
    <row r="325" spans="1:26" ht="12" customHeight="1">
      <c r="A325" s="323"/>
      <c r="B325" s="329" t="s">
        <v>1058</v>
      </c>
      <c r="C325" s="329"/>
      <c r="D325" s="93"/>
      <c r="E325" s="93"/>
      <c r="F325" s="289"/>
      <c r="G325" s="176"/>
      <c r="H325" s="93"/>
      <c r="I325" s="93"/>
      <c r="J325" s="93"/>
      <c r="K325" s="177"/>
      <c r="L325" s="93"/>
      <c r="M325" s="93"/>
      <c r="N325" s="93"/>
      <c r="O325" s="93"/>
      <c r="P325" s="93"/>
      <c r="Q325" s="93"/>
      <c r="R325" s="93"/>
      <c r="S325" s="330" t="s">
        <v>1059</v>
      </c>
      <c r="T325" s="93"/>
      <c r="U325" s="331">
        <v>13381.480000000005</v>
      </c>
      <c r="V325" s="93"/>
      <c r="W325" s="93"/>
      <c r="X325" s="323"/>
      <c r="Y325" s="93"/>
      <c r="Z325" s="93"/>
    </row>
    <row r="326" spans="1:26" ht="12" customHeight="1">
      <c r="A326" s="323"/>
      <c r="B326" s="332" t="s">
        <v>935</v>
      </c>
      <c r="C326" s="332"/>
      <c r="D326" s="294">
        <v>7.0000000000000001E-3</v>
      </c>
      <c r="E326" s="294">
        <v>5.0000000000000001E-3</v>
      </c>
      <c r="F326" s="93"/>
      <c r="G326" s="93"/>
      <c r="H326" s="93"/>
      <c r="I326" s="93"/>
      <c r="J326" s="93"/>
      <c r="K326" s="93"/>
      <c r="L326" s="93"/>
      <c r="M326" s="93"/>
      <c r="N326" s="93"/>
      <c r="O326" s="93"/>
      <c r="P326" s="93"/>
      <c r="Q326" s="93"/>
      <c r="R326" s="93"/>
      <c r="S326" s="93" t="s">
        <v>1060</v>
      </c>
      <c r="T326" s="93"/>
      <c r="U326" s="333">
        <v>47291.654760000005</v>
      </c>
      <c r="V326" s="297"/>
      <c r="W326" s="93"/>
      <c r="X326" s="323"/>
      <c r="Y326" s="93"/>
      <c r="Z326" s="93"/>
    </row>
    <row r="327" spans="1:26" ht="12" customHeight="1">
      <c r="A327" s="323"/>
      <c r="B327" s="332" t="s">
        <v>1061</v>
      </c>
      <c r="C327" s="332"/>
      <c r="D327" s="294"/>
      <c r="E327" s="294">
        <v>5.0000000000000001E-4</v>
      </c>
      <c r="F327" s="93"/>
      <c r="G327" s="93"/>
      <c r="H327" s="93"/>
      <c r="I327" s="93"/>
      <c r="J327" s="93"/>
      <c r="K327" s="93"/>
      <c r="L327" s="93"/>
      <c r="M327" s="93"/>
      <c r="N327" s="93"/>
      <c r="O327" s="93"/>
      <c r="P327" s="93"/>
      <c r="Q327" s="93"/>
      <c r="R327" s="93"/>
      <c r="S327" s="93" t="s">
        <v>1062</v>
      </c>
      <c r="T327" s="93"/>
      <c r="U327" s="294">
        <f>(U325/U326)/U328*365</f>
        <v>0.12672283918060551</v>
      </c>
      <c r="V327" s="93"/>
      <c r="W327" s="93"/>
      <c r="X327" s="323"/>
      <c r="Y327" s="93"/>
      <c r="Z327" s="93"/>
    </row>
    <row r="328" spans="1:26" ht="12" customHeight="1">
      <c r="A328" s="323"/>
      <c r="B328" s="332" t="s">
        <v>1063</v>
      </c>
      <c r="C328" s="332"/>
      <c r="D328" s="294">
        <v>0.10199999999999999</v>
      </c>
      <c r="E328" s="294">
        <v>0.10199999999999999</v>
      </c>
      <c r="F328" s="294">
        <v>0.12239999999999999</v>
      </c>
      <c r="G328" s="177"/>
      <c r="H328" s="93"/>
      <c r="I328" s="93"/>
      <c r="J328" s="93"/>
      <c r="K328" s="177"/>
      <c r="L328" s="93"/>
      <c r="M328" s="93"/>
      <c r="N328" s="93"/>
      <c r="O328" s="93"/>
      <c r="P328" s="93"/>
      <c r="Q328" s="93"/>
      <c r="R328" s="93"/>
      <c r="S328" s="93" t="s">
        <v>1035</v>
      </c>
      <c r="T328" s="93"/>
      <c r="U328" s="297">
        <f>MAX(T2:T323)-MIN(T2:T323)+1</f>
        <v>815</v>
      </c>
      <c r="V328" s="93"/>
      <c r="W328" s="93"/>
      <c r="X328" s="323"/>
      <c r="Y328" s="93"/>
      <c r="Z328" s="93"/>
    </row>
    <row r="329" spans="1:26" ht="12" customHeight="1">
      <c r="A329" s="323"/>
      <c r="B329" s="332" t="s">
        <v>1064</v>
      </c>
      <c r="C329" s="332"/>
      <c r="D329" s="334">
        <v>7.5000000000000002E-4</v>
      </c>
      <c r="E329" s="335">
        <v>1E-3</v>
      </c>
      <c r="F329" s="334">
        <v>1.25E-3</v>
      </c>
      <c r="G329" s="238"/>
      <c r="H329" s="93"/>
      <c r="I329" s="93"/>
      <c r="J329" s="93"/>
      <c r="K329" s="93"/>
      <c r="L329" s="93"/>
      <c r="M329" s="93"/>
      <c r="N329" s="93"/>
      <c r="O329" s="93"/>
      <c r="P329" s="93"/>
      <c r="Q329" s="93"/>
      <c r="R329" s="93"/>
      <c r="S329" s="93"/>
      <c r="T329" s="93"/>
      <c r="U329" s="297"/>
      <c r="V329" s="93"/>
      <c r="W329" s="93"/>
      <c r="X329" s="323"/>
      <c r="Y329" s="93"/>
      <c r="Z329" s="93"/>
    </row>
    <row r="330" spans="1:26" ht="12" customHeight="1">
      <c r="A330" s="323"/>
      <c r="B330" s="332" t="s">
        <v>1065</v>
      </c>
      <c r="C330" s="332"/>
      <c r="D330" s="334">
        <v>1.4999999999999999E-4</v>
      </c>
      <c r="E330" s="294">
        <v>2.0000000000000001E-4</v>
      </c>
      <c r="F330" s="334">
        <v>2.5000000000000001E-4</v>
      </c>
      <c r="G330" s="238"/>
      <c r="H330" s="93"/>
      <c r="I330" s="93"/>
      <c r="J330" s="93"/>
      <c r="K330" s="93"/>
      <c r="L330" s="93"/>
      <c r="M330" s="93"/>
      <c r="N330" s="93"/>
      <c r="O330" s="93"/>
      <c r="P330" s="93"/>
      <c r="Q330" s="93"/>
      <c r="R330" s="93"/>
      <c r="S330" s="93"/>
      <c r="T330" s="93"/>
      <c r="U330" s="93"/>
      <c r="V330" s="93"/>
      <c r="W330" s="93"/>
      <c r="X330" s="323"/>
      <c r="Y330" s="93"/>
      <c r="Z330" s="93"/>
    </row>
    <row r="331" spans="1:26" ht="12" customHeight="1">
      <c r="A331" s="323"/>
      <c r="B331" s="332" t="s">
        <v>1066</v>
      </c>
      <c r="C331" s="332"/>
      <c r="D331" s="294">
        <v>1E-4</v>
      </c>
      <c r="E331" s="238">
        <v>1.3300000000000001E-4</v>
      </c>
      <c r="F331" s="334">
        <v>1.7000000000000001E-4</v>
      </c>
      <c r="G331" s="238"/>
      <c r="H331" s="93"/>
      <c r="I331" s="93"/>
      <c r="J331" s="93"/>
      <c r="K331" s="93"/>
      <c r="L331" s="93"/>
      <c r="M331" s="93"/>
      <c r="N331" s="93"/>
      <c r="O331" s="93"/>
      <c r="P331" s="93"/>
      <c r="Q331" s="93"/>
      <c r="R331" s="93"/>
      <c r="S331" s="93"/>
      <c r="T331" s="93"/>
      <c r="U331" s="297"/>
      <c r="V331" s="93"/>
      <c r="W331" s="93"/>
      <c r="X331" s="93"/>
      <c r="Y331" s="93"/>
      <c r="Z331" s="93"/>
    </row>
    <row r="332" spans="1:26" ht="12" customHeight="1">
      <c r="A332" s="93"/>
      <c r="B332" s="332" t="s">
        <v>1067</v>
      </c>
      <c r="C332" s="332"/>
      <c r="D332" s="294"/>
      <c r="E332" s="238">
        <v>3.4999999999999997E-5</v>
      </c>
      <c r="F332" s="238"/>
      <c r="G332" s="238"/>
      <c r="H332" s="93"/>
      <c r="I332" s="93"/>
      <c r="J332" s="93"/>
      <c r="K332" s="93"/>
      <c r="L332" s="93"/>
      <c r="M332" s="93"/>
      <c r="N332" s="93"/>
      <c r="O332" s="93"/>
      <c r="P332" s="93"/>
      <c r="Q332" s="93"/>
      <c r="R332" s="177"/>
      <c r="S332" s="93"/>
      <c r="T332" s="93"/>
      <c r="U332" s="93"/>
      <c r="V332" s="93"/>
      <c r="W332" s="93"/>
      <c r="X332" s="93"/>
      <c r="Y332" s="93"/>
      <c r="Z332" s="93"/>
    </row>
    <row r="333" spans="1:26" ht="12" customHeight="1">
      <c r="A333" s="93"/>
      <c r="B333" s="332" t="s">
        <v>1068</v>
      </c>
      <c r="C333" s="332"/>
      <c r="D333" s="294"/>
      <c r="E333" s="238">
        <v>3.4999999999999997E-5</v>
      </c>
      <c r="F333" s="238"/>
      <c r="G333" s="238"/>
      <c r="H333" s="93"/>
      <c r="I333" s="93"/>
      <c r="J333" s="93"/>
      <c r="K333" s="93"/>
      <c r="L333" s="93"/>
      <c r="M333" s="93"/>
      <c r="N333" s="93"/>
      <c r="O333" s="93"/>
      <c r="P333" s="93"/>
      <c r="Q333" s="93"/>
      <c r="R333" s="177"/>
      <c r="S333" s="93"/>
      <c r="T333" s="93"/>
      <c r="U333" s="93"/>
      <c r="V333" s="93"/>
      <c r="W333" s="93"/>
      <c r="X333" s="93"/>
      <c r="Y333" s="93"/>
      <c r="Z333" s="93"/>
    </row>
    <row r="334" spans="1:26" ht="12" customHeight="1">
      <c r="A334" s="323"/>
      <c r="B334" s="332" t="s">
        <v>1069</v>
      </c>
      <c r="C334" s="332"/>
      <c r="D334" s="294"/>
      <c r="E334" s="334">
        <v>1E-4</v>
      </c>
      <c r="F334" s="334"/>
      <c r="G334" s="334"/>
      <c r="H334" s="93"/>
      <c r="I334" s="93"/>
      <c r="J334" s="93"/>
      <c r="K334" s="93"/>
      <c r="L334" s="93"/>
      <c r="M334" s="93"/>
      <c r="N334" s="93"/>
      <c r="O334" s="93"/>
      <c r="P334" s="93"/>
      <c r="Q334" s="93"/>
      <c r="R334" s="93"/>
      <c r="S334" s="93"/>
      <c r="T334" s="93"/>
      <c r="U334" s="93"/>
      <c r="V334" s="93"/>
      <c r="W334" s="93"/>
      <c r="X334" s="93"/>
      <c r="Y334" s="93"/>
      <c r="Z334" s="93"/>
    </row>
    <row r="335" spans="1:26" ht="12" customHeight="1">
      <c r="A335" s="323"/>
      <c r="B335" s="332" t="s">
        <v>1070</v>
      </c>
      <c r="C335" s="332"/>
      <c r="D335" s="294"/>
      <c r="E335" s="334">
        <v>2.0000000000000002E-5</v>
      </c>
      <c r="F335" s="334"/>
      <c r="G335" s="334"/>
      <c r="H335" s="93"/>
      <c r="I335" s="93"/>
      <c r="J335" s="93"/>
      <c r="K335" s="93"/>
      <c r="L335" s="93"/>
      <c r="M335" s="93"/>
      <c r="N335" s="93"/>
      <c r="O335" s="93"/>
      <c r="P335" s="93"/>
      <c r="Q335" s="93"/>
      <c r="R335" s="93"/>
      <c r="S335" s="93"/>
      <c r="T335" s="93"/>
      <c r="U335" s="93"/>
      <c r="V335" s="93"/>
      <c r="W335" s="93"/>
      <c r="X335" s="93"/>
      <c r="Y335" s="93"/>
      <c r="Z335" s="93"/>
    </row>
    <row r="336" spans="1:26" ht="12" customHeight="1">
      <c r="A336" s="323"/>
      <c r="B336" s="332" t="s">
        <v>1071</v>
      </c>
      <c r="C336" s="332"/>
      <c r="D336" s="93">
        <v>11</v>
      </c>
      <c r="E336" s="93">
        <v>0</v>
      </c>
      <c r="F336" s="93"/>
      <c r="G336" s="334"/>
      <c r="H336" s="93"/>
      <c r="I336" s="93"/>
      <c r="J336" s="93"/>
      <c r="K336" s="93"/>
      <c r="L336" s="93"/>
      <c r="M336" s="93"/>
      <c r="N336" s="93"/>
      <c r="O336" s="93"/>
      <c r="P336" s="93"/>
      <c r="Q336" s="93"/>
      <c r="R336" s="93"/>
      <c r="S336" s="93"/>
      <c r="T336" s="93"/>
      <c r="U336" s="93"/>
      <c r="V336" s="93"/>
      <c r="W336" s="93"/>
      <c r="X336" s="93"/>
      <c r="Y336" s="93"/>
      <c r="Z336" s="93"/>
    </row>
    <row r="337" spans="1:26" ht="12" customHeight="1">
      <c r="A337" s="323"/>
      <c r="B337" s="93" t="s">
        <v>1072</v>
      </c>
      <c r="C337" s="93"/>
      <c r="D337" s="336">
        <v>16</v>
      </c>
      <c r="E337" s="336">
        <f>22+2</f>
        <v>24</v>
      </c>
      <c r="F337" s="93"/>
      <c r="G337" s="334"/>
      <c r="H337" s="93"/>
      <c r="I337" s="93"/>
      <c r="J337" s="93"/>
      <c r="K337" s="93"/>
      <c r="L337" s="93"/>
      <c r="M337" s="93"/>
      <c r="N337" s="93"/>
      <c r="O337" s="93"/>
      <c r="P337" s="93"/>
      <c r="Q337" s="93"/>
      <c r="R337" s="93"/>
      <c r="S337" s="93"/>
      <c r="T337" s="93"/>
      <c r="U337" s="93"/>
      <c r="V337" s="93"/>
      <c r="W337" s="93"/>
      <c r="X337" s="93"/>
      <c r="Y337" s="93"/>
      <c r="Z337" s="93"/>
    </row>
    <row r="338" spans="1:26" ht="12" customHeight="1">
      <c r="A338" s="93"/>
      <c r="B338" s="314" t="s">
        <v>1073</v>
      </c>
      <c r="C338" s="314"/>
      <c r="D338" s="314" t="s">
        <v>950</v>
      </c>
      <c r="E338" s="314" t="s">
        <v>427</v>
      </c>
      <c r="F338" s="314" t="s">
        <v>428</v>
      </c>
      <c r="G338" s="314" t="s">
        <v>429</v>
      </c>
      <c r="H338" s="314"/>
      <c r="I338" s="314"/>
      <c r="J338" s="314" t="s">
        <v>953</v>
      </c>
      <c r="K338" s="314" t="s">
        <v>954</v>
      </c>
      <c r="L338" s="314" t="s">
        <v>428</v>
      </c>
      <c r="M338" s="337" t="s">
        <v>955</v>
      </c>
      <c r="N338" s="338" t="s">
        <v>956</v>
      </c>
      <c r="O338" s="339" t="s">
        <v>957</v>
      </c>
      <c r="P338" s="339" t="s">
        <v>958</v>
      </c>
      <c r="Q338" s="314" t="s">
        <v>436</v>
      </c>
      <c r="R338" s="314" t="s">
        <v>1074</v>
      </c>
      <c r="S338" s="314" t="s">
        <v>960</v>
      </c>
      <c r="T338" s="314" t="s">
        <v>1043</v>
      </c>
      <c r="U338" s="320" t="s">
        <v>1044</v>
      </c>
      <c r="V338" s="320" t="s">
        <v>1034</v>
      </c>
      <c r="W338" s="320" t="s">
        <v>1035</v>
      </c>
      <c r="X338" s="314"/>
      <c r="Y338" s="314"/>
      <c r="Z338" s="93"/>
    </row>
    <row r="339" spans="1:26" ht="12" customHeight="1">
      <c r="A339" s="93"/>
      <c r="B339" s="327" t="s">
        <v>1075</v>
      </c>
      <c r="C339" s="327"/>
      <c r="D339" s="327" t="s">
        <v>950</v>
      </c>
      <c r="E339" s="327" t="s">
        <v>1037</v>
      </c>
      <c r="F339" s="327" t="s">
        <v>1038</v>
      </c>
      <c r="G339" s="327" t="s">
        <v>1039</v>
      </c>
      <c r="H339" s="327"/>
      <c r="I339" s="327"/>
      <c r="J339" s="327" t="s">
        <v>646</v>
      </c>
      <c r="K339" s="327" t="s">
        <v>1040</v>
      </c>
      <c r="L339" s="327" t="s">
        <v>953</v>
      </c>
      <c r="M339" s="327" t="s">
        <v>1041</v>
      </c>
      <c r="N339" s="327" t="s">
        <v>428</v>
      </c>
      <c r="O339" s="337" t="s">
        <v>955</v>
      </c>
      <c r="P339" s="338" t="s">
        <v>956</v>
      </c>
      <c r="Q339" s="339" t="s">
        <v>957</v>
      </c>
      <c r="R339" s="339" t="s">
        <v>958</v>
      </c>
      <c r="S339" s="327" t="s">
        <v>1042</v>
      </c>
      <c r="T339" s="327" t="s">
        <v>1043</v>
      </c>
      <c r="U339" s="327" t="s">
        <v>1044</v>
      </c>
      <c r="V339" s="327" t="s">
        <v>1076</v>
      </c>
      <c r="W339" s="328" t="s">
        <v>1077</v>
      </c>
      <c r="X339" s="327" t="s">
        <v>960</v>
      </c>
      <c r="Y339" s="327"/>
      <c r="Z339" s="93"/>
    </row>
    <row r="340" spans="1:26" ht="12" customHeight="1">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2" customHeight="1">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2" customHeight="1">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2" customHeight="1">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2" customHeight="1">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2" customHeight="1">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2" customHeight="1">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2" customHeight="1">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2" customHeight="1">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2" customHeight="1">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2"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2" customHeight="1">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2" customHeight="1">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2" customHeight="1">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2" customHeight="1">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2" customHeight="1">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2" customHeight="1">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2" customHeight="1">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2" customHeight="1">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2" customHeight="1">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2" customHeight="1">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2" customHeight="1">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2" customHeight="1">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2" customHeight="1">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2" customHeight="1">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2" customHeight="1">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2" customHeight="1">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2" customHeight="1">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2" customHeight="1">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2" customHeight="1">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2" customHeight="1">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2" customHeight="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2" customHeight="1">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2" customHeight="1">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2" customHeight="1">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2" customHeight="1">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2" customHeight="1">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2" customHeight="1">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2" customHeight="1">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2" customHeight="1">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2" customHeight="1">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2" customHeight="1">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2" customHeight="1">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2" customHeight="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2" customHeight="1">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2" customHeight="1">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2" customHeight="1">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2" customHeight="1">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2" customHeight="1">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2" customHeight="1">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2" customHeight="1">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2" customHeight="1">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2" customHeight="1">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2" customHeight="1">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2" customHeight="1">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2" customHeight="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2" customHeight="1">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2" customHeight="1">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2" customHeight="1">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2" customHeight="1">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2" customHeight="1">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2" customHeight="1">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2" customHeight="1">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2" customHeight="1">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2" customHeight="1">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2" customHeight="1">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2" customHeight="1">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2" customHeight="1">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2" customHeight="1">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2" customHeight="1">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2" customHeight="1">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2" customHeight="1">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2" customHeight="1">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2" customHeight="1">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2" customHeight="1">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2" customHeight="1">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2" customHeight="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2" customHeight="1">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2" customHeight="1">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2" customHeight="1">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2" customHeight="1">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2" customHeight="1">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2" customHeight="1">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2" customHeight="1">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2" customHeight="1">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2" customHeight="1">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2" customHeight="1">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2" customHeight="1">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2" customHeight="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2" customHeight="1">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2" customHeight="1">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2" customHeight="1">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2" customHeight="1">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2" customHeight="1">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2" customHeight="1">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2" customHeight="1">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2" customHeight="1">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2" customHeight="1">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2" customHeight="1">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2" customHeight="1">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2" customHeight="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2" customHeight="1">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2" customHeight="1">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2" customHeight="1">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2" customHeight="1">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2" customHeight="1">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2" customHeight="1">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2" customHeight="1">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2" customHeight="1">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2" customHeight="1">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2" customHeight="1">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2" customHeight="1">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2" customHeight="1">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2" customHeight="1">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2" customHeight="1">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2" customHeight="1">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2" customHeight="1">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2" customHeight="1">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2" customHeight="1">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2" customHeight="1">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2" customHeight="1">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2" customHeight="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2" customHeight="1">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2" customHeight="1">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2" customHeight="1">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2" customHeight="1">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2" customHeight="1">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2" customHeight="1">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2" customHeight="1">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2" customHeight="1">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2" customHeight="1">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2" customHeight="1">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2" customHeight="1">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2" customHeight="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2" customHeight="1">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2" customHeight="1">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2" customHeight="1">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2" customHeight="1">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2" customHeight="1">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2" customHeight="1">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2" customHeight="1">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2" customHeight="1">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2" customHeight="1">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2" customHeight="1">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2" customHeight="1">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2" customHeight="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2" customHeight="1">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2" customHeight="1">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2" customHeight="1">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2" customHeight="1">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2" customHeight="1">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2" customHeight="1">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2" customHeight="1">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2" customHeight="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2" customHeight="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2" customHeight="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2" customHeight="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2" customHeight="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2" customHeight="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2" customHeight="1">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2" customHeight="1">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2" customHeight="1">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2" customHeight="1">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2" customHeight="1">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2" customHeight="1">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2" customHeight="1">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2" customHeight="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2" customHeight="1">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2" customHeight="1">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2" customHeight="1">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2" customHeight="1">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2" customHeight="1">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2" customHeight="1">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2" customHeight="1">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2" customHeight="1">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2" customHeight="1">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2" customHeight="1">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2" customHeight="1">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2" customHeight="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2" customHeight="1">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2" customHeight="1">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2" customHeight="1">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2" customHeight="1">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2" customHeight="1">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2" customHeight="1">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2" customHeight="1">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2" customHeight="1">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2" customHeight="1">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2" customHeight="1">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2" customHeight="1">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2" customHeight="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2" customHeight="1">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2" customHeight="1">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2" customHeight="1">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2" customHeight="1">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2" customHeight="1">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2" customHeight="1">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2" customHeight="1">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2" customHeight="1">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2" customHeight="1">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customHeight="1"/>
    <row r="541" spans="1:26" ht="15.75" customHeight="1"/>
    <row r="542" spans="1:26" ht="15.75" customHeight="1"/>
    <row r="543" spans="1:26" ht="15.75" customHeight="1"/>
    <row r="544" spans="1:26"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S2:S127 S129 S132:S249">
    <cfRule type="cellIs" dxfId="43" priority="1" stopIfTrue="1" operator="equal">
      <formula>0</formula>
    </cfRule>
  </conditionalFormatting>
  <conditionalFormatting sqref="S2:S129 S132:S249">
    <cfRule type="cellIs" dxfId="42" priority="2" stopIfTrue="1" operator="between">
      <formula>0.001</formula>
      <formula>10</formula>
    </cfRule>
  </conditionalFormatting>
  <conditionalFormatting sqref="S2:S129 S132:S249">
    <cfRule type="cellIs" dxfId="41" priority="3" stopIfTrue="1" operator="between">
      <formula>-0.001</formula>
      <formula>-10</formula>
    </cfRule>
  </conditionalFormatting>
  <conditionalFormatting sqref="S128">
    <cfRule type="cellIs" dxfId="40" priority="4" stopIfTrue="1" operator="greaterThan">
      <formula>10</formula>
    </cfRule>
  </conditionalFormatting>
  <conditionalFormatting sqref="X252:X324">
    <cfRule type="cellIs" dxfId="39" priority="5" stopIfTrue="1" operator="between">
      <formula>0.001</formula>
      <formula>10</formula>
    </cfRule>
  </conditionalFormatting>
  <conditionalFormatting sqref="X252:X324">
    <cfRule type="cellIs" dxfId="38" priority="6" stopIfTrue="1" operator="between">
      <formula>-0.001</formula>
      <formula>-10</formula>
    </cfRule>
  </conditionalFormatting>
  <conditionalFormatting sqref="Y92:Y93 Y96:Y127 Y129 Y208 Y210 Y213 Y220:Y250 Y279:Y280 Y287:Y321 Y323">
    <cfRule type="cellIs" dxfId="37" priority="7" stopIfTrue="1" operator="equal">
      <formula>"NSE"</formula>
    </cfRule>
  </conditionalFormatting>
  <conditionalFormatting sqref="Y92:Y93 Y96:Y127 Y129 Y208 Y210 Y213 Y220:Y250 Y279:Y280 Y287:Y321 Y323">
    <cfRule type="cellIs" dxfId="36" priority="8" stopIfTrue="1" operator="equal">
      <formula>"BSE"</formula>
    </cfRule>
  </conditionalFormatting>
  <pageMargins left="1.69" right="0.75" top="0.49" bottom="1" header="0" footer="0"/>
  <pageSetup paperSize="9" scale="87"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4B083"/>
  </sheetPr>
  <dimension ref="A1:AB1192"/>
  <sheetViews>
    <sheetView workbookViewId="0">
      <pane ySplit="1" topLeftCell="A2" activePane="bottomLeft" state="frozen"/>
      <selection pane="bottomLeft" activeCell="B3" sqref="B3"/>
    </sheetView>
  </sheetViews>
  <sheetFormatPr baseColWidth="10" defaultColWidth="14.42578125" defaultRowHeight="15" customHeight="1" outlineLevelCol="1"/>
  <cols>
    <col min="1" max="1" width="12.42578125" customWidth="1"/>
    <col min="2" max="2" width="14" hidden="1" customWidth="1" outlineLevel="1"/>
    <col min="3" max="3" width="9.42578125" hidden="1" customWidth="1" outlineLevel="1"/>
    <col min="4" max="4" width="6.85546875" customWidth="1" collapsed="1"/>
    <col min="5" max="5" width="9" customWidth="1"/>
    <col min="6" max="6" width="5.28515625" hidden="1" customWidth="1" outlineLevel="1"/>
    <col min="7" max="7" width="10.85546875" hidden="1" customWidth="1" outlineLevel="1"/>
    <col min="8" max="8" width="7.85546875" hidden="1" customWidth="1" outlineLevel="1"/>
    <col min="9" max="9" width="5.42578125" customWidth="1" collapsed="1"/>
    <col min="10" max="10" width="7.7109375" customWidth="1"/>
    <col min="11" max="11" width="7.42578125" customWidth="1"/>
    <col min="12" max="12" width="9.7109375" customWidth="1"/>
    <col min="13" max="13" width="8.5703125" hidden="1" customWidth="1" outlineLevel="1"/>
    <col min="14" max="14" width="7.85546875" customWidth="1" collapsed="1"/>
    <col min="15" max="15" width="8.7109375" customWidth="1"/>
    <col min="16" max="17" width="9.42578125" customWidth="1"/>
    <col min="18" max="19" width="8.7109375" customWidth="1"/>
    <col min="20" max="20" width="9.42578125" customWidth="1"/>
    <col min="21" max="21" width="9.42578125" hidden="1" customWidth="1" outlineLevel="1"/>
    <col min="22" max="22" width="9.42578125" customWidth="1" collapsed="1"/>
    <col min="23" max="23" width="8.28515625" customWidth="1"/>
    <col min="24" max="26" width="4.7109375" customWidth="1"/>
    <col min="27" max="27" width="11.7109375" customWidth="1"/>
    <col min="28" max="28" width="6.85546875" customWidth="1"/>
  </cols>
  <sheetData>
    <row r="1" spans="1:28" ht="26.25" customHeight="1">
      <c r="A1" s="340" t="s">
        <v>422</v>
      </c>
      <c r="B1" s="340" t="s">
        <v>1078</v>
      </c>
      <c r="C1" s="340" t="s">
        <v>1079</v>
      </c>
      <c r="D1" s="341" t="s">
        <v>1080</v>
      </c>
      <c r="E1" s="341" t="s">
        <v>1081</v>
      </c>
      <c r="F1" s="340" t="s">
        <v>1082</v>
      </c>
      <c r="G1" s="340" t="s">
        <v>1083</v>
      </c>
      <c r="H1" s="341" t="s">
        <v>1084</v>
      </c>
      <c r="I1" s="341" t="s">
        <v>1085</v>
      </c>
      <c r="J1" s="341" t="s">
        <v>1086</v>
      </c>
      <c r="K1" s="341" t="s">
        <v>8</v>
      </c>
      <c r="L1" s="341" t="s">
        <v>1087</v>
      </c>
      <c r="M1" s="341" t="s">
        <v>1088</v>
      </c>
      <c r="N1" s="341" t="s">
        <v>1089</v>
      </c>
      <c r="O1" s="341" t="s">
        <v>1090</v>
      </c>
      <c r="P1" s="341" t="s">
        <v>1091</v>
      </c>
      <c r="Q1" s="341" t="s">
        <v>1092</v>
      </c>
      <c r="R1" s="342" t="s">
        <v>1093</v>
      </c>
      <c r="S1" s="340" t="s">
        <v>1094</v>
      </c>
      <c r="T1" s="341" t="s">
        <v>1095</v>
      </c>
      <c r="U1" s="341" t="s">
        <v>1096</v>
      </c>
      <c r="V1" s="341" t="s">
        <v>1097</v>
      </c>
      <c r="W1" s="341" t="s">
        <v>1098</v>
      </c>
      <c r="X1" s="340" t="s">
        <v>1099</v>
      </c>
      <c r="Y1" s="340" t="s">
        <v>1100</v>
      </c>
      <c r="Z1" s="340" t="s">
        <v>1101</v>
      </c>
      <c r="AA1" s="341" t="s">
        <v>1102</v>
      </c>
      <c r="AB1" s="340" t="s">
        <v>1103</v>
      </c>
    </row>
    <row r="2" spans="1:28" ht="12.75" customHeight="1">
      <c r="A2" s="121" t="s">
        <v>1104</v>
      </c>
      <c r="B2" s="120" t="s">
        <v>1105</v>
      </c>
      <c r="C2" s="343" t="s">
        <v>1106</v>
      </c>
      <c r="D2" s="344"/>
      <c r="E2" s="345" t="str">
        <f t="shared" ref="E2:E81" si="0">IFERROR(IF(D2="","",(D2-J2)/J2),"")</f>
        <v/>
      </c>
      <c r="F2" s="121" t="s">
        <v>1107</v>
      </c>
      <c r="G2" s="121"/>
      <c r="H2" s="346">
        <f t="shared" ref="H2:H81" si="1">ROUND(K2/I2,4)</f>
        <v>0</v>
      </c>
      <c r="I2" s="121">
        <v>95</v>
      </c>
      <c r="J2" s="346">
        <v>0</v>
      </c>
      <c r="K2" s="128">
        <v>0</v>
      </c>
      <c r="L2" s="150"/>
      <c r="M2" s="124">
        <f t="shared" ref="M2:M81" si="2">ROUND(O2/I2,4)</f>
        <v>0</v>
      </c>
      <c r="N2" s="155"/>
      <c r="O2" s="347"/>
      <c r="P2" s="120"/>
      <c r="Q2" s="348"/>
      <c r="R2" s="125">
        <v>47.2</v>
      </c>
      <c r="S2" s="125">
        <f>475+237.5</f>
        <v>712.5</v>
      </c>
      <c r="T2" s="127" t="str">
        <f t="shared" ref="T2:T81" si="3">IF(OR(O2="",K2=""),"",O2-K2)</f>
        <v/>
      </c>
      <c r="U2" s="127" t="str">
        <f t="shared" ref="U2:U81" si="4">CONCATENATE(I2," ",A2)</f>
        <v>95 **DCMSRIND</v>
      </c>
      <c r="V2" s="349" t="str">
        <f t="shared" ref="V2:V81" si="5">IF(T2="","",T2+S2-R2)</f>
        <v/>
      </c>
      <c r="W2" s="350" t="str">
        <f t="shared" ref="W2:W81" si="6">IF(OR(K2="",V2=""),"",V2/K2)</f>
        <v/>
      </c>
      <c r="X2" s="351">
        <f t="shared" ref="X2:X81" si="7">DATEDIF(L2,P2,"Y")</f>
        <v>0</v>
      </c>
      <c r="Y2" s="352">
        <f t="shared" ref="Y2:Y81" si="8">DATEDIF(L2,P2,"YM")</f>
        <v>0</v>
      </c>
      <c r="Z2" s="353">
        <f t="shared" ref="Z2:Z81" si="9">DATEDIF(L2,P2,"MD")</f>
        <v>0</v>
      </c>
      <c r="AA2" s="350" t="str">
        <f t="shared" ref="AA2:AA55" si="10">IF(O2="","",IFERROR(((O2+S2-R2)/K2)^(1/((P2-L2)/365))-1,""))</f>
        <v/>
      </c>
      <c r="AB2" s="120" t="s">
        <v>448</v>
      </c>
    </row>
    <row r="3" spans="1:28" ht="12.75" customHeight="1">
      <c r="A3" s="120" t="s">
        <v>1108</v>
      </c>
      <c r="B3" s="120" t="s">
        <v>1109</v>
      </c>
      <c r="C3" s="343" t="s">
        <v>1110</v>
      </c>
      <c r="D3" s="344"/>
      <c r="E3" s="345" t="str">
        <f t="shared" si="0"/>
        <v/>
      </c>
      <c r="F3" s="121" t="s">
        <v>1107</v>
      </c>
      <c r="G3" s="121"/>
      <c r="H3" s="346">
        <f t="shared" si="1"/>
        <v>0</v>
      </c>
      <c r="I3" s="121">
        <v>95</v>
      </c>
      <c r="J3" s="346">
        <v>0</v>
      </c>
      <c r="K3" s="128">
        <v>0</v>
      </c>
      <c r="L3" s="150"/>
      <c r="M3" s="124">
        <f t="shared" si="2"/>
        <v>0</v>
      </c>
      <c r="N3" s="155"/>
      <c r="O3" s="347"/>
      <c r="P3" s="120"/>
      <c r="Q3" s="348"/>
      <c r="R3" s="125">
        <v>472</v>
      </c>
      <c r="S3" s="125"/>
      <c r="T3" s="127" t="str">
        <f t="shared" si="3"/>
        <v/>
      </c>
      <c r="U3" s="127" t="str">
        <f t="shared" si="4"/>
        <v>95 *DCM</v>
      </c>
      <c r="V3" s="349" t="str">
        <f t="shared" si="5"/>
        <v/>
      </c>
      <c r="W3" s="350" t="str">
        <f t="shared" si="6"/>
        <v/>
      </c>
      <c r="X3" s="351">
        <f t="shared" si="7"/>
        <v>0</v>
      </c>
      <c r="Y3" s="352">
        <f t="shared" si="8"/>
        <v>0</v>
      </c>
      <c r="Z3" s="353">
        <f t="shared" si="9"/>
        <v>0</v>
      </c>
      <c r="AA3" s="350" t="str">
        <f t="shared" si="10"/>
        <v/>
      </c>
      <c r="AB3" s="120" t="s">
        <v>448</v>
      </c>
    </row>
    <row r="4" spans="1:28" ht="12.75" customHeight="1">
      <c r="A4" s="120" t="s">
        <v>1111</v>
      </c>
      <c r="B4" s="120" t="s">
        <v>1112</v>
      </c>
      <c r="C4" s="343" t="s">
        <v>1113</v>
      </c>
      <c r="D4" s="344"/>
      <c r="E4" s="345" t="str">
        <f t="shared" si="0"/>
        <v/>
      </c>
      <c r="F4" s="121" t="s">
        <v>1107</v>
      </c>
      <c r="G4" s="121"/>
      <c r="H4" s="346">
        <f t="shared" si="1"/>
        <v>0</v>
      </c>
      <c r="I4" s="121">
        <v>949</v>
      </c>
      <c r="J4" s="346">
        <v>0</v>
      </c>
      <c r="K4" s="128">
        <v>0</v>
      </c>
      <c r="L4" s="150"/>
      <c r="M4" s="124">
        <f t="shared" si="2"/>
        <v>0</v>
      </c>
      <c r="N4" s="155"/>
      <c r="O4" s="347"/>
      <c r="P4" s="120"/>
      <c r="Q4" s="348"/>
      <c r="R4" s="125">
        <v>47.2</v>
      </c>
      <c r="S4" s="125">
        <f>4828.04+3606.2+36631.4+4370</f>
        <v>49435.64</v>
      </c>
      <c r="T4" s="127" t="str">
        <f t="shared" si="3"/>
        <v/>
      </c>
      <c r="U4" s="127" t="str">
        <f t="shared" si="4"/>
        <v>949 *DCMSHRIRAM</v>
      </c>
      <c r="V4" s="349" t="str">
        <f t="shared" si="5"/>
        <v/>
      </c>
      <c r="W4" s="350" t="str">
        <f t="shared" si="6"/>
        <v/>
      </c>
      <c r="X4" s="351">
        <f t="shared" si="7"/>
        <v>0</v>
      </c>
      <c r="Y4" s="352">
        <f t="shared" si="8"/>
        <v>0</v>
      </c>
      <c r="Z4" s="353">
        <f t="shared" si="9"/>
        <v>0</v>
      </c>
      <c r="AA4" s="350" t="str">
        <f t="shared" si="10"/>
        <v/>
      </c>
      <c r="AB4" s="120" t="s">
        <v>448</v>
      </c>
    </row>
    <row r="5" spans="1:28" ht="12.75" customHeight="1">
      <c r="A5" s="120" t="s">
        <v>1111</v>
      </c>
      <c r="B5" s="120" t="s">
        <v>1112</v>
      </c>
      <c r="C5" s="343" t="s">
        <v>1113</v>
      </c>
      <c r="D5" s="344"/>
      <c r="E5" s="345" t="str">
        <f t="shared" si="0"/>
        <v/>
      </c>
      <c r="F5" s="121" t="s">
        <v>1107</v>
      </c>
      <c r="G5" s="121"/>
      <c r="H5" s="346">
        <f t="shared" si="1"/>
        <v>1126.6777999999999</v>
      </c>
      <c r="I5" s="121">
        <v>360</v>
      </c>
      <c r="J5" s="346">
        <v>1125.3471999999999</v>
      </c>
      <c r="K5" s="128">
        <v>405604</v>
      </c>
      <c r="L5" s="150">
        <v>44687</v>
      </c>
      <c r="M5" s="124">
        <f t="shared" si="2"/>
        <v>0</v>
      </c>
      <c r="N5" s="155"/>
      <c r="O5" s="347"/>
      <c r="P5" s="120"/>
      <c r="Q5" s="348"/>
      <c r="R5" s="125"/>
      <c r="S5" s="125"/>
      <c r="T5" s="127" t="str">
        <f t="shared" si="3"/>
        <v/>
      </c>
      <c r="U5" s="127" t="str">
        <f t="shared" si="4"/>
        <v>360 *DCMSHRIRAM</v>
      </c>
      <c r="V5" s="349" t="str">
        <f t="shared" si="5"/>
        <v/>
      </c>
      <c r="W5" s="350" t="str">
        <f t="shared" si="6"/>
        <v/>
      </c>
      <c r="X5" s="351" t="e">
        <f t="shared" si="7"/>
        <v>#NUM!</v>
      </c>
      <c r="Y5" s="352" t="e">
        <f t="shared" si="8"/>
        <v>#NUM!</v>
      </c>
      <c r="Z5" s="353" t="e">
        <f t="shared" si="9"/>
        <v>#NUM!</v>
      </c>
      <c r="AA5" s="350" t="str">
        <f t="shared" si="10"/>
        <v/>
      </c>
      <c r="AB5" s="120" t="s">
        <v>448</v>
      </c>
    </row>
    <row r="6" spans="1:28" ht="12.75" customHeight="1">
      <c r="A6" s="120" t="s">
        <v>1111</v>
      </c>
      <c r="B6" s="120" t="s">
        <v>1112</v>
      </c>
      <c r="C6" s="343" t="s">
        <v>1113</v>
      </c>
      <c r="D6" s="344"/>
      <c r="E6" s="345" t="str">
        <f t="shared" si="0"/>
        <v/>
      </c>
      <c r="F6" s="121" t="s">
        <v>1107</v>
      </c>
      <c r="G6" s="121"/>
      <c r="H6" s="346">
        <f t="shared" si="1"/>
        <v>1048.7789</v>
      </c>
      <c r="I6" s="121">
        <v>190</v>
      </c>
      <c r="J6" s="346">
        <v>1047.5420999999999</v>
      </c>
      <c r="K6" s="128">
        <v>199268</v>
      </c>
      <c r="L6" s="150">
        <v>44854</v>
      </c>
      <c r="M6" s="124">
        <f t="shared" si="2"/>
        <v>0</v>
      </c>
      <c r="N6" s="155"/>
      <c r="O6" s="347"/>
      <c r="P6" s="120"/>
      <c r="Q6" s="348"/>
      <c r="R6" s="125"/>
      <c r="S6" s="125"/>
      <c r="T6" s="127" t="str">
        <f t="shared" si="3"/>
        <v/>
      </c>
      <c r="U6" s="127" t="str">
        <f t="shared" si="4"/>
        <v>190 *DCMSHRIRAM</v>
      </c>
      <c r="V6" s="349" t="str">
        <f t="shared" si="5"/>
        <v/>
      </c>
      <c r="W6" s="350" t="str">
        <f t="shared" si="6"/>
        <v/>
      </c>
      <c r="X6" s="351" t="e">
        <f t="shared" si="7"/>
        <v>#NUM!</v>
      </c>
      <c r="Y6" s="352" t="e">
        <f t="shared" si="8"/>
        <v>#NUM!</v>
      </c>
      <c r="Z6" s="353" t="e">
        <f t="shared" si="9"/>
        <v>#NUM!</v>
      </c>
      <c r="AA6" s="350" t="str">
        <f t="shared" si="10"/>
        <v/>
      </c>
      <c r="AB6" s="120" t="s">
        <v>448</v>
      </c>
    </row>
    <row r="7" spans="1:28" ht="12.75" customHeight="1">
      <c r="A7" s="120" t="s">
        <v>1111</v>
      </c>
      <c r="B7" s="120" t="s">
        <v>1112</v>
      </c>
      <c r="C7" s="343" t="s">
        <v>1113</v>
      </c>
      <c r="D7" s="344"/>
      <c r="E7" s="345" t="str">
        <f t="shared" si="0"/>
        <v/>
      </c>
      <c r="F7" s="121" t="s">
        <v>1107</v>
      </c>
      <c r="G7" s="121"/>
      <c r="H7" s="346">
        <f t="shared" si="1"/>
        <v>1054.25</v>
      </c>
      <c r="I7" s="121">
        <v>20</v>
      </c>
      <c r="J7" s="346">
        <v>1053</v>
      </c>
      <c r="K7" s="128">
        <v>21085</v>
      </c>
      <c r="L7" s="150">
        <v>44865</v>
      </c>
      <c r="M7" s="124">
        <f t="shared" si="2"/>
        <v>0</v>
      </c>
      <c r="N7" s="155"/>
      <c r="O7" s="347"/>
      <c r="P7" s="120"/>
      <c r="Q7" s="348"/>
      <c r="R7" s="125"/>
      <c r="S7" s="125"/>
      <c r="T7" s="127" t="str">
        <f t="shared" si="3"/>
        <v/>
      </c>
      <c r="U7" s="127" t="str">
        <f t="shared" si="4"/>
        <v>20 *DCMSHRIRAM</v>
      </c>
      <c r="V7" s="349" t="str">
        <f t="shared" si="5"/>
        <v/>
      </c>
      <c r="W7" s="350" t="str">
        <f t="shared" si="6"/>
        <v/>
      </c>
      <c r="X7" s="351" t="e">
        <f t="shared" si="7"/>
        <v>#NUM!</v>
      </c>
      <c r="Y7" s="352" t="e">
        <f t="shared" si="8"/>
        <v>#NUM!</v>
      </c>
      <c r="Z7" s="353" t="e">
        <f t="shared" si="9"/>
        <v>#NUM!</v>
      </c>
      <c r="AA7" s="350" t="str">
        <f t="shared" si="10"/>
        <v/>
      </c>
      <c r="AB7" s="120" t="s">
        <v>448</v>
      </c>
    </row>
    <row r="8" spans="1:28" ht="12.75" customHeight="1">
      <c r="A8" s="120" t="s">
        <v>1111</v>
      </c>
      <c r="B8" s="120" t="s">
        <v>1112</v>
      </c>
      <c r="C8" s="343" t="s">
        <v>1113</v>
      </c>
      <c r="D8" s="344"/>
      <c r="E8" s="345" t="str">
        <f t="shared" si="0"/>
        <v/>
      </c>
      <c r="F8" s="121" t="s">
        <v>1107</v>
      </c>
      <c r="G8" s="121"/>
      <c r="H8" s="346">
        <f t="shared" si="1"/>
        <v>1029.1333</v>
      </c>
      <c r="I8" s="121">
        <v>45</v>
      </c>
      <c r="J8" s="346">
        <v>1027.9111</v>
      </c>
      <c r="K8" s="128">
        <v>46311</v>
      </c>
      <c r="L8" s="150">
        <v>44876</v>
      </c>
      <c r="M8" s="124">
        <f t="shared" si="2"/>
        <v>0</v>
      </c>
      <c r="N8" s="155"/>
      <c r="O8" s="347"/>
      <c r="P8" s="120"/>
      <c r="Q8" s="348"/>
      <c r="R8" s="125"/>
      <c r="S8" s="125"/>
      <c r="T8" s="127" t="str">
        <f t="shared" si="3"/>
        <v/>
      </c>
      <c r="U8" s="127" t="str">
        <f t="shared" si="4"/>
        <v>45 *DCMSHRIRAM</v>
      </c>
      <c r="V8" s="349" t="str">
        <f t="shared" si="5"/>
        <v/>
      </c>
      <c r="W8" s="350" t="str">
        <f t="shared" si="6"/>
        <v/>
      </c>
      <c r="X8" s="351" t="e">
        <f t="shared" si="7"/>
        <v>#NUM!</v>
      </c>
      <c r="Y8" s="352" t="e">
        <f t="shared" si="8"/>
        <v>#NUM!</v>
      </c>
      <c r="Z8" s="353" t="e">
        <f t="shared" si="9"/>
        <v>#NUM!</v>
      </c>
      <c r="AA8" s="350" t="str">
        <f t="shared" si="10"/>
        <v/>
      </c>
      <c r="AB8" s="120" t="s">
        <v>448</v>
      </c>
    </row>
    <row r="9" spans="1:28" ht="12.75" customHeight="1">
      <c r="A9" s="120" t="s">
        <v>1111</v>
      </c>
      <c r="B9" s="120" t="s">
        <v>1112</v>
      </c>
      <c r="C9" s="343" t="s">
        <v>1113</v>
      </c>
      <c r="D9" s="344"/>
      <c r="E9" s="345" t="str">
        <f t="shared" si="0"/>
        <v/>
      </c>
      <c r="F9" s="121" t="s">
        <v>1107</v>
      </c>
      <c r="G9" s="121"/>
      <c r="H9" s="346">
        <f t="shared" si="1"/>
        <v>938.66669999999999</v>
      </c>
      <c r="I9" s="121">
        <v>3</v>
      </c>
      <c r="J9" s="346">
        <v>937.4</v>
      </c>
      <c r="K9" s="128">
        <v>2816</v>
      </c>
      <c r="L9" s="150">
        <v>44879</v>
      </c>
      <c r="M9" s="124">
        <f t="shared" si="2"/>
        <v>0</v>
      </c>
      <c r="N9" s="155"/>
      <c r="O9" s="347"/>
      <c r="P9" s="120"/>
      <c r="Q9" s="348"/>
      <c r="R9" s="125"/>
      <c r="S9" s="125"/>
      <c r="T9" s="127" t="str">
        <f t="shared" si="3"/>
        <v/>
      </c>
      <c r="U9" s="127" t="str">
        <f t="shared" si="4"/>
        <v>3 *DCMSHRIRAM</v>
      </c>
      <c r="V9" s="349" t="str">
        <f t="shared" si="5"/>
        <v/>
      </c>
      <c r="W9" s="350" t="str">
        <f t="shared" si="6"/>
        <v/>
      </c>
      <c r="X9" s="351" t="e">
        <f t="shared" si="7"/>
        <v>#NUM!</v>
      </c>
      <c r="Y9" s="352" t="e">
        <f t="shared" si="8"/>
        <v>#NUM!</v>
      </c>
      <c r="Z9" s="353" t="e">
        <f t="shared" si="9"/>
        <v>#NUM!</v>
      </c>
      <c r="AA9" s="350" t="str">
        <f t="shared" si="10"/>
        <v/>
      </c>
      <c r="AB9" s="120" t="s">
        <v>448</v>
      </c>
    </row>
    <row r="10" spans="1:28" ht="12.75" customHeight="1">
      <c r="A10" s="120" t="s">
        <v>1111</v>
      </c>
      <c r="B10" s="120" t="s">
        <v>1112</v>
      </c>
      <c r="C10" s="343" t="s">
        <v>1113</v>
      </c>
      <c r="D10" s="344"/>
      <c r="E10" s="345" t="str">
        <f t="shared" si="0"/>
        <v/>
      </c>
      <c r="F10" s="121" t="s">
        <v>1107</v>
      </c>
      <c r="G10" s="121"/>
      <c r="H10" s="346">
        <f t="shared" si="1"/>
        <v>905.125</v>
      </c>
      <c r="I10" s="121">
        <v>8</v>
      </c>
      <c r="J10" s="346">
        <v>904.01250000000005</v>
      </c>
      <c r="K10" s="128">
        <v>7241</v>
      </c>
      <c r="L10" s="150">
        <v>44880</v>
      </c>
      <c r="M10" s="124">
        <f t="shared" si="2"/>
        <v>0</v>
      </c>
      <c r="N10" s="155"/>
      <c r="O10" s="347"/>
      <c r="P10" s="120"/>
      <c r="Q10" s="348"/>
      <c r="R10" s="125"/>
      <c r="S10" s="125"/>
      <c r="T10" s="127" t="str">
        <f t="shared" si="3"/>
        <v/>
      </c>
      <c r="U10" s="127" t="str">
        <f t="shared" si="4"/>
        <v>8 *DCMSHRIRAM</v>
      </c>
      <c r="V10" s="349" t="str">
        <f t="shared" si="5"/>
        <v/>
      </c>
      <c r="W10" s="350" t="str">
        <f t="shared" si="6"/>
        <v/>
      </c>
      <c r="X10" s="351" t="e">
        <f t="shared" si="7"/>
        <v>#NUM!</v>
      </c>
      <c r="Y10" s="352" t="e">
        <f t="shared" si="8"/>
        <v>#NUM!</v>
      </c>
      <c r="Z10" s="353" t="e">
        <f t="shared" si="9"/>
        <v>#NUM!</v>
      </c>
      <c r="AA10" s="350" t="str">
        <f t="shared" si="10"/>
        <v/>
      </c>
      <c r="AB10" s="120" t="s">
        <v>448</v>
      </c>
    </row>
    <row r="11" spans="1:28" ht="12.75" customHeight="1">
      <c r="A11" s="120" t="s">
        <v>1111</v>
      </c>
      <c r="B11" s="120" t="s">
        <v>1112</v>
      </c>
      <c r="C11" s="343" t="s">
        <v>1113</v>
      </c>
      <c r="D11" s="344"/>
      <c r="E11" s="345" t="str">
        <f t="shared" si="0"/>
        <v/>
      </c>
      <c r="F11" s="121" t="s">
        <v>1107</v>
      </c>
      <c r="G11" s="121"/>
      <c r="H11" s="346">
        <f t="shared" si="1"/>
        <v>875.2</v>
      </c>
      <c r="I11" s="121">
        <v>5</v>
      </c>
      <c r="J11" s="346">
        <v>874.2</v>
      </c>
      <c r="K11" s="128">
        <v>4376</v>
      </c>
      <c r="L11" s="150">
        <v>45285</v>
      </c>
      <c r="M11" s="124">
        <f t="shared" si="2"/>
        <v>0</v>
      </c>
      <c r="N11" s="155"/>
      <c r="O11" s="347"/>
      <c r="P11" s="120"/>
      <c r="Q11" s="348"/>
      <c r="R11" s="125"/>
      <c r="S11" s="125"/>
      <c r="T11" s="127" t="str">
        <f t="shared" si="3"/>
        <v/>
      </c>
      <c r="U11" s="127" t="str">
        <f t="shared" si="4"/>
        <v>5 *DCMSHRIRAM</v>
      </c>
      <c r="V11" s="349" t="str">
        <f t="shared" si="5"/>
        <v/>
      </c>
      <c r="W11" s="350" t="str">
        <f t="shared" si="6"/>
        <v/>
      </c>
      <c r="X11" s="351" t="e">
        <f t="shared" si="7"/>
        <v>#NUM!</v>
      </c>
      <c r="Y11" s="352" t="e">
        <f t="shared" si="8"/>
        <v>#NUM!</v>
      </c>
      <c r="Z11" s="353" t="e">
        <f t="shared" si="9"/>
        <v>#NUM!</v>
      </c>
      <c r="AA11" s="350" t="str">
        <f t="shared" si="10"/>
        <v/>
      </c>
      <c r="AB11" s="120" t="s">
        <v>448</v>
      </c>
    </row>
    <row r="12" spans="1:28" ht="12.75" customHeight="1">
      <c r="A12" s="120" t="s">
        <v>1111</v>
      </c>
      <c r="B12" s="120" t="s">
        <v>1112</v>
      </c>
      <c r="C12" s="343" t="s">
        <v>1113</v>
      </c>
      <c r="D12" s="344"/>
      <c r="E12" s="345" t="str">
        <f t="shared" si="0"/>
        <v/>
      </c>
      <c r="F12" s="121" t="s">
        <v>1107</v>
      </c>
      <c r="G12" s="121"/>
      <c r="H12" s="346">
        <f t="shared" si="1"/>
        <v>854</v>
      </c>
      <c r="I12" s="121">
        <v>10</v>
      </c>
      <c r="J12" s="346">
        <v>853</v>
      </c>
      <c r="K12" s="128">
        <v>8540</v>
      </c>
      <c r="L12" s="150">
        <v>44979</v>
      </c>
      <c r="M12" s="124">
        <f t="shared" si="2"/>
        <v>0</v>
      </c>
      <c r="N12" s="155"/>
      <c r="O12" s="347"/>
      <c r="P12" s="120"/>
      <c r="Q12" s="348"/>
      <c r="R12" s="125"/>
      <c r="S12" s="125"/>
      <c r="T12" s="127" t="str">
        <f t="shared" si="3"/>
        <v/>
      </c>
      <c r="U12" s="127" t="str">
        <f t="shared" si="4"/>
        <v>10 *DCMSHRIRAM</v>
      </c>
      <c r="V12" s="349" t="str">
        <f t="shared" si="5"/>
        <v/>
      </c>
      <c r="W12" s="350" t="str">
        <f t="shared" si="6"/>
        <v/>
      </c>
      <c r="X12" s="351" t="e">
        <f t="shared" si="7"/>
        <v>#NUM!</v>
      </c>
      <c r="Y12" s="352" t="e">
        <f t="shared" si="8"/>
        <v>#NUM!</v>
      </c>
      <c r="Z12" s="353" t="e">
        <f t="shared" si="9"/>
        <v>#NUM!</v>
      </c>
      <c r="AA12" s="350" t="str">
        <f t="shared" si="10"/>
        <v/>
      </c>
      <c r="AB12" s="120" t="s">
        <v>448</v>
      </c>
    </row>
    <row r="13" spans="1:28" ht="12.75" customHeight="1">
      <c r="A13" s="134" t="s">
        <v>584</v>
      </c>
      <c r="B13" s="134"/>
      <c r="C13" s="133"/>
      <c r="D13" s="354"/>
      <c r="E13" s="355" t="str">
        <f t="shared" si="0"/>
        <v/>
      </c>
      <c r="F13" s="134"/>
      <c r="G13" s="134"/>
      <c r="H13" s="154">
        <f t="shared" si="1"/>
        <v>11.664</v>
      </c>
      <c r="I13" s="356">
        <v>1000</v>
      </c>
      <c r="J13" s="154">
        <v>11.65</v>
      </c>
      <c r="K13" s="142">
        <v>11664</v>
      </c>
      <c r="L13" s="157">
        <v>44823</v>
      </c>
      <c r="M13" s="357">
        <f t="shared" si="2"/>
        <v>0</v>
      </c>
      <c r="N13" s="358"/>
      <c r="O13" s="359"/>
      <c r="P13" s="133"/>
      <c r="Q13" s="360"/>
      <c r="R13" s="138"/>
      <c r="S13" s="138"/>
      <c r="T13" s="141" t="str">
        <f t="shared" si="3"/>
        <v/>
      </c>
      <c r="U13" s="141" t="str">
        <f t="shared" si="4"/>
        <v>1000 A2ZINFRA</v>
      </c>
      <c r="V13" s="361" t="str">
        <f t="shared" si="5"/>
        <v/>
      </c>
      <c r="W13" s="362" t="str">
        <f t="shared" si="6"/>
        <v/>
      </c>
      <c r="X13" s="363" t="e">
        <f t="shared" si="7"/>
        <v>#NUM!</v>
      </c>
      <c r="Y13" s="364" t="e">
        <f t="shared" si="8"/>
        <v>#NUM!</v>
      </c>
      <c r="Z13" s="365" t="e">
        <f t="shared" si="9"/>
        <v>#NUM!</v>
      </c>
      <c r="AA13" s="362" t="str">
        <f t="shared" si="10"/>
        <v/>
      </c>
      <c r="AB13" s="133" t="s">
        <v>471</v>
      </c>
    </row>
    <row r="14" spans="1:28" ht="12.75" customHeight="1">
      <c r="A14" s="366" t="s">
        <v>573</v>
      </c>
      <c r="B14" s="134" t="s">
        <v>1114</v>
      </c>
      <c r="C14" s="133" t="s">
        <v>1115</v>
      </c>
      <c r="D14" s="354">
        <v>1227</v>
      </c>
      <c r="E14" s="355">
        <f t="shared" si="0"/>
        <v>0.42882096069868997</v>
      </c>
      <c r="F14" s="134" t="s">
        <v>1116</v>
      </c>
      <c r="G14" s="134" t="s">
        <v>1117</v>
      </c>
      <c r="H14" s="154">
        <f t="shared" si="1"/>
        <v>859.8</v>
      </c>
      <c r="I14" s="356">
        <v>10</v>
      </c>
      <c r="J14" s="154">
        <v>858.75</v>
      </c>
      <c r="K14" s="142">
        <f>11464-2866</f>
        <v>8598</v>
      </c>
      <c r="L14" s="148">
        <v>44487</v>
      </c>
      <c r="M14" s="357">
        <f t="shared" si="2"/>
        <v>0</v>
      </c>
      <c r="N14" s="358"/>
      <c r="O14" s="359"/>
      <c r="P14" s="133"/>
      <c r="Q14" s="360"/>
      <c r="R14" s="138"/>
      <c r="S14" s="138">
        <v>10</v>
      </c>
      <c r="T14" s="141" t="str">
        <f t="shared" si="3"/>
        <v/>
      </c>
      <c r="U14" s="141" t="str">
        <f t="shared" si="4"/>
        <v>10 AARTIIND</v>
      </c>
      <c r="V14" s="361" t="str">
        <f t="shared" si="5"/>
        <v/>
      </c>
      <c r="W14" s="362" t="str">
        <f t="shared" si="6"/>
        <v/>
      </c>
      <c r="X14" s="363" t="e">
        <f t="shared" si="7"/>
        <v>#NUM!</v>
      </c>
      <c r="Y14" s="364" t="e">
        <f t="shared" si="8"/>
        <v>#NUM!</v>
      </c>
      <c r="Z14" s="365" t="e">
        <f t="shared" si="9"/>
        <v>#NUM!</v>
      </c>
      <c r="AA14" s="362" t="str">
        <f t="shared" si="10"/>
        <v/>
      </c>
      <c r="AB14" s="133" t="s">
        <v>471</v>
      </c>
    </row>
    <row r="15" spans="1:28" ht="12.75" customHeight="1">
      <c r="A15" s="367" t="s">
        <v>573</v>
      </c>
      <c r="B15" s="134" t="s">
        <v>1114</v>
      </c>
      <c r="C15" s="133" t="s">
        <v>1115</v>
      </c>
      <c r="D15" s="354">
        <v>1227</v>
      </c>
      <c r="E15" s="355">
        <f t="shared" si="0"/>
        <v>0.65419615773508599</v>
      </c>
      <c r="F15" s="134" t="s">
        <v>1116</v>
      </c>
      <c r="G15" s="134" t="s">
        <v>1117</v>
      </c>
      <c r="H15" s="154">
        <f t="shared" si="1"/>
        <v>742.6</v>
      </c>
      <c r="I15" s="356">
        <v>10</v>
      </c>
      <c r="J15" s="154">
        <v>741.75</v>
      </c>
      <c r="K15" s="142">
        <f>9902-2476</f>
        <v>7426</v>
      </c>
      <c r="L15" s="148">
        <v>44497</v>
      </c>
      <c r="M15" s="357">
        <f t="shared" si="2"/>
        <v>0</v>
      </c>
      <c r="N15" s="358"/>
      <c r="O15" s="359"/>
      <c r="P15" s="133"/>
      <c r="Q15" s="360"/>
      <c r="R15" s="138"/>
      <c r="S15" s="138">
        <v>10</v>
      </c>
      <c r="T15" s="141" t="str">
        <f t="shared" si="3"/>
        <v/>
      </c>
      <c r="U15" s="141" t="str">
        <f t="shared" si="4"/>
        <v>10 AARTIIND</v>
      </c>
      <c r="V15" s="361" t="str">
        <f t="shared" si="5"/>
        <v/>
      </c>
      <c r="W15" s="362" t="str">
        <f t="shared" si="6"/>
        <v/>
      </c>
      <c r="X15" s="363" t="e">
        <f t="shared" si="7"/>
        <v>#NUM!</v>
      </c>
      <c r="Y15" s="364" t="e">
        <f t="shared" si="8"/>
        <v>#NUM!</v>
      </c>
      <c r="Z15" s="365" t="e">
        <f t="shared" si="9"/>
        <v>#NUM!</v>
      </c>
      <c r="AA15" s="362" t="str">
        <f t="shared" si="10"/>
        <v/>
      </c>
      <c r="AB15" s="133" t="s">
        <v>471</v>
      </c>
    </row>
    <row r="16" spans="1:28" ht="12.75" customHeight="1">
      <c r="A16" s="367" t="s">
        <v>573</v>
      </c>
      <c r="B16" s="134"/>
      <c r="C16" s="133"/>
      <c r="D16" s="354"/>
      <c r="E16" s="355" t="str">
        <f t="shared" si="0"/>
        <v/>
      </c>
      <c r="F16" s="134"/>
      <c r="G16" s="134"/>
      <c r="H16" s="154">
        <f t="shared" si="1"/>
        <v>589.4</v>
      </c>
      <c r="I16" s="356">
        <v>10</v>
      </c>
      <c r="J16" s="154">
        <v>588.75</v>
      </c>
      <c r="K16" s="142">
        <f>7859-1965</f>
        <v>5894</v>
      </c>
      <c r="L16" s="148">
        <v>44797</v>
      </c>
      <c r="M16" s="357">
        <f t="shared" si="2"/>
        <v>0</v>
      </c>
      <c r="N16" s="358"/>
      <c r="O16" s="359"/>
      <c r="P16" s="133"/>
      <c r="Q16" s="360"/>
      <c r="R16" s="138"/>
      <c r="S16" s="138"/>
      <c r="T16" s="141" t="str">
        <f t="shared" si="3"/>
        <v/>
      </c>
      <c r="U16" s="141" t="str">
        <f t="shared" si="4"/>
        <v>10 AARTIIND</v>
      </c>
      <c r="V16" s="361" t="str">
        <f t="shared" si="5"/>
        <v/>
      </c>
      <c r="W16" s="362" t="str">
        <f t="shared" si="6"/>
        <v/>
      </c>
      <c r="X16" s="363" t="e">
        <f t="shared" si="7"/>
        <v>#NUM!</v>
      </c>
      <c r="Y16" s="364" t="e">
        <f t="shared" si="8"/>
        <v>#NUM!</v>
      </c>
      <c r="Z16" s="365" t="e">
        <f t="shared" si="9"/>
        <v>#NUM!</v>
      </c>
      <c r="AA16" s="362" t="str">
        <f t="shared" si="10"/>
        <v/>
      </c>
      <c r="AB16" s="133" t="s">
        <v>471</v>
      </c>
    </row>
    <row r="17" spans="1:28" ht="12.75" customHeight="1">
      <c r="A17" s="134" t="s">
        <v>1118</v>
      </c>
      <c r="B17" s="134"/>
      <c r="C17" s="133"/>
      <c r="D17" s="354"/>
      <c r="E17" s="355" t="str">
        <f t="shared" si="0"/>
        <v/>
      </c>
      <c r="F17" s="134"/>
      <c r="G17" s="134"/>
      <c r="H17" s="154">
        <f t="shared" si="1"/>
        <v>1043.8570999999999</v>
      </c>
      <c r="I17" s="356">
        <v>7</v>
      </c>
      <c r="J17" s="154">
        <v>1043.8599999999999</v>
      </c>
      <c r="K17" s="142">
        <v>7307</v>
      </c>
      <c r="L17" s="157">
        <v>44954</v>
      </c>
      <c r="M17" s="357">
        <f t="shared" si="2"/>
        <v>0</v>
      </c>
      <c r="N17" s="358"/>
      <c r="O17" s="359"/>
      <c r="P17" s="133"/>
      <c r="Q17" s="360"/>
      <c r="R17" s="138"/>
      <c r="S17" s="138"/>
      <c r="T17" s="141" t="str">
        <f t="shared" si="3"/>
        <v/>
      </c>
      <c r="U17" s="141" t="str">
        <f t="shared" si="4"/>
        <v>7 AARTIPHARM</v>
      </c>
      <c r="V17" s="361" t="str">
        <f t="shared" si="5"/>
        <v/>
      </c>
      <c r="W17" s="362" t="str">
        <f t="shared" si="6"/>
        <v/>
      </c>
      <c r="X17" s="363" t="e">
        <f t="shared" si="7"/>
        <v>#NUM!</v>
      </c>
      <c r="Y17" s="364" t="e">
        <f t="shared" si="8"/>
        <v>#NUM!</v>
      </c>
      <c r="Z17" s="365" t="e">
        <f t="shared" si="9"/>
        <v>#NUM!</v>
      </c>
      <c r="AA17" s="362" t="str">
        <f t="shared" si="10"/>
        <v/>
      </c>
      <c r="AB17" s="133" t="s">
        <v>471</v>
      </c>
    </row>
    <row r="18" spans="1:28" ht="12.75" customHeight="1">
      <c r="A18" s="366" t="s">
        <v>625</v>
      </c>
      <c r="B18" s="134" t="s">
        <v>1119</v>
      </c>
      <c r="C18" s="133" t="s">
        <v>1120</v>
      </c>
      <c r="D18" s="354"/>
      <c r="E18" s="355" t="str">
        <f t="shared" si="0"/>
        <v/>
      </c>
      <c r="F18" s="134" t="s">
        <v>1121</v>
      </c>
      <c r="G18" s="134"/>
      <c r="H18" s="154">
        <f t="shared" si="1"/>
        <v>712</v>
      </c>
      <c r="I18" s="356">
        <v>20</v>
      </c>
      <c r="J18" s="154">
        <v>712</v>
      </c>
      <c r="K18" s="142">
        <v>14240</v>
      </c>
      <c r="L18" s="148">
        <v>44482</v>
      </c>
      <c r="M18" s="357">
        <f t="shared" si="2"/>
        <v>0</v>
      </c>
      <c r="N18" s="358"/>
      <c r="O18" s="359"/>
      <c r="P18" s="133"/>
      <c r="Q18" s="360"/>
      <c r="R18" s="138"/>
      <c r="S18" s="138">
        <v>112</v>
      </c>
      <c r="T18" s="141" t="str">
        <f t="shared" si="3"/>
        <v/>
      </c>
      <c r="U18" s="141" t="str">
        <f t="shared" si="4"/>
        <v>20 ABSLAMC</v>
      </c>
      <c r="V18" s="361" t="str">
        <f t="shared" si="5"/>
        <v/>
      </c>
      <c r="W18" s="362" t="str">
        <f t="shared" si="6"/>
        <v/>
      </c>
      <c r="X18" s="363" t="e">
        <f t="shared" si="7"/>
        <v>#NUM!</v>
      </c>
      <c r="Y18" s="364" t="e">
        <f t="shared" si="8"/>
        <v>#NUM!</v>
      </c>
      <c r="Z18" s="365" t="e">
        <f t="shared" si="9"/>
        <v>#NUM!</v>
      </c>
      <c r="AA18" s="362" t="str">
        <f t="shared" si="10"/>
        <v/>
      </c>
      <c r="AB18" s="133" t="s">
        <v>471</v>
      </c>
    </row>
    <row r="19" spans="1:28" ht="12.75" customHeight="1">
      <c r="A19" s="367" t="s">
        <v>625</v>
      </c>
      <c r="B19" s="134"/>
      <c r="C19" s="133"/>
      <c r="D19" s="354"/>
      <c r="E19" s="355" t="str">
        <f t="shared" si="0"/>
        <v/>
      </c>
      <c r="F19" s="134"/>
      <c r="G19" s="134"/>
      <c r="H19" s="154">
        <f t="shared" si="1"/>
        <v>489.6</v>
      </c>
      <c r="I19" s="356">
        <v>5</v>
      </c>
      <c r="J19" s="154">
        <v>488.95</v>
      </c>
      <c r="K19" s="142">
        <v>2448</v>
      </c>
      <c r="L19" s="157">
        <v>44818</v>
      </c>
      <c r="M19" s="357">
        <f t="shared" si="2"/>
        <v>0</v>
      </c>
      <c r="N19" s="358"/>
      <c r="O19" s="359"/>
      <c r="P19" s="133"/>
      <c r="Q19" s="360"/>
      <c r="R19" s="138"/>
      <c r="S19" s="138"/>
      <c r="T19" s="141" t="str">
        <f t="shared" si="3"/>
        <v/>
      </c>
      <c r="U19" s="141" t="str">
        <f t="shared" si="4"/>
        <v>5 ABSLAMC</v>
      </c>
      <c r="V19" s="361" t="str">
        <f t="shared" si="5"/>
        <v/>
      </c>
      <c r="W19" s="362" t="str">
        <f t="shared" si="6"/>
        <v/>
      </c>
      <c r="X19" s="363" t="e">
        <f t="shared" si="7"/>
        <v>#NUM!</v>
      </c>
      <c r="Y19" s="364" t="e">
        <f t="shared" si="8"/>
        <v>#NUM!</v>
      </c>
      <c r="Z19" s="365" t="e">
        <f t="shared" si="9"/>
        <v>#NUM!</v>
      </c>
      <c r="AA19" s="362" t="str">
        <f t="shared" si="10"/>
        <v/>
      </c>
      <c r="AB19" s="133" t="s">
        <v>471</v>
      </c>
    </row>
    <row r="20" spans="1:28" ht="12.75" customHeight="1">
      <c r="A20" s="366" t="s">
        <v>621</v>
      </c>
      <c r="B20" s="134"/>
      <c r="C20" s="133"/>
      <c r="D20" s="354"/>
      <c r="E20" s="355" t="str">
        <f t="shared" si="0"/>
        <v/>
      </c>
      <c r="F20" s="134"/>
      <c r="G20" s="134"/>
      <c r="H20" s="154">
        <f t="shared" si="1"/>
        <v>409.5</v>
      </c>
      <c r="I20" s="356">
        <v>20</v>
      </c>
      <c r="J20" s="154">
        <v>409</v>
      </c>
      <c r="K20" s="142">
        <v>8190</v>
      </c>
      <c r="L20" s="157">
        <v>44805</v>
      </c>
      <c r="M20" s="357">
        <f t="shared" si="2"/>
        <v>0</v>
      </c>
      <c r="N20" s="358"/>
      <c r="O20" s="359"/>
      <c r="P20" s="133"/>
      <c r="Q20" s="360"/>
      <c r="R20" s="138"/>
      <c r="S20" s="138"/>
      <c r="T20" s="141" t="str">
        <f t="shared" si="3"/>
        <v/>
      </c>
      <c r="U20" s="141" t="str">
        <f t="shared" si="4"/>
        <v>20 ADANIPOWER</v>
      </c>
      <c r="V20" s="361" t="str">
        <f t="shared" si="5"/>
        <v/>
      </c>
      <c r="W20" s="362" t="str">
        <f t="shared" si="6"/>
        <v/>
      </c>
      <c r="X20" s="363" t="e">
        <f t="shared" si="7"/>
        <v>#NUM!</v>
      </c>
      <c r="Y20" s="364" t="e">
        <f t="shared" si="8"/>
        <v>#NUM!</v>
      </c>
      <c r="Z20" s="365" t="e">
        <f t="shared" si="9"/>
        <v>#NUM!</v>
      </c>
      <c r="AA20" s="362" t="str">
        <f t="shared" si="10"/>
        <v/>
      </c>
      <c r="AB20" s="133" t="s">
        <v>471</v>
      </c>
    </row>
    <row r="21" spans="1:28" ht="12.75" customHeight="1">
      <c r="A21" s="367" t="s">
        <v>621</v>
      </c>
      <c r="B21" s="134"/>
      <c r="C21" s="133"/>
      <c r="D21" s="354"/>
      <c r="E21" s="355" t="str">
        <f t="shared" si="0"/>
        <v/>
      </c>
      <c r="F21" s="134"/>
      <c r="G21" s="134"/>
      <c r="H21" s="154">
        <f t="shared" si="1"/>
        <v>182.7</v>
      </c>
      <c r="I21" s="356">
        <v>10</v>
      </c>
      <c r="J21" s="154">
        <v>182.45</v>
      </c>
      <c r="K21" s="142">
        <v>1827</v>
      </c>
      <c r="L21" s="157">
        <v>44963</v>
      </c>
      <c r="M21" s="357">
        <f t="shared" si="2"/>
        <v>0</v>
      </c>
      <c r="N21" s="358"/>
      <c r="O21" s="359"/>
      <c r="P21" s="133"/>
      <c r="Q21" s="360"/>
      <c r="R21" s="138"/>
      <c r="S21" s="138"/>
      <c r="T21" s="141" t="str">
        <f t="shared" si="3"/>
        <v/>
      </c>
      <c r="U21" s="141" t="str">
        <f t="shared" si="4"/>
        <v>10 ADANIPOWER</v>
      </c>
      <c r="V21" s="361" t="str">
        <f t="shared" si="5"/>
        <v/>
      </c>
      <c r="W21" s="362" t="str">
        <f t="shared" si="6"/>
        <v/>
      </c>
      <c r="X21" s="363" t="e">
        <f t="shared" si="7"/>
        <v>#NUM!</v>
      </c>
      <c r="Y21" s="364" t="e">
        <f t="shared" si="8"/>
        <v>#NUM!</v>
      </c>
      <c r="Z21" s="365" t="e">
        <f t="shared" si="9"/>
        <v>#NUM!</v>
      </c>
      <c r="AA21" s="362" t="str">
        <f t="shared" si="10"/>
        <v/>
      </c>
      <c r="AB21" s="133" t="s">
        <v>471</v>
      </c>
    </row>
    <row r="22" spans="1:28" ht="12.75" customHeight="1">
      <c r="A22" s="366" t="s">
        <v>585</v>
      </c>
      <c r="B22" s="134" t="s">
        <v>1122</v>
      </c>
      <c r="C22" s="133" t="s">
        <v>1123</v>
      </c>
      <c r="D22" s="354">
        <v>115</v>
      </c>
      <c r="E22" s="355">
        <f t="shared" si="0"/>
        <v>0.11922141119221411</v>
      </c>
      <c r="F22" s="134" t="s">
        <v>1124</v>
      </c>
      <c r="G22" s="134" t="s">
        <v>1125</v>
      </c>
      <c r="H22" s="154">
        <f t="shared" si="1"/>
        <v>102.87</v>
      </c>
      <c r="I22" s="356">
        <v>100</v>
      </c>
      <c r="J22" s="154">
        <v>102.75</v>
      </c>
      <c r="K22" s="142">
        <v>10287</v>
      </c>
      <c r="L22" s="148">
        <v>44564</v>
      </c>
      <c r="M22" s="357">
        <f t="shared" si="2"/>
        <v>0</v>
      </c>
      <c r="N22" s="358"/>
      <c r="O22" s="359"/>
      <c r="P22" s="133"/>
      <c r="Q22" s="360"/>
      <c r="R22" s="138"/>
      <c r="S22" s="138"/>
      <c r="T22" s="141" t="str">
        <f t="shared" si="3"/>
        <v/>
      </c>
      <c r="U22" s="141" t="str">
        <f t="shared" si="4"/>
        <v>100 ASHOKA</v>
      </c>
      <c r="V22" s="361" t="str">
        <f t="shared" si="5"/>
        <v/>
      </c>
      <c r="W22" s="362" t="str">
        <f t="shared" si="6"/>
        <v/>
      </c>
      <c r="X22" s="363" t="e">
        <f t="shared" si="7"/>
        <v>#NUM!</v>
      </c>
      <c r="Y22" s="364" t="e">
        <f t="shared" si="8"/>
        <v>#NUM!</v>
      </c>
      <c r="Z22" s="365" t="e">
        <f t="shared" si="9"/>
        <v>#NUM!</v>
      </c>
      <c r="AA22" s="362" t="str">
        <f t="shared" si="10"/>
        <v/>
      </c>
      <c r="AB22" s="133" t="s">
        <v>471</v>
      </c>
    </row>
    <row r="23" spans="1:28" ht="12.75" customHeight="1">
      <c r="A23" s="367" t="s">
        <v>585</v>
      </c>
      <c r="B23" s="134"/>
      <c r="C23" s="133"/>
      <c r="D23" s="354"/>
      <c r="E23" s="355" t="str">
        <f t="shared" si="0"/>
        <v/>
      </c>
      <c r="F23" s="134" t="s">
        <v>1124</v>
      </c>
      <c r="G23" s="134"/>
      <c r="H23" s="154">
        <f t="shared" si="1"/>
        <v>99.12</v>
      </c>
      <c r="I23" s="356">
        <v>50</v>
      </c>
      <c r="J23" s="154">
        <v>99</v>
      </c>
      <c r="K23" s="142">
        <v>4956</v>
      </c>
      <c r="L23" s="148">
        <v>44582</v>
      </c>
      <c r="M23" s="357">
        <f t="shared" si="2"/>
        <v>0</v>
      </c>
      <c r="N23" s="358"/>
      <c r="O23" s="359"/>
      <c r="P23" s="133"/>
      <c r="Q23" s="360"/>
      <c r="R23" s="138"/>
      <c r="S23" s="138"/>
      <c r="T23" s="141" t="str">
        <f t="shared" si="3"/>
        <v/>
      </c>
      <c r="U23" s="141" t="str">
        <f t="shared" si="4"/>
        <v>50 ASHOKA</v>
      </c>
      <c r="V23" s="361" t="str">
        <f t="shared" si="5"/>
        <v/>
      </c>
      <c r="W23" s="362" t="str">
        <f t="shared" si="6"/>
        <v/>
      </c>
      <c r="X23" s="363" t="e">
        <f t="shared" si="7"/>
        <v>#NUM!</v>
      </c>
      <c r="Y23" s="364" t="e">
        <f t="shared" si="8"/>
        <v>#NUM!</v>
      </c>
      <c r="Z23" s="365" t="e">
        <f t="shared" si="9"/>
        <v>#NUM!</v>
      </c>
      <c r="AA23" s="362" t="str">
        <f t="shared" si="10"/>
        <v/>
      </c>
      <c r="AB23" s="133" t="s">
        <v>471</v>
      </c>
    </row>
    <row r="24" spans="1:28" ht="12.75" customHeight="1">
      <c r="A24" s="149" t="s">
        <v>484</v>
      </c>
      <c r="B24" s="134"/>
      <c r="C24" s="133"/>
      <c r="D24" s="354"/>
      <c r="E24" s="355" t="str">
        <f t="shared" si="0"/>
        <v/>
      </c>
      <c r="F24" s="134"/>
      <c r="G24" s="134"/>
      <c r="H24" s="154">
        <f t="shared" si="1"/>
        <v>7088.5</v>
      </c>
      <c r="I24" s="356">
        <v>2</v>
      </c>
      <c r="J24" s="154">
        <v>7080</v>
      </c>
      <c r="K24" s="142">
        <v>14177</v>
      </c>
      <c r="L24" s="148">
        <v>44671</v>
      </c>
      <c r="M24" s="357">
        <f t="shared" si="2"/>
        <v>0</v>
      </c>
      <c r="N24" s="358"/>
      <c r="O24" s="359"/>
      <c r="P24" s="133"/>
      <c r="Q24" s="360"/>
      <c r="R24" s="138"/>
      <c r="S24" s="138"/>
      <c r="T24" s="141" t="str">
        <f t="shared" si="3"/>
        <v/>
      </c>
      <c r="U24" s="141" t="str">
        <f t="shared" si="4"/>
        <v>2 BAJFINANCE</v>
      </c>
      <c r="V24" s="361" t="str">
        <f t="shared" si="5"/>
        <v/>
      </c>
      <c r="W24" s="362" t="str">
        <f t="shared" si="6"/>
        <v/>
      </c>
      <c r="X24" s="363" t="e">
        <f t="shared" si="7"/>
        <v>#NUM!</v>
      </c>
      <c r="Y24" s="364" t="e">
        <f t="shared" si="8"/>
        <v>#NUM!</v>
      </c>
      <c r="Z24" s="365" t="e">
        <f t="shared" si="9"/>
        <v>#NUM!</v>
      </c>
      <c r="AA24" s="362" t="str">
        <f t="shared" si="10"/>
        <v/>
      </c>
      <c r="AB24" s="133" t="s">
        <v>471</v>
      </c>
    </row>
    <row r="25" spans="1:28" ht="12.75" customHeight="1">
      <c r="A25" s="366" t="s">
        <v>470</v>
      </c>
      <c r="B25" s="134" t="s">
        <v>1126</v>
      </c>
      <c r="C25" s="133" t="s">
        <v>1127</v>
      </c>
      <c r="D25" s="354" t="s">
        <v>1128</v>
      </c>
      <c r="E25" s="355">
        <f t="shared" si="0"/>
        <v>0.1944196712957065</v>
      </c>
      <c r="F25" s="134" t="s">
        <v>1124</v>
      </c>
      <c r="G25" s="134" t="s">
        <v>1125</v>
      </c>
      <c r="H25" s="154">
        <f t="shared" si="1"/>
        <v>3143.5</v>
      </c>
      <c r="I25" s="356">
        <v>2</v>
      </c>
      <c r="J25" s="154">
        <v>3139.6</v>
      </c>
      <c r="K25" s="142">
        <v>6287</v>
      </c>
      <c r="L25" s="148">
        <v>44473</v>
      </c>
      <c r="M25" s="357">
        <f t="shared" si="2"/>
        <v>0</v>
      </c>
      <c r="N25" s="358"/>
      <c r="O25" s="359"/>
      <c r="P25" s="133"/>
      <c r="Q25" s="360"/>
      <c r="R25" s="138"/>
      <c r="S25" s="138">
        <v>19</v>
      </c>
      <c r="T25" s="141" t="str">
        <f t="shared" si="3"/>
        <v/>
      </c>
      <c r="U25" s="141" t="str">
        <f t="shared" si="4"/>
        <v>2 CAMS</v>
      </c>
      <c r="V25" s="361" t="str">
        <f t="shared" si="5"/>
        <v/>
      </c>
      <c r="W25" s="362" t="str">
        <f t="shared" si="6"/>
        <v/>
      </c>
      <c r="X25" s="363" t="e">
        <f t="shared" si="7"/>
        <v>#NUM!</v>
      </c>
      <c r="Y25" s="364" t="e">
        <f t="shared" si="8"/>
        <v>#NUM!</v>
      </c>
      <c r="Z25" s="365" t="e">
        <f t="shared" si="9"/>
        <v>#NUM!</v>
      </c>
      <c r="AA25" s="362" t="str">
        <f t="shared" si="10"/>
        <v/>
      </c>
      <c r="AB25" s="133" t="s">
        <v>471</v>
      </c>
    </row>
    <row r="26" spans="1:28" ht="12.75" customHeight="1">
      <c r="A26" s="367" t="s">
        <v>470</v>
      </c>
      <c r="B26" s="134"/>
      <c r="C26" s="133"/>
      <c r="D26" s="354"/>
      <c r="E26" s="355" t="str">
        <f t="shared" si="0"/>
        <v/>
      </c>
      <c r="F26" s="134" t="s">
        <v>1124</v>
      </c>
      <c r="G26" s="134"/>
      <c r="H26" s="154">
        <f t="shared" si="1"/>
        <v>2224.6667000000002</v>
      </c>
      <c r="I26" s="356">
        <v>3</v>
      </c>
      <c r="J26" s="154">
        <v>2222</v>
      </c>
      <c r="K26" s="142">
        <v>6674</v>
      </c>
      <c r="L26" s="148">
        <v>44796</v>
      </c>
      <c r="M26" s="357">
        <f t="shared" si="2"/>
        <v>0</v>
      </c>
      <c r="N26" s="358"/>
      <c r="O26" s="359"/>
      <c r="P26" s="133"/>
      <c r="Q26" s="360"/>
      <c r="R26" s="138"/>
      <c r="S26" s="138"/>
      <c r="T26" s="141" t="str">
        <f t="shared" si="3"/>
        <v/>
      </c>
      <c r="U26" s="141" t="str">
        <f t="shared" si="4"/>
        <v>3 CAMS</v>
      </c>
      <c r="V26" s="361" t="str">
        <f t="shared" si="5"/>
        <v/>
      </c>
      <c r="W26" s="362" t="str">
        <f t="shared" si="6"/>
        <v/>
      </c>
      <c r="X26" s="363" t="e">
        <f t="shared" si="7"/>
        <v>#NUM!</v>
      </c>
      <c r="Y26" s="364" t="e">
        <f t="shared" si="8"/>
        <v>#NUM!</v>
      </c>
      <c r="Z26" s="365" t="e">
        <f t="shared" si="9"/>
        <v>#NUM!</v>
      </c>
      <c r="AA26" s="362" t="str">
        <f t="shared" si="10"/>
        <v/>
      </c>
      <c r="AB26" s="133" t="s">
        <v>471</v>
      </c>
    </row>
    <row r="27" spans="1:28" ht="12.75" customHeight="1">
      <c r="A27" s="134" t="s">
        <v>569</v>
      </c>
      <c r="B27" s="134" t="s">
        <v>1129</v>
      </c>
      <c r="C27" s="133" t="s">
        <v>1130</v>
      </c>
      <c r="D27" s="354" t="s">
        <v>1131</v>
      </c>
      <c r="E27" s="355">
        <f t="shared" si="0"/>
        <v>6.3333333333333339E-2</v>
      </c>
      <c r="F27" s="134" t="s">
        <v>1132</v>
      </c>
      <c r="G27" s="134" t="s">
        <v>1133</v>
      </c>
      <c r="H27" s="154">
        <f t="shared" si="1"/>
        <v>901.1</v>
      </c>
      <c r="I27" s="356">
        <v>10</v>
      </c>
      <c r="J27" s="154">
        <v>900</v>
      </c>
      <c r="K27" s="142">
        <v>9011</v>
      </c>
      <c r="L27" s="148">
        <v>44463</v>
      </c>
      <c r="M27" s="357">
        <f t="shared" si="2"/>
        <v>0</v>
      </c>
      <c r="N27" s="358"/>
      <c r="O27" s="359"/>
      <c r="P27" s="133"/>
      <c r="Q27" s="360"/>
      <c r="R27" s="138"/>
      <c r="S27" s="138"/>
      <c r="T27" s="141" t="str">
        <f t="shared" si="3"/>
        <v/>
      </c>
      <c r="U27" s="141" t="str">
        <f t="shared" si="4"/>
        <v>10 CAPLIPOINT</v>
      </c>
      <c r="V27" s="361" t="str">
        <f t="shared" si="5"/>
        <v/>
      </c>
      <c r="W27" s="362" t="str">
        <f t="shared" si="6"/>
        <v/>
      </c>
      <c r="X27" s="363" t="e">
        <f t="shared" si="7"/>
        <v>#NUM!</v>
      </c>
      <c r="Y27" s="364" t="e">
        <f t="shared" si="8"/>
        <v>#NUM!</v>
      </c>
      <c r="Z27" s="365" t="e">
        <f t="shared" si="9"/>
        <v>#NUM!</v>
      </c>
      <c r="AA27" s="362" t="str">
        <f t="shared" si="10"/>
        <v/>
      </c>
      <c r="AB27" s="133" t="s">
        <v>471</v>
      </c>
    </row>
    <row r="28" spans="1:28" ht="12.75" customHeight="1">
      <c r="A28" s="366" t="s">
        <v>562</v>
      </c>
      <c r="B28" s="134"/>
      <c r="C28" s="133"/>
      <c r="D28" s="354"/>
      <c r="E28" s="355" t="str">
        <f t="shared" si="0"/>
        <v/>
      </c>
      <c r="F28" s="134"/>
      <c r="G28" s="134"/>
      <c r="H28" s="154">
        <f t="shared" si="1"/>
        <v>1258.1667</v>
      </c>
      <c r="I28" s="356">
        <v>6</v>
      </c>
      <c r="J28" s="154">
        <v>1256.67</v>
      </c>
      <c r="K28" s="142">
        <v>7549</v>
      </c>
      <c r="L28" s="148">
        <v>44803</v>
      </c>
      <c r="M28" s="357">
        <f t="shared" si="2"/>
        <v>0</v>
      </c>
      <c r="N28" s="358"/>
      <c r="O28" s="359"/>
      <c r="P28" s="133"/>
      <c r="Q28" s="360"/>
      <c r="R28" s="138"/>
      <c r="S28" s="138"/>
      <c r="T28" s="141" t="str">
        <f t="shared" si="3"/>
        <v/>
      </c>
      <c r="U28" s="141" t="str">
        <f t="shared" si="4"/>
        <v>6 CDSL</v>
      </c>
      <c r="V28" s="361" t="str">
        <f t="shared" si="5"/>
        <v/>
      </c>
      <c r="W28" s="362" t="str">
        <f t="shared" si="6"/>
        <v/>
      </c>
      <c r="X28" s="363" t="e">
        <f t="shared" si="7"/>
        <v>#NUM!</v>
      </c>
      <c r="Y28" s="364" t="e">
        <f t="shared" si="8"/>
        <v>#NUM!</v>
      </c>
      <c r="Z28" s="365" t="e">
        <f t="shared" si="9"/>
        <v>#NUM!</v>
      </c>
      <c r="AA28" s="362" t="str">
        <f t="shared" si="10"/>
        <v/>
      </c>
      <c r="AB28" s="133" t="s">
        <v>471</v>
      </c>
    </row>
    <row r="29" spans="1:28" ht="12.75" customHeight="1">
      <c r="A29" s="367" t="s">
        <v>562</v>
      </c>
      <c r="B29" s="134"/>
      <c r="C29" s="133"/>
      <c r="D29" s="354"/>
      <c r="E29" s="355" t="str">
        <f t="shared" si="0"/>
        <v/>
      </c>
      <c r="F29" s="134"/>
      <c r="G29" s="134"/>
      <c r="H29" s="154">
        <f t="shared" si="1"/>
        <v>1244.4000000000001</v>
      </c>
      <c r="I29" s="356">
        <v>5</v>
      </c>
      <c r="J29" s="154">
        <v>1243</v>
      </c>
      <c r="K29" s="142">
        <v>6222</v>
      </c>
      <c r="L29" s="157">
        <v>44805</v>
      </c>
      <c r="M29" s="357">
        <f t="shared" si="2"/>
        <v>0</v>
      </c>
      <c r="N29" s="358"/>
      <c r="O29" s="359"/>
      <c r="P29" s="133"/>
      <c r="Q29" s="360"/>
      <c r="R29" s="138"/>
      <c r="S29" s="138"/>
      <c r="T29" s="141" t="str">
        <f t="shared" si="3"/>
        <v/>
      </c>
      <c r="U29" s="141" t="str">
        <f t="shared" si="4"/>
        <v>5 CDSL</v>
      </c>
      <c r="V29" s="361" t="str">
        <f t="shared" si="5"/>
        <v/>
      </c>
      <c r="W29" s="362" t="str">
        <f t="shared" si="6"/>
        <v/>
      </c>
      <c r="X29" s="363" t="e">
        <f t="shared" si="7"/>
        <v>#NUM!</v>
      </c>
      <c r="Y29" s="364" t="e">
        <f t="shared" si="8"/>
        <v>#NUM!</v>
      </c>
      <c r="Z29" s="365" t="e">
        <f t="shared" si="9"/>
        <v>#NUM!</v>
      </c>
      <c r="AA29" s="362" t="str">
        <f t="shared" si="10"/>
        <v/>
      </c>
      <c r="AB29" s="133" t="s">
        <v>471</v>
      </c>
    </row>
    <row r="30" spans="1:28" ht="12.75" customHeight="1">
      <c r="A30" s="134" t="s">
        <v>1134</v>
      </c>
      <c r="B30" s="134"/>
      <c r="C30" s="133"/>
      <c r="D30" s="354"/>
      <c r="E30" s="355" t="str">
        <f t="shared" si="0"/>
        <v/>
      </c>
      <c r="F30" s="134"/>
      <c r="G30" s="134"/>
      <c r="H30" s="154">
        <f t="shared" si="1"/>
        <v>247</v>
      </c>
      <c r="I30" s="356">
        <v>60</v>
      </c>
      <c r="J30" s="154">
        <v>247</v>
      </c>
      <c r="K30" s="142">
        <v>14820</v>
      </c>
      <c r="L30" s="157">
        <v>44922</v>
      </c>
      <c r="M30" s="357">
        <f t="shared" si="2"/>
        <v>0</v>
      </c>
      <c r="N30" s="358"/>
      <c r="O30" s="359"/>
      <c r="P30" s="133"/>
      <c r="Q30" s="360"/>
      <c r="R30" s="138"/>
      <c r="S30" s="138"/>
      <c r="T30" s="141" t="str">
        <f t="shared" si="3"/>
        <v/>
      </c>
      <c r="U30" s="141" t="str">
        <f t="shared" si="4"/>
        <v>60 ELIN</v>
      </c>
      <c r="V30" s="361" t="str">
        <f t="shared" si="5"/>
        <v/>
      </c>
      <c r="W30" s="362" t="str">
        <f t="shared" si="6"/>
        <v/>
      </c>
      <c r="X30" s="363" t="e">
        <f t="shared" si="7"/>
        <v>#NUM!</v>
      </c>
      <c r="Y30" s="364" t="e">
        <f t="shared" si="8"/>
        <v>#NUM!</v>
      </c>
      <c r="Z30" s="365" t="e">
        <f t="shared" si="9"/>
        <v>#NUM!</v>
      </c>
      <c r="AA30" s="362" t="str">
        <f t="shared" si="10"/>
        <v/>
      </c>
      <c r="AB30" s="133" t="s">
        <v>471</v>
      </c>
    </row>
    <row r="31" spans="1:28" ht="12.75" customHeight="1">
      <c r="A31" s="134" t="s">
        <v>598</v>
      </c>
      <c r="B31" s="134"/>
      <c r="C31" s="133"/>
      <c r="D31" s="354"/>
      <c r="E31" s="355" t="str">
        <f t="shared" si="0"/>
        <v/>
      </c>
      <c r="F31" s="134"/>
      <c r="G31" s="134"/>
      <c r="H31" s="154">
        <f t="shared" si="1"/>
        <v>106.2903</v>
      </c>
      <c r="I31" s="356">
        <f>62*3/2</f>
        <v>93</v>
      </c>
      <c r="J31" s="154">
        <f>159.25/3*2</f>
        <v>106.16666666666667</v>
      </c>
      <c r="K31" s="142">
        <v>9885</v>
      </c>
      <c r="L31" s="157">
        <v>44687</v>
      </c>
      <c r="M31" s="357">
        <f t="shared" si="2"/>
        <v>0</v>
      </c>
      <c r="N31" s="358"/>
      <c r="O31" s="359"/>
      <c r="P31" s="133"/>
      <c r="Q31" s="360"/>
      <c r="R31" s="138"/>
      <c r="S31" s="138"/>
      <c r="T31" s="141" t="str">
        <f t="shared" si="3"/>
        <v/>
      </c>
      <c r="U31" s="141" t="str">
        <f t="shared" si="4"/>
        <v>93 GAIL</v>
      </c>
      <c r="V31" s="361" t="str">
        <f t="shared" si="5"/>
        <v/>
      </c>
      <c r="W31" s="362" t="str">
        <f t="shared" si="6"/>
        <v/>
      </c>
      <c r="X31" s="363" t="e">
        <f t="shared" si="7"/>
        <v>#NUM!</v>
      </c>
      <c r="Y31" s="364" t="e">
        <f t="shared" si="8"/>
        <v>#NUM!</v>
      </c>
      <c r="Z31" s="365" t="e">
        <f t="shared" si="9"/>
        <v>#NUM!</v>
      </c>
      <c r="AA31" s="362" t="str">
        <f t="shared" si="10"/>
        <v/>
      </c>
      <c r="AB31" s="133" t="s">
        <v>471</v>
      </c>
    </row>
    <row r="32" spans="1:28" ht="12.75" customHeight="1">
      <c r="A32" s="134" t="s">
        <v>598</v>
      </c>
      <c r="B32" s="134"/>
      <c r="C32" s="133"/>
      <c r="D32" s="354"/>
      <c r="E32" s="355" t="str">
        <f t="shared" si="0"/>
        <v/>
      </c>
      <c r="F32" s="134"/>
      <c r="G32" s="134"/>
      <c r="H32" s="154">
        <f t="shared" si="1"/>
        <v>104</v>
      </c>
      <c r="I32" s="356">
        <f>2</f>
        <v>2</v>
      </c>
      <c r="J32" s="368">
        <v>104</v>
      </c>
      <c r="K32" s="369">
        <v>208</v>
      </c>
      <c r="L32" s="158">
        <v>45007</v>
      </c>
      <c r="M32" s="357">
        <f t="shared" si="2"/>
        <v>0</v>
      </c>
      <c r="N32" s="358"/>
      <c r="O32" s="359"/>
      <c r="P32" s="133"/>
      <c r="Q32" s="360"/>
      <c r="R32" s="138"/>
      <c r="S32" s="138"/>
      <c r="T32" s="141" t="str">
        <f t="shared" si="3"/>
        <v/>
      </c>
      <c r="U32" s="141" t="str">
        <f t="shared" si="4"/>
        <v>2 GAIL</v>
      </c>
      <c r="V32" s="361" t="str">
        <f t="shared" si="5"/>
        <v/>
      </c>
      <c r="W32" s="362" t="str">
        <f t="shared" si="6"/>
        <v/>
      </c>
      <c r="X32" s="363" t="e">
        <f t="shared" si="7"/>
        <v>#NUM!</v>
      </c>
      <c r="Y32" s="364" t="e">
        <f t="shared" si="8"/>
        <v>#NUM!</v>
      </c>
      <c r="Z32" s="365" t="e">
        <f t="shared" si="9"/>
        <v>#NUM!</v>
      </c>
      <c r="AA32" s="362" t="str">
        <f t="shared" si="10"/>
        <v/>
      </c>
      <c r="AB32" s="133" t="s">
        <v>471</v>
      </c>
    </row>
    <row r="33" spans="1:28" ht="12.75" customHeight="1">
      <c r="A33" s="134" t="s">
        <v>608</v>
      </c>
      <c r="B33" s="134"/>
      <c r="C33" s="133"/>
      <c r="D33" s="354"/>
      <c r="E33" s="355" t="str">
        <f t="shared" si="0"/>
        <v/>
      </c>
      <c r="F33" s="134"/>
      <c r="G33" s="134"/>
      <c r="H33" s="154">
        <f t="shared" si="1"/>
        <v>56.57</v>
      </c>
      <c r="I33" s="356">
        <v>100</v>
      </c>
      <c r="J33" s="154">
        <v>1202.0995</v>
      </c>
      <c r="K33" s="142">
        <v>5657</v>
      </c>
      <c r="L33" s="148">
        <v>44680</v>
      </c>
      <c r="M33" s="357">
        <f t="shared" si="2"/>
        <v>0</v>
      </c>
      <c r="N33" s="358"/>
      <c r="O33" s="359"/>
      <c r="P33" s="133"/>
      <c r="Q33" s="360"/>
      <c r="R33" s="138"/>
      <c r="S33" s="138"/>
      <c r="T33" s="141" t="str">
        <f t="shared" si="3"/>
        <v/>
      </c>
      <c r="U33" s="141" t="str">
        <f t="shared" si="4"/>
        <v>100 GODREJAGRO</v>
      </c>
      <c r="V33" s="361" t="str">
        <f t="shared" si="5"/>
        <v/>
      </c>
      <c r="W33" s="362" t="str">
        <f t="shared" si="6"/>
        <v/>
      </c>
      <c r="X33" s="363" t="e">
        <f t="shared" si="7"/>
        <v>#NUM!</v>
      </c>
      <c r="Y33" s="364" t="e">
        <f t="shared" si="8"/>
        <v>#NUM!</v>
      </c>
      <c r="Z33" s="365" t="e">
        <f t="shared" si="9"/>
        <v>#NUM!</v>
      </c>
      <c r="AA33" s="362" t="str">
        <f t="shared" si="10"/>
        <v/>
      </c>
      <c r="AB33" s="133" t="s">
        <v>471</v>
      </c>
    </row>
    <row r="34" spans="1:28" ht="12.75" customHeight="1">
      <c r="A34" s="366" t="s">
        <v>540</v>
      </c>
      <c r="B34" s="133" t="s">
        <v>1135</v>
      </c>
      <c r="C34" s="133" t="s">
        <v>1136</v>
      </c>
      <c r="D34" s="354" t="s">
        <v>1137</v>
      </c>
      <c r="E34" s="355">
        <f t="shared" si="0"/>
        <v>0.12</v>
      </c>
      <c r="F34" s="134" t="s">
        <v>1124</v>
      </c>
      <c r="G34" s="134" t="s">
        <v>1125</v>
      </c>
      <c r="H34" s="154">
        <f t="shared" si="1"/>
        <v>250.3</v>
      </c>
      <c r="I34" s="356">
        <v>50</v>
      </c>
      <c r="J34" s="154">
        <v>250</v>
      </c>
      <c r="K34" s="142">
        <v>12515</v>
      </c>
      <c r="L34" s="148">
        <v>44376</v>
      </c>
      <c r="M34" s="357">
        <f t="shared" si="2"/>
        <v>0</v>
      </c>
      <c r="N34" s="358"/>
      <c r="O34" s="359"/>
      <c r="P34" s="133"/>
      <c r="Q34" s="360"/>
      <c r="R34" s="138"/>
      <c r="S34" s="138">
        <v>140</v>
      </c>
      <c r="T34" s="141" t="str">
        <f t="shared" si="3"/>
        <v/>
      </c>
      <c r="U34" s="141" t="str">
        <f t="shared" si="4"/>
        <v>50 GUJAPOLLO</v>
      </c>
      <c r="V34" s="361" t="str">
        <f t="shared" si="5"/>
        <v/>
      </c>
      <c r="W34" s="362" t="str">
        <f t="shared" si="6"/>
        <v/>
      </c>
      <c r="X34" s="363" t="e">
        <f t="shared" si="7"/>
        <v>#NUM!</v>
      </c>
      <c r="Y34" s="364" t="e">
        <f t="shared" si="8"/>
        <v>#NUM!</v>
      </c>
      <c r="Z34" s="365" t="e">
        <f t="shared" si="9"/>
        <v>#NUM!</v>
      </c>
      <c r="AA34" s="362" t="str">
        <f t="shared" si="10"/>
        <v/>
      </c>
      <c r="AB34" s="133" t="s">
        <v>471</v>
      </c>
    </row>
    <row r="35" spans="1:28" ht="12.75" customHeight="1">
      <c r="A35" s="367" t="s">
        <v>540</v>
      </c>
      <c r="B35" s="133" t="s">
        <v>1135</v>
      </c>
      <c r="C35" s="133" t="s">
        <v>1136</v>
      </c>
      <c r="D35" s="354" t="s">
        <v>1137</v>
      </c>
      <c r="E35" s="355">
        <f t="shared" si="0"/>
        <v>0.22807017543859648</v>
      </c>
      <c r="F35" s="134" t="s">
        <v>1124</v>
      </c>
      <c r="G35" s="134" t="s">
        <v>1125</v>
      </c>
      <c r="H35" s="154">
        <f t="shared" si="1"/>
        <v>228.25</v>
      </c>
      <c r="I35" s="356">
        <v>20</v>
      </c>
      <c r="J35" s="154">
        <v>228</v>
      </c>
      <c r="K35" s="142">
        <v>4565</v>
      </c>
      <c r="L35" s="148">
        <v>44376</v>
      </c>
      <c r="M35" s="357">
        <f t="shared" si="2"/>
        <v>0</v>
      </c>
      <c r="N35" s="358"/>
      <c r="O35" s="359"/>
      <c r="P35" s="133"/>
      <c r="Q35" s="360"/>
      <c r="R35" s="138"/>
      <c r="S35" s="138"/>
      <c r="T35" s="141" t="str">
        <f t="shared" si="3"/>
        <v/>
      </c>
      <c r="U35" s="141" t="str">
        <f t="shared" si="4"/>
        <v>20 GUJAPOLLO</v>
      </c>
      <c r="V35" s="361" t="str">
        <f t="shared" si="5"/>
        <v/>
      </c>
      <c r="W35" s="362" t="str">
        <f t="shared" si="6"/>
        <v/>
      </c>
      <c r="X35" s="363" t="e">
        <f t="shared" si="7"/>
        <v>#NUM!</v>
      </c>
      <c r="Y35" s="364" t="e">
        <f t="shared" si="8"/>
        <v>#NUM!</v>
      </c>
      <c r="Z35" s="365" t="e">
        <f t="shared" si="9"/>
        <v>#NUM!</v>
      </c>
      <c r="AA35" s="362" t="str">
        <f t="shared" si="10"/>
        <v/>
      </c>
      <c r="AB35" s="133" t="s">
        <v>471</v>
      </c>
    </row>
    <row r="36" spans="1:28" ht="12.75" customHeight="1">
      <c r="A36" s="134" t="s">
        <v>540</v>
      </c>
      <c r="B36" s="134"/>
      <c r="C36" s="133"/>
      <c r="D36" s="354"/>
      <c r="E36" s="355" t="str">
        <f t="shared" si="0"/>
        <v/>
      </c>
      <c r="F36" s="134"/>
      <c r="G36" s="134"/>
      <c r="H36" s="154">
        <f t="shared" si="1"/>
        <v>235.2</v>
      </c>
      <c r="I36" s="356">
        <v>5</v>
      </c>
      <c r="J36" s="154">
        <v>235</v>
      </c>
      <c r="K36" s="142">
        <v>1176</v>
      </c>
      <c r="L36" s="157">
        <v>44818</v>
      </c>
      <c r="M36" s="357">
        <f t="shared" si="2"/>
        <v>0</v>
      </c>
      <c r="N36" s="358"/>
      <c r="O36" s="359"/>
      <c r="P36" s="133"/>
      <c r="Q36" s="360"/>
      <c r="R36" s="138"/>
      <c r="S36" s="138"/>
      <c r="T36" s="141" t="str">
        <f t="shared" si="3"/>
        <v/>
      </c>
      <c r="U36" s="141" t="str">
        <f t="shared" si="4"/>
        <v>5 GUJAPOLLO</v>
      </c>
      <c r="V36" s="361" t="str">
        <f t="shared" si="5"/>
        <v/>
      </c>
      <c r="W36" s="362" t="str">
        <f t="shared" si="6"/>
        <v/>
      </c>
      <c r="X36" s="363" t="e">
        <f t="shared" si="7"/>
        <v>#NUM!</v>
      </c>
      <c r="Y36" s="364" t="e">
        <f t="shared" si="8"/>
        <v>#NUM!</v>
      </c>
      <c r="Z36" s="365" t="e">
        <f t="shared" si="9"/>
        <v>#NUM!</v>
      </c>
      <c r="AA36" s="362" t="str">
        <f t="shared" si="10"/>
        <v/>
      </c>
      <c r="AB36" s="133" t="s">
        <v>471</v>
      </c>
    </row>
    <row r="37" spans="1:28" ht="12.75" customHeight="1">
      <c r="A37" s="134" t="s">
        <v>636</v>
      </c>
      <c r="B37" s="134"/>
      <c r="C37" s="133"/>
      <c r="D37" s="354"/>
      <c r="E37" s="355" t="str">
        <f t="shared" si="0"/>
        <v/>
      </c>
      <c r="F37" s="134"/>
      <c r="G37" s="134"/>
      <c r="H37" s="154">
        <f t="shared" si="1"/>
        <v>54.82</v>
      </c>
      <c r="I37" s="356">
        <v>50</v>
      </c>
      <c r="J37" s="154">
        <v>54.75</v>
      </c>
      <c r="K37" s="142">
        <v>2741</v>
      </c>
      <c r="L37" s="157">
        <v>44953</v>
      </c>
      <c r="M37" s="357">
        <f t="shared" si="2"/>
        <v>0</v>
      </c>
      <c r="N37" s="358"/>
      <c r="O37" s="359"/>
      <c r="P37" s="133"/>
      <c r="Q37" s="360"/>
      <c r="R37" s="138"/>
      <c r="S37" s="138"/>
      <c r="T37" s="141" t="str">
        <f t="shared" si="3"/>
        <v/>
      </c>
      <c r="U37" s="141" t="str">
        <f t="shared" si="4"/>
        <v>50 IDFCFIRSTB</v>
      </c>
      <c r="V37" s="361" t="str">
        <f t="shared" si="5"/>
        <v/>
      </c>
      <c r="W37" s="362" t="str">
        <f t="shared" si="6"/>
        <v/>
      </c>
      <c r="X37" s="363" t="e">
        <f t="shared" si="7"/>
        <v>#NUM!</v>
      </c>
      <c r="Y37" s="364" t="e">
        <f t="shared" si="8"/>
        <v>#NUM!</v>
      </c>
      <c r="Z37" s="365" t="e">
        <f t="shared" si="9"/>
        <v>#NUM!</v>
      </c>
      <c r="AA37" s="362" t="str">
        <f t="shared" si="10"/>
        <v/>
      </c>
      <c r="AB37" s="133" t="s">
        <v>471</v>
      </c>
    </row>
    <row r="38" spans="1:28" ht="12.75" customHeight="1">
      <c r="A38" s="366" t="s">
        <v>458</v>
      </c>
      <c r="B38" s="134"/>
      <c r="C38" s="133"/>
      <c r="D38" s="354"/>
      <c r="E38" s="355" t="str">
        <f t="shared" si="0"/>
        <v/>
      </c>
      <c r="F38" s="134"/>
      <c r="G38" s="134"/>
      <c r="H38" s="154">
        <f t="shared" si="1"/>
        <v>1832.2</v>
      </c>
      <c r="I38" s="356">
        <v>10</v>
      </c>
      <c r="J38" s="154">
        <v>1830</v>
      </c>
      <c r="K38" s="142">
        <v>18322</v>
      </c>
      <c r="L38" s="148">
        <v>44657</v>
      </c>
      <c r="M38" s="357">
        <f t="shared" si="2"/>
        <v>0</v>
      </c>
      <c r="N38" s="358"/>
      <c r="O38" s="359"/>
      <c r="P38" s="133"/>
      <c r="Q38" s="360"/>
      <c r="R38" s="138"/>
      <c r="S38" s="138"/>
      <c r="T38" s="141" t="str">
        <f t="shared" si="3"/>
        <v/>
      </c>
      <c r="U38" s="141" t="str">
        <f t="shared" si="4"/>
        <v>10 INFY</v>
      </c>
      <c r="V38" s="361" t="str">
        <f t="shared" si="5"/>
        <v/>
      </c>
      <c r="W38" s="362" t="str">
        <f t="shared" si="6"/>
        <v/>
      </c>
      <c r="X38" s="363" t="e">
        <f t="shared" si="7"/>
        <v>#NUM!</v>
      </c>
      <c r="Y38" s="364" t="e">
        <f t="shared" si="8"/>
        <v>#NUM!</v>
      </c>
      <c r="Z38" s="365" t="e">
        <f t="shared" si="9"/>
        <v>#NUM!</v>
      </c>
      <c r="AA38" s="362" t="str">
        <f t="shared" si="10"/>
        <v/>
      </c>
      <c r="AB38" s="133" t="s">
        <v>471</v>
      </c>
    </row>
    <row r="39" spans="1:28" ht="12.75" customHeight="1">
      <c r="A39" s="367" t="s">
        <v>458</v>
      </c>
      <c r="B39" s="134"/>
      <c r="C39" s="133"/>
      <c r="D39" s="354"/>
      <c r="E39" s="355" t="str">
        <f t="shared" si="0"/>
        <v/>
      </c>
      <c r="F39" s="134"/>
      <c r="G39" s="134"/>
      <c r="H39" s="154">
        <f t="shared" si="1"/>
        <v>1601.2</v>
      </c>
      <c r="I39" s="356">
        <v>10</v>
      </c>
      <c r="J39" s="154">
        <v>1599.3</v>
      </c>
      <c r="K39" s="142">
        <v>16012</v>
      </c>
      <c r="L39" s="148">
        <v>44670</v>
      </c>
      <c r="M39" s="357">
        <f t="shared" si="2"/>
        <v>0</v>
      </c>
      <c r="N39" s="358"/>
      <c r="O39" s="359"/>
      <c r="P39" s="133"/>
      <c r="Q39" s="360"/>
      <c r="R39" s="138"/>
      <c r="S39" s="138"/>
      <c r="T39" s="141" t="str">
        <f t="shared" si="3"/>
        <v/>
      </c>
      <c r="U39" s="141" t="str">
        <f t="shared" si="4"/>
        <v>10 INFY</v>
      </c>
      <c r="V39" s="361" t="str">
        <f t="shared" si="5"/>
        <v/>
      </c>
      <c r="W39" s="362" t="str">
        <f t="shared" si="6"/>
        <v/>
      </c>
      <c r="X39" s="363" t="e">
        <f t="shared" si="7"/>
        <v>#NUM!</v>
      </c>
      <c r="Y39" s="364" t="e">
        <f t="shared" si="8"/>
        <v>#NUM!</v>
      </c>
      <c r="Z39" s="365" t="e">
        <f t="shared" si="9"/>
        <v>#NUM!</v>
      </c>
      <c r="AA39" s="362" t="str">
        <f t="shared" si="10"/>
        <v/>
      </c>
      <c r="AB39" s="133" t="s">
        <v>471</v>
      </c>
    </row>
    <row r="40" spans="1:28" ht="12.75" customHeight="1">
      <c r="A40" s="367" t="s">
        <v>458</v>
      </c>
      <c r="B40" s="134"/>
      <c r="C40" s="133"/>
      <c r="D40" s="354"/>
      <c r="E40" s="355" t="str">
        <f t="shared" si="0"/>
        <v/>
      </c>
      <c r="F40" s="134"/>
      <c r="G40" s="134"/>
      <c r="H40" s="154">
        <f t="shared" si="1"/>
        <v>1546.6667</v>
      </c>
      <c r="I40" s="356">
        <v>3</v>
      </c>
      <c r="J40" s="154">
        <v>1545</v>
      </c>
      <c r="K40" s="142">
        <v>4640</v>
      </c>
      <c r="L40" s="148">
        <v>44796</v>
      </c>
      <c r="M40" s="357">
        <f t="shared" si="2"/>
        <v>0</v>
      </c>
      <c r="N40" s="358"/>
      <c r="O40" s="359"/>
      <c r="P40" s="133"/>
      <c r="Q40" s="360"/>
      <c r="R40" s="138"/>
      <c r="S40" s="138"/>
      <c r="T40" s="141" t="str">
        <f t="shared" si="3"/>
        <v/>
      </c>
      <c r="U40" s="141" t="str">
        <f t="shared" si="4"/>
        <v>3 INFY</v>
      </c>
      <c r="V40" s="361" t="str">
        <f t="shared" si="5"/>
        <v/>
      </c>
      <c r="W40" s="362" t="str">
        <f t="shared" si="6"/>
        <v/>
      </c>
      <c r="X40" s="363" t="e">
        <f t="shared" si="7"/>
        <v>#NUM!</v>
      </c>
      <c r="Y40" s="364" t="e">
        <f t="shared" si="8"/>
        <v>#NUM!</v>
      </c>
      <c r="Z40" s="365" t="e">
        <f t="shared" si="9"/>
        <v>#NUM!</v>
      </c>
      <c r="AA40" s="362" t="str">
        <f t="shared" si="10"/>
        <v/>
      </c>
      <c r="AB40" s="133" t="s">
        <v>471</v>
      </c>
    </row>
    <row r="41" spans="1:28" ht="12.75" customHeight="1">
      <c r="A41" s="134" t="s">
        <v>588</v>
      </c>
      <c r="B41" s="134"/>
      <c r="C41" s="134"/>
      <c r="D41" s="354"/>
      <c r="E41" s="355" t="str">
        <f t="shared" si="0"/>
        <v/>
      </c>
      <c r="F41" s="134"/>
      <c r="G41" s="134"/>
      <c r="H41" s="154">
        <f t="shared" si="1"/>
        <v>10.162000000000001</v>
      </c>
      <c r="I41" s="356">
        <v>1000</v>
      </c>
      <c r="J41" s="154">
        <v>10.15</v>
      </c>
      <c r="K41" s="142">
        <v>10162</v>
      </c>
      <c r="L41" s="148">
        <v>44572</v>
      </c>
      <c r="M41" s="357">
        <f t="shared" si="2"/>
        <v>0</v>
      </c>
      <c r="N41" s="358"/>
      <c r="O41" s="359"/>
      <c r="P41" s="133"/>
      <c r="Q41" s="360"/>
      <c r="R41" s="138"/>
      <c r="S41" s="138"/>
      <c r="T41" s="141" t="str">
        <f t="shared" si="3"/>
        <v/>
      </c>
      <c r="U41" s="141" t="str">
        <f t="shared" si="4"/>
        <v>1000 JPPOWER</v>
      </c>
      <c r="V41" s="361" t="str">
        <f t="shared" si="5"/>
        <v/>
      </c>
      <c r="W41" s="370" t="str">
        <f t="shared" si="6"/>
        <v/>
      </c>
      <c r="X41" s="363" t="e">
        <f t="shared" si="7"/>
        <v>#NUM!</v>
      </c>
      <c r="Y41" s="364" t="e">
        <f t="shared" si="8"/>
        <v>#NUM!</v>
      </c>
      <c r="Z41" s="365" t="e">
        <f t="shared" si="9"/>
        <v>#NUM!</v>
      </c>
      <c r="AA41" s="362" t="str">
        <f t="shared" si="10"/>
        <v/>
      </c>
      <c r="AB41" s="133" t="s">
        <v>471</v>
      </c>
    </row>
    <row r="42" spans="1:28" ht="12.75" customHeight="1">
      <c r="A42" s="134" t="s">
        <v>534</v>
      </c>
      <c r="B42" s="134" t="s">
        <v>1138</v>
      </c>
      <c r="C42" s="134" t="s">
        <v>1130</v>
      </c>
      <c r="D42" s="354" t="s">
        <v>1139</v>
      </c>
      <c r="E42" s="355">
        <f t="shared" si="0"/>
        <v>0.14361702127659576</v>
      </c>
      <c r="F42" s="134" t="s">
        <v>1124</v>
      </c>
      <c r="G42" s="134" t="s">
        <v>1125</v>
      </c>
      <c r="H42" s="154">
        <f t="shared" si="1"/>
        <v>752.88</v>
      </c>
      <c r="I42" s="356">
        <v>25</v>
      </c>
      <c r="J42" s="154">
        <v>752</v>
      </c>
      <c r="K42" s="142">
        <v>18822</v>
      </c>
      <c r="L42" s="148">
        <v>44368</v>
      </c>
      <c r="M42" s="357">
        <f t="shared" si="2"/>
        <v>0</v>
      </c>
      <c r="N42" s="358"/>
      <c r="O42" s="359"/>
      <c r="P42" s="133"/>
      <c r="Q42" s="360"/>
      <c r="R42" s="138"/>
      <c r="S42" s="138">
        <v>125</v>
      </c>
      <c r="T42" s="141" t="str">
        <f t="shared" si="3"/>
        <v/>
      </c>
      <c r="U42" s="141" t="str">
        <f t="shared" si="4"/>
        <v>25 JUBLPHARMA</v>
      </c>
      <c r="V42" s="361" t="str">
        <f t="shared" si="5"/>
        <v/>
      </c>
      <c r="W42" s="362" t="str">
        <f t="shared" si="6"/>
        <v/>
      </c>
      <c r="X42" s="363" t="e">
        <f t="shared" si="7"/>
        <v>#NUM!</v>
      </c>
      <c r="Y42" s="364" t="e">
        <f t="shared" si="8"/>
        <v>#NUM!</v>
      </c>
      <c r="Z42" s="365" t="e">
        <f t="shared" si="9"/>
        <v>#NUM!</v>
      </c>
      <c r="AA42" s="362" t="str">
        <f t="shared" si="10"/>
        <v/>
      </c>
      <c r="AB42" s="133" t="s">
        <v>471</v>
      </c>
    </row>
    <row r="43" spans="1:28" ht="12.75" customHeight="1">
      <c r="A43" s="134" t="s">
        <v>1140</v>
      </c>
      <c r="B43" s="134"/>
      <c r="C43" s="133"/>
      <c r="D43" s="354"/>
      <c r="E43" s="355" t="str">
        <f t="shared" si="0"/>
        <v/>
      </c>
      <c r="F43" s="134" t="s">
        <v>1121</v>
      </c>
      <c r="G43" s="134"/>
      <c r="H43" s="154">
        <f t="shared" si="1"/>
        <v>904</v>
      </c>
      <c r="I43" s="356">
        <v>15</v>
      </c>
      <c r="J43" s="154">
        <v>904</v>
      </c>
      <c r="K43" s="142">
        <v>13560</v>
      </c>
      <c r="L43" s="148">
        <v>44694</v>
      </c>
      <c r="M43" s="357">
        <f t="shared" si="2"/>
        <v>0</v>
      </c>
      <c r="N43" s="358"/>
      <c r="O43" s="359"/>
      <c r="P43" s="133"/>
      <c r="Q43" s="360"/>
      <c r="R43" s="138"/>
      <c r="S43" s="138"/>
      <c r="T43" s="141" t="str">
        <f t="shared" si="3"/>
        <v/>
      </c>
      <c r="U43" s="141" t="str">
        <f t="shared" si="4"/>
        <v>15 LICI</v>
      </c>
      <c r="V43" s="361" t="str">
        <f t="shared" si="5"/>
        <v/>
      </c>
      <c r="W43" s="362" t="str">
        <f t="shared" si="6"/>
        <v/>
      </c>
      <c r="X43" s="363" t="e">
        <f t="shared" si="7"/>
        <v>#NUM!</v>
      </c>
      <c r="Y43" s="364" t="e">
        <f t="shared" si="8"/>
        <v>#NUM!</v>
      </c>
      <c r="Z43" s="365" t="e">
        <f t="shared" si="9"/>
        <v>#NUM!</v>
      </c>
      <c r="AA43" s="362" t="str">
        <f t="shared" si="10"/>
        <v/>
      </c>
      <c r="AB43" s="133" t="s">
        <v>471</v>
      </c>
    </row>
    <row r="44" spans="1:28" ht="12.75" customHeight="1">
      <c r="A44" s="366" t="s">
        <v>611</v>
      </c>
      <c r="B44" s="134"/>
      <c r="C44" s="133"/>
      <c r="D44" s="354">
        <v>1150</v>
      </c>
      <c r="E44" s="355">
        <f t="shared" si="0"/>
        <v>0.40243902439024393</v>
      </c>
      <c r="F44" s="134" t="s">
        <v>1141</v>
      </c>
      <c r="G44" s="134"/>
      <c r="H44" s="154">
        <f t="shared" si="1"/>
        <v>820.9375</v>
      </c>
      <c r="I44" s="356">
        <v>16</v>
      </c>
      <c r="J44" s="154">
        <v>820</v>
      </c>
      <c r="K44" s="142">
        <v>13135</v>
      </c>
      <c r="L44" s="148">
        <v>44740</v>
      </c>
      <c r="M44" s="357">
        <f t="shared" si="2"/>
        <v>0</v>
      </c>
      <c r="N44" s="358"/>
      <c r="O44" s="359"/>
      <c r="P44" s="133"/>
      <c r="Q44" s="360"/>
      <c r="R44" s="138"/>
      <c r="S44" s="138"/>
      <c r="T44" s="141" t="str">
        <f t="shared" si="3"/>
        <v/>
      </c>
      <c r="U44" s="141" t="str">
        <f t="shared" si="4"/>
        <v>16 MATRIMONY</v>
      </c>
      <c r="V44" s="361" t="str">
        <f t="shared" si="5"/>
        <v/>
      </c>
      <c r="W44" s="362" t="str">
        <f t="shared" si="6"/>
        <v/>
      </c>
      <c r="X44" s="363" t="e">
        <f t="shared" si="7"/>
        <v>#NUM!</v>
      </c>
      <c r="Y44" s="364" t="e">
        <f t="shared" si="8"/>
        <v>#NUM!</v>
      </c>
      <c r="Z44" s="365" t="e">
        <f t="shared" si="9"/>
        <v>#NUM!</v>
      </c>
      <c r="AA44" s="362" t="str">
        <f t="shared" si="10"/>
        <v/>
      </c>
      <c r="AB44" s="133" t="s">
        <v>471</v>
      </c>
    </row>
    <row r="45" spans="1:28" ht="12.75" customHeight="1">
      <c r="A45" s="367" t="s">
        <v>611</v>
      </c>
      <c r="B45" s="134"/>
      <c r="C45" s="133"/>
      <c r="D45" s="354">
        <v>1150</v>
      </c>
      <c r="E45" s="355">
        <f t="shared" si="0"/>
        <v>0.49739583333333331</v>
      </c>
      <c r="F45" s="134" t="s">
        <v>1141</v>
      </c>
      <c r="G45" s="134"/>
      <c r="H45" s="154">
        <f t="shared" si="1"/>
        <v>768.9</v>
      </c>
      <c r="I45" s="356">
        <v>20</v>
      </c>
      <c r="J45" s="154">
        <v>768</v>
      </c>
      <c r="K45" s="142">
        <v>15378</v>
      </c>
      <c r="L45" s="148">
        <v>44749</v>
      </c>
      <c r="M45" s="357">
        <f t="shared" si="2"/>
        <v>0</v>
      </c>
      <c r="N45" s="358"/>
      <c r="O45" s="359"/>
      <c r="P45" s="133"/>
      <c r="Q45" s="360"/>
      <c r="R45" s="138"/>
      <c r="S45" s="138"/>
      <c r="T45" s="141" t="str">
        <f t="shared" si="3"/>
        <v/>
      </c>
      <c r="U45" s="141" t="str">
        <f t="shared" si="4"/>
        <v>20 MATRIMONY</v>
      </c>
      <c r="V45" s="361" t="str">
        <f t="shared" si="5"/>
        <v/>
      </c>
      <c r="W45" s="362" t="str">
        <f t="shared" si="6"/>
        <v/>
      </c>
      <c r="X45" s="363" t="e">
        <f t="shared" si="7"/>
        <v>#NUM!</v>
      </c>
      <c r="Y45" s="364" t="e">
        <f t="shared" si="8"/>
        <v>#NUM!</v>
      </c>
      <c r="Z45" s="365" t="e">
        <f t="shared" si="9"/>
        <v>#NUM!</v>
      </c>
      <c r="AA45" s="362" t="str">
        <f t="shared" si="10"/>
        <v/>
      </c>
      <c r="AB45" s="133" t="s">
        <v>471</v>
      </c>
    </row>
    <row r="46" spans="1:28" ht="12.75" customHeight="1">
      <c r="A46" s="367" t="s">
        <v>611</v>
      </c>
      <c r="B46" s="134"/>
      <c r="C46" s="133"/>
      <c r="D46" s="354">
        <v>1150</v>
      </c>
      <c r="E46" s="355">
        <f t="shared" si="0"/>
        <v>0.4935064935064935</v>
      </c>
      <c r="F46" s="134" t="s">
        <v>1141</v>
      </c>
      <c r="G46" s="134"/>
      <c r="H46" s="154">
        <f t="shared" si="1"/>
        <v>770.9</v>
      </c>
      <c r="I46" s="356">
        <v>20</v>
      </c>
      <c r="J46" s="154">
        <v>770</v>
      </c>
      <c r="K46" s="142">
        <v>15418</v>
      </c>
      <c r="L46" s="148">
        <v>44750</v>
      </c>
      <c r="M46" s="357">
        <f t="shared" si="2"/>
        <v>0</v>
      </c>
      <c r="N46" s="358"/>
      <c r="O46" s="359"/>
      <c r="P46" s="133"/>
      <c r="Q46" s="360"/>
      <c r="R46" s="138"/>
      <c r="S46" s="138"/>
      <c r="T46" s="141" t="str">
        <f t="shared" si="3"/>
        <v/>
      </c>
      <c r="U46" s="141" t="str">
        <f t="shared" si="4"/>
        <v>20 MATRIMONY</v>
      </c>
      <c r="V46" s="361" t="str">
        <f t="shared" si="5"/>
        <v/>
      </c>
      <c r="W46" s="362" t="str">
        <f t="shared" si="6"/>
        <v/>
      </c>
      <c r="X46" s="363" t="e">
        <f t="shared" si="7"/>
        <v>#NUM!</v>
      </c>
      <c r="Y46" s="364" t="e">
        <f t="shared" si="8"/>
        <v>#NUM!</v>
      </c>
      <c r="Z46" s="365" t="e">
        <f t="shared" si="9"/>
        <v>#NUM!</v>
      </c>
      <c r="AA46" s="362" t="str">
        <f t="shared" si="10"/>
        <v/>
      </c>
      <c r="AB46" s="133" t="s">
        <v>471</v>
      </c>
    </row>
    <row r="47" spans="1:28" ht="12.75" customHeight="1">
      <c r="A47" s="367" t="s">
        <v>611</v>
      </c>
      <c r="B47" s="134"/>
      <c r="C47" s="133"/>
      <c r="D47" s="354">
        <v>1150</v>
      </c>
      <c r="E47" s="355">
        <f t="shared" si="0"/>
        <v>0.51315789473684215</v>
      </c>
      <c r="F47" s="134" t="s">
        <v>1141</v>
      </c>
      <c r="G47" s="134"/>
      <c r="H47" s="154">
        <f t="shared" si="1"/>
        <v>760.9</v>
      </c>
      <c r="I47" s="356">
        <v>10</v>
      </c>
      <c r="J47" s="154">
        <v>760</v>
      </c>
      <c r="K47" s="142">
        <v>7609</v>
      </c>
      <c r="L47" s="148">
        <v>44753</v>
      </c>
      <c r="M47" s="357">
        <f t="shared" si="2"/>
        <v>0</v>
      </c>
      <c r="N47" s="358"/>
      <c r="O47" s="359"/>
      <c r="P47" s="133"/>
      <c r="Q47" s="360"/>
      <c r="R47" s="138"/>
      <c r="S47" s="138"/>
      <c r="T47" s="141" t="str">
        <f t="shared" si="3"/>
        <v/>
      </c>
      <c r="U47" s="141" t="str">
        <f t="shared" si="4"/>
        <v>10 MATRIMONY</v>
      </c>
      <c r="V47" s="361" t="str">
        <f t="shared" si="5"/>
        <v/>
      </c>
      <c r="W47" s="362" t="str">
        <f t="shared" si="6"/>
        <v/>
      </c>
      <c r="X47" s="363" t="e">
        <f t="shared" si="7"/>
        <v>#NUM!</v>
      </c>
      <c r="Y47" s="364" t="e">
        <f t="shared" si="8"/>
        <v>#NUM!</v>
      </c>
      <c r="Z47" s="365" t="e">
        <f t="shared" si="9"/>
        <v>#NUM!</v>
      </c>
      <c r="AA47" s="362" t="str">
        <f t="shared" si="10"/>
        <v/>
      </c>
      <c r="AB47" s="133" t="s">
        <v>471</v>
      </c>
    </row>
    <row r="48" spans="1:28" ht="12.75" customHeight="1">
      <c r="A48" s="367" t="s">
        <v>611</v>
      </c>
      <c r="B48" s="134"/>
      <c r="C48" s="133"/>
      <c r="D48" s="354"/>
      <c r="E48" s="355" t="str">
        <f t="shared" si="0"/>
        <v/>
      </c>
      <c r="F48" s="134"/>
      <c r="G48" s="134"/>
      <c r="H48" s="154">
        <f t="shared" si="1"/>
        <v>690.75</v>
      </c>
      <c r="I48" s="356">
        <v>4</v>
      </c>
      <c r="J48" s="154">
        <v>690</v>
      </c>
      <c r="K48" s="142">
        <v>2763</v>
      </c>
      <c r="L48" s="157">
        <v>44818</v>
      </c>
      <c r="M48" s="357">
        <f t="shared" si="2"/>
        <v>0</v>
      </c>
      <c r="N48" s="358"/>
      <c r="O48" s="359"/>
      <c r="P48" s="133"/>
      <c r="Q48" s="360"/>
      <c r="R48" s="138"/>
      <c r="S48" s="138"/>
      <c r="T48" s="141" t="str">
        <f t="shared" si="3"/>
        <v/>
      </c>
      <c r="U48" s="141" t="str">
        <f t="shared" si="4"/>
        <v>4 MATRIMONY</v>
      </c>
      <c r="V48" s="361" t="str">
        <f t="shared" si="5"/>
        <v/>
      </c>
      <c r="W48" s="362" t="str">
        <f t="shared" si="6"/>
        <v/>
      </c>
      <c r="X48" s="363" t="e">
        <f t="shared" si="7"/>
        <v>#NUM!</v>
      </c>
      <c r="Y48" s="364" t="e">
        <f t="shared" si="8"/>
        <v>#NUM!</v>
      </c>
      <c r="Z48" s="365" t="e">
        <f t="shared" si="9"/>
        <v>#NUM!</v>
      </c>
      <c r="AA48" s="362" t="str">
        <f t="shared" si="10"/>
        <v/>
      </c>
      <c r="AB48" s="133" t="s">
        <v>471</v>
      </c>
    </row>
    <row r="49" spans="1:28" ht="12.75" customHeight="1">
      <c r="A49" s="134" t="s">
        <v>589</v>
      </c>
      <c r="B49" s="134"/>
      <c r="C49" s="134"/>
      <c r="D49" s="354"/>
      <c r="E49" s="355" t="str">
        <f t="shared" si="0"/>
        <v/>
      </c>
      <c r="F49" s="134" t="s">
        <v>1116</v>
      </c>
      <c r="G49" s="134"/>
      <c r="H49" s="154">
        <f t="shared" si="1"/>
        <v>1638.8</v>
      </c>
      <c r="I49" s="356">
        <v>30</v>
      </c>
      <c r="J49" s="154">
        <v>1636.875</v>
      </c>
      <c r="K49" s="142">
        <v>49164</v>
      </c>
      <c r="L49" s="148">
        <v>44575</v>
      </c>
      <c r="M49" s="357">
        <f t="shared" si="2"/>
        <v>0</v>
      </c>
      <c r="N49" s="358"/>
      <c r="O49" s="359"/>
      <c r="P49" s="133"/>
      <c r="Q49" s="360"/>
      <c r="R49" s="138"/>
      <c r="S49" s="138"/>
      <c r="T49" s="141" t="str">
        <f t="shared" si="3"/>
        <v/>
      </c>
      <c r="U49" s="141" t="str">
        <f t="shared" si="4"/>
        <v>30 MCX</v>
      </c>
      <c r="V49" s="361" t="str">
        <f t="shared" si="5"/>
        <v/>
      </c>
      <c r="W49" s="362" t="str">
        <f t="shared" si="6"/>
        <v/>
      </c>
      <c r="X49" s="363" t="e">
        <f t="shared" si="7"/>
        <v>#NUM!</v>
      </c>
      <c r="Y49" s="364" t="e">
        <f t="shared" si="8"/>
        <v>#NUM!</v>
      </c>
      <c r="Z49" s="365" t="e">
        <f t="shared" si="9"/>
        <v>#NUM!</v>
      </c>
      <c r="AA49" s="362" t="str">
        <f t="shared" si="10"/>
        <v/>
      </c>
      <c r="AB49" s="133" t="s">
        <v>471</v>
      </c>
    </row>
    <row r="50" spans="1:28" ht="12.75" customHeight="1">
      <c r="A50" s="134" t="s">
        <v>617</v>
      </c>
      <c r="B50" s="134"/>
      <c r="C50" s="133"/>
      <c r="D50" s="354"/>
      <c r="E50" s="355" t="str">
        <f t="shared" si="0"/>
        <v/>
      </c>
      <c r="F50" s="134"/>
      <c r="G50" s="134"/>
      <c r="H50" s="154">
        <f t="shared" si="1"/>
        <v>88.906700000000001</v>
      </c>
      <c r="I50" s="356">
        <f>50+25</f>
        <v>75</v>
      </c>
      <c r="J50" s="154">
        <f>133.2/75*50</f>
        <v>88.799999999999983</v>
      </c>
      <c r="K50" s="142">
        <v>6668</v>
      </c>
      <c r="L50" s="148">
        <v>44775</v>
      </c>
      <c r="M50" s="357">
        <f t="shared" si="2"/>
        <v>0</v>
      </c>
      <c r="N50" s="358"/>
      <c r="O50" s="359"/>
      <c r="P50" s="133"/>
      <c r="Q50" s="360"/>
      <c r="R50" s="138"/>
      <c r="S50" s="138"/>
      <c r="T50" s="141" t="str">
        <f t="shared" si="3"/>
        <v/>
      </c>
      <c r="U50" s="141" t="str">
        <f t="shared" si="4"/>
        <v>75 MOTHERSON</v>
      </c>
      <c r="V50" s="361" t="str">
        <f t="shared" si="5"/>
        <v/>
      </c>
      <c r="W50" s="362" t="str">
        <f t="shared" si="6"/>
        <v/>
      </c>
      <c r="X50" s="363" t="e">
        <f t="shared" si="7"/>
        <v>#NUM!</v>
      </c>
      <c r="Y50" s="364" t="e">
        <f t="shared" si="8"/>
        <v>#NUM!</v>
      </c>
      <c r="Z50" s="365" t="e">
        <f t="shared" si="9"/>
        <v>#NUM!</v>
      </c>
      <c r="AA50" s="362" t="str">
        <f t="shared" si="10"/>
        <v/>
      </c>
      <c r="AB50" s="133" t="s">
        <v>471</v>
      </c>
    </row>
    <row r="51" spans="1:28" ht="12.75" customHeight="1">
      <c r="A51" s="134" t="s">
        <v>632</v>
      </c>
      <c r="B51" s="134"/>
      <c r="C51" s="133"/>
      <c r="D51" s="354"/>
      <c r="E51" s="355" t="str">
        <f t="shared" si="0"/>
        <v/>
      </c>
      <c r="F51" s="134"/>
      <c r="G51" s="134"/>
      <c r="H51" s="154">
        <f t="shared" si="1"/>
        <v>51.96</v>
      </c>
      <c r="I51" s="356">
        <v>200</v>
      </c>
      <c r="J51" s="154">
        <v>51.9</v>
      </c>
      <c r="K51" s="142">
        <v>10392</v>
      </c>
      <c r="L51" s="157">
        <v>44943</v>
      </c>
      <c r="M51" s="357">
        <f t="shared" si="2"/>
        <v>0</v>
      </c>
      <c r="N51" s="358"/>
      <c r="O51" s="359"/>
      <c r="P51" s="133"/>
      <c r="Q51" s="360"/>
      <c r="R51" s="138"/>
      <c r="S51" s="138"/>
      <c r="T51" s="141" t="str">
        <f t="shared" si="3"/>
        <v/>
      </c>
      <c r="U51" s="141" t="str">
        <f t="shared" si="4"/>
        <v>200 MSUMI</v>
      </c>
      <c r="V51" s="361" t="str">
        <f t="shared" si="5"/>
        <v/>
      </c>
      <c r="W51" s="362" t="str">
        <f t="shared" si="6"/>
        <v/>
      </c>
      <c r="X51" s="363" t="e">
        <f t="shared" si="7"/>
        <v>#NUM!</v>
      </c>
      <c r="Y51" s="364" t="e">
        <f t="shared" si="8"/>
        <v>#NUM!</v>
      </c>
      <c r="Z51" s="365" t="e">
        <f t="shared" si="9"/>
        <v>#NUM!</v>
      </c>
      <c r="AA51" s="362" t="str">
        <f t="shared" si="10"/>
        <v/>
      </c>
      <c r="AB51" s="133" t="s">
        <v>471</v>
      </c>
    </row>
    <row r="52" spans="1:28" ht="12.75" customHeight="1">
      <c r="A52" s="149" t="s">
        <v>635</v>
      </c>
      <c r="B52" s="134"/>
      <c r="C52" s="133"/>
      <c r="D52" s="354"/>
      <c r="E52" s="355" t="str">
        <f t="shared" si="0"/>
        <v/>
      </c>
      <c r="F52" s="134"/>
      <c r="G52" s="134"/>
      <c r="H52" s="154">
        <f t="shared" si="1"/>
        <v>142.16</v>
      </c>
      <c r="I52" s="356">
        <v>50</v>
      </c>
      <c r="J52" s="154">
        <v>142</v>
      </c>
      <c r="K52" s="142">
        <v>7108</v>
      </c>
      <c r="L52" s="157">
        <v>44944</v>
      </c>
      <c r="M52" s="357">
        <f t="shared" si="2"/>
        <v>0</v>
      </c>
      <c r="N52" s="358"/>
      <c r="O52" s="359"/>
      <c r="P52" s="133"/>
      <c r="Q52" s="360"/>
      <c r="R52" s="138"/>
      <c r="S52" s="138"/>
      <c r="T52" s="141" t="str">
        <f t="shared" si="3"/>
        <v/>
      </c>
      <c r="U52" s="141" t="str">
        <f t="shared" si="4"/>
        <v>50 MUKANDLTD</v>
      </c>
      <c r="V52" s="361" t="str">
        <f t="shared" si="5"/>
        <v/>
      </c>
      <c r="W52" s="362" t="str">
        <f t="shared" si="6"/>
        <v/>
      </c>
      <c r="X52" s="363" t="e">
        <f t="shared" si="7"/>
        <v>#NUM!</v>
      </c>
      <c r="Y52" s="364" t="e">
        <f t="shared" si="8"/>
        <v>#NUM!</v>
      </c>
      <c r="Z52" s="365" t="e">
        <f t="shared" si="9"/>
        <v>#NUM!</v>
      </c>
      <c r="AA52" s="362" t="str">
        <f t="shared" si="10"/>
        <v/>
      </c>
      <c r="AB52" s="133" t="s">
        <v>471</v>
      </c>
    </row>
    <row r="53" spans="1:28" ht="12.75" customHeight="1">
      <c r="A53" s="134" t="s">
        <v>613</v>
      </c>
      <c r="B53" s="134"/>
      <c r="C53" s="133"/>
      <c r="D53" s="354"/>
      <c r="E53" s="355" t="str">
        <f t="shared" si="0"/>
        <v/>
      </c>
      <c r="F53" s="134"/>
      <c r="G53" s="134"/>
      <c r="H53" s="154">
        <f t="shared" si="1"/>
        <v>40.045000000000002</v>
      </c>
      <c r="I53" s="356">
        <v>200</v>
      </c>
      <c r="J53" s="154">
        <v>40</v>
      </c>
      <c r="K53" s="142">
        <v>8009</v>
      </c>
      <c r="L53" s="157">
        <v>44943</v>
      </c>
      <c r="M53" s="357">
        <f t="shared" si="2"/>
        <v>0</v>
      </c>
      <c r="N53" s="358"/>
      <c r="O53" s="359"/>
      <c r="P53" s="133"/>
      <c r="Q53" s="360"/>
      <c r="R53" s="138"/>
      <c r="S53" s="138"/>
      <c r="T53" s="141" t="str">
        <f t="shared" si="3"/>
        <v/>
      </c>
      <c r="U53" s="141" t="str">
        <f t="shared" si="4"/>
        <v>200 NHPC</v>
      </c>
      <c r="V53" s="361" t="str">
        <f t="shared" si="5"/>
        <v/>
      </c>
      <c r="W53" s="362" t="str">
        <f t="shared" si="6"/>
        <v/>
      </c>
      <c r="X53" s="363" t="e">
        <f t="shared" si="7"/>
        <v>#NUM!</v>
      </c>
      <c r="Y53" s="364" t="e">
        <f t="shared" si="8"/>
        <v>#NUM!</v>
      </c>
      <c r="Z53" s="365" t="e">
        <f t="shared" si="9"/>
        <v>#NUM!</v>
      </c>
      <c r="AA53" s="362" t="str">
        <f t="shared" si="10"/>
        <v/>
      </c>
      <c r="AB53" s="133" t="s">
        <v>471</v>
      </c>
    </row>
    <row r="54" spans="1:28" ht="12.75" customHeight="1">
      <c r="A54" s="134" t="s">
        <v>539</v>
      </c>
      <c r="B54" s="134" t="s">
        <v>539</v>
      </c>
      <c r="C54" s="134" t="s">
        <v>1142</v>
      </c>
      <c r="D54" s="354" t="s">
        <v>1143</v>
      </c>
      <c r="E54" s="355">
        <f t="shared" si="0"/>
        <v>0.45819831497083591</v>
      </c>
      <c r="F54" s="134" t="s">
        <v>1124</v>
      </c>
      <c r="G54" s="134" t="s">
        <v>1125</v>
      </c>
      <c r="H54" s="154">
        <f t="shared" si="1"/>
        <v>154.46</v>
      </c>
      <c r="I54" s="356">
        <v>50</v>
      </c>
      <c r="J54" s="154">
        <v>154.30000000000001</v>
      </c>
      <c r="K54" s="142">
        <f>9236-1513</f>
        <v>7723</v>
      </c>
      <c r="L54" s="148">
        <v>44375</v>
      </c>
      <c r="M54" s="357">
        <f t="shared" si="2"/>
        <v>0</v>
      </c>
      <c r="N54" s="358"/>
      <c r="O54" s="359"/>
      <c r="P54" s="133"/>
      <c r="Q54" s="360"/>
      <c r="R54" s="138"/>
      <c r="S54" s="138"/>
      <c r="T54" s="141" t="str">
        <f t="shared" si="3"/>
        <v/>
      </c>
      <c r="U54" s="141" t="str">
        <f t="shared" si="4"/>
        <v>50 NMDC</v>
      </c>
      <c r="V54" s="361" t="str">
        <f t="shared" si="5"/>
        <v/>
      </c>
      <c r="W54" s="362" t="str">
        <f t="shared" si="6"/>
        <v/>
      </c>
      <c r="X54" s="363" t="e">
        <f t="shared" si="7"/>
        <v>#NUM!</v>
      </c>
      <c r="Y54" s="364" t="e">
        <f t="shared" si="8"/>
        <v>#NUM!</v>
      </c>
      <c r="Z54" s="365" t="e">
        <f t="shared" si="9"/>
        <v>#NUM!</v>
      </c>
      <c r="AA54" s="362" t="str">
        <f t="shared" si="10"/>
        <v/>
      </c>
      <c r="AB54" s="133" t="s">
        <v>471</v>
      </c>
    </row>
    <row r="55" spans="1:28" ht="12.75" customHeight="1">
      <c r="A55" s="134" t="s">
        <v>1144</v>
      </c>
      <c r="B55" s="134" t="s">
        <v>539</v>
      </c>
      <c r="C55" s="134" t="s">
        <v>1142</v>
      </c>
      <c r="D55" s="354"/>
      <c r="E55" s="355" t="str">
        <f t="shared" si="0"/>
        <v/>
      </c>
      <c r="F55" s="134" t="s">
        <v>1124</v>
      </c>
      <c r="G55" s="134" t="s">
        <v>1125</v>
      </c>
      <c r="H55" s="154">
        <f t="shared" si="1"/>
        <v>30.26</v>
      </c>
      <c r="I55" s="356">
        <v>50</v>
      </c>
      <c r="J55" s="154">
        <v>30.25</v>
      </c>
      <c r="K55" s="142">
        <v>1513</v>
      </c>
      <c r="L55" s="148">
        <v>44375</v>
      </c>
      <c r="M55" s="357">
        <f t="shared" si="2"/>
        <v>0</v>
      </c>
      <c r="N55" s="358"/>
      <c r="O55" s="359"/>
      <c r="P55" s="133"/>
      <c r="Q55" s="360"/>
      <c r="R55" s="138"/>
      <c r="S55" s="138"/>
      <c r="T55" s="141" t="str">
        <f t="shared" si="3"/>
        <v/>
      </c>
      <c r="U55" s="141" t="str">
        <f t="shared" si="4"/>
        <v>50 NSL</v>
      </c>
      <c r="V55" s="361" t="str">
        <f t="shared" si="5"/>
        <v/>
      </c>
      <c r="W55" s="362" t="str">
        <f t="shared" si="6"/>
        <v/>
      </c>
      <c r="X55" s="363" t="e">
        <f t="shared" si="7"/>
        <v>#NUM!</v>
      </c>
      <c r="Y55" s="364" t="e">
        <f t="shared" si="8"/>
        <v>#NUM!</v>
      </c>
      <c r="Z55" s="365" t="e">
        <f t="shared" si="9"/>
        <v>#NUM!</v>
      </c>
      <c r="AA55" s="362" t="str">
        <f t="shared" si="10"/>
        <v/>
      </c>
      <c r="AB55" s="133" t="s">
        <v>471</v>
      </c>
    </row>
    <row r="56" spans="1:28" ht="12.75" customHeight="1">
      <c r="A56" s="134" t="s">
        <v>552</v>
      </c>
      <c r="B56" s="134" t="s">
        <v>552</v>
      </c>
      <c r="C56" s="133" t="s">
        <v>1115</v>
      </c>
      <c r="D56" s="354" t="s">
        <v>1145</v>
      </c>
      <c r="E56" s="355">
        <f t="shared" si="0"/>
        <v>0.15087719298245614</v>
      </c>
      <c r="F56" s="134" t="s">
        <v>1146</v>
      </c>
      <c r="G56" s="134" t="s">
        <v>1133</v>
      </c>
      <c r="H56" s="154">
        <f t="shared" si="1"/>
        <v>285.33999999999997</v>
      </c>
      <c r="I56" s="356">
        <v>50</v>
      </c>
      <c r="J56" s="154">
        <v>285</v>
      </c>
      <c r="K56" s="142">
        <v>14267</v>
      </c>
      <c r="L56" s="148">
        <v>44489</v>
      </c>
      <c r="M56" s="357">
        <f t="shared" si="2"/>
        <v>0</v>
      </c>
      <c r="N56" s="358"/>
      <c r="O56" s="359"/>
      <c r="P56" s="133"/>
      <c r="Q56" s="360"/>
      <c r="R56" s="138"/>
      <c r="S56" s="138"/>
      <c r="T56" s="141" t="str">
        <f t="shared" si="3"/>
        <v/>
      </c>
      <c r="U56" s="141" t="str">
        <f t="shared" si="4"/>
        <v>50 NOCIL</v>
      </c>
      <c r="V56" s="361" t="str">
        <f t="shared" si="5"/>
        <v/>
      </c>
      <c r="W56" s="362" t="str">
        <f t="shared" si="6"/>
        <v/>
      </c>
      <c r="X56" s="363" t="e">
        <f t="shared" si="7"/>
        <v>#NUM!</v>
      </c>
      <c r="Y56" s="364" t="e">
        <f t="shared" si="8"/>
        <v>#NUM!</v>
      </c>
      <c r="Z56" s="365" t="e">
        <f t="shared" si="9"/>
        <v>#NUM!</v>
      </c>
      <c r="AA56" s="362" t="s">
        <v>131</v>
      </c>
      <c r="AB56" s="133" t="s">
        <v>471</v>
      </c>
    </row>
    <row r="57" spans="1:28" ht="12.75" customHeight="1">
      <c r="A57" s="134" t="s">
        <v>1147</v>
      </c>
      <c r="B57" s="133" t="s">
        <v>1148</v>
      </c>
      <c r="C57" s="133" t="s">
        <v>1149</v>
      </c>
      <c r="D57" s="354" t="s">
        <v>1150</v>
      </c>
      <c r="E57" s="355">
        <f t="shared" si="0"/>
        <v>0.45087719298245615</v>
      </c>
      <c r="F57" s="134" t="s">
        <v>1132</v>
      </c>
      <c r="G57" s="134" t="s">
        <v>1133</v>
      </c>
      <c r="H57" s="154">
        <f t="shared" si="1"/>
        <v>570</v>
      </c>
      <c r="I57" s="356">
        <v>26</v>
      </c>
      <c r="J57" s="154">
        <v>570</v>
      </c>
      <c r="K57" s="142">
        <v>14820</v>
      </c>
      <c r="L57" s="148">
        <v>44425</v>
      </c>
      <c r="M57" s="357">
        <f t="shared" si="2"/>
        <v>0</v>
      </c>
      <c r="N57" s="358"/>
      <c r="O57" s="359"/>
      <c r="P57" s="133"/>
      <c r="Q57" s="360"/>
      <c r="R57" s="138"/>
      <c r="S57" s="138"/>
      <c r="T57" s="141" t="str">
        <f t="shared" si="3"/>
        <v/>
      </c>
      <c r="U57" s="141" t="str">
        <f t="shared" si="4"/>
        <v>26 NUVOCO</v>
      </c>
      <c r="V57" s="361" t="str">
        <f t="shared" si="5"/>
        <v/>
      </c>
      <c r="W57" s="362" t="str">
        <f t="shared" si="6"/>
        <v/>
      </c>
      <c r="X57" s="363" t="e">
        <f t="shared" si="7"/>
        <v>#NUM!</v>
      </c>
      <c r="Y57" s="364" t="e">
        <f t="shared" si="8"/>
        <v>#NUM!</v>
      </c>
      <c r="Z57" s="365" t="e">
        <f t="shared" si="9"/>
        <v>#NUM!</v>
      </c>
      <c r="AA57" s="362" t="str">
        <f t="shared" ref="AA57:AA81" si="11">IF(O57="","",IFERROR(((O57+S57-R57)/K57)^(1/((P57-L57)/365))-1,""))</f>
        <v/>
      </c>
      <c r="AB57" s="133" t="s">
        <v>471</v>
      </c>
    </row>
    <row r="58" spans="1:28" ht="12.75" customHeight="1">
      <c r="A58" s="134" t="s">
        <v>633</v>
      </c>
      <c r="B58" s="134"/>
      <c r="C58" s="133"/>
      <c r="D58" s="354"/>
      <c r="E58" s="355" t="str">
        <f t="shared" si="0"/>
        <v/>
      </c>
      <c r="F58" s="134"/>
      <c r="G58" s="134"/>
      <c r="H58" s="154">
        <f t="shared" si="1"/>
        <v>1151.4000000000001</v>
      </c>
      <c r="I58" s="356">
        <v>10</v>
      </c>
      <c r="J58" s="154">
        <v>1150</v>
      </c>
      <c r="K58" s="142">
        <v>11514</v>
      </c>
      <c r="L58" s="157">
        <v>44943</v>
      </c>
      <c r="M58" s="357">
        <f t="shared" si="2"/>
        <v>0</v>
      </c>
      <c r="N58" s="358"/>
      <c r="O58" s="359"/>
      <c r="P58" s="133"/>
      <c r="Q58" s="360"/>
      <c r="R58" s="138"/>
      <c r="S58" s="138"/>
      <c r="T58" s="141" t="str">
        <f t="shared" si="3"/>
        <v/>
      </c>
      <c r="U58" s="141" t="str">
        <f t="shared" si="4"/>
        <v>10 PATANJALI</v>
      </c>
      <c r="V58" s="361" t="str">
        <f t="shared" si="5"/>
        <v/>
      </c>
      <c r="W58" s="362" t="str">
        <f t="shared" si="6"/>
        <v/>
      </c>
      <c r="X58" s="363" t="e">
        <f t="shared" si="7"/>
        <v>#NUM!</v>
      </c>
      <c r="Y58" s="364" t="e">
        <f t="shared" si="8"/>
        <v>#NUM!</v>
      </c>
      <c r="Z58" s="365" t="e">
        <f t="shared" si="9"/>
        <v>#NUM!</v>
      </c>
      <c r="AA58" s="362" t="str">
        <f t="shared" si="11"/>
        <v/>
      </c>
      <c r="AB58" s="133" t="s">
        <v>471</v>
      </c>
    </row>
    <row r="59" spans="1:28" ht="12.75" customHeight="1">
      <c r="A59" s="134" t="s">
        <v>713</v>
      </c>
      <c r="B59" s="134"/>
      <c r="C59" s="133"/>
      <c r="D59" s="354"/>
      <c r="E59" s="355" t="str">
        <f t="shared" si="0"/>
        <v/>
      </c>
      <c r="F59" s="134"/>
      <c r="G59" s="134"/>
      <c r="H59" s="154">
        <f t="shared" si="1"/>
        <v>2150</v>
      </c>
      <c r="I59" s="356">
        <v>6</v>
      </c>
      <c r="J59" s="154">
        <v>2150</v>
      </c>
      <c r="K59" s="142">
        <v>12900</v>
      </c>
      <c r="L59" s="148">
        <v>44516</v>
      </c>
      <c r="M59" s="357">
        <f t="shared" si="2"/>
        <v>0</v>
      </c>
      <c r="N59" s="358"/>
      <c r="O59" s="359"/>
      <c r="P59" s="133"/>
      <c r="Q59" s="360"/>
      <c r="R59" s="138"/>
      <c r="S59" s="138"/>
      <c r="T59" s="141" t="str">
        <f t="shared" si="3"/>
        <v/>
      </c>
      <c r="U59" s="141" t="str">
        <f t="shared" si="4"/>
        <v>6 PAYTM</v>
      </c>
      <c r="V59" s="361" t="str">
        <f t="shared" si="5"/>
        <v/>
      </c>
      <c r="W59" s="362" t="str">
        <f t="shared" si="6"/>
        <v/>
      </c>
      <c r="X59" s="363" t="e">
        <f t="shared" si="7"/>
        <v>#NUM!</v>
      </c>
      <c r="Y59" s="364" t="e">
        <f t="shared" si="8"/>
        <v>#NUM!</v>
      </c>
      <c r="Z59" s="365" t="e">
        <f t="shared" si="9"/>
        <v>#NUM!</v>
      </c>
      <c r="AA59" s="362" t="str">
        <f t="shared" si="11"/>
        <v/>
      </c>
      <c r="AB59" s="133" t="s">
        <v>471</v>
      </c>
    </row>
    <row r="60" spans="1:28" ht="12.75" customHeight="1">
      <c r="A60" s="134" t="s">
        <v>541</v>
      </c>
      <c r="B60" s="134" t="s">
        <v>1151</v>
      </c>
      <c r="C60" s="134" t="s">
        <v>1120</v>
      </c>
      <c r="D60" s="354" t="s">
        <v>1152</v>
      </c>
      <c r="E60" s="355">
        <f t="shared" si="0"/>
        <v>0.20240480961923857</v>
      </c>
      <c r="F60" s="134" t="s">
        <v>1124</v>
      </c>
      <c r="G60" s="134" t="s">
        <v>1125</v>
      </c>
      <c r="H60" s="154">
        <f t="shared" si="1"/>
        <v>74.94</v>
      </c>
      <c r="I60" s="356">
        <v>200</v>
      </c>
      <c r="J60" s="154">
        <v>74.849999999999994</v>
      </c>
      <c r="K60" s="142">
        <v>14988</v>
      </c>
      <c r="L60" s="148">
        <v>44377</v>
      </c>
      <c r="M60" s="357">
        <f t="shared" si="2"/>
        <v>0</v>
      </c>
      <c r="N60" s="358"/>
      <c r="O60" s="359"/>
      <c r="P60" s="133"/>
      <c r="Q60" s="360"/>
      <c r="R60" s="138"/>
      <c r="S60" s="138">
        <v>600</v>
      </c>
      <c r="T60" s="141" t="str">
        <f t="shared" si="3"/>
        <v/>
      </c>
      <c r="U60" s="141" t="str">
        <f t="shared" si="4"/>
        <v>200 PNBGILTS</v>
      </c>
      <c r="V60" s="361" t="str">
        <f t="shared" si="5"/>
        <v/>
      </c>
      <c r="W60" s="362" t="str">
        <f t="shared" si="6"/>
        <v/>
      </c>
      <c r="X60" s="363" t="e">
        <f t="shared" si="7"/>
        <v>#NUM!</v>
      </c>
      <c r="Y60" s="364" t="e">
        <f t="shared" si="8"/>
        <v>#NUM!</v>
      </c>
      <c r="Z60" s="365" t="e">
        <f t="shared" si="9"/>
        <v>#NUM!</v>
      </c>
      <c r="AA60" s="362" t="str">
        <f t="shared" si="11"/>
        <v/>
      </c>
      <c r="AB60" s="133" t="s">
        <v>471</v>
      </c>
    </row>
    <row r="61" spans="1:28" ht="12.75" customHeight="1">
      <c r="A61" s="134" t="s">
        <v>596</v>
      </c>
      <c r="B61" s="134"/>
      <c r="C61" s="133"/>
      <c r="D61" s="354"/>
      <c r="E61" s="355" t="str">
        <f t="shared" si="0"/>
        <v/>
      </c>
      <c r="F61" s="134"/>
      <c r="G61" s="134"/>
      <c r="H61" s="154">
        <f t="shared" si="1"/>
        <v>2733.2</v>
      </c>
      <c r="I61" s="356">
        <v>10</v>
      </c>
      <c r="J61" s="154">
        <v>2730</v>
      </c>
      <c r="K61" s="142">
        <v>27332</v>
      </c>
      <c r="L61" s="148">
        <v>44663</v>
      </c>
      <c r="M61" s="357">
        <f t="shared" si="2"/>
        <v>0</v>
      </c>
      <c r="N61" s="358"/>
      <c r="O61" s="359"/>
      <c r="P61" s="133"/>
      <c r="Q61" s="360"/>
      <c r="R61" s="138"/>
      <c r="S61" s="138"/>
      <c r="T61" s="141" t="str">
        <f t="shared" si="3"/>
        <v/>
      </c>
      <c r="U61" s="141" t="str">
        <f t="shared" si="4"/>
        <v>10 POLYPLEX</v>
      </c>
      <c r="V61" s="361" t="str">
        <f t="shared" si="5"/>
        <v/>
      </c>
      <c r="W61" s="362" t="str">
        <f t="shared" si="6"/>
        <v/>
      </c>
      <c r="X61" s="363" t="e">
        <f t="shared" si="7"/>
        <v>#NUM!</v>
      </c>
      <c r="Y61" s="364" t="e">
        <f t="shared" si="8"/>
        <v>#NUM!</v>
      </c>
      <c r="Z61" s="365" t="e">
        <f t="shared" si="9"/>
        <v>#NUM!</v>
      </c>
      <c r="AA61" s="362" t="str">
        <f t="shared" si="11"/>
        <v/>
      </c>
      <c r="AB61" s="133" t="s">
        <v>471</v>
      </c>
    </row>
    <row r="62" spans="1:28" ht="12.75" customHeight="1">
      <c r="A62" s="134" t="s">
        <v>599</v>
      </c>
      <c r="B62" s="134"/>
      <c r="C62" s="133"/>
      <c r="D62" s="354">
        <v>1865</v>
      </c>
      <c r="E62" s="355">
        <f t="shared" si="0"/>
        <v>0.19169329073482427</v>
      </c>
      <c r="F62" s="134" t="s">
        <v>1153</v>
      </c>
      <c r="G62" s="134"/>
      <c r="H62" s="154">
        <f t="shared" si="1"/>
        <v>1566.85</v>
      </c>
      <c r="I62" s="356">
        <v>20</v>
      </c>
      <c r="J62" s="154">
        <v>1565</v>
      </c>
      <c r="K62" s="142">
        <v>31337</v>
      </c>
      <c r="L62" s="148">
        <v>44651</v>
      </c>
      <c r="M62" s="357">
        <f t="shared" si="2"/>
        <v>0</v>
      </c>
      <c r="N62" s="358"/>
      <c r="O62" s="359"/>
      <c r="P62" s="133"/>
      <c r="Q62" s="360"/>
      <c r="R62" s="138"/>
      <c r="S62" s="138"/>
      <c r="T62" s="141" t="str">
        <f t="shared" si="3"/>
        <v/>
      </c>
      <c r="U62" s="141" t="str">
        <f t="shared" si="4"/>
        <v>20 ROUTE</v>
      </c>
      <c r="V62" s="361" t="str">
        <f t="shared" si="5"/>
        <v/>
      </c>
      <c r="W62" s="362" t="str">
        <f t="shared" si="6"/>
        <v/>
      </c>
      <c r="X62" s="363" t="e">
        <f t="shared" si="7"/>
        <v>#NUM!</v>
      </c>
      <c r="Y62" s="364" t="e">
        <f t="shared" si="8"/>
        <v>#NUM!</v>
      </c>
      <c r="Z62" s="365" t="e">
        <f t="shared" si="9"/>
        <v>#NUM!</v>
      </c>
      <c r="AA62" s="362" t="str">
        <f t="shared" si="11"/>
        <v/>
      </c>
      <c r="AB62" s="133" t="s">
        <v>471</v>
      </c>
    </row>
    <row r="63" spans="1:28" ht="12.75" customHeight="1">
      <c r="A63" s="371" t="s">
        <v>481</v>
      </c>
      <c r="B63" s="133" t="s">
        <v>1154</v>
      </c>
      <c r="C63" s="133" t="s">
        <v>1155</v>
      </c>
      <c r="D63" s="354" t="s">
        <v>1156</v>
      </c>
      <c r="E63" s="355">
        <f t="shared" si="0"/>
        <v>6.3829787234042548E-2</v>
      </c>
      <c r="F63" s="134" t="s">
        <v>1157</v>
      </c>
      <c r="G63" s="134"/>
      <c r="H63" s="154">
        <f t="shared" si="1"/>
        <v>141.16999999999999</v>
      </c>
      <c r="I63" s="356">
        <v>100</v>
      </c>
      <c r="J63" s="154">
        <v>141</v>
      </c>
      <c r="K63" s="142">
        <v>14117</v>
      </c>
      <c r="L63" s="148">
        <v>44327</v>
      </c>
      <c r="M63" s="357">
        <f t="shared" si="2"/>
        <v>0</v>
      </c>
      <c r="N63" s="358"/>
      <c r="O63" s="359"/>
      <c r="P63" s="133"/>
      <c r="Q63" s="360"/>
      <c r="R63" s="138"/>
      <c r="S63" s="138">
        <f>180+200</f>
        <v>380</v>
      </c>
      <c r="T63" s="141" t="str">
        <f t="shared" si="3"/>
        <v/>
      </c>
      <c r="U63" s="141" t="str">
        <f t="shared" si="4"/>
        <v>100 SAIL</v>
      </c>
      <c r="V63" s="361" t="str">
        <f t="shared" si="5"/>
        <v/>
      </c>
      <c r="W63" s="362" t="str">
        <f t="shared" si="6"/>
        <v/>
      </c>
      <c r="X63" s="363" t="e">
        <f t="shared" si="7"/>
        <v>#NUM!</v>
      </c>
      <c r="Y63" s="364" t="e">
        <f t="shared" si="8"/>
        <v>#NUM!</v>
      </c>
      <c r="Z63" s="365" t="e">
        <f t="shared" si="9"/>
        <v>#NUM!</v>
      </c>
      <c r="AA63" s="362" t="str">
        <f t="shared" si="11"/>
        <v/>
      </c>
      <c r="AB63" s="134" t="s">
        <v>471</v>
      </c>
    </row>
    <row r="64" spans="1:28" ht="12.75" customHeight="1">
      <c r="A64" s="367" t="s">
        <v>481</v>
      </c>
      <c r="B64" s="133" t="s">
        <v>1154</v>
      </c>
      <c r="C64" s="133" t="s">
        <v>1155</v>
      </c>
      <c r="D64" s="354" t="s">
        <v>1156</v>
      </c>
      <c r="E64" s="355">
        <f t="shared" si="0"/>
        <v>0.28644939965694688</v>
      </c>
      <c r="F64" s="134" t="s">
        <v>1157</v>
      </c>
      <c r="G64" s="134"/>
      <c r="H64" s="154">
        <f t="shared" si="1"/>
        <v>116.74</v>
      </c>
      <c r="I64" s="356">
        <v>100</v>
      </c>
      <c r="J64" s="154">
        <v>116.6</v>
      </c>
      <c r="K64" s="142">
        <v>11674</v>
      </c>
      <c r="L64" s="148">
        <v>44515</v>
      </c>
      <c r="M64" s="357">
        <f t="shared" si="2"/>
        <v>0</v>
      </c>
      <c r="N64" s="358"/>
      <c r="O64" s="359"/>
      <c r="P64" s="133"/>
      <c r="Q64" s="360"/>
      <c r="R64" s="138"/>
      <c r="S64" s="138">
        <v>200</v>
      </c>
      <c r="T64" s="141" t="str">
        <f t="shared" si="3"/>
        <v/>
      </c>
      <c r="U64" s="141" t="str">
        <f t="shared" si="4"/>
        <v>100 SAIL</v>
      </c>
      <c r="V64" s="361" t="str">
        <f t="shared" si="5"/>
        <v/>
      </c>
      <c r="W64" s="362" t="str">
        <f t="shared" si="6"/>
        <v/>
      </c>
      <c r="X64" s="363" t="e">
        <f t="shared" si="7"/>
        <v>#NUM!</v>
      </c>
      <c r="Y64" s="364" t="e">
        <f t="shared" si="8"/>
        <v>#NUM!</v>
      </c>
      <c r="Z64" s="365" t="e">
        <f t="shared" si="9"/>
        <v>#NUM!</v>
      </c>
      <c r="AA64" s="362" t="str">
        <f t="shared" si="11"/>
        <v/>
      </c>
      <c r="AB64" s="134" t="s">
        <v>471</v>
      </c>
    </row>
    <row r="65" spans="1:28" ht="12.75" customHeight="1">
      <c r="A65" s="367" t="s">
        <v>481</v>
      </c>
      <c r="B65" s="133" t="s">
        <v>1154</v>
      </c>
      <c r="C65" s="133" t="s">
        <v>1155</v>
      </c>
      <c r="D65" s="354"/>
      <c r="E65" s="355" t="str">
        <f t="shared" si="0"/>
        <v/>
      </c>
      <c r="F65" s="134"/>
      <c r="G65" s="134"/>
      <c r="H65" s="154">
        <f t="shared" si="1"/>
        <v>106.13</v>
      </c>
      <c r="I65" s="356">
        <v>100</v>
      </c>
      <c r="J65" s="154">
        <v>106</v>
      </c>
      <c r="K65" s="142">
        <v>10613</v>
      </c>
      <c r="L65" s="148">
        <v>44572</v>
      </c>
      <c r="M65" s="357">
        <f t="shared" si="2"/>
        <v>0</v>
      </c>
      <c r="N65" s="358"/>
      <c r="O65" s="359"/>
      <c r="P65" s="133"/>
      <c r="Q65" s="360"/>
      <c r="R65" s="138"/>
      <c r="S65" s="138"/>
      <c r="T65" s="141" t="str">
        <f t="shared" si="3"/>
        <v/>
      </c>
      <c r="U65" s="141" t="str">
        <f t="shared" si="4"/>
        <v>100 SAIL</v>
      </c>
      <c r="V65" s="361" t="str">
        <f t="shared" si="5"/>
        <v/>
      </c>
      <c r="W65" s="362" t="str">
        <f t="shared" si="6"/>
        <v/>
      </c>
      <c r="X65" s="363" t="e">
        <f t="shared" si="7"/>
        <v>#NUM!</v>
      </c>
      <c r="Y65" s="364" t="e">
        <f t="shared" si="8"/>
        <v>#NUM!</v>
      </c>
      <c r="Z65" s="365" t="e">
        <f t="shared" si="9"/>
        <v>#NUM!</v>
      </c>
      <c r="AA65" s="362" t="str">
        <f t="shared" si="11"/>
        <v/>
      </c>
      <c r="AB65" s="133" t="s">
        <v>471</v>
      </c>
    </row>
    <row r="66" spans="1:28" ht="12.75" customHeight="1">
      <c r="A66" s="367" t="s">
        <v>481</v>
      </c>
      <c r="B66" s="134"/>
      <c r="C66" s="133"/>
      <c r="D66" s="354"/>
      <c r="E66" s="355" t="str">
        <f t="shared" si="0"/>
        <v/>
      </c>
      <c r="F66" s="134"/>
      <c r="G66" s="134"/>
      <c r="H66" s="154">
        <f t="shared" si="1"/>
        <v>103.5217</v>
      </c>
      <c r="I66" s="356">
        <v>600</v>
      </c>
      <c r="J66" s="154">
        <v>103.4</v>
      </c>
      <c r="K66" s="142">
        <v>62113</v>
      </c>
      <c r="L66" s="148">
        <v>44645</v>
      </c>
      <c r="M66" s="357">
        <f t="shared" si="2"/>
        <v>0</v>
      </c>
      <c r="N66" s="358"/>
      <c r="O66" s="359"/>
      <c r="P66" s="133"/>
      <c r="Q66" s="360"/>
      <c r="R66" s="138"/>
      <c r="S66" s="138"/>
      <c r="T66" s="141" t="str">
        <f t="shared" si="3"/>
        <v/>
      </c>
      <c r="U66" s="141" t="str">
        <f t="shared" si="4"/>
        <v>600 SAIL</v>
      </c>
      <c r="V66" s="361" t="str">
        <f t="shared" si="5"/>
        <v/>
      </c>
      <c r="W66" s="362" t="str">
        <f t="shared" si="6"/>
        <v/>
      </c>
      <c r="X66" s="363" t="e">
        <f t="shared" si="7"/>
        <v>#NUM!</v>
      </c>
      <c r="Y66" s="364" t="e">
        <f t="shared" si="8"/>
        <v>#NUM!</v>
      </c>
      <c r="Z66" s="365" t="e">
        <f t="shared" si="9"/>
        <v>#NUM!</v>
      </c>
      <c r="AA66" s="362" t="str">
        <f t="shared" si="11"/>
        <v/>
      </c>
      <c r="AB66" s="133" t="s">
        <v>471</v>
      </c>
    </row>
    <row r="67" spans="1:28" ht="12.75" customHeight="1">
      <c r="A67" s="366" t="s">
        <v>606</v>
      </c>
      <c r="B67" s="134"/>
      <c r="C67" s="133"/>
      <c r="D67" s="354">
        <v>1500</v>
      </c>
      <c r="E67" s="355">
        <f t="shared" si="0"/>
        <v>0.1787819253438114</v>
      </c>
      <c r="F67" s="134"/>
      <c r="G67" s="134" t="s">
        <v>1158</v>
      </c>
      <c r="H67" s="154">
        <f t="shared" si="1"/>
        <v>1274</v>
      </c>
      <c r="I67" s="356">
        <v>4</v>
      </c>
      <c r="J67" s="154">
        <v>1272.5</v>
      </c>
      <c r="K67" s="142">
        <v>5096</v>
      </c>
      <c r="L67" s="148">
        <v>44676</v>
      </c>
      <c r="M67" s="357">
        <f t="shared" si="2"/>
        <v>0</v>
      </c>
      <c r="N67" s="358"/>
      <c r="O67" s="359"/>
      <c r="P67" s="133"/>
      <c r="Q67" s="360"/>
      <c r="R67" s="138"/>
      <c r="S67" s="138"/>
      <c r="T67" s="141" t="str">
        <f t="shared" si="3"/>
        <v/>
      </c>
      <c r="U67" s="141" t="str">
        <f t="shared" si="4"/>
        <v>4 SARDAEN</v>
      </c>
      <c r="V67" s="361" t="str">
        <f t="shared" si="5"/>
        <v/>
      </c>
      <c r="W67" s="362" t="str">
        <f t="shared" si="6"/>
        <v/>
      </c>
      <c r="X67" s="363" t="e">
        <f t="shared" si="7"/>
        <v>#NUM!</v>
      </c>
      <c r="Y67" s="364" t="e">
        <f t="shared" si="8"/>
        <v>#NUM!</v>
      </c>
      <c r="Z67" s="365" t="e">
        <f t="shared" si="9"/>
        <v>#NUM!</v>
      </c>
      <c r="AA67" s="362" t="str">
        <f t="shared" si="11"/>
        <v/>
      </c>
      <c r="AB67" s="133" t="s">
        <v>471</v>
      </c>
    </row>
    <row r="68" spans="1:28" ht="12.75" customHeight="1">
      <c r="A68" s="367" t="s">
        <v>606</v>
      </c>
      <c r="B68" s="134"/>
      <c r="C68" s="133"/>
      <c r="D68" s="354">
        <v>1500</v>
      </c>
      <c r="E68" s="355">
        <f t="shared" si="0"/>
        <v>0.25523012552301255</v>
      </c>
      <c r="F68" s="134"/>
      <c r="G68" s="134" t="s">
        <v>1158</v>
      </c>
      <c r="H68" s="154">
        <f t="shared" si="1"/>
        <v>1196.4000000000001</v>
      </c>
      <c r="I68" s="356">
        <v>5</v>
      </c>
      <c r="J68" s="154">
        <v>1195</v>
      </c>
      <c r="K68" s="142">
        <v>5982</v>
      </c>
      <c r="L68" s="148">
        <v>44678</v>
      </c>
      <c r="M68" s="357">
        <f t="shared" si="2"/>
        <v>0</v>
      </c>
      <c r="N68" s="358"/>
      <c r="O68" s="359"/>
      <c r="P68" s="133"/>
      <c r="Q68" s="360"/>
      <c r="R68" s="138"/>
      <c r="S68" s="138"/>
      <c r="T68" s="141" t="str">
        <f t="shared" si="3"/>
        <v/>
      </c>
      <c r="U68" s="141" t="str">
        <f t="shared" si="4"/>
        <v>5 SARDAEN</v>
      </c>
      <c r="V68" s="361" t="str">
        <f t="shared" si="5"/>
        <v/>
      </c>
      <c r="W68" s="362" t="str">
        <f t="shared" si="6"/>
        <v/>
      </c>
      <c r="X68" s="363" t="e">
        <f t="shared" si="7"/>
        <v>#NUM!</v>
      </c>
      <c r="Y68" s="364" t="e">
        <f t="shared" si="8"/>
        <v>#NUM!</v>
      </c>
      <c r="Z68" s="365" t="e">
        <f t="shared" si="9"/>
        <v>#NUM!</v>
      </c>
      <c r="AA68" s="362" t="str">
        <f t="shared" si="11"/>
        <v/>
      </c>
      <c r="AB68" s="133" t="s">
        <v>471</v>
      </c>
    </row>
    <row r="69" spans="1:28" ht="12.75" customHeight="1">
      <c r="A69" s="367" t="s">
        <v>606</v>
      </c>
      <c r="B69" s="134"/>
      <c r="C69" s="133"/>
      <c r="D69" s="354"/>
      <c r="E69" s="355" t="str">
        <f t="shared" si="0"/>
        <v/>
      </c>
      <c r="F69" s="134"/>
      <c r="G69" s="134"/>
      <c r="H69" s="154">
        <f t="shared" si="1"/>
        <v>904</v>
      </c>
      <c r="I69" s="356">
        <v>1</v>
      </c>
      <c r="J69" s="154">
        <v>903</v>
      </c>
      <c r="K69" s="142">
        <v>904</v>
      </c>
      <c r="L69" s="148">
        <v>44768</v>
      </c>
      <c r="M69" s="357">
        <f t="shared" si="2"/>
        <v>0</v>
      </c>
      <c r="N69" s="358"/>
      <c r="O69" s="359"/>
      <c r="P69" s="133"/>
      <c r="Q69" s="360"/>
      <c r="R69" s="138"/>
      <c r="S69" s="138"/>
      <c r="T69" s="141" t="str">
        <f t="shared" si="3"/>
        <v/>
      </c>
      <c r="U69" s="141" t="str">
        <f t="shared" si="4"/>
        <v>1 SARDAEN</v>
      </c>
      <c r="V69" s="361" t="str">
        <f t="shared" si="5"/>
        <v/>
      </c>
      <c r="W69" s="362" t="str">
        <f t="shared" si="6"/>
        <v/>
      </c>
      <c r="X69" s="363" t="e">
        <f t="shared" si="7"/>
        <v>#NUM!</v>
      </c>
      <c r="Y69" s="364" t="e">
        <f t="shared" si="8"/>
        <v>#NUM!</v>
      </c>
      <c r="Z69" s="365" t="e">
        <f t="shared" si="9"/>
        <v>#NUM!</v>
      </c>
      <c r="AA69" s="362" t="str">
        <f t="shared" si="11"/>
        <v/>
      </c>
      <c r="AB69" s="133" t="s">
        <v>471</v>
      </c>
    </row>
    <row r="70" spans="1:28" ht="12.75" customHeight="1">
      <c r="A70" s="149" t="s">
        <v>622</v>
      </c>
      <c r="B70" s="134"/>
      <c r="C70" s="133"/>
      <c r="D70" s="354"/>
      <c r="E70" s="355" t="str">
        <f t="shared" si="0"/>
        <v/>
      </c>
      <c r="F70" s="134"/>
      <c r="G70" s="134"/>
      <c r="H70" s="154">
        <f t="shared" si="1"/>
        <v>515.6</v>
      </c>
      <c r="I70" s="356">
        <v>10</v>
      </c>
      <c r="J70" s="154">
        <v>515</v>
      </c>
      <c r="K70" s="142">
        <v>5156</v>
      </c>
      <c r="L70" s="157">
        <v>44805</v>
      </c>
      <c r="M70" s="357">
        <f t="shared" si="2"/>
        <v>0</v>
      </c>
      <c r="N70" s="358"/>
      <c r="O70" s="359"/>
      <c r="P70" s="133"/>
      <c r="Q70" s="360"/>
      <c r="R70" s="138"/>
      <c r="S70" s="138"/>
      <c r="T70" s="141" t="str">
        <f t="shared" si="3"/>
        <v/>
      </c>
      <c r="U70" s="141" t="str">
        <f t="shared" si="4"/>
        <v>10 SHAKTIPUMP</v>
      </c>
      <c r="V70" s="361" t="str">
        <f t="shared" si="5"/>
        <v/>
      </c>
      <c r="W70" s="362" t="str">
        <f t="shared" si="6"/>
        <v/>
      </c>
      <c r="X70" s="363" t="e">
        <f t="shared" si="7"/>
        <v>#NUM!</v>
      </c>
      <c r="Y70" s="364" t="e">
        <f t="shared" si="8"/>
        <v>#NUM!</v>
      </c>
      <c r="Z70" s="365" t="e">
        <f t="shared" si="9"/>
        <v>#NUM!</v>
      </c>
      <c r="AA70" s="362" t="str">
        <f t="shared" si="11"/>
        <v/>
      </c>
      <c r="AB70" s="133" t="s">
        <v>471</v>
      </c>
    </row>
    <row r="71" spans="1:28" ht="12.75" customHeight="1">
      <c r="A71" s="134" t="s">
        <v>637</v>
      </c>
      <c r="B71" s="134"/>
      <c r="C71" s="133"/>
      <c r="D71" s="354"/>
      <c r="E71" s="355" t="str">
        <f t="shared" si="0"/>
        <v/>
      </c>
      <c r="F71" s="134"/>
      <c r="G71" s="134"/>
      <c r="H71" s="154">
        <f t="shared" si="1"/>
        <v>16.72</v>
      </c>
      <c r="I71" s="356">
        <v>75</v>
      </c>
      <c r="J71" s="154">
        <v>16.7</v>
      </c>
      <c r="K71" s="142">
        <v>1254</v>
      </c>
      <c r="L71" s="157">
        <v>44953</v>
      </c>
      <c r="M71" s="357">
        <f t="shared" si="2"/>
        <v>0</v>
      </c>
      <c r="N71" s="358"/>
      <c r="O71" s="359"/>
      <c r="P71" s="133"/>
      <c r="Q71" s="360"/>
      <c r="R71" s="138"/>
      <c r="S71" s="138"/>
      <c r="T71" s="141" t="str">
        <f t="shared" si="3"/>
        <v/>
      </c>
      <c r="U71" s="141" t="str">
        <f t="shared" si="4"/>
        <v>75 SOUTHBANK</v>
      </c>
      <c r="V71" s="361" t="str">
        <f t="shared" si="5"/>
        <v/>
      </c>
      <c r="W71" s="362" t="str">
        <f t="shared" si="6"/>
        <v/>
      </c>
      <c r="X71" s="363" t="e">
        <f t="shared" si="7"/>
        <v>#NUM!</v>
      </c>
      <c r="Y71" s="364" t="e">
        <f t="shared" si="8"/>
        <v>#NUM!</v>
      </c>
      <c r="Z71" s="365" t="e">
        <f t="shared" si="9"/>
        <v>#NUM!</v>
      </c>
      <c r="AA71" s="362" t="str">
        <f t="shared" si="11"/>
        <v/>
      </c>
      <c r="AB71" s="133" t="s">
        <v>471</v>
      </c>
    </row>
    <row r="72" spans="1:28" ht="12.75" customHeight="1">
      <c r="A72" s="134" t="s">
        <v>634</v>
      </c>
      <c r="B72" s="134"/>
      <c r="C72" s="133"/>
      <c r="D72" s="354"/>
      <c r="E72" s="355" t="str">
        <f t="shared" si="0"/>
        <v/>
      </c>
      <c r="F72" s="134"/>
      <c r="G72" s="134"/>
      <c r="H72" s="154">
        <f t="shared" si="1"/>
        <v>1403.6</v>
      </c>
      <c r="I72" s="356">
        <v>5</v>
      </c>
      <c r="J72" s="154">
        <v>1402</v>
      </c>
      <c r="K72" s="142">
        <v>7018</v>
      </c>
      <c r="L72" s="157">
        <v>44943</v>
      </c>
      <c r="M72" s="357">
        <f t="shared" si="2"/>
        <v>0</v>
      </c>
      <c r="N72" s="358"/>
      <c r="O72" s="359"/>
      <c r="P72" s="133"/>
      <c r="Q72" s="360"/>
      <c r="R72" s="138"/>
      <c r="S72" s="138"/>
      <c r="T72" s="141" t="str">
        <f t="shared" si="3"/>
        <v/>
      </c>
      <c r="U72" s="141" t="str">
        <f t="shared" si="4"/>
        <v>5 TATACOMM</v>
      </c>
      <c r="V72" s="361" t="str">
        <f t="shared" si="5"/>
        <v/>
      </c>
      <c r="W72" s="362" t="str">
        <f t="shared" si="6"/>
        <v/>
      </c>
      <c r="X72" s="363" t="e">
        <f t="shared" si="7"/>
        <v>#NUM!</v>
      </c>
      <c r="Y72" s="364" t="e">
        <f t="shared" si="8"/>
        <v>#NUM!</v>
      </c>
      <c r="Z72" s="365" t="e">
        <f t="shared" si="9"/>
        <v>#NUM!</v>
      </c>
      <c r="AA72" s="362" t="str">
        <f t="shared" si="11"/>
        <v/>
      </c>
      <c r="AB72" s="133" t="s">
        <v>471</v>
      </c>
    </row>
    <row r="73" spans="1:28" ht="12.75" customHeight="1">
      <c r="A73" s="134" t="s">
        <v>630</v>
      </c>
      <c r="B73" s="134"/>
      <c r="C73" s="133"/>
      <c r="D73" s="354"/>
      <c r="E73" s="355" t="str">
        <f t="shared" si="0"/>
        <v/>
      </c>
      <c r="F73" s="134"/>
      <c r="G73" s="134"/>
      <c r="H73" s="154">
        <f t="shared" si="1"/>
        <v>785.9</v>
      </c>
      <c r="I73" s="356">
        <v>10</v>
      </c>
      <c r="J73" s="154">
        <v>785</v>
      </c>
      <c r="K73" s="142">
        <v>7859</v>
      </c>
      <c r="L73" s="157">
        <v>44890</v>
      </c>
      <c r="M73" s="357">
        <f t="shared" si="2"/>
        <v>0</v>
      </c>
      <c r="N73" s="358"/>
      <c r="O73" s="359"/>
      <c r="P73" s="133"/>
      <c r="Q73" s="360"/>
      <c r="R73" s="138"/>
      <c r="S73" s="138"/>
      <c r="T73" s="141" t="str">
        <f t="shared" si="3"/>
        <v/>
      </c>
      <c r="U73" s="141" t="str">
        <f t="shared" si="4"/>
        <v>10 TATACONSUM</v>
      </c>
      <c r="V73" s="361" t="str">
        <f t="shared" si="5"/>
        <v/>
      </c>
      <c r="W73" s="362" t="str">
        <f t="shared" si="6"/>
        <v/>
      </c>
      <c r="X73" s="363" t="e">
        <f t="shared" si="7"/>
        <v>#NUM!</v>
      </c>
      <c r="Y73" s="364" t="e">
        <f t="shared" si="8"/>
        <v>#NUM!</v>
      </c>
      <c r="Z73" s="365" t="e">
        <f t="shared" si="9"/>
        <v>#NUM!</v>
      </c>
      <c r="AA73" s="362" t="str">
        <f t="shared" si="11"/>
        <v/>
      </c>
      <c r="AB73" s="133" t="s">
        <v>471</v>
      </c>
    </row>
    <row r="74" spans="1:28" ht="12.75" customHeight="1">
      <c r="A74" s="366" t="s">
        <v>620</v>
      </c>
      <c r="B74" s="134"/>
      <c r="C74" s="133"/>
      <c r="D74" s="354"/>
      <c r="E74" s="355" t="str">
        <f t="shared" si="0"/>
        <v/>
      </c>
      <c r="F74" s="134"/>
      <c r="G74" s="134"/>
      <c r="H74" s="154">
        <f t="shared" si="1"/>
        <v>9812</v>
      </c>
      <c r="I74" s="356">
        <v>1</v>
      </c>
      <c r="J74" s="154">
        <v>9800</v>
      </c>
      <c r="K74" s="142">
        <v>9812</v>
      </c>
      <c r="L74" s="148">
        <v>44795</v>
      </c>
      <c r="M74" s="357">
        <f t="shared" si="2"/>
        <v>0</v>
      </c>
      <c r="N74" s="358"/>
      <c r="O74" s="359"/>
      <c r="P74" s="133"/>
      <c r="Q74" s="360"/>
      <c r="R74" s="138"/>
      <c r="S74" s="138"/>
      <c r="T74" s="141" t="str">
        <f t="shared" si="3"/>
        <v/>
      </c>
      <c r="U74" s="141" t="str">
        <f t="shared" si="4"/>
        <v>1 TATAELXSI</v>
      </c>
      <c r="V74" s="361" t="str">
        <f t="shared" si="5"/>
        <v/>
      </c>
      <c r="W74" s="362" t="str">
        <f t="shared" si="6"/>
        <v/>
      </c>
      <c r="X74" s="363" t="e">
        <f t="shared" si="7"/>
        <v>#NUM!</v>
      </c>
      <c r="Y74" s="364" t="e">
        <f t="shared" si="8"/>
        <v>#NUM!</v>
      </c>
      <c r="Z74" s="365" t="e">
        <f t="shared" si="9"/>
        <v>#NUM!</v>
      </c>
      <c r="AA74" s="362" t="str">
        <f t="shared" si="11"/>
        <v/>
      </c>
      <c r="AB74" s="133" t="s">
        <v>471</v>
      </c>
    </row>
    <row r="75" spans="1:28" ht="12.75" customHeight="1">
      <c r="A75" s="367" t="s">
        <v>620</v>
      </c>
      <c r="B75" s="134"/>
      <c r="C75" s="133"/>
      <c r="D75" s="354"/>
      <c r="E75" s="355" t="str">
        <f t="shared" si="0"/>
        <v/>
      </c>
      <c r="F75" s="134"/>
      <c r="G75" s="134"/>
      <c r="H75" s="154">
        <f t="shared" si="1"/>
        <v>9001</v>
      </c>
      <c r="I75" s="356">
        <v>1</v>
      </c>
      <c r="J75" s="154">
        <v>8990</v>
      </c>
      <c r="K75" s="142">
        <v>9001</v>
      </c>
      <c r="L75" s="148">
        <v>44803</v>
      </c>
      <c r="M75" s="357">
        <f t="shared" si="2"/>
        <v>0</v>
      </c>
      <c r="N75" s="358"/>
      <c r="O75" s="359"/>
      <c r="P75" s="133"/>
      <c r="Q75" s="360"/>
      <c r="R75" s="138"/>
      <c r="S75" s="138"/>
      <c r="T75" s="141" t="str">
        <f t="shared" si="3"/>
        <v/>
      </c>
      <c r="U75" s="141" t="str">
        <f t="shared" si="4"/>
        <v>1 TATAELXSI</v>
      </c>
      <c r="V75" s="361" t="str">
        <f t="shared" si="5"/>
        <v/>
      </c>
      <c r="W75" s="362" t="str">
        <f t="shared" si="6"/>
        <v/>
      </c>
      <c r="X75" s="363" t="e">
        <f t="shared" si="7"/>
        <v>#NUM!</v>
      </c>
      <c r="Y75" s="364" t="e">
        <f t="shared" si="8"/>
        <v>#NUM!</v>
      </c>
      <c r="Z75" s="365" t="e">
        <f t="shared" si="9"/>
        <v>#NUM!</v>
      </c>
      <c r="AA75" s="362" t="str">
        <f t="shared" si="11"/>
        <v/>
      </c>
      <c r="AB75" s="133" t="s">
        <v>471</v>
      </c>
    </row>
    <row r="76" spans="1:28" ht="12.75" customHeight="1">
      <c r="A76" s="367" t="s">
        <v>620</v>
      </c>
      <c r="B76" s="134"/>
      <c r="C76" s="133"/>
      <c r="D76" s="354"/>
      <c r="E76" s="355" t="str">
        <f t="shared" si="0"/>
        <v/>
      </c>
      <c r="F76" s="134"/>
      <c r="G76" s="134"/>
      <c r="H76" s="154">
        <f t="shared" si="1"/>
        <v>8910.5</v>
      </c>
      <c r="I76" s="356">
        <v>2</v>
      </c>
      <c r="J76" s="154">
        <v>8900</v>
      </c>
      <c r="K76" s="142">
        <v>17821</v>
      </c>
      <c r="L76" s="157">
        <v>44805</v>
      </c>
      <c r="M76" s="357">
        <f t="shared" si="2"/>
        <v>0</v>
      </c>
      <c r="N76" s="358"/>
      <c r="O76" s="359"/>
      <c r="P76" s="133"/>
      <c r="Q76" s="360"/>
      <c r="R76" s="138"/>
      <c r="S76" s="138"/>
      <c r="T76" s="141" t="str">
        <f t="shared" si="3"/>
        <v/>
      </c>
      <c r="U76" s="141" t="str">
        <f t="shared" si="4"/>
        <v>2 TATAELXSI</v>
      </c>
      <c r="V76" s="361" t="str">
        <f t="shared" si="5"/>
        <v/>
      </c>
      <c r="W76" s="362" t="str">
        <f t="shared" si="6"/>
        <v/>
      </c>
      <c r="X76" s="363" t="e">
        <f t="shared" si="7"/>
        <v>#NUM!</v>
      </c>
      <c r="Y76" s="364" t="e">
        <f t="shared" si="8"/>
        <v>#NUM!</v>
      </c>
      <c r="Z76" s="365" t="e">
        <f t="shared" si="9"/>
        <v>#NUM!</v>
      </c>
      <c r="AA76" s="362" t="str">
        <f t="shared" si="11"/>
        <v/>
      </c>
      <c r="AB76" s="133" t="s">
        <v>471</v>
      </c>
    </row>
    <row r="77" spans="1:28" ht="12.75" customHeight="1">
      <c r="A77" s="367" t="s">
        <v>620</v>
      </c>
      <c r="B77" s="134"/>
      <c r="C77" s="133"/>
      <c r="D77" s="354"/>
      <c r="E77" s="355" t="str">
        <f t="shared" si="0"/>
        <v/>
      </c>
      <c r="F77" s="134"/>
      <c r="G77" s="134"/>
      <c r="H77" s="154">
        <f t="shared" si="1"/>
        <v>6776.5</v>
      </c>
      <c r="I77" s="356">
        <v>2</v>
      </c>
      <c r="J77" s="154">
        <v>6768.7</v>
      </c>
      <c r="K77" s="142">
        <v>13553</v>
      </c>
      <c r="L77" s="157">
        <v>44890</v>
      </c>
      <c r="M77" s="357">
        <f t="shared" si="2"/>
        <v>0</v>
      </c>
      <c r="N77" s="358"/>
      <c r="O77" s="359"/>
      <c r="P77" s="133"/>
      <c r="Q77" s="360"/>
      <c r="R77" s="138"/>
      <c r="S77" s="138"/>
      <c r="T77" s="141" t="str">
        <f t="shared" si="3"/>
        <v/>
      </c>
      <c r="U77" s="141" t="str">
        <f t="shared" si="4"/>
        <v>2 TATAELXSI</v>
      </c>
      <c r="V77" s="361" t="str">
        <f t="shared" si="5"/>
        <v/>
      </c>
      <c r="W77" s="362" t="str">
        <f t="shared" si="6"/>
        <v/>
      </c>
      <c r="X77" s="363" t="e">
        <f t="shared" si="7"/>
        <v>#NUM!</v>
      </c>
      <c r="Y77" s="364" t="e">
        <f t="shared" si="8"/>
        <v>#NUM!</v>
      </c>
      <c r="Z77" s="365" t="e">
        <f t="shared" si="9"/>
        <v>#NUM!</v>
      </c>
      <c r="AA77" s="362" t="str">
        <f t="shared" si="11"/>
        <v/>
      </c>
      <c r="AB77" s="133" t="s">
        <v>471</v>
      </c>
    </row>
    <row r="78" spans="1:28" ht="12.75" customHeight="1">
      <c r="A78" s="366" t="s">
        <v>574</v>
      </c>
      <c r="B78" s="134"/>
      <c r="C78" s="133"/>
      <c r="D78" s="354"/>
      <c r="E78" s="355" t="str">
        <f t="shared" si="0"/>
        <v/>
      </c>
      <c r="F78" s="134"/>
      <c r="G78" s="134"/>
      <c r="H78" s="154">
        <f t="shared" si="1"/>
        <v>3504.1</v>
      </c>
      <c r="I78" s="356">
        <v>10</v>
      </c>
      <c r="J78" s="154">
        <v>3500</v>
      </c>
      <c r="K78" s="142">
        <v>35041</v>
      </c>
      <c r="L78" s="148">
        <v>44670</v>
      </c>
      <c r="M78" s="357">
        <f t="shared" si="2"/>
        <v>0</v>
      </c>
      <c r="N78" s="358"/>
      <c r="O78" s="359"/>
      <c r="P78" s="133"/>
      <c r="Q78" s="360"/>
      <c r="R78" s="138"/>
      <c r="S78" s="138"/>
      <c r="T78" s="141" t="str">
        <f t="shared" si="3"/>
        <v/>
      </c>
      <c r="U78" s="141" t="str">
        <f t="shared" si="4"/>
        <v>10 TCS</v>
      </c>
      <c r="V78" s="361" t="str">
        <f t="shared" si="5"/>
        <v/>
      </c>
      <c r="W78" s="362" t="str">
        <f t="shared" si="6"/>
        <v/>
      </c>
      <c r="X78" s="363" t="e">
        <f t="shared" si="7"/>
        <v>#NUM!</v>
      </c>
      <c r="Y78" s="364" t="e">
        <f t="shared" si="8"/>
        <v>#NUM!</v>
      </c>
      <c r="Z78" s="365" t="e">
        <f t="shared" si="9"/>
        <v>#NUM!</v>
      </c>
      <c r="AA78" s="362" t="str">
        <f t="shared" si="11"/>
        <v/>
      </c>
      <c r="AB78" s="133" t="s">
        <v>471</v>
      </c>
    </row>
    <row r="79" spans="1:28" ht="12.75" customHeight="1">
      <c r="A79" s="367" t="s">
        <v>574</v>
      </c>
      <c r="B79" s="134"/>
      <c r="C79" s="133"/>
      <c r="D79" s="354"/>
      <c r="E79" s="355" t="str">
        <f t="shared" si="0"/>
        <v/>
      </c>
      <c r="F79" s="134"/>
      <c r="G79" s="134"/>
      <c r="H79" s="154">
        <f t="shared" si="1"/>
        <v>3704.4</v>
      </c>
      <c r="I79" s="356">
        <v>10</v>
      </c>
      <c r="J79" s="154">
        <v>3700</v>
      </c>
      <c r="K79" s="142">
        <v>37044</v>
      </c>
      <c r="L79" s="148">
        <v>44663</v>
      </c>
      <c r="M79" s="357">
        <f t="shared" si="2"/>
        <v>0</v>
      </c>
      <c r="N79" s="358"/>
      <c r="O79" s="359"/>
      <c r="P79" s="133"/>
      <c r="Q79" s="360"/>
      <c r="R79" s="138"/>
      <c r="S79" s="138"/>
      <c r="T79" s="141" t="str">
        <f t="shared" si="3"/>
        <v/>
      </c>
      <c r="U79" s="141" t="str">
        <f t="shared" si="4"/>
        <v>10 TCS</v>
      </c>
      <c r="V79" s="361" t="str">
        <f t="shared" si="5"/>
        <v/>
      </c>
      <c r="W79" s="362" t="str">
        <f t="shared" si="6"/>
        <v/>
      </c>
      <c r="X79" s="363" t="e">
        <f t="shared" si="7"/>
        <v>#NUM!</v>
      </c>
      <c r="Y79" s="364" t="e">
        <f t="shared" si="8"/>
        <v>#NUM!</v>
      </c>
      <c r="Z79" s="365" t="e">
        <f t="shared" si="9"/>
        <v>#NUM!</v>
      </c>
      <c r="AA79" s="362" t="str">
        <f t="shared" si="11"/>
        <v/>
      </c>
      <c r="AB79" s="133" t="s">
        <v>471</v>
      </c>
    </row>
    <row r="80" spans="1:28" ht="12.75" customHeight="1">
      <c r="A80" s="366" t="s">
        <v>604</v>
      </c>
      <c r="B80" s="134"/>
      <c r="C80" s="133"/>
      <c r="D80" s="354"/>
      <c r="E80" s="355" t="str">
        <f t="shared" si="0"/>
        <v/>
      </c>
      <c r="F80" s="134" t="s">
        <v>1153</v>
      </c>
      <c r="G80" s="134"/>
      <c r="H80" s="154">
        <f t="shared" si="1"/>
        <v>131.655</v>
      </c>
      <c r="I80" s="356">
        <v>200</v>
      </c>
      <c r="J80" s="154">
        <v>131.5</v>
      </c>
      <c r="K80" s="142">
        <v>26331</v>
      </c>
      <c r="L80" s="148">
        <v>44672</v>
      </c>
      <c r="M80" s="357">
        <f t="shared" si="2"/>
        <v>0</v>
      </c>
      <c r="N80" s="358"/>
      <c r="O80" s="359"/>
      <c r="P80" s="133"/>
      <c r="Q80" s="360"/>
      <c r="R80" s="138"/>
      <c r="S80" s="138"/>
      <c r="T80" s="141" t="str">
        <f t="shared" si="3"/>
        <v/>
      </c>
      <c r="U80" s="141" t="str">
        <f t="shared" si="4"/>
        <v>200 TNPETRO</v>
      </c>
      <c r="V80" s="361" t="str">
        <f t="shared" si="5"/>
        <v/>
      </c>
      <c r="W80" s="362" t="str">
        <f t="shared" si="6"/>
        <v/>
      </c>
      <c r="X80" s="363" t="e">
        <f t="shared" si="7"/>
        <v>#NUM!</v>
      </c>
      <c r="Y80" s="364" t="e">
        <f t="shared" si="8"/>
        <v>#NUM!</v>
      </c>
      <c r="Z80" s="365" t="e">
        <f t="shared" si="9"/>
        <v>#NUM!</v>
      </c>
      <c r="AA80" s="362" t="str">
        <f t="shared" si="11"/>
        <v/>
      </c>
      <c r="AB80" s="133" t="s">
        <v>471</v>
      </c>
    </row>
    <row r="81" spans="1:28" ht="12.75" customHeight="1">
      <c r="A81" s="367" t="s">
        <v>604</v>
      </c>
      <c r="B81" s="134"/>
      <c r="C81" s="133"/>
      <c r="D81" s="354"/>
      <c r="E81" s="355" t="str">
        <f t="shared" si="0"/>
        <v/>
      </c>
      <c r="F81" s="134"/>
      <c r="G81" s="134"/>
      <c r="H81" s="154">
        <f t="shared" si="1"/>
        <v>120.9</v>
      </c>
      <c r="I81" s="356">
        <v>50</v>
      </c>
      <c r="J81" s="154">
        <v>120.75</v>
      </c>
      <c r="K81" s="142">
        <v>6045</v>
      </c>
      <c r="L81" s="148">
        <v>44676</v>
      </c>
      <c r="M81" s="357">
        <f t="shared" si="2"/>
        <v>0</v>
      </c>
      <c r="N81" s="358"/>
      <c r="O81" s="359"/>
      <c r="P81" s="133"/>
      <c r="Q81" s="360"/>
      <c r="R81" s="138"/>
      <c r="S81" s="138"/>
      <c r="T81" s="141" t="str">
        <f t="shared" si="3"/>
        <v/>
      </c>
      <c r="U81" s="141" t="str">
        <f t="shared" si="4"/>
        <v>50 TNPETRO</v>
      </c>
      <c r="V81" s="361" t="str">
        <f t="shared" si="5"/>
        <v/>
      </c>
      <c r="W81" s="362" t="str">
        <f t="shared" si="6"/>
        <v/>
      </c>
      <c r="X81" s="363" t="e">
        <f t="shared" si="7"/>
        <v>#NUM!</v>
      </c>
      <c r="Y81" s="364" t="e">
        <f t="shared" si="8"/>
        <v>#NUM!</v>
      </c>
      <c r="Z81" s="365" t="e">
        <f t="shared" si="9"/>
        <v>#NUM!</v>
      </c>
      <c r="AA81" s="362" t="str">
        <f t="shared" si="11"/>
        <v/>
      </c>
      <c r="AB81" s="133" t="s">
        <v>471</v>
      </c>
    </row>
    <row r="82" spans="1:28" ht="3.75" customHeight="1">
      <c r="A82" s="70"/>
      <c r="B82" s="70"/>
      <c r="C82" s="172"/>
      <c r="D82" s="232"/>
      <c r="E82" s="372"/>
      <c r="F82" s="70"/>
      <c r="G82" s="70"/>
      <c r="H82" s="373"/>
      <c r="I82" s="233"/>
      <c r="J82" s="373"/>
      <c r="K82" s="170"/>
      <c r="L82" s="161"/>
      <c r="M82" s="234"/>
      <c r="N82" s="374"/>
      <c r="O82" s="375"/>
      <c r="P82" s="172"/>
      <c r="Q82" s="376"/>
      <c r="R82" s="166"/>
      <c r="S82" s="166"/>
      <c r="T82" s="169"/>
      <c r="U82" s="169"/>
      <c r="V82" s="169"/>
      <c r="W82" s="377"/>
      <c r="X82" s="378"/>
      <c r="Y82" s="379"/>
      <c r="Z82" s="380"/>
      <c r="AA82" s="381"/>
      <c r="AB82" s="172"/>
    </row>
    <row r="83" spans="1:28" ht="12.75" customHeight="1">
      <c r="A83" s="134"/>
      <c r="B83" s="134"/>
      <c r="C83" s="133"/>
      <c r="D83" s="354"/>
      <c r="E83" s="355" t="str">
        <f>IFERROR(IF(D83="","",(D83-J83)/J83),"")</f>
        <v/>
      </c>
      <c r="F83" s="134"/>
      <c r="G83" s="134"/>
      <c r="H83" s="154" t="e">
        <f>ROUND(K83/I83,4)</f>
        <v>#DIV/0!</v>
      </c>
      <c r="I83" s="356"/>
      <c r="J83" s="154"/>
      <c r="K83" s="142"/>
      <c r="L83" s="157"/>
      <c r="M83" s="357" t="e">
        <f>ROUND(O83/I83,4)</f>
        <v>#DIV/0!</v>
      </c>
      <c r="N83" s="358"/>
      <c r="O83" s="359"/>
      <c r="P83" s="133"/>
      <c r="Q83" s="360"/>
      <c r="R83" s="138"/>
      <c r="S83" s="138"/>
      <c r="T83" s="141" t="str">
        <f>IF(OR(O83="",K83=""),"",O83-K83)</f>
        <v/>
      </c>
      <c r="U83" s="141" t="str">
        <f>CONCATENATE(I83," ",A83)</f>
        <v xml:space="preserve"> </v>
      </c>
      <c r="V83" s="361" t="str">
        <f>IF(T83="","",T83+S83-R83)</f>
        <v/>
      </c>
      <c r="W83" s="362" t="str">
        <f>IF(OR(K83="",V83=""),"",V83/K83)</f>
        <v/>
      </c>
      <c r="X83" s="363">
        <f>DATEDIF(L83,P83,"Y")</f>
        <v>0</v>
      </c>
      <c r="Y83" s="364">
        <f>DATEDIF(L83,P83,"YM")</f>
        <v>0</v>
      </c>
      <c r="Z83" s="365">
        <f>DATEDIF(L83,P83,"MD")</f>
        <v>0</v>
      </c>
      <c r="AA83" s="362" t="str">
        <f>IF(O83="","",IFERROR(((O83+S83-R83)/K83)^(1/((P83-L83)/365))-1,""))</f>
        <v/>
      </c>
      <c r="AB83" s="133" t="s">
        <v>471</v>
      </c>
    </row>
    <row r="84" spans="1:28" ht="12.75" customHeight="1">
      <c r="A84" s="382">
        <f ca="1">IFERROR(__xludf.DUMMYFUNCTION("COUNTUNIQUE(A13:A82)"),43)</f>
        <v>43</v>
      </c>
      <c r="B84" s="383" t="s">
        <v>1159</v>
      </c>
      <c r="C84" s="384"/>
      <c r="D84" s="383" t="s">
        <v>1160</v>
      </c>
      <c r="E84" s="383"/>
      <c r="F84" s="385"/>
      <c r="G84" s="385"/>
      <c r="H84" s="386"/>
      <c r="I84" s="385"/>
      <c r="J84" s="387">
        <f>ROUND(SUM(K13:K82),0)</f>
        <v>824314</v>
      </c>
      <c r="K84" s="388"/>
      <c r="L84" s="388"/>
      <c r="M84" s="389"/>
      <c r="N84" s="390"/>
      <c r="O84" s="391"/>
      <c r="P84" s="392"/>
      <c r="Q84" s="392"/>
      <c r="R84" s="125">
        <v>0</v>
      </c>
      <c r="S84" s="393"/>
      <c r="T84" s="391"/>
      <c r="U84" s="391"/>
      <c r="V84" s="391"/>
      <c r="W84" s="394"/>
      <c r="X84" s="395"/>
      <c r="Y84" s="395"/>
      <c r="Z84" s="395"/>
      <c r="AA84" s="396"/>
      <c r="AB84" s="395"/>
    </row>
    <row r="85" spans="1:28" ht="3.75" customHeight="1">
      <c r="A85" s="176"/>
      <c r="B85" s="176"/>
      <c r="C85" s="176"/>
      <c r="D85" s="93"/>
      <c r="E85" s="93"/>
      <c r="F85" s="93"/>
      <c r="G85" s="93"/>
      <c r="H85" s="208"/>
      <c r="I85" s="93"/>
      <c r="J85" s="208"/>
      <c r="K85" s="256"/>
      <c r="L85" s="176"/>
      <c r="M85" s="208"/>
      <c r="N85" s="208"/>
      <c r="O85" s="256"/>
      <c r="P85" s="176"/>
      <c r="Q85" s="176"/>
      <c r="R85" s="177"/>
      <c r="S85" s="177"/>
      <c r="T85" s="256"/>
      <c r="U85" s="256"/>
      <c r="V85" s="256"/>
      <c r="W85" s="394"/>
      <c r="X85" s="93"/>
      <c r="Y85" s="93"/>
      <c r="Z85" s="93"/>
      <c r="AA85" s="394"/>
      <c r="AB85" s="93"/>
    </row>
    <row r="86" spans="1:28" ht="26.25" customHeight="1">
      <c r="A86" s="340" t="s">
        <v>422</v>
      </c>
      <c r="B86" s="340" t="s">
        <v>1078</v>
      </c>
      <c r="C86" s="340" t="s">
        <v>1079</v>
      </c>
      <c r="D86" s="341" t="s">
        <v>1080</v>
      </c>
      <c r="E86" s="341" t="s">
        <v>1081</v>
      </c>
      <c r="F86" s="340" t="s">
        <v>1082</v>
      </c>
      <c r="G86" s="340" t="s">
        <v>1083</v>
      </c>
      <c r="H86" s="341" t="s">
        <v>1084</v>
      </c>
      <c r="I86" s="341" t="s">
        <v>1085</v>
      </c>
      <c r="J86" s="341" t="s">
        <v>1086</v>
      </c>
      <c r="K86" s="341" t="s">
        <v>8</v>
      </c>
      <c r="L86" s="341" t="s">
        <v>1087</v>
      </c>
      <c r="M86" s="341" t="s">
        <v>1088</v>
      </c>
      <c r="N86" s="341" t="s">
        <v>1089</v>
      </c>
      <c r="O86" s="341" t="s">
        <v>1090</v>
      </c>
      <c r="P86" s="341" t="s">
        <v>1091</v>
      </c>
      <c r="Q86" s="341" t="s">
        <v>1092</v>
      </c>
      <c r="R86" s="342" t="s">
        <v>1093</v>
      </c>
      <c r="S86" s="340" t="s">
        <v>1094</v>
      </c>
      <c r="T86" s="341" t="s">
        <v>1095</v>
      </c>
      <c r="U86" s="341" t="s">
        <v>1096</v>
      </c>
      <c r="V86" s="341" t="s">
        <v>1097</v>
      </c>
      <c r="W86" s="341" t="s">
        <v>1098</v>
      </c>
      <c r="X86" s="340" t="s">
        <v>1099</v>
      </c>
      <c r="Y86" s="340" t="s">
        <v>1100</v>
      </c>
      <c r="Z86" s="340" t="s">
        <v>1101</v>
      </c>
      <c r="AA86" s="341" t="s">
        <v>1102</v>
      </c>
      <c r="AB86" s="340" t="s">
        <v>1103</v>
      </c>
    </row>
    <row r="87" spans="1:28" ht="12.75" customHeight="1">
      <c r="A87" s="120" t="s">
        <v>584</v>
      </c>
      <c r="B87" s="120" t="s">
        <v>1161</v>
      </c>
      <c r="C87" s="343" t="s">
        <v>1136</v>
      </c>
      <c r="D87" s="344"/>
      <c r="E87" s="345" t="str">
        <f t="shared" ref="E87:E94" si="12">IFERROR(IF(D87="","",(D87-J87)/J87),"")</f>
        <v/>
      </c>
      <c r="F87" s="121" t="s">
        <v>1124</v>
      </c>
      <c r="G87" s="121" t="s">
        <v>1125</v>
      </c>
      <c r="H87" s="346">
        <f t="shared" ref="H87:H94" si="13">ROUND(K87/I87,4)</f>
        <v>7.6589999999999998</v>
      </c>
      <c r="I87" s="121">
        <v>1000</v>
      </c>
      <c r="J87" s="346">
        <v>7.65</v>
      </c>
      <c r="K87" s="128">
        <v>7659</v>
      </c>
      <c r="L87" s="150">
        <v>44547</v>
      </c>
      <c r="M87" s="124">
        <f t="shared" ref="M87:M558" si="14">ROUND(O87/I87,4)</f>
        <v>8.6509999999999998</v>
      </c>
      <c r="N87" s="155">
        <v>8.66</v>
      </c>
      <c r="O87" s="347">
        <v>8651</v>
      </c>
      <c r="P87" s="120">
        <v>44561</v>
      </c>
      <c r="Q87" s="348">
        <v>44559</v>
      </c>
      <c r="R87" s="125">
        <v>15.93</v>
      </c>
      <c r="S87" s="125"/>
      <c r="T87" s="127">
        <f t="shared" ref="T87:T90" si="15">IF(O87="","",O87-K87)</f>
        <v>992</v>
      </c>
      <c r="U87" s="127" t="str">
        <f t="shared" ref="U87:U558" si="16">CONCATENATE(I87," ",A87)</f>
        <v>1000 A2ZINFRA</v>
      </c>
      <c r="V87" s="127">
        <f t="shared" ref="V87:V558" si="17">IF(T87="","",T87+S87-R87)</f>
        <v>976.07</v>
      </c>
      <c r="W87" s="350">
        <f t="shared" ref="W87:W90" si="18">IF(M87=0,"",V87/K87)</f>
        <v>0.12744091918004963</v>
      </c>
      <c r="X87" s="397">
        <f t="shared" ref="X87:X558" si="19">DATEDIF(L87,P87,"Y")</f>
        <v>0</v>
      </c>
      <c r="Y87" s="352">
        <f t="shared" ref="Y87:Y558" si="20">DATEDIF(L87,P87,"YM")</f>
        <v>0</v>
      </c>
      <c r="Z87" s="353">
        <f t="shared" ref="Z87:Z558" si="21">DATEDIF(L87,P87,"MD")</f>
        <v>14</v>
      </c>
      <c r="AA87" s="350">
        <f t="shared" ref="AA87:AA374" si="22">IF(O87="","",IFERROR(((O87+S87-R87)/K87)^(1/((P87-L87)/365))-1,""))</f>
        <v>21.811802506152283</v>
      </c>
      <c r="AB87" s="120" t="s">
        <v>471</v>
      </c>
    </row>
    <row r="88" spans="1:28" ht="12.75" customHeight="1">
      <c r="A88" s="120" t="s">
        <v>584</v>
      </c>
      <c r="B88" s="120" t="s">
        <v>1161</v>
      </c>
      <c r="C88" s="343" t="s">
        <v>1136</v>
      </c>
      <c r="D88" s="344"/>
      <c r="E88" s="345" t="str">
        <f t="shared" si="12"/>
        <v/>
      </c>
      <c r="F88" s="121" t="s">
        <v>1124</v>
      </c>
      <c r="G88" s="121" t="s">
        <v>1125</v>
      </c>
      <c r="H88" s="346">
        <f t="shared" si="13"/>
        <v>10.412000000000001</v>
      </c>
      <c r="I88" s="121">
        <v>1000</v>
      </c>
      <c r="J88" s="346">
        <v>10.4</v>
      </c>
      <c r="K88" s="128">
        <v>10412</v>
      </c>
      <c r="L88" s="150">
        <v>44565</v>
      </c>
      <c r="M88" s="124">
        <f t="shared" si="14"/>
        <v>11.388</v>
      </c>
      <c r="N88" s="155">
        <v>11.4</v>
      </c>
      <c r="O88" s="347">
        <v>11388</v>
      </c>
      <c r="P88" s="120">
        <v>44585</v>
      </c>
      <c r="Q88" s="348">
        <v>44581</v>
      </c>
      <c r="R88" s="125">
        <v>15.93</v>
      </c>
      <c r="S88" s="125"/>
      <c r="T88" s="127">
        <f t="shared" si="15"/>
        <v>976</v>
      </c>
      <c r="U88" s="127" t="str">
        <f t="shared" si="16"/>
        <v>1000 A2ZINFRA</v>
      </c>
      <c r="V88" s="127">
        <f t="shared" si="17"/>
        <v>960.07</v>
      </c>
      <c r="W88" s="350">
        <f t="shared" si="18"/>
        <v>9.2208029197080293E-2</v>
      </c>
      <c r="X88" s="397">
        <f t="shared" si="19"/>
        <v>0</v>
      </c>
      <c r="Y88" s="352">
        <f t="shared" si="20"/>
        <v>0</v>
      </c>
      <c r="Z88" s="353">
        <f t="shared" si="21"/>
        <v>20</v>
      </c>
      <c r="AA88" s="350">
        <f t="shared" si="22"/>
        <v>4.0011848704687019</v>
      </c>
      <c r="AB88" s="120" t="s">
        <v>471</v>
      </c>
    </row>
    <row r="89" spans="1:28" ht="12.75" customHeight="1">
      <c r="A89" s="120" t="s">
        <v>584</v>
      </c>
      <c r="B89" s="120"/>
      <c r="C89" s="343"/>
      <c r="D89" s="344"/>
      <c r="E89" s="345" t="str">
        <f t="shared" si="12"/>
        <v/>
      </c>
      <c r="F89" s="121"/>
      <c r="G89" s="121"/>
      <c r="H89" s="346">
        <f t="shared" si="13"/>
        <v>12.064</v>
      </c>
      <c r="I89" s="121">
        <v>1000</v>
      </c>
      <c r="J89" s="346">
        <v>12.05</v>
      </c>
      <c r="K89" s="128">
        <v>12064</v>
      </c>
      <c r="L89" s="150">
        <v>44585</v>
      </c>
      <c r="M89" s="124">
        <f t="shared" si="14"/>
        <v>12.847</v>
      </c>
      <c r="N89" s="155">
        <v>12.86</v>
      </c>
      <c r="O89" s="347">
        <v>12847</v>
      </c>
      <c r="P89" s="120">
        <v>44593</v>
      </c>
      <c r="Q89" s="348">
        <v>44589</v>
      </c>
      <c r="R89" s="125">
        <v>15.93</v>
      </c>
      <c r="S89" s="125"/>
      <c r="T89" s="127">
        <f t="shared" si="15"/>
        <v>783</v>
      </c>
      <c r="U89" s="127" t="str">
        <f t="shared" si="16"/>
        <v>1000 A2ZINFRA</v>
      </c>
      <c r="V89" s="127">
        <f t="shared" si="17"/>
        <v>767.07</v>
      </c>
      <c r="W89" s="350">
        <f t="shared" si="18"/>
        <v>6.3583388594164458E-2</v>
      </c>
      <c r="X89" s="397">
        <f t="shared" si="19"/>
        <v>0</v>
      </c>
      <c r="Y89" s="352">
        <f t="shared" si="20"/>
        <v>0</v>
      </c>
      <c r="Z89" s="353">
        <f t="shared" si="21"/>
        <v>8</v>
      </c>
      <c r="AA89" s="350">
        <f t="shared" si="22"/>
        <v>15.65143916447331</v>
      </c>
      <c r="AB89" s="120" t="s">
        <v>471</v>
      </c>
    </row>
    <row r="90" spans="1:28" ht="12.75" customHeight="1">
      <c r="A90" s="120" t="s">
        <v>584</v>
      </c>
      <c r="B90" s="120"/>
      <c r="C90" s="343"/>
      <c r="D90" s="344"/>
      <c r="E90" s="345" t="str">
        <f t="shared" si="12"/>
        <v/>
      </c>
      <c r="F90" s="121"/>
      <c r="G90" s="121"/>
      <c r="H90" s="346">
        <f t="shared" si="13"/>
        <v>11.85</v>
      </c>
      <c r="I90" s="121">
        <v>100</v>
      </c>
      <c r="J90" s="346">
        <v>11.84</v>
      </c>
      <c r="K90" s="128">
        <v>1185</v>
      </c>
      <c r="L90" s="150">
        <v>44593</v>
      </c>
      <c r="M90" s="124">
        <f t="shared" si="14"/>
        <v>12.13</v>
      </c>
      <c r="N90" s="155">
        <v>12.14</v>
      </c>
      <c r="O90" s="347">
        <v>1213</v>
      </c>
      <c r="P90" s="120">
        <v>44670</v>
      </c>
      <c r="Q90" s="348">
        <v>44664</v>
      </c>
      <c r="R90" s="125">
        <v>15.93</v>
      </c>
      <c r="S90" s="125"/>
      <c r="T90" s="127">
        <f t="shared" si="15"/>
        <v>28</v>
      </c>
      <c r="U90" s="127" t="str">
        <f t="shared" si="16"/>
        <v>100 A2ZINFRA</v>
      </c>
      <c r="V90" s="127">
        <f t="shared" si="17"/>
        <v>12.07</v>
      </c>
      <c r="W90" s="350">
        <f t="shared" si="18"/>
        <v>1.018565400843882E-2</v>
      </c>
      <c r="X90" s="397">
        <f t="shared" si="19"/>
        <v>0</v>
      </c>
      <c r="Y90" s="352">
        <f t="shared" si="20"/>
        <v>2</v>
      </c>
      <c r="Z90" s="353">
        <f t="shared" si="21"/>
        <v>18</v>
      </c>
      <c r="AA90" s="350">
        <f t="shared" si="22"/>
        <v>4.9210952168375011E-2</v>
      </c>
      <c r="AB90" s="120" t="s">
        <v>471</v>
      </c>
    </row>
    <row r="91" spans="1:28" ht="12.75" customHeight="1">
      <c r="A91" s="120" t="s">
        <v>584</v>
      </c>
      <c r="B91" s="120"/>
      <c r="C91" s="343"/>
      <c r="D91" s="344"/>
      <c r="E91" s="345" t="str">
        <f t="shared" si="12"/>
        <v/>
      </c>
      <c r="F91" s="121" t="s">
        <v>1124</v>
      </c>
      <c r="G91" s="121" t="s">
        <v>1125</v>
      </c>
      <c r="H91" s="346">
        <f t="shared" si="13"/>
        <v>12.637600000000001</v>
      </c>
      <c r="I91" s="121">
        <v>1250</v>
      </c>
      <c r="J91" s="346">
        <v>12.622199999999999</v>
      </c>
      <c r="K91" s="128">
        <v>15797</v>
      </c>
      <c r="L91" s="150">
        <v>44592</v>
      </c>
      <c r="M91" s="124">
        <f t="shared" si="14"/>
        <v>13.036799999999999</v>
      </c>
      <c r="N91" s="155">
        <v>13.05</v>
      </c>
      <c r="O91" s="347">
        <v>16296</v>
      </c>
      <c r="P91" s="120">
        <v>44777</v>
      </c>
      <c r="Q91" s="348">
        <v>44775</v>
      </c>
      <c r="R91" s="125">
        <v>15.93</v>
      </c>
      <c r="S91" s="125"/>
      <c r="T91" s="127">
        <f t="shared" ref="T91:T92" si="23">IF(OR(O91="",K91=""),"",O91-K91)</f>
        <v>499</v>
      </c>
      <c r="U91" s="127" t="str">
        <f t="shared" si="16"/>
        <v>1250 A2ZINFRA</v>
      </c>
      <c r="V91" s="127">
        <f t="shared" si="17"/>
        <v>483.07</v>
      </c>
      <c r="W91" s="350">
        <f t="shared" ref="W91:W92" si="24">IF(OR(K91="",V91=""),"",V91/K91)</f>
        <v>3.0579856934861049E-2</v>
      </c>
      <c r="X91" s="397">
        <f t="shared" si="19"/>
        <v>0</v>
      </c>
      <c r="Y91" s="352">
        <f t="shared" si="20"/>
        <v>6</v>
      </c>
      <c r="Z91" s="353">
        <f t="shared" si="21"/>
        <v>4</v>
      </c>
      <c r="AA91" s="350">
        <f t="shared" si="22"/>
        <v>6.1230544501944539E-2</v>
      </c>
      <c r="AB91" s="120" t="s">
        <v>471</v>
      </c>
    </row>
    <row r="92" spans="1:28" ht="12.75" customHeight="1">
      <c r="A92" s="120" t="s">
        <v>584</v>
      </c>
      <c r="B92" s="120"/>
      <c r="C92" s="343"/>
      <c r="D92" s="344"/>
      <c r="E92" s="345" t="str">
        <f t="shared" si="12"/>
        <v/>
      </c>
      <c r="F92" s="121" t="s">
        <v>1124</v>
      </c>
      <c r="G92" s="121" t="s">
        <v>1125</v>
      </c>
      <c r="H92" s="346">
        <f t="shared" si="13"/>
        <v>12.637</v>
      </c>
      <c r="I92" s="121">
        <v>1000</v>
      </c>
      <c r="J92" s="346">
        <v>12.622199999999999</v>
      </c>
      <c r="K92" s="128">
        <v>12637</v>
      </c>
      <c r="L92" s="150">
        <v>44592</v>
      </c>
      <c r="M92" s="124">
        <f t="shared" si="14"/>
        <v>13.476000000000001</v>
      </c>
      <c r="N92" s="155">
        <v>13.49</v>
      </c>
      <c r="O92" s="347">
        <v>13476</v>
      </c>
      <c r="P92" s="120">
        <v>44792</v>
      </c>
      <c r="Q92" s="348">
        <v>44790</v>
      </c>
      <c r="R92" s="125">
        <v>15.93</v>
      </c>
      <c r="S92" s="125"/>
      <c r="T92" s="127">
        <f t="shared" si="23"/>
        <v>839</v>
      </c>
      <c r="U92" s="127" t="str">
        <f t="shared" si="16"/>
        <v>1000 A2ZINFRA</v>
      </c>
      <c r="V92" s="127">
        <f t="shared" si="17"/>
        <v>823.07</v>
      </c>
      <c r="W92" s="350">
        <f t="shared" si="24"/>
        <v>6.5131755954736095E-2</v>
      </c>
      <c r="X92" s="397">
        <f t="shared" si="19"/>
        <v>0</v>
      </c>
      <c r="Y92" s="352">
        <f t="shared" si="20"/>
        <v>6</v>
      </c>
      <c r="Z92" s="353">
        <f t="shared" si="21"/>
        <v>19</v>
      </c>
      <c r="AA92" s="350">
        <f t="shared" si="22"/>
        <v>0.12204708727489977</v>
      </c>
      <c r="AB92" s="120" t="s">
        <v>471</v>
      </c>
    </row>
    <row r="93" spans="1:28" ht="12.75" customHeight="1">
      <c r="A93" s="120" t="s">
        <v>505</v>
      </c>
      <c r="B93" s="120" t="s">
        <v>1162</v>
      </c>
      <c r="C93" s="343" t="s">
        <v>1163</v>
      </c>
      <c r="D93" s="344">
        <v>1550</v>
      </c>
      <c r="E93" s="345">
        <f t="shared" si="12"/>
        <v>6.0191518467852256E-2</v>
      </c>
      <c r="F93" s="121" t="s">
        <v>1116</v>
      </c>
      <c r="G93" s="121" t="s">
        <v>1117</v>
      </c>
      <c r="H93" s="346">
        <f t="shared" si="13"/>
        <v>1463.7</v>
      </c>
      <c r="I93" s="121">
        <v>10</v>
      </c>
      <c r="J93" s="346">
        <v>1462</v>
      </c>
      <c r="K93" s="128">
        <v>14637</v>
      </c>
      <c r="L93" s="150">
        <v>44334</v>
      </c>
      <c r="M93" s="124">
        <f t="shared" si="14"/>
        <v>1513.4</v>
      </c>
      <c r="N93" s="155">
        <v>1515</v>
      </c>
      <c r="O93" s="347">
        <v>15134</v>
      </c>
      <c r="P93" s="120">
        <v>44347</v>
      </c>
      <c r="Q93" s="348">
        <v>44343</v>
      </c>
      <c r="R93" s="125">
        <v>15.93</v>
      </c>
      <c r="S93" s="125"/>
      <c r="T93" s="127">
        <f>IF(O93="","",O93-K93)</f>
        <v>497</v>
      </c>
      <c r="U93" s="127" t="str">
        <f t="shared" si="16"/>
        <v>10 ABB</v>
      </c>
      <c r="V93" s="127">
        <f t="shared" si="17"/>
        <v>481.07</v>
      </c>
      <c r="W93" s="350">
        <f>IF(M93=0,"",V93/K93)</f>
        <v>3.2866707658673222E-2</v>
      </c>
      <c r="X93" s="397">
        <f t="shared" si="19"/>
        <v>0</v>
      </c>
      <c r="Y93" s="352">
        <f t="shared" si="20"/>
        <v>0</v>
      </c>
      <c r="Z93" s="353">
        <f t="shared" si="21"/>
        <v>13</v>
      </c>
      <c r="AA93" s="350">
        <f t="shared" si="22"/>
        <v>1.4792489773559114</v>
      </c>
      <c r="AB93" s="120" t="s">
        <v>471</v>
      </c>
    </row>
    <row r="94" spans="1:28" ht="12.75" customHeight="1">
      <c r="A94" s="120" t="s">
        <v>628</v>
      </c>
      <c r="B94" s="120"/>
      <c r="C94" s="343"/>
      <c r="D94" s="344"/>
      <c r="E94" s="345" t="str">
        <f t="shared" si="12"/>
        <v/>
      </c>
      <c r="F94" s="121"/>
      <c r="G94" s="121"/>
      <c r="H94" s="346">
        <f t="shared" si="13"/>
        <v>407</v>
      </c>
      <c r="I94" s="121">
        <v>36</v>
      </c>
      <c r="J94" s="346">
        <v>207</v>
      </c>
      <c r="K94" s="128">
        <v>14652</v>
      </c>
      <c r="L94" s="150">
        <v>44884</v>
      </c>
      <c r="M94" s="124">
        <f t="shared" si="14"/>
        <v>474.5</v>
      </c>
      <c r="N94" s="155">
        <v>475</v>
      </c>
      <c r="O94" s="347">
        <v>17082</v>
      </c>
      <c r="P94" s="120">
        <v>44893</v>
      </c>
      <c r="Q94" s="348">
        <v>44889</v>
      </c>
      <c r="R94" s="125">
        <v>15.93</v>
      </c>
      <c r="S94" s="125"/>
      <c r="T94" s="127">
        <f>IF(OR(O94="",K94=""),"",O94-K94)</f>
        <v>2430</v>
      </c>
      <c r="U94" s="127" t="str">
        <f t="shared" si="16"/>
        <v>36 ACI</v>
      </c>
      <c r="V94" s="127">
        <f t="shared" si="17"/>
        <v>2414.0700000000002</v>
      </c>
      <c r="W94" s="350">
        <f>IF(OR(K94="",V94=""),"",V94/K94)</f>
        <v>0.16476044226044226</v>
      </c>
      <c r="X94" s="397">
        <f t="shared" si="19"/>
        <v>0</v>
      </c>
      <c r="Y94" s="352">
        <f t="shared" si="20"/>
        <v>0</v>
      </c>
      <c r="Z94" s="353">
        <f t="shared" si="21"/>
        <v>9</v>
      </c>
      <c r="AA94" s="350">
        <f t="shared" si="22"/>
        <v>484.58205013975396</v>
      </c>
      <c r="AB94" s="120" t="s">
        <v>471</v>
      </c>
    </row>
    <row r="95" spans="1:28" ht="12.75" customHeight="1">
      <c r="A95" s="120" t="s">
        <v>466</v>
      </c>
      <c r="B95" s="120" t="s">
        <v>1164</v>
      </c>
      <c r="C95" s="343" t="s">
        <v>1163</v>
      </c>
      <c r="D95" s="344"/>
      <c r="E95" s="345"/>
      <c r="F95" s="121"/>
      <c r="G95" s="121"/>
      <c r="H95" s="346">
        <v>220.43799999999999</v>
      </c>
      <c r="I95" s="121">
        <v>20</v>
      </c>
      <c r="J95" s="346">
        <v>219.2</v>
      </c>
      <c r="K95" s="128">
        <v>4408.76</v>
      </c>
      <c r="L95" s="150">
        <v>41208</v>
      </c>
      <c r="M95" s="124">
        <f t="shared" si="14"/>
        <v>224.86600000000001</v>
      </c>
      <c r="N95" s="155">
        <v>226.15</v>
      </c>
      <c r="O95" s="347">
        <v>4497.32</v>
      </c>
      <c r="P95" s="120">
        <v>41221</v>
      </c>
      <c r="Q95" s="348">
        <v>41219</v>
      </c>
      <c r="R95" s="125">
        <v>11</v>
      </c>
      <c r="S95" s="125"/>
      <c r="T95" s="127">
        <f>IF(O95="","",O95-K95)</f>
        <v>88.559999999999491</v>
      </c>
      <c r="U95" s="127" t="str">
        <f t="shared" si="16"/>
        <v>20 ADANIENT</v>
      </c>
      <c r="V95" s="127">
        <f t="shared" si="17"/>
        <v>77.559999999999491</v>
      </c>
      <c r="W95" s="350">
        <f>IF(M95=0,"",V95/K95)</f>
        <v>1.759224816048038E-2</v>
      </c>
      <c r="X95" s="397">
        <f t="shared" si="19"/>
        <v>0</v>
      </c>
      <c r="Y95" s="352">
        <f t="shared" si="20"/>
        <v>0</v>
      </c>
      <c r="Z95" s="353">
        <f t="shared" si="21"/>
        <v>13</v>
      </c>
      <c r="AA95" s="350">
        <f t="shared" si="22"/>
        <v>0.63173157500376798</v>
      </c>
      <c r="AB95" s="120" t="s">
        <v>448</v>
      </c>
    </row>
    <row r="96" spans="1:28" ht="12.75" customHeight="1">
      <c r="A96" s="120" t="s">
        <v>466</v>
      </c>
      <c r="B96" s="120"/>
      <c r="C96" s="343"/>
      <c r="D96" s="344"/>
      <c r="E96" s="345" t="str">
        <f t="shared" ref="E96:E100" si="25">IFERROR(IF(D96="","",(D96-J96)/J96),"")</f>
        <v/>
      </c>
      <c r="F96" s="121"/>
      <c r="G96" s="121"/>
      <c r="H96" s="346">
        <f t="shared" ref="H96:H112" si="26">ROUND(K96/I96,4)</f>
        <v>3054</v>
      </c>
      <c r="I96" s="121">
        <v>1</v>
      </c>
      <c r="J96" s="346">
        <v>3050</v>
      </c>
      <c r="K96" s="128">
        <v>3054</v>
      </c>
      <c r="L96" s="150">
        <v>44796</v>
      </c>
      <c r="M96" s="124">
        <f t="shared" si="14"/>
        <v>4056</v>
      </c>
      <c r="N96" s="155">
        <v>4060</v>
      </c>
      <c r="O96" s="347">
        <v>4056</v>
      </c>
      <c r="P96" s="120">
        <v>44881</v>
      </c>
      <c r="Q96" s="348">
        <v>44879</v>
      </c>
      <c r="R96" s="125">
        <v>15.93</v>
      </c>
      <c r="S96" s="125"/>
      <c r="T96" s="127">
        <f>IF(OR(O96="",K96=""),"",O96-K96)</f>
        <v>1002</v>
      </c>
      <c r="U96" s="127" t="str">
        <f t="shared" si="16"/>
        <v>1 ADANIENT</v>
      </c>
      <c r="V96" s="127">
        <f t="shared" si="17"/>
        <v>986.07</v>
      </c>
      <c r="W96" s="350">
        <f>IF(OR(K96="",V96=""),"",V96/K96)</f>
        <v>0.32287819253438116</v>
      </c>
      <c r="X96" s="397">
        <f t="shared" si="19"/>
        <v>0</v>
      </c>
      <c r="Y96" s="352">
        <f t="shared" si="20"/>
        <v>2</v>
      </c>
      <c r="Z96" s="353">
        <f t="shared" si="21"/>
        <v>24</v>
      </c>
      <c r="AA96" s="350">
        <f t="shared" si="22"/>
        <v>2.3252213738575156</v>
      </c>
      <c r="AB96" s="120" t="s">
        <v>471</v>
      </c>
    </row>
    <row r="97" spans="1:28" ht="12.75" customHeight="1">
      <c r="A97" s="120" t="s">
        <v>532</v>
      </c>
      <c r="B97" s="120" t="s">
        <v>1165</v>
      </c>
      <c r="C97" s="343" t="s">
        <v>1163</v>
      </c>
      <c r="D97" s="344"/>
      <c r="E97" s="345" t="str">
        <f t="shared" si="25"/>
        <v/>
      </c>
      <c r="F97" s="121" t="s">
        <v>1107</v>
      </c>
      <c r="G97" s="121"/>
      <c r="H97" s="346">
        <f t="shared" si="26"/>
        <v>655.75</v>
      </c>
      <c r="I97" s="121">
        <v>8</v>
      </c>
      <c r="J97" s="346">
        <v>655</v>
      </c>
      <c r="K97" s="128">
        <v>5246</v>
      </c>
      <c r="L97" s="150">
        <v>44364</v>
      </c>
      <c r="M97" s="124">
        <f t="shared" si="14"/>
        <v>713.25</v>
      </c>
      <c r="N97" s="155">
        <v>714</v>
      </c>
      <c r="O97" s="347">
        <v>5706</v>
      </c>
      <c r="P97" s="120">
        <v>44370</v>
      </c>
      <c r="Q97" s="348">
        <v>44368</v>
      </c>
      <c r="R97" s="125">
        <v>15.93</v>
      </c>
      <c r="S97" s="125"/>
      <c r="T97" s="127">
        <f t="shared" ref="T97:T122" si="27">IF(O97="","",O97-K97)</f>
        <v>460</v>
      </c>
      <c r="U97" s="127" t="str">
        <f t="shared" si="16"/>
        <v>8 ADANIPORTS</v>
      </c>
      <c r="V97" s="127">
        <f t="shared" si="17"/>
        <v>444.07</v>
      </c>
      <c r="W97" s="350">
        <f t="shared" ref="W97:W122" si="28">IF(M97=0,"",V97/K97)</f>
        <v>8.4649256576439194E-2</v>
      </c>
      <c r="X97" s="397">
        <f t="shared" si="19"/>
        <v>0</v>
      </c>
      <c r="Y97" s="352">
        <f t="shared" si="20"/>
        <v>0</v>
      </c>
      <c r="Z97" s="353">
        <f t="shared" si="21"/>
        <v>6</v>
      </c>
      <c r="AA97" s="350">
        <f t="shared" si="22"/>
        <v>139.20617598912108</v>
      </c>
      <c r="AB97" s="120" t="s">
        <v>471</v>
      </c>
    </row>
    <row r="98" spans="1:28" ht="12.75" customHeight="1">
      <c r="A98" s="120" t="s">
        <v>532</v>
      </c>
      <c r="B98" s="120" t="s">
        <v>1165</v>
      </c>
      <c r="C98" s="343" t="s">
        <v>1166</v>
      </c>
      <c r="D98" s="344"/>
      <c r="E98" s="345" t="str">
        <f t="shared" si="25"/>
        <v/>
      </c>
      <c r="F98" s="121" t="s">
        <v>1167</v>
      </c>
      <c r="G98" s="121" t="s">
        <v>1125</v>
      </c>
      <c r="H98" s="346">
        <f t="shared" si="26"/>
        <v>760.9</v>
      </c>
      <c r="I98" s="121">
        <v>10</v>
      </c>
      <c r="J98" s="346">
        <v>760</v>
      </c>
      <c r="K98" s="128">
        <v>7609</v>
      </c>
      <c r="L98" s="150">
        <v>44649</v>
      </c>
      <c r="M98" s="124">
        <f t="shared" si="14"/>
        <v>777.2</v>
      </c>
      <c r="N98" s="155">
        <v>778</v>
      </c>
      <c r="O98" s="347">
        <v>7772</v>
      </c>
      <c r="P98" s="120">
        <v>44655</v>
      </c>
      <c r="Q98" s="348">
        <v>44651</v>
      </c>
      <c r="R98" s="125">
        <v>15.93</v>
      </c>
      <c r="S98" s="125"/>
      <c r="T98" s="127">
        <f t="shared" si="27"/>
        <v>163</v>
      </c>
      <c r="U98" s="127" t="str">
        <f t="shared" si="16"/>
        <v>10 ADANIPORTS</v>
      </c>
      <c r="V98" s="127">
        <f t="shared" si="17"/>
        <v>147.07</v>
      </c>
      <c r="W98" s="350">
        <f t="shared" si="28"/>
        <v>1.9328426862925484E-2</v>
      </c>
      <c r="X98" s="397">
        <f t="shared" si="19"/>
        <v>0</v>
      </c>
      <c r="Y98" s="352">
        <f t="shared" si="20"/>
        <v>0</v>
      </c>
      <c r="Z98" s="353">
        <f t="shared" si="21"/>
        <v>6</v>
      </c>
      <c r="AA98" s="350">
        <f t="shared" si="22"/>
        <v>2.2046204621351939</v>
      </c>
      <c r="AB98" s="120" t="s">
        <v>471</v>
      </c>
    </row>
    <row r="99" spans="1:28" ht="12.75" customHeight="1">
      <c r="A99" s="120" t="s">
        <v>522</v>
      </c>
      <c r="B99" s="120" t="s">
        <v>1168</v>
      </c>
      <c r="C99" s="343" t="s">
        <v>1163</v>
      </c>
      <c r="D99" s="344" t="s">
        <v>1169</v>
      </c>
      <c r="E99" s="345">
        <f t="shared" si="25"/>
        <v>9.1703056768558958E-2</v>
      </c>
      <c r="F99" s="121" t="s">
        <v>1116</v>
      </c>
      <c r="G99" s="121" t="s">
        <v>1170</v>
      </c>
      <c r="H99" s="346">
        <f t="shared" si="26"/>
        <v>229.27</v>
      </c>
      <c r="I99" s="121">
        <v>100</v>
      </c>
      <c r="J99" s="346">
        <v>229</v>
      </c>
      <c r="K99" s="128">
        <v>22927</v>
      </c>
      <c r="L99" s="150">
        <v>44351</v>
      </c>
      <c r="M99" s="124">
        <f t="shared" si="14"/>
        <v>237.75</v>
      </c>
      <c r="N99" s="155">
        <v>238</v>
      </c>
      <c r="O99" s="347">
        <v>23775</v>
      </c>
      <c r="P99" s="120">
        <v>44356</v>
      </c>
      <c r="Q99" s="348">
        <v>44354</v>
      </c>
      <c r="R99" s="125">
        <v>15.93</v>
      </c>
      <c r="S99" s="125"/>
      <c r="T99" s="127">
        <f t="shared" si="27"/>
        <v>848</v>
      </c>
      <c r="U99" s="127" t="str">
        <f t="shared" si="16"/>
        <v>100 APTECHT</v>
      </c>
      <c r="V99" s="127">
        <f t="shared" si="17"/>
        <v>832.07</v>
      </c>
      <c r="W99" s="350">
        <f t="shared" si="28"/>
        <v>3.6292144632965505E-2</v>
      </c>
      <c r="X99" s="397">
        <f t="shared" si="19"/>
        <v>0</v>
      </c>
      <c r="Y99" s="352">
        <f t="shared" si="20"/>
        <v>0</v>
      </c>
      <c r="Z99" s="353">
        <f t="shared" si="21"/>
        <v>5</v>
      </c>
      <c r="AA99" s="350">
        <f t="shared" si="22"/>
        <v>12.495874944468017</v>
      </c>
      <c r="AB99" s="120" t="s">
        <v>471</v>
      </c>
    </row>
    <row r="100" spans="1:28" ht="12.75" customHeight="1">
      <c r="A100" s="120" t="s">
        <v>572</v>
      </c>
      <c r="B100" s="120" t="s">
        <v>1171</v>
      </c>
      <c r="C100" s="343" t="s">
        <v>1172</v>
      </c>
      <c r="D100" s="344">
        <v>140</v>
      </c>
      <c r="E100" s="345">
        <f t="shared" si="25"/>
        <v>0.15942028985507245</v>
      </c>
      <c r="F100" s="121" t="s">
        <v>1124</v>
      </c>
      <c r="G100" s="121" t="s">
        <v>1173</v>
      </c>
      <c r="H100" s="346">
        <f t="shared" si="26"/>
        <v>120.9</v>
      </c>
      <c r="I100" s="121">
        <v>50</v>
      </c>
      <c r="J100" s="346">
        <v>120.75</v>
      </c>
      <c r="K100" s="128">
        <v>6045</v>
      </c>
      <c r="L100" s="150">
        <v>44482</v>
      </c>
      <c r="M100" s="124">
        <f t="shared" si="14"/>
        <v>134.36000000000001</v>
      </c>
      <c r="N100" s="155">
        <v>134.5</v>
      </c>
      <c r="O100" s="347">
        <v>6718</v>
      </c>
      <c r="P100" s="120">
        <v>44490</v>
      </c>
      <c r="Q100" s="348">
        <v>44488</v>
      </c>
      <c r="R100" s="125">
        <v>15.93</v>
      </c>
      <c r="S100" s="125"/>
      <c r="T100" s="127">
        <f t="shared" si="27"/>
        <v>673</v>
      </c>
      <c r="U100" s="127" t="str">
        <f t="shared" si="16"/>
        <v>50 ARVIND</v>
      </c>
      <c r="V100" s="127">
        <f t="shared" si="17"/>
        <v>657.07</v>
      </c>
      <c r="W100" s="350">
        <f t="shared" si="28"/>
        <v>0.10869644334160464</v>
      </c>
      <c r="X100" s="397">
        <f t="shared" si="19"/>
        <v>0</v>
      </c>
      <c r="Y100" s="352">
        <f t="shared" si="20"/>
        <v>0</v>
      </c>
      <c r="Z100" s="353">
        <f t="shared" si="21"/>
        <v>8</v>
      </c>
      <c r="AA100" s="350">
        <f t="shared" si="22"/>
        <v>109.80959148576727</v>
      </c>
      <c r="AB100" s="120" t="s">
        <v>471</v>
      </c>
    </row>
    <row r="101" spans="1:28" ht="12.75" customHeight="1">
      <c r="A101" s="120" t="s">
        <v>572</v>
      </c>
      <c r="B101" s="120" t="s">
        <v>1171</v>
      </c>
      <c r="C101" s="343" t="s">
        <v>1172</v>
      </c>
      <c r="D101" s="344">
        <v>147</v>
      </c>
      <c r="E101" s="345">
        <v>0.15942028985507245</v>
      </c>
      <c r="F101" s="121" t="s">
        <v>1116</v>
      </c>
      <c r="G101" s="121" t="s">
        <v>1117</v>
      </c>
      <c r="H101" s="346">
        <f t="shared" si="26"/>
        <v>134.16</v>
      </c>
      <c r="I101" s="121">
        <v>50</v>
      </c>
      <c r="J101" s="346">
        <v>134</v>
      </c>
      <c r="K101" s="128">
        <v>6708</v>
      </c>
      <c r="L101" s="150">
        <v>44491</v>
      </c>
      <c r="M101" s="124">
        <f t="shared" si="14"/>
        <v>144.84</v>
      </c>
      <c r="N101" s="155">
        <v>145</v>
      </c>
      <c r="O101" s="347">
        <v>7242</v>
      </c>
      <c r="P101" s="120">
        <v>44503</v>
      </c>
      <c r="Q101" s="348">
        <v>44501</v>
      </c>
      <c r="R101" s="125">
        <v>15.93</v>
      </c>
      <c r="S101" s="125"/>
      <c r="T101" s="127">
        <f t="shared" si="27"/>
        <v>534</v>
      </c>
      <c r="U101" s="127" t="str">
        <f t="shared" si="16"/>
        <v>50 ARVIND</v>
      </c>
      <c r="V101" s="127">
        <f t="shared" si="17"/>
        <v>518.07000000000005</v>
      </c>
      <c r="W101" s="350">
        <f t="shared" si="28"/>
        <v>7.7231663685152066E-2</v>
      </c>
      <c r="X101" s="397">
        <f t="shared" si="19"/>
        <v>0</v>
      </c>
      <c r="Y101" s="352">
        <f t="shared" si="20"/>
        <v>0</v>
      </c>
      <c r="Z101" s="353">
        <f t="shared" si="21"/>
        <v>12</v>
      </c>
      <c r="AA101" s="350">
        <f t="shared" si="22"/>
        <v>8.6102667203738221</v>
      </c>
      <c r="AB101" s="120" t="s">
        <v>471</v>
      </c>
    </row>
    <row r="102" spans="1:28" ht="12.75" customHeight="1">
      <c r="A102" s="120" t="s">
        <v>594</v>
      </c>
      <c r="B102" s="120"/>
      <c r="C102" s="343"/>
      <c r="D102" s="344"/>
      <c r="E102" s="345" t="str">
        <f t="shared" ref="E102:E110" si="29">IFERROR(IF(D102="","",(D102-J102)/J102),"")</f>
        <v/>
      </c>
      <c r="F102" s="121"/>
      <c r="G102" s="121"/>
      <c r="H102" s="346">
        <f t="shared" si="26"/>
        <v>1357</v>
      </c>
      <c r="I102" s="121">
        <v>1</v>
      </c>
      <c r="J102" s="346">
        <v>1355</v>
      </c>
      <c r="K102" s="128">
        <v>1357</v>
      </c>
      <c r="L102" s="150">
        <v>44596</v>
      </c>
      <c r="M102" s="124">
        <f t="shared" si="14"/>
        <v>1401</v>
      </c>
      <c r="N102" s="155">
        <v>1402</v>
      </c>
      <c r="O102" s="347">
        <v>1401</v>
      </c>
      <c r="P102" s="120">
        <v>44669</v>
      </c>
      <c r="Q102" s="348">
        <v>44663</v>
      </c>
      <c r="R102" s="125">
        <v>15.93</v>
      </c>
      <c r="S102" s="125"/>
      <c r="T102" s="127">
        <f t="shared" si="27"/>
        <v>44</v>
      </c>
      <c r="U102" s="127" t="str">
        <f t="shared" si="16"/>
        <v>1 AUBANK</v>
      </c>
      <c r="V102" s="127">
        <f t="shared" si="17"/>
        <v>28.07</v>
      </c>
      <c r="W102" s="350">
        <f t="shared" si="28"/>
        <v>2.068533529845247E-2</v>
      </c>
      <c r="X102" s="397">
        <f t="shared" si="19"/>
        <v>0</v>
      </c>
      <c r="Y102" s="352">
        <f t="shared" si="20"/>
        <v>2</v>
      </c>
      <c r="Z102" s="353">
        <f t="shared" si="21"/>
        <v>14</v>
      </c>
      <c r="AA102" s="350">
        <f t="shared" si="22"/>
        <v>0.10779493571640764</v>
      </c>
      <c r="AB102" s="120" t="s">
        <v>471</v>
      </c>
    </row>
    <row r="103" spans="1:28" ht="12.75" customHeight="1">
      <c r="A103" s="120" t="s">
        <v>594</v>
      </c>
      <c r="B103" s="120"/>
      <c r="C103" s="343"/>
      <c r="D103" s="344"/>
      <c r="E103" s="345" t="str">
        <f t="shared" si="29"/>
        <v/>
      </c>
      <c r="F103" s="121"/>
      <c r="G103" s="121"/>
      <c r="H103" s="346">
        <f t="shared" si="26"/>
        <v>1337</v>
      </c>
      <c r="I103" s="121">
        <v>1</v>
      </c>
      <c r="J103" s="346">
        <v>1335</v>
      </c>
      <c r="K103" s="128">
        <v>1337</v>
      </c>
      <c r="L103" s="150">
        <v>44599</v>
      </c>
      <c r="M103" s="124">
        <f t="shared" si="14"/>
        <v>1400</v>
      </c>
      <c r="N103" s="155">
        <v>1402</v>
      </c>
      <c r="O103" s="347">
        <v>1400</v>
      </c>
      <c r="P103" s="120">
        <v>44669</v>
      </c>
      <c r="Q103" s="348">
        <v>44663</v>
      </c>
      <c r="R103" s="125">
        <v>0</v>
      </c>
      <c r="S103" s="125"/>
      <c r="T103" s="127">
        <f t="shared" si="27"/>
        <v>63</v>
      </c>
      <c r="U103" s="127" t="str">
        <f t="shared" si="16"/>
        <v>1 AUBANK</v>
      </c>
      <c r="V103" s="127">
        <f t="shared" si="17"/>
        <v>63</v>
      </c>
      <c r="W103" s="350">
        <f t="shared" si="28"/>
        <v>4.712041884816754E-2</v>
      </c>
      <c r="X103" s="397">
        <f t="shared" si="19"/>
        <v>0</v>
      </c>
      <c r="Y103" s="352">
        <f t="shared" si="20"/>
        <v>2</v>
      </c>
      <c r="Z103" s="353">
        <f t="shared" si="21"/>
        <v>11</v>
      </c>
      <c r="AA103" s="350">
        <f t="shared" si="22"/>
        <v>0.27135880125205181</v>
      </c>
      <c r="AB103" s="120" t="s">
        <v>471</v>
      </c>
    </row>
    <row r="104" spans="1:28" ht="12.75" customHeight="1">
      <c r="A104" s="120" t="s">
        <v>593</v>
      </c>
      <c r="B104" s="120"/>
      <c r="C104" s="343"/>
      <c r="D104" s="344"/>
      <c r="E104" s="345" t="str">
        <f t="shared" si="29"/>
        <v/>
      </c>
      <c r="F104" s="121"/>
      <c r="G104" s="121"/>
      <c r="H104" s="346">
        <f t="shared" si="26"/>
        <v>609.70000000000005</v>
      </c>
      <c r="I104" s="121">
        <v>20</v>
      </c>
      <c r="J104" s="346">
        <v>609</v>
      </c>
      <c r="K104" s="128">
        <v>12194</v>
      </c>
      <c r="L104" s="150">
        <v>44586</v>
      </c>
      <c r="M104" s="124">
        <f t="shared" si="14"/>
        <v>633.35</v>
      </c>
      <c r="N104" s="155">
        <v>634</v>
      </c>
      <c r="O104" s="347">
        <v>12667</v>
      </c>
      <c r="P104" s="120">
        <v>44616</v>
      </c>
      <c r="Q104" s="348">
        <v>44614</v>
      </c>
      <c r="R104" s="125">
        <v>15.93</v>
      </c>
      <c r="S104" s="125"/>
      <c r="T104" s="127">
        <f t="shared" si="27"/>
        <v>473</v>
      </c>
      <c r="U104" s="127" t="str">
        <f t="shared" si="16"/>
        <v>20 AUROPHARMA</v>
      </c>
      <c r="V104" s="127">
        <f t="shared" si="17"/>
        <v>457.07</v>
      </c>
      <c r="W104" s="350">
        <f t="shared" si="28"/>
        <v>3.7483188453337708E-2</v>
      </c>
      <c r="X104" s="397">
        <f t="shared" si="19"/>
        <v>0</v>
      </c>
      <c r="Y104" s="352">
        <f t="shared" si="20"/>
        <v>0</v>
      </c>
      <c r="Z104" s="353">
        <f t="shared" si="21"/>
        <v>30</v>
      </c>
      <c r="AA104" s="350">
        <f t="shared" si="22"/>
        <v>0.5647188990015255</v>
      </c>
      <c r="AB104" s="120" t="s">
        <v>471</v>
      </c>
    </row>
    <row r="105" spans="1:28" ht="12.75" customHeight="1">
      <c r="A105" s="120" t="s">
        <v>593</v>
      </c>
      <c r="B105" s="120"/>
      <c r="C105" s="343"/>
      <c r="D105" s="344"/>
      <c r="E105" s="345" t="str">
        <f t="shared" si="29"/>
        <v/>
      </c>
      <c r="F105" s="121"/>
      <c r="G105" s="121"/>
      <c r="H105" s="346">
        <f t="shared" si="26"/>
        <v>626.25</v>
      </c>
      <c r="I105" s="121">
        <v>20</v>
      </c>
      <c r="J105" s="346">
        <v>625.5</v>
      </c>
      <c r="K105" s="128">
        <v>12525</v>
      </c>
      <c r="L105" s="150">
        <v>44616</v>
      </c>
      <c r="M105" s="124">
        <f t="shared" si="14"/>
        <v>711.25</v>
      </c>
      <c r="N105" s="155">
        <v>712</v>
      </c>
      <c r="O105" s="347">
        <v>14225</v>
      </c>
      <c r="P105" s="120">
        <v>44648</v>
      </c>
      <c r="Q105" s="348">
        <v>44644</v>
      </c>
      <c r="R105" s="125">
        <v>15.93</v>
      </c>
      <c r="S105" s="125"/>
      <c r="T105" s="127">
        <f t="shared" si="27"/>
        <v>1700</v>
      </c>
      <c r="U105" s="127" t="str">
        <f t="shared" si="16"/>
        <v>20 AUROPHARMA</v>
      </c>
      <c r="V105" s="127">
        <f t="shared" si="17"/>
        <v>1684.07</v>
      </c>
      <c r="W105" s="350">
        <f t="shared" si="28"/>
        <v>0.13445668662674651</v>
      </c>
      <c r="X105" s="397">
        <f t="shared" si="19"/>
        <v>0</v>
      </c>
      <c r="Y105" s="352">
        <f t="shared" si="20"/>
        <v>1</v>
      </c>
      <c r="Z105" s="353">
        <f t="shared" si="21"/>
        <v>4</v>
      </c>
      <c r="AA105" s="350">
        <f t="shared" si="22"/>
        <v>3.2162339782934071</v>
      </c>
      <c r="AB105" s="120" t="s">
        <v>471</v>
      </c>
    </row>
    <row r="106" spans="1:28" ht="12.75" customHeight="1">
      <c r="A106" s="120" t="s">
        <v>579</v>
      </c>
      <c r="B106" s="120" t="s">
        <v>1174</v>
      </c>
      <c r="C106" s="343" t="s">
        <v>1106</v>
      </c>
      <c r="D106" s="344">
        <v>680</v>
      </c>
      <c r="E106" s="345">
        <f t="shared" si="29"/>
        <v>0.49450549450549453</v>
      </c>
      <c r="F106" s="121" t="s">
        <v>1175</v>
      </c>
      <c r="G106" s="121"/>
      <c r="H106" s="346">
        <f t="shared" si="26"/>
        <v>455.5</v>
      </c>
      <c r="I106" s="121">
        <v>10</v>
      </c>
      <c r="J106" s="346">
        <v>455</v>
      </c>
      <c r="K106" s="128">
        <v>4555</v>
      </c>
      <c r="L106" s="150">
        <v>44515</v>
      </c>
      <c r="M106" s="124">
        <f t="shared" si="14"/>
        <v>469.5</v>
      </c>
      <c r="N106" s="155">
        <v>470</v>
      </c>
      <c r="O106" s="347">
        <v>4695</v>
      </c>
      <c r="P106" s="120">
        <v>44560</v>
      </c>
      <c r="Q106" s="348">
        <v>44558</v>
      </c>
      <c r="R106" s="125">
        <v>15.93</v>
      </c>
      <c r="S106" s="125"/>
      <c r="T106" s="127">
        <f t="shared" si="27"/>
        <v>140</v>
      </c>
      <c r="U106" s="127" t="str">
        <f t="shared" si="16"/>
        <v>10 AVADHSUGAR</v>
      </c>
      <c r="V106" s="127">
        <f t="shared" si="17"/>
        <v>124.07</v>
      </c>
      <c r="W106" s="350">
        <f t="shared" si="28"/>
        <v>2.723819978046103E-2</v>
      </c>
      <c r="X106" s="397">
        <f t="shared" si="19"/>
        <v>0</v>
      </c>
      <c r="Y106" s="352">
        <f t="shared" si="20"/>
        <v>1</v>
      </c>
      <c r="Z106" s="353">
        <f t="shared" si="21"/>
        <v>15</v>
      </c>
      <c r="AA106" s="350">
        <f t="shared" si="22"/>
        <v>0.24355811049214515</v>
      </c>
      <c r="AB106" s="120" t="s">
        <v>471</v>
      </c>
    </row>
    <row r="107" spans="1:28" ht="12.75" customHeight="1">
      <c r="A107" s="120" t="s">
        <v>548</v>
      </c>
      <c r="B107" s="120" t="s">
        <v>1176</v>
      </c>
      <c r="C107" s="343" t="s">
        <v>1106</v>
      </c>
      <c r="D107" s="344"/>
      <c r="E107" s="345" t="str">
        <f t="shared" si="29"/>
        <v/>
      </c>
      <c r="F107" s="121" t="s">
        <v>1107</v>
      </c>
      <c r="G107" s="121"/>
      <c r="H107" s="346">
        <f t="shared" si="26"/>
        <v>24.33</v>
      </c>
      <c r="I107" s="121">
        <v>100</v>
      </c>
      <c r="J107" s="346">
        <v>24.3</v>
      </c>
      <c r="K107" s="128">
        <v>2433</v>
      </c>
      <c r="L107" s="150">
        <v>44389</v>
      </c>
      <c r="M107" s="124">
        <f t="shared" si="14"/>
        <v>13.24</v>
      </c>
      <c r="N107" s="155">
        <v>13.2</v>
      </c>
      <c r="O107" s="347">
        <v>1324</v>
      </c>
      <c r="P107" s="120">
        <v>44537</v>
      </c>
      <c r="Q107" s="348">
        <v>44533</v>
      </c>
      <c r="R107" s="125">
        <v>15.93</v>
      </c>
      <c r="S107" s="125"/>
      <c r="T107" s="127">
        <f t="shared" si="27"/>
        <v>-1109</v>
      </c>
      <c r="U107" s="127" t="str">
        <f t="shared" si="16"/>
        <v>100 BAJAJHIND</v>
      </c>
      <c r="V107" s="127">
        <f t="shared" si="17"/>
        <v>-1124.93</v>
      </c>
      <c r="W107" s="350">
        <f t="shared" si="28"/>
        <v>-0.46236333744348546</v>
      </c>
      <c r="X107" s="397">
        <f t="shared" si="19"/>
        <v>0</v>
      </c>
      <c r="Y107" s="352">
        <f t="shared" si="20"/>
        <v>4</v>
      </c>
      <c r="Z107" s="353">
        <f t="shared" si="21"/>
        <v>25</v>
      </c>
      <c r="AA107" s="350">
        <f t="shared" si="22"/>
        <v>-0.78356509753270109</v>
      </c>
      <c r="AB107" s="120" t="s">
        <v>471</v>
      </c>
    </row>
    <row r="108" spans="1:28" ht="12.75" customHeight="1">
      <c r="A108" s="120" t="s">
        <v>548</v>
      </c>
      <c r="B108" s="120" t="s">
        <v>1176</v>
      </c>
      <c r="C108" s="343" t="s">
        <v>1106</v>
      </c>
      <c r="D108" s="344"/>
      <c r="E108" s="345" t="str">
        <f t="shared" si="29"/>
        <v/>
      </c>
      <c r="F108" s="121" t="s">
        <v>1107</v>
      </c>
      <c r="G108" s="121"/>
      <c r="H108" s="346">
        <f t="shared" si="26"/>
        <v>13.52</v>
      </c>
      <c r="I108" s="121">
        <v>100</v>
      </c>
      <c r="J108" s="346">
        <v>13.5</v>
      </c>
      <c r="K108" s="128">
        <v>1352</v>
      </c>
      <c r="L108" s="150">
        <v>44554</v>
      </c>
      <c r="M108" s="124">
        <f t="shared" si="14"/>
        <v>14.23</v>
      </c>
      <c r="N108" s="155">
        <v>14.25</v>
      </c>
      <c r="O108" s="347">
        <v>1423</v>
      </c>
      <c r="P108" s="120">
        <v>44559</v>
      </c>
      <c r="Q108" s="348">
        <v>44557</v>
      </c>
      <c r="R108" s="125">
        <v>15.93</v>
      </c>
      <c r="S108" s="125"/>
      <c r="T108" s="127">
        <f t="shared" si="27"/>
        <v>71</v>
      </c>
      <c r="U108" s="127" t="str">
        <f t="shared" si="16"/>
        <v>100 BAJAJHIND</v>
      </c>
      <c r="V108" s="127">
        <f t="shared" si="17"/>
        <v>55.07</v>
      </c>
      <c r="W108" s="350">
        <f t="shared" si="28"/>
        <v>4.0732248520710057E-2</v>
      </c>
      <c r="X108" s="397">
        <f t="shared" si="19"/>
        <v>0</v>
      </c>
      <c r="Y108" s="352">
        <f t="shared" si="20"/>
        <v>0</v>
      </c>
      <c r="Z108" s="353">
        <f t="shared" si="21"/>
        <v>5</v>
      </c>
      <c r="AA108" s="350">
        <f t="shared" si="22"/>
        <v>17.43944624892406</v>
      </c>
      <c r="AB108" s="120" t="s">
        <v>471</v>
      </c>
    </row>
    <row r="109" spans="1:28" ht="12.75" customHeight="1">
      <c r="A109" s="120" t="s">
        <v>548</v>
      </c>
      <c r="B109" s="120" t="s">
        <v>1176</v>
      </c>
      <c r="C109" s="343" t="s">
        <v>1106</v>
      </c>
      <c r="D109" s="344"/>
      <c r="E109" s="345" t="str">
        <f t="shared" si="29"/>
        <v/>
      </c>
      <c r="F109" s="121" t="s">
        <v>1107</v>
      </c>
      <c r="G109" s="121"/>
      <c r="H109" s="346">
        <f t="shared" si="26"/>
        <v>24.33</v>
      </c>
      <c r="I109" s="121">
        <v>100</v>
      </c>
      <c r="J109" s="346">
        <v>24.3</v>
      </c>
      <c r="K109" s="128">
        <v>2433</v>
      </c>
      <c r="L109" s="150">
        <v>44389</v>
      </c>
      <c r="M109" s="124">
        <f t="shared" si="14"/>
        <v>14.73</v>
      </c>
      <c r="N109" s="155">
        <v>14.75</v>
      </c>
      <c r="O109" s="347">
        <v>1473</v>
      </c>
      <c r="P109" s="120">
        <v>44560</v>
      </c>
      <c r="Q109" s="348">
        <v>44558</v>
      </c>
      <c r="R109" s="125">
        <v>15.93</v>
      </c>
      <c r="S109" s="125"/>
      <c r="T109" s="127">
        <f t="shared" si="27"/>
        <v>-960</v>
      </c>
      <c r="U109" s="127" t="str">
        <f t="shared" si="16"/>
        <v>100 BAJAJHIND</v>
      </c>
      <c r="V109" s="127">
        <f t="shared" si="17"/>
        <v>-975.93</v>
      </c>
      <c r="W109" s="350">
        <f t="shared" si="28"/>
        <v>-0.40112207151664608</v>
      </c>
      <c r="X109" s="397">
        <f t="shared" si="19"/>
        <v>0</v>
      </c>
      <c r="Y109" s="352">
        <f t="shared" si="20"/>
        <v>5</v>
      </c>
      <c r="Z109" s="353">
        <f t="shared" si="21"/>
        <v>18</v>
      </c>
      <c r="AA109" s="350">
        <f t="shared" si="22"/>
        <v>-0.66524431096109593</v>
      </c>
      <c r="AB109" s="120" t="s">
        <v>471</v>
      </c>
    </row>
    <row r="110" spans="1:28" ht="12.75" customHeight="1">
      <c r="A110" s="120" t="s">
        <v>548</v>
      </c>
      <c r="B110" s="120" t="s">
        <v>1176</v>
      </c>
      <c r="C110" s="343" t="s">
        <v>1106</v>
      </c>
      <c r="D110" s="344"/>
      <c r="E110" s="345" t="str">
        <f t="shared" si="29"/>
        <v/>
      </c>
      <c r="F110" s="121" t="s">
        <v>1107</v>
      </c>
      <c r="G110" s="121"/>
      <c r="H110" s="346">
        <f t="shared" si="26"/>
        <v>15.02</v>
      </c>
      <c r="I110" s="121">
        <v>200</v>
      </c>
      <c r="J110" s="346">
        <v>15</v>
      </c>
      <c r="K110" s="128">
        <v>3004</v>
      </c>
      <c r="L110" s="150">
        <v>44554</v>
      </c>
      <c r="M110" s="124">
        <f t="shared" si="14"/>
        <v>15.835000000000001</v>
      </c>
      <c r="N110" s="155">
        <v>15.85</v>
      </c>
      <c r="O110" s="347">
        <v>3167</v>
      </c>
      <c r="P110" s="120">
        <v>44567</v>
      </c>
      <c r="Q110" s="348">
        <v>44565</v>
      </c>
      <c r="R110" s="125">
        <v>15.93</v>
      </c>
      <c r="S110" s="125"/>
      <c r="T110" s="127">
        <f t="shared" si="27"/>
        <v>163</v>
      </c>
      <c r="U110" s="127" t="str">
        <f t="shared" si="16"/>
        <v>200 BAJAJHIND</v>
      </c>
      <c r="V110" s="127">
        <f t="shared" si="17"/>
        <v>147.07</v>
      </c>
      <c r="W110" s="350">
        <f t="shared" si="28"/>
        <v>4.8958055925432752E-2</v>
      </c>
      <c r="X110" s="397">
        <f t="shared" si="19"/>
        <v>0</v>
      </c>
      <c r="Y110" s="352">
        <f t="shared" si="20"/>
        <v>0</v>
      </c>
      <c r="Z110" s="353">
        <f t="shared" si="21"/>
        <v>13</v>
      </c>
      <c r="AA110" s="350">
        <f t="shared" si="22"/>
        <v>2.8266982093448685</v>
      </c>
      <c r="AB110" s="120" t="s">
        <v>471</v>
      </c>
    </row>
    <row r="111" spans="1:28" ht="12.75" customHeight="1">
      <c r="A111" s="120" t="s">
        <v>484</v>
      </c>
      <c r="B111" s="120" t="s">
        <v>1177</v>
      </c>
      <c r="C111" s="343" t="s">
        <v>1178</v>
      </c>
      <c r="D111" s="344"/>
      <c r="E111" s="345"/>
      <c r="F111" s="121"/>
      <c r="G111" s="121"/>
      <c r="H111" s="346">
        <f t="shared" si="26"/>
        <v>4565</v>
      </c>
      <c r="I111" s="121">
        <v>2</v>
      </c>
      <c r="J111" s="346">
        <v>4560</v>
      </c>
      <c r="K111" s="128">
        <v>9130</v>
      </c>
      <c r="L111" s="150">
        <v>44299</v>
      </c>
      <c r="M111" s="124">
        <f t="shared" si="14"/>
        <v>4808</v>
      </c>
      <c r="N111" s="155">
        <v>4813</v>
      </c>
      <c r="O111" s="347">
        <v>9616</v>
      </c>
      <c r="P111" s="120">
        <v>44315</v>
      </c>
      <c r="Q111" s="348">
        <v>44313</v>
      </c>
      <c r="R111" s="125">
        <v>15.93</v>
      </c>
      <c r="S111" s="125"/>
      <c r="T111" s="127">
        <f t="shared" si="27"/>
        <v>486</v>
      </c>
      <c r="U111" s="127" t="str">
        <f t="shared" si="16"/>
        <v>2 BAJFINANCE</v>
      </c>
      <c r="V111" s="127">
        <f t="shared" si="17"/>
        <v>470.07</v>
      </c>
      <c r="W111" s="350">
        <f t="shared" si="28"/>
        <v>5.1486308871851037E-2</v>
      </c>
      <c r="X111" s="397">
        <f t="shared" si="19"/>
        <v>0</v>
      </c>
      <c r="Y111" s="352">
        <f t="shared" si="20"/>
        <v>0</v>
      </c>
      <c r="Z111" s="353">
        <f t="shared" si="21"/>
        <v>16</v>
      </c>
      <c r="AA111" s="350">
        <f t="shared" si="22"/>
        <v>2.1433673075314372</v>
      </c>
      <c r="AB111" s="120" t="s">
        <v>471</v>
      </c>
    </row>
    <row r="112" spans="1:28" ht="12.75" customHeight="1">
      <c r="A112" s="120" t="s">
        <v>484</v>
      </c>
      <c r="B112" s="120" t="s">
        <v>1177</v>
      </c>
      <c r="C112" s="343" t="s">
        <v>1178</v>
      </c>
      <c r="D112" s="344"/>
      <c r="E112" s="345"/>
      <c r="F112" s="121"/>
      <c r="G112" s="121"/>
      <c r="H112" s="346">
        <f t="shared" si="26"/>
        <v>5406.5</v>
      </c>
      <c r="I112" s="121">
        <v>2</v>
      </c>
      <c r="J112" s="346">
        <v>5400</v>
      </c>
      <c r="K112" s="128">
        <v>10813</v>
      </c>
      <c r="L112" s="150">
        <v>44327</v>
      </c>
      <c r="M112" s="124">
        <f t="shared" si="14"/>
        <v>5644</v>
      </c>
      <c r="N112" s="155">
        <v>5650</v>
      </c>
      <c r="O112" s="347">
        <v>11288</v>
      </c>
      <c r="P112" s="120">
        <v>44336</v>
      </c>
      <c r="Q112" s="348">
        <v>44334</v>
      </c>
      <c r="R112" s="125">
        <v>15.93</v>
      </c>
      <c r="S112" s="125"/>
      <c r="T112" s="127">
        <f t="shared" si="27"/>
        <v>475</v>
      </c>
      <c r="U112" s="127" t="str">
        <f t="shared" si="16"/>
        <v>2 BAJFINANCE</v>
      </c>
      <c r="V112" s="127">
        <f t="shared" si="17"/>
        <v>459.07</v>
      </c>
      <c r="W112" s="350">
        <f t="shared" si="28"/>
        <v>4.2455377785998331E-2</v>
      </c>
      <c r="X112" s="397">
        <f t="shared" si="19"/>
        <v>0</v>
      </c>
      <c r="Y112" s="352">
        <f t="shared" si="20"/>
        <v>0</v>
      </c>
      <c r="Z112" s="353">
        <f t="shared" si="21"/>
        <v>9</v>
      </c>
      <c r="AA112" s="350">
        <f t="shared" si="22"/>
        <v>4.3992183887893272</v>
      </c>
      <c r="AB112" s="120" t="s">
        <v>471</v>
      </c>
    </row>
    <row r="113" spans="1:28" ht="12.75" customHeight="1">
      <c r="A113" s="120" t="s">
        <v>484</v>
      </c>
      <c r="B113" s="120" t="s">
        <v>1177</v>
      </c>
      <c r="C113" s="343" t="s">
        <v>1178</v>
      </c>
      <c r="D113" s="344"/>
      <c r="E113" s="345" t="str">
        <f t="shared" ref="E113:E125" si="30">IFERROR(IF(D113="","",(D113-J113)/J113),"")</f>
        <v/>
      </c>
      <c r="F113" s="121" t="s">
        <v>1107</v>
      </c>
      <c r="G113" s="121"/>
      <c r="H113" s="346">
        <v>5406.5</v>
      </c>
      <c r="I113" s="121">
        <v>2</v>
      </c>
      <c r="J113" s="346">
        <v>5980</v>
      </c>
      <c r="K113" s="128">
        <v>11974</v>
      </c>
      <c r="L113" s="150">
        <v>44379</v>
      </c>
      <c r="M113" s="124">
        <f t="shared" si="14"/>
        <v>6108.5</v>
      </c>
      <c r="N113" s="155">
        <v>6115</v>
      </c>
      <c r="O113" s="347">
        <v>12217</v>
      </c>
      <c r="P113" s="120">
        <v>44385</v>
      </c>
      <c r="Q113" s="348">
        <v>44383</v>
      </c>
      <c r="R113" s="125">
        <v>15.93</v>
      </c>
      <c r="S113" s="125"/>
      <c r="T113" s="127">
        <f t="shared" si="27"/>
        <v>243</v>
      </c>
      <c r="U113" s="127" t="str">
        <f t="shared" si="16"/>
        <v>2 BAJFINANCE</v>
      </c>
      <c r="V113" s="127">
        <f t="shared" si="17"/>
        <v>227.07</v>
      </c>
      <c r="W113" s="350">
        <f t="shared" si="28"/>
        <v>1.8963587773509271E-2</v>
      </c>
      <c r="X113" s="397">
        <f t="shared" si="19"/>
        <v>0</v>
      </c>
      <c r="Y113" s="352">
        <f t="shared" si="20"/>
        <v>0</v>
      </c>
      <c r="Z113" s="353">
        <f t="shared" si="21"/>
        <v>6</v>
      </c>
      <c r="AA113" s="350">
        <f t="shared" si="22"/>
        <v>2.1355864921308525</v>
      </c>
      <c r="AB113" s="120" t="s">
        <v>471</v>
      </c>
    </row>
    <row r="114" spans="1:28" ht="12.75" customHeight="1">
      <c r="A114" s="120" t="s">
        <v>484</v>
      </c>
      <c r="B114" s="120" t="s">
        <v>1177</v>
      </c>
      <c r="C114" s="343" t="s">
        <v>1178</v>
      </c>
      <c r="D114" s="344"/>
      <c r="E114" s="345" t="str">
        <f t="shared" si="30"/>
        <v/>
      </c>
      <c r="F114" s="121" t="s">
        <v>1107</v>
      </c>
      <c r="G114" s="121"/>
      <c r="H114" s="346">
        <f t="shared" ref="H114:H125" si="31">ROUND(K114/I114,4)</f>
        <v>7555</v>
      </c>
      <c r="I114" s="121">
        <v>2</v>
      </c>
      <c r="J114" s="346">
        <v>7546</v>
      </c>
      <c r="K114" s="128">
        <v>15110</v>
      </c>
      <c r="L114" s="150">
        <v>44445</v>
      </c>
      <c r="M114" s="124">
        <f t="shared" si="14"/>
        <v>7792</v>
      </c>
      <c r="N114" s="155">
        <v>7800</v>
      </c>
      <c r="O114" s="347">
        <v>15584</v>
      </c>
      <c r="P114" s="120">
        <v>44461</v>
      </c>
      <c r="Q114" s="348">
        <v>44459</v>
      </c>
      <c r="R114" s="125">
        <v>15.93</v>
      </c>
      <c r="S114" s="125"/>
      <c r="T114" s="127">
        <f t="shared" si="27"/>
        <v>474</v>
      </c>
      <c r="U114" s="127" t="str">
        <f t="shared" si="16"/>
        <v>2 BAJFINANCE</v>
      </c>
      <c r="V114" s="127">
        <f t="shared" si="17"/>
        <v>458.07</v>
      </c>
      <c r="W114" s="350">
        <f t="shared" si="28"/>
        <v>3.0315684976836531E-2</v>
      </c>
      <c r="X114" s="397">
        <f t="shared" si="19"/>
        <v>0</v>
      </c>
      <c r="Y114" s="352">
        <f t="shared" si="20"/>
        <v>0</v>
      </c>
      <c r="Z114" s="353">
        <f t="shared" si="21"/>
        <v>16</v>
      </c>
      <c r="AA114" s="350">
        <f t="shared" si="22"/>
        <v>0.97644724869996735</v>
      </c>
      <c r="AB114" s="120" t="s">
        <v>471</v>
      </c>
    </row>
    <row r="115" spans="1:28" ht="12.75" customHeight="1">
      <c r="A115" s="120" t="s">
        <v>484</v>
      </c>
      <c r="B115" s="120" t="s">
        <v>1177</v>
      </c>
      <c r="C115" s="343" t="s">
        <v>1178</v>
      </c>
      <c r="D115" s="344"/>
      <c r="E115" s="345" t="str">
        <f t="shared" si="30"/>
        <v/>
      </c>
      <c r="F115" s="121" t="s">
        <v>1107</v>
      </c>
      <c r="G115" s="121"/>
      <c r="H115" s="346">
        <f t="shared" si="31"/>
        <v>7639</v>
      </c>
      <c r="I115" s="121">
        <v>1</v>
      </c>
      <c r="J115" s="346">
        <v>7630</v>
      </c>
      <c r="K115" s="128">
        <v>7639</v>
      </c>
      <c r="L115" s="150">
        <v>44467</v>
      </c>
      <c r="M115" s="124">
        <f t="shared" si="14"/>
        <v>7642</v>
      </c>
      <c r="N115" s="155">
        <v>7630</v>
      </c>
      <c r="O115" s="347">
        <v>7642</v>
      </c>
      <c r="P115" s="120">
        <v>44473</v>
      </c>
      <c r="Q115" s="348">
        <v>44469</v>
      </c>
      <c r="R115" s="125">
        <v>15.93</v>
      </c>
      <c r="S115" s="125"/>
      <c r="T115" s="127">
        <f t="shared" si="27"/>
        <v>3</v>
      </c>
      <c r="U115" s="127" t="str">
        <f t="shared" si="16"/>
        <v>1 BAJFINANCE</v>
      </c>
      <c r="V115" s="127">
        <f t="shared" si="17"/>
        <v>-12.93</v>
      </c>
      <c r="W115" s="350">
        <f t="shared" si="28"/>
        <v>-1.6926299253829035E-3</v>
      </c>
      <c r="X115" s="397">
        <f t="shared" si="19"/>
        <v>0</v>
      </c>
      <c r="Y115" s="352">
        <f t="shared" si="20"/>
        <v>0</v>
      </c>
      <c r="Z115" s="353">
        <f t="shared" si="21"/>
        <v>6</v>
      </c>
      <c r="AA115" s="350">
        <f t="shared" si="22"/>
        <v>-9.7923149601690573E-2</v>
      </c>
      <c r="AB115" s="120" t="s">
        <v>471</v>
      </c>
    </row>
    <row r="116" spans="1:28" ht="12.75" customHeight="1">
      <c r="A116" s="120" t="s">
        <v>484</v>
      </c>
      <c r="B116" s="120" t="s">
        <v>1177</v>
      </c>
      <c r="C116" s="343" t="s">
        <v>1178</v>
      </c>
      <c r="D116" s="344"/>
      <c r="E116" s="345" t="str">
        <f t="shared" si="30"/>
        <v/>
      </c>
      <c r="F116" s="121" t="s">
        <v>1107</v>
      </c>
      <c r="G116" s="121"/>
      <c r="H116" s="346">
        <f t="shared" si="31"/>
        <v>7484</v>
      </c>
      <c r="I116" s="121">
        <v>2</v>
      </c>
      <c r="J116" s="346">
        <v>7475</v>
      </c>
      <c r="K116" s="128">
        <v>14968</v>
      </c>
      <c r="L116" s="150">
        <v>44497</v>
      </c>
      <c r="M116" s="124">
        <f t="shared" si="14"/>
        <v>7627</v>
      </c>
      <c r="N116" s="155">
        <v>7635</v>
      </c>
      <c r="O116" s="347">
        <v>15254</v>
      </c>
      <c r="P116" s="120">
        <v>44510</v>
      </c>
      <c r="Q116" s="348">
        <v>44508</v>
      </c>
      <c r="R116" s="125">
        <v>15.93</v>
      </c>
      <c r="S116" s="125"/>
      <c r="T116" s="127">
        <f t="shared" si="27"/>
        <v>286</v>
      </c>
      <c r="U116" s="127" t="str">
        <f t="shared" si="16"/>
        <v>2 BAJFINANCE</v>
      </c>
      <c r="V116" s="127">
        <f t="shared" si="17"/>
        <v>270.07</v>
      </c>
      <c r="W116" s="350">
        <f t="shared" si="28"/>
        <v>1.8043158738642436E-2</v>
      </c>
      <c r="X116" s="397">
        <f t="shared" si="19"/>
        <v>0</v>
      </c>
      <c r="Y116" s="352">
        <f t="shared" si="20"/>
        <v>0</v>
      </c>
      <c r="Z116" s="353">
        <f t="shared" si="21"/>
        <v>13</v>
      </c>
      <c r="AA116" s="350">
        <f t="shared" si="22"/>
        <v>0.65215471233458011</v>
      </c>
      <c r="AB116" s="120" t="s">
        <v>471</v>
      </c>
    </row>
    <row r="117" spans="1:28" ht="12.75" customHeight="1">
      <c r="A117" s="120" t="s">
        <v>484</v>
      </c>
      <c r="B117" s="120" t="s">
        <v>1177</v>
      </c>
      <c r="C117" s="343" t="s">
        <v>1178</v>
      </c>
      <c r="D117" s="344"/>
      <c r="E117" s="345" t="str">
        <f t="shared" si="30"/>
        <v/>
      </c>
      <c r="F117" s="121" t="s">
        <v>1107</v>
      </c>
      <c r="G117" s="121"/>
      <c r="H117" s="346">
        <f t="shared" si="31"/>
        <v>7709</v>
      </c>
      <c r="I117" s="121">
        <v>2</v>
      </c>
      <c r="J117" s="346">
        <v>7700</v>
      </c>
      <c r="K117" s="128">
        <v>15418</v>
      </c>
      <c r="L117" s="150">
        <v>44467</v>
      </c>
      <c r="M117" s="124">
        <f t="shared" si="14"/>
        <v>7727</v>
      </c>
      <c r="N117" s="155">
        <v>7750</v>
      </c>
      <c r="O117" s="347">
        <v>15454</v>
      </c>
      <c r="P117" s="120">
        <v>44510</v>
      </c>
      <c r="Q117" s="348">
        <v>44508</v>
      </c>
      <c r="R117" s="125">
        <v>15.93</v>
      </c>
      <c r="S117" s="125"/>
      <c r="T117" s="127">
        <f t="shared" si="27"/>
        <v>36</v>
      </c>
      <c r="U117" s="127" t="str">
        <f t="shared" si="16"/>
        <v>2 BAJFINANCE</v>
      </c>
      <c r="V117" s="127">
        <f t="shared" si="17"/>
        <v>20.07</v>
      </c>
      <c r="W117" s="350">
        <f t="shared" si="28"/>
        <v>1.3017252561940589E-3</v>
      </c>
      <c r="X117" s="397">
        <f t="shared" si="19"/>
        <v>0</v>
      </c>
      <c r="Y117" s="352">
        <f t="shared" si="20"/>
        <v>1</v>
      </c>
      <c r="Z117" s="353">
        <f t="shared" si="21"/>
        <v>13</v>
      </c>
      <c r="AA117" s="350">
        <f t="shared" si="22"/>
        <v>1.1103534541009985E-2</v>
      </c>
      <c r="AB117" s="120" t="s">
        <v>471</v>
      </c>
    </row>
    <row r="118" spans="1:28" ht="12.75" customHeight="1">
      <c r="A118" s="120" t="s">
        <v>484</v>
      </c>
      <c r="B118" s="120" t="s">
        <v>1177</v>
      </c>
      <c r="C118" s="343" t="s">
        <v>1178</v>
      </c>
      <c r="D118" s="344"/>
      <c r="E118" s="345" t="str">
        <f t="shared" si="30"/>
        <v/>
      </c>
      <c r="F118" s="121" t="s">
        <v>1107</v>
      </c>
      <c r="G118" s="121"/>
      <c r="H118" s="346">
        <f t="shared" si="31"/>
        <v>6658</v>
      </c>
      <c r="I118" s="121">
        <v>1</v>
      </c>
      <c r="J118" s="346">
        <v>6650</v>
      </c>
      <c r="K118" s="128">
        <v>6658</v>
      </c>
      <c r="L118" s="150">
        <v>44550</v>
      </c>
      <c r="M118" s="124">
        <f t="shared" si="14"/>
        <v>6888</v>
      </c>
      <c r="N118" s="155">
        <v>6895</v>
      </c>
      <c r="O118" s="347">
        <v>6888</v>
      </c>
      <c r="P118" s="120">
        <v>44559</v>
      </c>
      <c r="Q118" s="348">
        <v>44557</v>
      </c>
      <c r="R118" s="125">
        <v>15.93</v>
      </c>
      <c r="S118" s="125"/>
      <c r="T118" s="127">
        <f t="shared" si="27"/>
        <v>230</v>
      </c>
      <c r="U118" s="127" t="str">
        <f t="shared" si="16"/>
        <v>1 BAJFINANCE</v>
      </c>
      <c r="V118" s="127">
        <f t="shared" si="17"/>
        <v>214.07</v>
      </c>
      <c r="W118" s="350">
        <f t="shared" si="28"/>
        <v>3.2152297987383595E-2</v>
      </c>
      <c r="X118" s="397">
        <f t="shared" si="19"/>
        <v>0</v>
      </c>
      <c r="Y118" s="352">
        <f t="shared" si="20"/>
        <v>0</v>
      </c>
      <c r="Z118" s="353">
        <f t="shared" si="21"/>
        <v>9</v>
      </c>
      <c r="AA118" s="350">
        <f t="shared" si="22"/>
        <v>2.6089992197653729</v>
      </c>
      <c r="AB118" s="120" t="s">
        <v>471</v>
      </c>
    </row>
    <row r="119" spans="1:28" ht="12.75" customHeight="1">
      <c r="A119" s="120" t="s">
        <v>484</v>
      </c>
      <c r="B119" s="120" t="s">
        <v>1177</v>
      </c>
      <c r="C119" s="343" t="s">
        <v>1178</v>
      </c>
      <c r="D119" s="344"/>
      <c r="E119" s="345" t="str">
        <f t="shared" si="30"/>
        <v/>
      </c>
      <c r="F119" s="121" t="s">
        <v>1107</v>
      </c>
      <c r="G119" s="121"/>
      <c r="H119" s="346">
        <f t="shared" si="31"/>
        <v>7659</v>
      </c>
      <c r="I119" s="121">
        <v>2</v>
      </c>
      <c r="J119" s="346">
        <v>7650</v>
      </c>
      <c r="K119" s="128">
        <v>15318</v>
      </c>
      <c r="L119" s="150">
        <v>44509</v>
      </c>
      <c r="M119" s="124">
        <f t="shared" si="14"/>
        <v>7577</v>
      </c>
      <c r="N119" s="155">
        <v>7585</v>
      </c>
      <c r="O119" s="347">
        <v>15154</v>
      </c>
      <c r="P119" s="120">
        <v>44568</v>
      </c>
      <c r="Q119" s="348">
        <v>44566</v>
      </c>
      <c r="R119" s="125">
        <v>0</v>
      </c>
      <c r="S119" s="125"/>
      <c r="T119" s="127">
        <f t="shared" si="27"/>
        <v>-164</v>
      </c>
      <c r="U119" s="127" t="str">
        <f t="shared" si="16"/>
        <v>2 BAJFINANCE</v>
      </c>
      <c r="V119" s="127">
        <f t="shared" si="17"/>
        <v>-164</v>
      </c>
      <c r="W119" s="350">
        <f t="shared" si="28"/>
        <v>-1.070635853244549E-2</v>
      </c>
      <c r="X119" s="397">
        <f t="shared" si="19"/>
        <v>0</v>
      </c>
      <c r="Y119" s="352">
        <f t="shared" si="20"/>
        <v>1</v>
      </c>
      <c r="Z119" s="353">
        <f t="shared" si="21"/>
        <v>29</v>
      </c>
      <c r="AA119" s="350">
        <f t="shared" si="22"/>
        <v>-6.4422568936938762E-2</v>
      </c>
      <c r="AB119" s="120" t="s">
        <v>471</v>
      </c>
    </row>
    <row r="120" spans="1:28" ht="12.75" customHeight="1">
      <c r="A120" s="120" t="s">
        <v>484</v>
      </c>
      <c r="B120" s="120" t="s">
        <v>1177</v>
      </c>
      <c r="C120" s="343" t="s">
        <v>1178</v>
      </c>
      <c r="D120" s="344"/>
      <c r="E120" s="345" t="str">
        <f t="shared" si="30"/>
        <v/>
      </c>
      <c r="F120" s="121" t="s">
        <v>1107</v>
      </c>
      <c r="G120" s="121"/>
      <c r="H120" s="346">
        <f t="shared" si="31"/>
        <v>7469</v>
      </c>
      <c r="I120" s="121">
        <v>1</v>
      </c>
      <c r="J120" s="346">
        <v>7460</v>
      </c>
      <c r="K120" s="128">
        <v>7469</v>
      </c>
      <c r="L120" s="150">
        <v>44511</v>
      </c>
      <c r="M120" s="124">
        <f t="shared" si="14"/>
        <v>7520</v>
      </c>
      <c r="N120" s="155">
        <v>7528</v>
      </c>
      <c r="O120" s="347">
        <v>7520</v>
      </c>
      <c r="P120" s="120">
        <v>44568</v>
      </c>
      <c r="Q120" s="348">
        <v>44566</v>
      </c>
      <c r="R120" s="125">
        <v>15.93</v>
      </c>
      <c r="S120" s="125"/>
      <c r="T120" s="127">
        <f t="shared" si="27"/>
        <v>51</v>
      </c>
      <c r="U120" s="127" t="str">
        <f t="shared" si="16"/>
        <v>1 BAJFINANCE</v>
      </c>
      <c r="V120" s="127">
        <f t="shared" si="17"/>
        <v>35.07</v>
      </c>
      <c r="W120" s="350">
        <f t="shared" si="28"/>
        <v>4.6954076850984064E-3</v>
      </c>
      <c r="X120" s="397">
        <f t="shared" si="19"/>
        <v>0</v>
      </c>
      <c r="Y120" s="352">
        <f t="shared" si="20"/>
        <v>1</v>
      </c>
      <c r="Z120" s="353">
        <f t="shared" si="21"/>
        <v>27</v>
      </c>
      <c r="AA120" s="350">
        <f t="shared" si="22"/>
        <v>3.0451149818903289E-2</v>
      </c>
      <c r="AB120" s="120" t="s">
        <v>471</v>
      </c>
    </row>
    <row r="121" spans="1:28" ht="12.75" customHeight="1">
      <c r="A121" s="121" t="s">
        <v>484</v>
      </c>
      <c r="B121" s="120"/>
      <c r="C121" s="343"/>
      <c r="D121" s="344"/>
      <c r="E121" s="345" t="str">
        <f t="shared" si="30"/>
        <v/>
      </c>
      <c r="F121" s="121"/>
      <c r="G121" s="121"/>
      <c r="H121" s="346">
        <f t="shared" si="31"/>
        <v>7010.3333000000002</v>
      </c>
      <c r="I121" s="121">
        <v>3</v>
      </c>
      <c r="J121" s="346">
        <v>7002</v>
      </c>
      <c r="K121" s="128">
        <v>21031</v>
      </c>
      <c r="L121" s="150">
        <v>44585</v>
      </c>
      <c r="M121" s="124">
        <f t="shared" si="14"/>
        <v>6999.6666999999998</v>
      </c>
      <c r="N121" s="155">
        <v>7007</v>
      </c>
      <c r="O121" s="347">
        <v>20999</v>
      </c>
      <c r="P121" s="120">
        <v>44615</v>
      </c>
      <c r="Q121" s="348">
        <v>44613</v>
      </c>
      <c r="R121" s="125">
        <v>15.93</v>
      </c>
      <c r="S121" s="125"/>
      <c r="T121" s="127">
        <f t="shared" si="27"/>
        <v>-32</v>
      </c>
      <c r="U121" s="127" t="str">
        <f t="shared" si="16"/>
        <v>3 BAJFINANCE</v>
      </c>
      <c r="V121" s="127">
        <f t="shared" si="17"/>
        <v>-47.93</v>
      </c>
      <c r="W121" s="350">
        <f t="shared" si="28"/>
        <v>-2.2790166896486139E-3</v>
      </c>
      <c r="X121" s="397">
        <f t="shared" si="19"/>
        <v>0</v>
      </c>
      <c r="Y121" s="352">
        <f t="shared" si="20"/>
        <v>0</v>
      </c>
      <c r="Z121" s="353">
        <f t="shared" si="21"/>
        <v>30</v>
      </c>
      <c r="AA121" s="350">
        <f t="shared" si="22"/>
        <v>-2.7377921530061133E-2</v>
      </c>
      <c r="AB121" s="120" t="s">
        <v>448</v>
      </c>
    </row>
    <row r="122" spans="1:28" ht="12.75" customHeight="1">
      <c r="A122" s="121" t="s">
        <v>484</v>
      </c>
      <c r="B122" s="120"/>
      <c r="C122" s="343"/>
      <c r="D122" s="344"/>
      <c r="E122" s="345" t="str">
        <f t="shared" si="30"/>
        <v/>
      </c>
      <c r="F122" s="121"/>
      <c r="G122" s="121"/>
      <c r="H122" s="346">
        <f t="shared" si="31"/>
        <v>7010</v>
      </c>
      <c r="I122" s="121">
        <v>2</v>
      </c>
      <c r="J122" s="346">
        <v>7002</v>
      </c>
      <c r="K122" s="128">
        <v>14020</v>
      </c>
      <c r="L122" s="150">
        <v>44585</v>
      </c>
      <c r="M122" s="124">
        <f t="shared" si="14"/>
        <v>6893</v>
      </c>
      <c r="N122" s="155">
        <v>6900</v>
      </c>
      <c r="O122" s="347">
        <v>13786</v>
      </c>
      <c r="P122" s="120">
        <v>44616</v>
      </c>
      <c r="Q122" s="348">
        <v>44614</v>
      </c>
      <c r="R122" s="125">
        <v>15.93</v>
      </c>
      <c r="S122" s="125"/>
      <c r="T122" s="127">
        <f t="shared" si="27"/>
        <v>-234</v>
      </c>
      <c r="U122" s="127" t="str">
        <f t="shared" si="16"/>
        <v>2 BAJFINANCE</v>
      </c>
      <c r="V122" s="127">
        <f t="shared" si="17"/>
        <v>-249.93</v>
      </c>
      <c r="W122" s="350">
        <f t="shared" si="28"/>
        <v>-1.7826676176890158E-2</v>
      </c>
      <c r="X122" s="397">
        <f t="shared" si="19"/>
        <v>0</v>
      </c>
      <c r="Y122" s="352">
        <f t="shared" si="20"/>
        <v>1</v>
      </c>
      <c r="Z122" s="353">
        <f t="shared" si="21"/>
        <v>0</v>
      </c>
      <c r="AA122" s="350">
        <f t="shared" si="22"/>
        <v>-0.19086389226145484</v>
      </c>
      <c r="AB122" s="120" t="s">
        <v>448</v>
      </c>
    </row>
    <row r="123" spans="1:28" ht="12.75" customHeight="1">
      <c r="A123" s="120" t="s">
        <v>484</v>
      </c>
      <c r="B123" s="120"/>
      <c r="C123" s="343"/>
      <c r="D123" s="344"/>
      <c r="E123" s="345" t="str">
        <f t="shared" si="30"/>
        <v/>
      </c>
      <c r="F123" s="121"/>
      <c r="G123" s="121"/>
      <c r="H123" s="346">
        <f t="shared" si="31"/>
        <v>7409</v>
      </c>
      <c r="I123" s="121">
        <v>2</v>
      </c>
      <c r="J123" s="346">
        <v>7400</v>
      </c>
      <c r="K123" s="128">
        <v>14818</v>
      </c>
      <c r="L123" s="150">
        <v>44582</v>
      </c>
      <c r="M123" s="124">
        <f t="shared" si="14"/>
        <v>7602.5</v>
      </c>
      <c r="N123" s="155">
        <v>7610.35</v>
      </c>
      <c r="O123" s="347">
        <v>15205</v>
      </c>
      <c r="P123" s="120">
        <v>44826</v>
      </c>
      <c r="Q123" s="348">
        <v>44824</v>
      </c>
      <c r="R123" s="125">
        <v>15.93</v>
      </c>
      <c r="S123" s="125"/>
      <c r="T123" s="127">
        <f t="shared" ref="T123:T125" si="32">IF(OR(O123="",K123=""),"",O123-K123)</f>
        <v>387</v>
      </c>
      <c r="U123" s="127" t="str">
        <f t="shared" si="16"/>
        <v>2 BAJFINANCE</v>
      </c>
      <c r="V123" s="127">
        <f t="shared" si="17"/>
        <v>371.07</v>
      </c>
      <c r="W123" s="350">
        <f t="shared" ref="W123:W125" si="33">IF(OR(K123="",V123=""),"",V123/K123)</f>
        <v>2.50418410041841E-2</v>
      </c>
      <c r="X123" s="397">
        <f t="shared" si="19"/>
        <v>0</v>
      </c>
      <c r="Y123" s="352">
        <f t="shared" si="20"/>
        <v>8</v>
      </c>
      <c r="Z123" s="353">
        <f t="shared" si="21"/>
        <v>1</v>
      </c>
      <c r="AA123" s="350">
        <f t="shared" si="22"/>
        <v>3.7691756771177198E-2</v>
      </c>
      <c r="AB123" s="120" t="s">
        <v>471</v>
      </c>
    </row>
    <row r="124" spans="1:28" ht="12.75" customHeight="1">
      <c r="A124" s="120" t="s">
        <v>484</v>
      </c>
      <c r="B124" s="120"/>
      <c r="C124" s="343"/>
      <c r="D124" s="344"/>
      <c r="E124" s="345" t="str">
        <f t="shared" si="30"/>
        <v/>
      </c>
      <c r="F124" s="121"/>
      <c r="G124" s="121"/>
      <c r="H124" s="346">
        <f t="shared" si="31"/>
        <v>7584</v>
      </c>
      <c r="I124" s="121">
        <v>1</v>
      </c>
      <c r="J124" s="346">
        <v>7575</v>
      </c>
      <c r="K124" s="128">
        <v>7584</v>
      </c>
      <c r="L124" s="150">
        <v>44580</v>
      </c>
      <c r="M124" s="124">
        <f t="shared" si="14"/>
        <v>7647</v>
      </c>
      <c r="N124" s="155">
        <v>7655</v>
      </c>
      <c r="O124" s="347">
        <v>7647</v>
      </c>
      <c r="P124" s="120">
        <v>44826</v>
      </c>
      <c r="Q124" s="348">
        <v>44824</v>
      </c>
      <c r="R124" s="125">
        <v>0</v>
      </c>
      <c r="S124" s="125"/>
      <c r="T124" s="127">
        <f t="shared" si="32"/>
        <v>63</v>
      </c>
      <c r="U124" s="127" t="str">
        <f t="shared" si="16"/>
        <v>1 BAJFINANCE</v>
      </c>
      <c r="V124" s="127">
        <f t="shared" si="17"/>
        <v>63</v>
      </c>
      <c r="W124" s="350">
        <f t="shared" si="33"/>
        <v>8.3069620253164549E-3</v>
      </c>
      <c r="X124" s="397">
        <f t="shared" si="19"/>
        <v>0</v>
      </c>
      <c r="Y124" s="352">
        <f t="shared" si="20"/>
        <v>8</v>
      </c>
      <c r="Z124" s="353">
        <f t="shared" si="21"/>
        <v>3</v>
      </c>
      <c r="AA124" s="350">
        <f t="shared" si="22"/>
        <v>1.2350099381390534E-2</v>
      </c>
      <c r="AB124" s="120" t="s">
        <v>471</v>
      </c>
    </row>
    <row r="125" spans="1:28" ht="12.75" customHeight="1">
      <c r="A125" s="120" t="s">
        <v>623</v>
      </c>
      <c r="B125" s="120"/>
      <c r="C125" s="343"/>
      <c r="D125" s="344"/>
      <c r="E125" s="345" t="str">
        <f t="shared" si="30"/>
        <v/>
      </c>
      <c r="F125" s="121"/>
      <c r="G125" s="121"/>
      <c r="H125" s="346">
        <f t="shared" si="31"/>
        <v>132.16</v>
      </c>
      <c r="I125" s="121">
        <v>25</v>
      </c>
      <c r="J125" s="346">
        <v>132</v>
      </c>
      <c r="K125" s="128">
        <v>3304</v>
      </c>
      <c r="L125" s="150">
        <v>44806</v>
      </c>
      <c r="M125" s="124">
        <f t="shared" si="14"/>
        <v>147.96</v>
      </c>
      <c r="N125" s="155">
        <v>148.1</v>
      </c>
      <c r="O125" s="347">
        <v>3699</v>
      </c>
      <c r="P125" s="120">
        <v>44861</v>
      </c>
      <c r="Q125" s="348">
        <v>44859</v>
      </c>
      <c r="R125" s="125">
        <v>15.93</v>
      </c>
      <c r="S125" s="125"/>
      <c r="T125" s="127">
        <f t="shared" si="32"/>
        <v>395</v>
      </c>
      <c r="U125" s="127" t="str">
        <f t="shared" si="16"/>
        <v>25 BANKBARODA</v>
      </c>
      <c r="V125" s="127">
        <f t="shared" si="17"/>
        <v>379.07</v>
      </c>
      <c r="W125" s="350">
        <f t="shared" si="33"/>
        <v>0.11473062953995157</v>
      </c>
      <c r="X125" s="397">
        <f t="shared" si="19"/>
        <v>0</v>
      </c>
      <c r="Y125" s="352">
        <f t="shared" si="20"/>
        <v>1</v>
      </c>
      <c r="Z125" s="353">
        <f t="shared" si="21"/>
        <v>25</v>
      </c>
      <c r="AA125" s="350">
        <f t="shared" si="22"/>
        <v>1.0560649876129209</v>
      </c>
      <c r="AB125" s="120" t="s">
        <v>471</v>
      </c>
    </row>
    <row r="126" spans="1:28" ht="12.75" customHeight="1">
      <c r="A126" s="120" t="s">
        <v>474</v>
      </c>
      <c r="B126" s="120" t="s">
        <v>1179</v>
      </c>
      <c r="C126" s="343" t="s">
        <v>1163</v>
      </c>
      <c r="D126" s="344"/>
      <c r="E126" s="345"/>
      <c r="F126" s="121" t="s">
        <v>1121</v>
      </c>
      <c r="G126" s="121"/>
      <c r="H126" s="346">
        <v>288</v>
      </c>
      <c r="I126" s="121">
        <v>50</v>
      </c>
      <c r="J126" s="346">
        <v>288</v>
      </c>
      <c r="K126" s="128">
        <v>14400</v>
      </c>
      <c r="L126" s="150">
        <v>44188</v>
      </c>
      <c r="M126" s="124">
        <f t="shared" si="14"/>
        <v>389.61360000000002</v>
      </c>
      <c r="N126" s="155">
        <v>390</v>
      </c>
      <c r="O126" s="347">
        <v>19480.68</v>
      </c>
      <c r="P126" s="120">
        <v>44231</v>
      </c>
      <c r="Q126" s="348">
        <v>44229</v>
      </c>
      <c r="R126" s="125">
        <v>15.93</v>
      </c>
      <c r="S126" s="125"/>
      <c r="T126" s="127">
        <f t="shared" ref="T126:T142" si="34">IF(O126="","",O126-K126)</f>
        <v>5080.68</v>
      </c>
      <c r="U126" s="127" t="str">
        <f t="shared" si="16"/>
        <v>50 BECTORFOOD</v>
      </c>
      <c r="V126" s="127">
        <f t="shared" si="17"/>
        <v>5064.75</v>
      </c>
      <c r="W126" s="350">
        <f t="shared" ref="W126:W142" si="35">IF(M126=0,"",V126/K126)</f>
        <v>0.35171875000000002</v>
      </c>
      <c r="X126" s="397">
        <f t="shared" si="19"/>
        <v>0</v>
      </c>
      <c r="Y126" s="352">
        <f t="shared" si="20"/>
        <v>1</v>
      </c>
      <c r="Z126" s="353">
        <f t="shared" si="21"/>
        <v>12</v>
      </c>
      <c r="AA126" s="350">
        <f t="shared" si="22"/>
        <v>11.912547708092719</v>
      </c>
      <c r="AB126" s="120" t="s">
        <v>471</v>
      </c>
    </row>
    <row r="127" spans="1:28" ht="12.75" customHeight="1">
      <c r="A127" s="120" t="s">
        <v>480</v>
      </c>
      <c r="B127" s="120" t="s">
        <v>1180</v>
      </c>
      <c r="C127" s="343" t="s">
        <v>1163</v>
      </c>
      <c r="D127" s="344">
        <v>175</v>
      </c>
      <c r="E127" s="345"/>
      <c r="F127" s="121"/>
      <c r="G127" s="121"/>
      <c r="H127" s="346">
        <f t="shared" ref="H127:H140" si="36">ROUND(K127/I127,4)</f>
        <v>150.02420000000001</v>
      </c>
      <c r="I127" s="121">
        <v>100</v>
      </c>
      <c r="J127" s="346">
        <v>149.85</v>
      </c>
      <c r="K127" s="128">
        <v>15002.42</v>
      </c>
      <c r="L127" s="150">
        <v>44257</v>
      </c>
      <c r="M127" s="124">
        <f t="shared" si="14"/>
        <v>150.44</v>
      </c>
      <c r="N127" s="155">
        <v>150.6</v>
      </c>
      <c r="O127" s="347">
        <v>15044</v>
      </c>
      <c r="P127" s="120">
        <v>44336</v>
      </c>
      <c r="Q127" s="348">
        <v>44334</v>
      </c>
      <c r="R127" s="125">
        <v>15.93</v>
      </c>
      <c r="S127" s="125">
        <v>140</v>
      </c>
      <c r="T127" s="127">
        <f t="shared" si="34"/>
        <v>41.579999999999927</v>
      </c>
      <c r="U127" s="127" t="str">
        <f t="shared" si="16"/>
        <v>100 BEL</v>
      </c>
      <c r="V127" s="127">
        <f t="shared" si="17"/>
        <v>165.64999999999992</v>
      </c>
      <c r="W127" s="350">
        <f t="shared" si="35"/>
        <v>1.1041551962949972E-2</v>
      </c>
      <c r="X127" s="397">
        <f t="shared" si="19"/>
        <v>0</v>
      </c>
      <c r="Y127" s="352">
        <f t="shared" si="20"/>
        <v>2</v>
      </c>
      <c r="Z127" s="353">
        <f t="shared" si="21"/>
        <v>18</v>
      </c>
      <c r="AA127" s="350">
        <f t="shared" si="22"/>
        <v>5.2044254513500698E-2</v>
      </c>
      <c r="AB127" s="120" t="s">
        <v>471</v>
      </c>
    </row>
    <row r="128" spans="1:28" ht="12.75" customHeight="1">
      <c r="A128" s="120" t="s">
        <v>457</v>
      </c>
      <c r="B128" s="120" t="s">
        <v>1181</v>
      </c>
      <c r="C128" s="343" t="s">
        <v>1163</v>
      </c>
      <c r="D128" s="344"/>
      <c r="E128" s="345"/>
      <c r="F128" s="121"/>
      <c r="G128" s="121"/>
      <c r="H128" s="346">
        <f t="shared" si="36"/>
        <v>171.46610000000001</v>
      </c>
      <c r="I128" s="121">
        <f>48+24</f>
        <v>72</v>
      </c>
      <c r="J128" s="346">
        <v>170.47</v>
      </c>
      <c r="K128" s="128">
        <v>12345.56</v>
      </c>
      <c r="L128" s="150">
        <v>41018</v>
      </c>
      <c r="M128" s="124">
        <f t="shared" si="14"/>
        <v>70.180599999999998</v>
      </c>
      <c r="N128" s="155">
        <v>70.25</v>
      </c>
      <c r="O128" s="347">
        <v>5053</v>
      </c>
      <c r="P128" s="120">
        <v>44329</v>
      </c>
      <c r="Q128" s="348">
        <v>44327</v>
      </c>
      <c r="R128" s="125">
        <f>35.4+29.5+15.93</f>
        <v>80.830000000000013</v>
      </c>
      <c r="S128" s="125">
        <f>177+102+158+63+73+26+30+19+38+37+58+58+86</f>
        <v>925</v>
      </c>
      <c r="T128" s="127">
        <f t="shared" si="34"/>
        <v>-7292.5599999999995</v>
      </c>
      <c r="U128" s="127" t="str">
        <f t="shared" si="16"/>
        <v>72 BHEL</v>
      </c>
      <c r="V128" s="127">
        <f t="shared" si="17"/>
        <v>-6448.3899999999994</v>
      </c>
      <c r="W128" s="350">
        <f t="shared" si="35"/>
        <v>-0.52232462520938694</v>
      </c>
      <c r="X128" s="397">
        <f t="shared" si="19"/>
        <v>9</v>
      </c>
      <c r="Y128" s="352">
        <f t="shared" si="20"/>
        <v>0</v>
      </c>
      <c r="Z128" s="353">
        <f t="shared" si="21"/>
        <v>24</v>
      </c>
      <c r="AA128" s="350">
        <f t="shared" si="22"/>
        <v>-7.8218356267088507E-2</v>
      </c>
      <c r="AB128" s="120" t="s">
        <v>448</v>
      </c>
    </row>
    <row r="129" spans="1:28" ht="12.75" customHeight="1">
      <c r="A129" s="120" t="s">
        <v>457</v>
      </c>
      <c r="B129" s="120"/>
      <c r="C129" s="343"/>
      <c r="D129" s="344"/>
      <c r="E129" s="345" t="str">
        <f t="shared" ref="E129:E131" si="37">IFERROR(IF(D129="","",(D129-J129)/J129),"")</f>
        <v/>
      </c>
      <c r="F129" s="121"/>
      <c r="G129" s="121"/>
      <c r="H129" s="346">
        <f t="shared" si="36"/>
        <v>50.06</v>
      </c>
      <c r="I129" s="121">
        <v>100</v>
      </c>
      <c r="J129" s="346">
        <v>50</v>
      </c>
      <c r="K129" s="128">
        <v>5006</v>
      </c>
      <c r="L129" s="150">
        <v>44650</v>
      </c>
      <c r="M129" s="124">
        <f t="shared" si="14"/>
        <v>52.2</v>
      </c>
      <c r="N129" s="155">
        <v>52.25</v>
      </c>
      <c r="O129" s="347">
        <v>5220</v>
      </c>
      <c r="P129" s="120">
        <v>44656</v>
      </c>
      <c r="Q129" s="348">
        <v>44652</v>
      </c>
      <c r="R129" s="125">
        <v>15.93</v>
      </c>
      <c r="S129" s="125"/>
      <c r="T129" s="127">
        <f t="shared" si="34"/>
        <v>214</v>
      </c>
      <c r="U129" s="127" t="str">
        <f t="shared" si="16"/>
        <v>100 BHEL</v>
      </c>
      <c r="V129" s="127">
        <f t="shared" si="17"/>
        <v>198.07</v>
      </c>
      <c r="W129" s="350">
        <f t="shared" si="35"/>
        <v>3.9566520175789051E-2</v>
      </c>
      <c r="X129" s="397">
        <f t="shared" si="19"/>
        <v>0</v>
      </c>
      <c r="Y129" s="352">
        <f t="shared" si="20"/>
        <v>0</v>
      </c>
      <c r="Z129" s="353">
        <f t="shared" si="21"/>
        <v>6</v>
      </c>
      <c r="AA129" s="350">
        <f t="shared" si="22"/>
        <v>9.5969438140217491</v>
      </c>
      <c r="AB129" s="120" t="s">
        <v>471</v>
      </c>
    </row>
    <row r="130" spans="1:28" ht="12.75" customHeight="1">
      <c r="A130" s="120" t="s">
        <v>494</v>
      </c>
      <c r="B130" s="120" t="s">
        <v>1182</v>
      </c>
      <c r="C130" s="343" t="s">
        <v>1163</v>
      </c>
      <c r="D130" s="344">
        <v>425</v>
      </c>
      <c r="E130" s="345">
        <f t="shared" si="37"/>
        <v>0.11842105263157894</v>
      </c>
      <c r="F130" s="121" t="s">
        <v>1124</v>
      </c>
      <c r="G130" s="121" t="s">
        <v>1183</v>
      </c>
      <c r="H130" s="346">
        <f t="shared" si="36"/>
        <v>380.44</v>
      </c>
      <c r="I130" s="121">
        <v>25</v>
      </c>
      <c r="J130" s="346">
        <v>380</v>
      </c>
      <c r="K130" s="128">
        <v>9511</v>
      </c>
      <c r="L130" s="150">
        <v>44321</v>
      </c>
      <c r="M130" s="124">
        <f t="shared" si="14"/>
        <v>390.6</v>
      </c>
      <c r="N130" s="155">
        <v>391</v>
      </c>
      <c r="O130" s="347">
        <v>9765</v>
      </c>
      <c r="P130" s="120">
        <v>44334</v>
      </c>
      <c r="Q130" s="348">
        <v>44330</v>
      </c>
      <c r="R130" s="125">
        <v>15.93</v>
      </c>
      <c r="S130" s="125"/>
      <c r="T130" s="127">
        <f t="shared" si="34"/>
        <v>254</v>
      </c>
      <c r="U130" s="127" t="str">
        <f t="shared" si="16"/>
        <v>25 BIOCON</v>
      </c>
      <c r="V130" s="127">
        <f t="shared" si="17"/>
        <v>238.07</v>
      </c>
      <c r="W130" s="350">
        <f t="shared" si="35"/>
        <v>2.5031016717485016E-2</v>
      </c>
      <c r="X130" s="397">
        <f t="shared" si="19"/>
        <v>0</v>
      </c>
      <c r="Y130" s="352">
        <f t="shared" si="20"/>
        <v>0</v>
      </c>
      <c r="Z130" s="353">
        <f t="shared" si="21"/>
        <v>13</v>
      </c>
      <c r="AA130" s="350">
        <f t="shared" si="22"/>
        <v>1.0019909993691551</v>
      </c>
      <c r="AB130" s="120" t="s">
        <v>471</v>
      </c>
    </row>
    <row r="131" spans="1:28" ht="12.75" customHeight="1">
      <c r="A131" s="120" t="s">
        <v>494</v>
      </c>
      <c r="B131" s="120" t="s">
        <v>1182</v>
      </c>
      <c r="C131" s="343" t="s">
        <v>1163</v>
      </c>
      <c r="D131" s="344" t="s">
        <v>1184</v>
      </c>
      <c r="E131" s="345">
        <f t="shared" si="37"/>
        <v>8.2926829268292687E-2</v>
      </c>
      <c r="F131" s="121" t="s">
        <v>1116</v>
      </c>
      <c r="G131" s="121" t="s">
        <v>1185</v>
      </c>
      <c r="H131" s="346">
        <f t="shared" si="36"/>
        <v>410.48</v>
      </c>
      <c r="I131" s="121">
        <v>50</v>
      </c>
      <c r="J131" s="346">
        <v>410</v>
      </c>
      <c r="K131" s="128">
        <v>20524</v>
      </c>
      <c r="L131" s="150">
        <v>44356</v>
      </c>
      <c r="M131" s="124">
        <f t="shared" si="14"/>
        <v>416.56</v>
      </c>
      <c r="N131" s="155">
        <v>417</v>
      </c>
      <c r="O131" s="347">
        <v>20828</v>
      </c>
      <c r="P131" s="120">
        <v>44362</v>
      </c>
      <c r="Q131" s="348">
        <v>44358</v>
      </c>
      <c r="R131" s="125">
        <v>15.93</v>
      </c>
      <c r="S131" s="125"/>
      <c r="T131" s="127">
        <f t="shared" si="34"/>
        <v>304</v>
      </c>
      <c r="U131" s="127" t="str">
        <f t="shared" si="16"/>
        <v>50 BIOCON</v>
      </c>
      <c r="V131" s="127">
        <f t="shared" si="17"/>
        <v>288.07</v>
      </c>
      <c r="W131" s="350">
        <f t="shared" si="35"/>
        <v>1.4035763009160008E-2</v>
      </c>
      <c r="X131" s="397">
        <f t="shared" si="19"/>
        <v>0</v>
      </c>
      <c r="Y131" s="352">
        <f t="shared" si="20"/>
        <v>0</v>
      </c>
      <c r="Z131" s="353">
        <f t="shared" si="21"/>
        <v>6</v>
      </c>
      <c r="AA131" s="350">
        <f t="shared" si="22"/>
        <v>1.334751758127275</v>
      </c>
      <c r="AB131" s="120" t="s">
        <v>471</v>
      </c>
    </row>
    <row r="132" spans="1:28" ht="12.75" customHeight="1">
      <c r="A132" s="120" t="s">
        <v>513</v>
      </c>
      <c r="B132" s="120" t="s">
        <v>1186</v>
      </c>
      <c r="C132" s="343" t="s">
        <v>1163</v>
      </c>
      <c r="D132" s="344"/>
      <c r="E132" s="345"/>
      <c r="F132" s="121" t="s">
        <v>1107</v>
      </c>
      <c r="G132" s="121"/>
      <c r="H132" s="346">
        <f t="shared" si="36"/>
        <v>475.56</v>
      </c>
      <c r="I132" s="121">
        <v>50</v>
      </c>
      <c r="J132" s="346">
        <v>475</v>
      </c>
      <c r="K132" s="128">
        <v>23778</v>
      </c>
      <c r="L132" s="150">
        <v>44343</v>
      </c>
      <c r="M132" s="124">
        <f t="shared" si="14"/>
        <v>481.5</v>
      </c>
      <c r="N132" s="155">
        <v>482</v>
      </c>
      <c r="O132" s="347">
        <v>24075</v>
      </c>
      <c r="P132" s="120">
        <v>44355</v>
      </c>
      <c r="Q132" s="348">
        <v>44351</v>
      </c>
      <c r="R132" s="125">
        <v>15.93</v>
      </c>
      <c r="S132" s="125"/>
      <c r="T132" s="127">
        <f t="shared" si="34"/>
        <v>297</v>
      </c>
      <c r="U132" s="127" t="str">
        <f t="shared" si="16"/>
        <v>50 BPCL</v>
      </c>
      <c r="V132" s="127">
        <f t="shared" si="17"/>
        <v>281.07</v>
      </c>
      <c r="W132" s="350">
        <f t="shared" si="35"/>
        <v>1.1820590461771386E-2</v>
      </c>
      <c r="X132" s="397">
        <f t="shared" si="19"/>
        <v>0</v>
      </c>
      <c r="Y132" s="352">
        <f t="shared" si="20"/>
        <v>0</v>
      </c>
      <c r="Z132" s="353">
        <f t="shared" si="21"/>
        <v>12</v>
      </c>
      <c r="AA132" s="350">
        <f t="shared" si="22"/>
        <v>0.4296569975463036</v>
      </c>
      <c r="AB132" s="120" t="s">
        <v>471</v>
      </c>
    </row>
    <row r="133" spans="1:28" ht="12.75" customHeight="1">
      <c r="A133" s="120" t="s">
        <v>513</v>
      </c>
      <c r="B133" s="120"/>
      <c r="C133" s="343"/>
      <c r="D133" s="344"/>
      <c r="E133" s="345" t="str">
        <f t="shared" ref="E133:E137" si="38">IFERROR(IF(D133="","",(D133-J133)/J133),"")</f>
        <v/>
      </c>
      <c r="F133" s="121"/>
      <c r="G133" s="121"/>
      <c r="H133" s="346">
        <f t="shared" si="36"/>
        <v>345.4</v>
      </c>
      <c r="I133" s="121">
        <v>10</v>
      </c>
      <c r="J133" s="346">
        <v>345</v>
      </c>
      <c r="K133" s="128">
        <v>3454</v>
      </c>
      <c r="L133" s="150">
        <v>44616</v>
      </c>
      <c r="M133" s="124">
        <f t="shared" si="14"/>
        <v>348</v>
      </c>
      <c r="N133" s="155">
        <v>348.35</v>
      </c>
      <c r="O133" s="347">
        <v>3480</v>
      </c>
      <c r="P133" s="120">
        <v>44623</v>
      </c>
      <c r="Q133" s="348">
        <v>44620</v>
      </c>
      <c r="R133" s="125">
        <v>15.93</v>
      </c>
      <c r="S133" s="125"/>
      <c r="T133" s="127">
        <f t="shared" si="34"/>
        <v>26</v>
      </c>
      <c r="U133" s="127" t="str">
        <f t="shared" si="16"/>
        <v>10 BPCL</v>
      </c>
      <c r="V133" s="127">
        <f t="shared" si="17"/>
        <v>10.07</v>
      </c>
      <c r="W133" s="350">
        <f t="shared" si="35"/>
        <v>2.9154603358425017E-3</v>
      </c>
      <c r="X133" s="397">
        <f t="shared" si="19"/>
        <v>0</v>
      </c>
      <c r="Y133" s="352">
        <f t="shared" si="20"/>
        <v>0</v>
      </c>
      <c r="Z133" s="353">
        <f t="shared" si="21"/>
        <v>7</v>
      </c>
      <c r="AA133" s="350">
        <f t="shared" si="22"/>
        <v>0.16392656264554772</v>
      </c>
      <c r="AB133" s="120" t="s">
        <v>471</v>
      </c>
    </row>
    <row r="134" spans="1:28" ht="12.75" customHeight="1">
      <c r="A134" s="120" t="s">
        <v>513</v>
      </c>
      <c r="B134" s="120"/>
      <c r="C134" s="343"/>
      <c r="D134" s="344"/>
      <c r="E134" s="345" t="str">
        <f t="shared" si="38"/>
        <v/>
      </c>
      <c r="F134" s="121"/>
      <c r="G134" s="121"/>
      <c r="H134" s="346">
        <f t="shared" si="36"/>
        <v>384.7</v>
      </c>
      <c r="I134" s="121">
        <v>40</v>
      </c>
      <c r="J134" s="346">
        <v>384.25</v>
      </c>
      <c r="K134" s="128">
        <v>15388</v>
      </c>
      <c r="L134" s="150">
        <v>44593</v>
      </c>
      <c r="M134" s="124">
        <f t="shared" si="14"/>
        <v>371.625</v>
      </c>
      <c r="N134" s="155">
        <v>372</v>
      </c>
      <c r="O134" s="347">
        <v>14865</v>
      </c>
      <c r="P134" s="120">
        <v>44656</v>
      </c>
      <c r="Q134" s="348">
        <v>44652</v>
      </c>
      <c r="R134" s="125">
        <v>0</v>
      </c>
      <c r="S134" s="125"/>
      <c r="T134" s="127">
        <f t="shared" si="34"/>
        <v>-523</v>
      </c>
      <c r="U134" s="127" t="str">
        <f t="shared" si="16"/>
        <v>40 BPCL</v>
      </c>
      <c r="V134" s="127">
        <f t="shared" si="17"/>
        <v>-523</v>
      </c>
      <c r="W134" s="350">
        <f t="shared" si="35"/>
        <v>-3.3987522744996099E-2</v>
      </c>
      <c r="X134" s="397">
        <f t="shared" si="19"/>
        <v>0</v>
      </c>
      <c r="Y134" s="352">
        <f t="shared" si="20"/>
        <v>2</v>
      </c>
      <c r="Z134" s="353">
        <f t="shared" si="21"/>
        <v>4</v>
      </c>
      <c r="AA134" s="350">
        <f t="shared" si="22"/>
        <v>-0.18154422773648271</v>
      </c>
      <c r="AB134" s="120" t="s">
        <v>471</v>
      </c>
    </row>
    <row r="135" spans="1:28" ht="12.75" customHeight="1">
      <c r="A135" s="120" t="s">
        <v>513</v>
      </c>
      <c r="B135" s="120"/>
      <c r="C135" s="343"/>
      <c r="D135" s="344"/>
      <c r="E135" s="345" t="str">
        <f t="shared" si="38"/>
        <v/>
      </c>
      <c r="F135" s="121"/>
      <c r="G135" s="121"/>
      <c r="H135" s="346">
        <f t="shared" si="36"/>
        <v>371.2</v>
      </c>
      <c r="I135" s="121">
        <v>20</v>
      </c>
      <c r="J135" s="346">
        <v>370.75</v>
      </c>
      <c r="K135" s="128">
        <v>7424</v>
      </c>
      <c r="L135" s="150">
        <v>44599</v>
      </c>
      <c r="M135" s="124">
        <f t="shared" si="14"/>
        <v>371.6</v>
      </c>
      <c r="N135" s="155">
        <v>372</v>
      </c>
      <c r="O135" s="347">
        <v>7432</v>
      </c>
      <c r="P135" s="120">
        <v>44656</v>
      </c>
      <c r="Q135" s="348">
        <v>44652</v>
      </c>
      <c r="R135" s="125">
        <v>0</v>
      </c>
      <c r="S135" s="125"/>
      <c r="T135" s="127">
        <f t="shared" si="34"/>
        <v>8</v>
      </c>
      <c r="U135" s="127" t="str">
        <f t="shared" si="16"/>
        <v>20 BPCL</v>
      </c>
      <c r="V135" s="127">
        <f t="shared" si="17"/>
        <v>8</v>
      </c>
      <c r="W135" s="350">
        <f t="shared" si="35"/>
        <v>1.0775862068965517E-3</v>
      </c>
      <c r="X135" s="397">
        <f t="shared" si="19"/>
        <v>0</v>
      </c>
      <c r="Y135" s="352">
        <f t="shared" si="20"/>
        <v>1</v>
      </c>
      <c r="Z135" s="353">
        <f t="shared" si="21"/>
        <v>29</v>
      </c>
      <c r="AA135" s="350">
        <f t="shared" si="22"/>
        <v>6.9204539775964413E-3</v>
      </c>
      <c r="AB135" s="120" t="s">
        <v>471</v>
      </c>
    </row>
    <row r="136" spans="1:28" ht="12.75" customHeight="1">
      <c r="A136" s="120" t="s">
        <v>513</v>
      </c>
      <c r="B136" s="120"/>
      <c r="C136" s="343"/>
      <c r="D136" s="344"/>
      <c r="E136" s="345" t="str">
        <f t="shared" si="38"/>
        <v/>
      </c>
      <c r="F136" s="121"/>
      <c r="G136" s="121"/>
      <c r="H136" s="346">
        <f t="shared" si="36"/>
        <v>371.2</v>
      </c>
      <c r="I136" s="121">
        <v>20</v>
      </c>
      <c r="J136" s="346">
        <v>370.75</v>
      </c>
      <c r="K136" s="128">
        <v>7424</v>
      </c>
      <c r="L136" s="150">
        <v>44603</v>
      </c>
      <c r="M136" s="124">
        <f t="shared" si="14"/>
        <v>371.6</v>
      </c>
      <c r="N136" s="155">
        <v>372</v>
      </c>
      <c r="O136" s="347">
        <v>7432</v>
      </c>
      <c r="P136" s="120">
        <v>44656</v>
      </c>
      <c r="Q136" s="348">
        <v>44652</v>
      </c>
      <c r="R136" s="125">
        <v>15.93</v>
      </c>
      <c r="S136" s="125"/>
      <c r="T136" s="127">
        <f t="shared" si="34"/>
        <v>8</v>
      </c>
      <c r="U136" s="127" t="str">
        <f t="shared" si="16"/>
        <v>20 BPCL</v>
      </c>
      <c r="V136" s="127">
        <f t="shared" si="17"/>
        <v>-7.93</v>
      </c>
      <c r="W136" s="350">
        <f t="shared" si="35"/>
        <v>-1.0681573275862068E-3</v>
      </c>
      <c r="X136" s="397">
        <f t="shared" si="19"/>
        <v>0</v>
      </c>
      <c r="Y136" s="352">
        <f t="shared" si="20"/>
        <v>1</v>
      </c>
      <c r="Z136" s="353">
        <f t="shared" si="21"/>
        <v>25</v>
      </c>
      <c r="AA136" s="350">
        <f t="shared" si="22"/>
        <v>-7.3330901233497059E-3</v>
      </c>
      <c r="AB136" s="120" t="s">
        <v>471</v>
      </c>
    </row>
    <row r="137" spans="1:28" ht="12.75" customHeight="1">
      <c r="A137" s="120" t="s">
        <v>551</v>
      </c>
      <c r="B137" s="120" t="s">
        <v>1187</v>
      </c>
      <c r="C137" s="343" t="s">
        <v>1188</v>
      </c>
      <c r="D137" s="344" t="s">
        <v>1189</v>
      </c>
      <c r="E137" s="345">
        <f t="shared" si="38"/>
        <v>0.23287671232876711</v>
      </c>
      <c r="F137" s="121" t="s">
        <v>1124</v>
      </c>
      <c r="G137" s="121" t="s">
        <v>1125</v>
      </c>
      <c r="H137" s="346">
        <f t="shared" si="36"/>
        <v>36.54</v>
      </c>
      <c r="I137" s="121">
        <v>100</v>
      </c>
      <c r="J137" s="346">
        <v>36.5</v>
      </c>
      <c r="K137" s="128">
        <v>3654</v>
      </c>
      <c r="L137" s="150">
        <v>44391</v>
      </c>
      <c r="M137" s="124">
        <f t="shared" si="14"/>
        <v>34.76</v>
      </c>
      <c r="N137" s="155">
        <v>34.799999999999997</v>
      </c>
      <c r="O137" s="347">
        <v>3476</v>
      </c>
      <c r="P137" s="120">
        <v>44580</v>
      </c>
      <c r="Q137" s="348">
        <v>44578</v>
      </c>
      <c r="R137" s="125">
        <v>15.93</v>
      </c>
      <c r="S137" s="125"/>
      <c r="T137" s="127">
        <f t="shared" si="34"/>
        <v>-178</v>
      </c>
      <c r="U137" s="127" t="str">
        <f t="shared" si="16"/>
        <v>100 BRNL</v>
      </c>
      <c r="V137" s="127">
        <f t="shared" si="17"/>
        <v>-193.93</v>
      </c>
      <c r="W137" s="350">
        <f t="shared" si="35"/>
        <v>-5.3073344280240832E-2</v>
      </c>
      <c r="X137" s="397">
        <f t="shared" si="19"/>
        <v>0</v>
      </c>
      <c r="Y137" s="352">
        <f t="shared" si="20"/>
        <v>6</v>
      </c>
      <c r="Z137" s="353">
        <f t="shared" si="21"/>
        <v>5</v>
      </c>
      <c r="AA137" s="350">
        <f t="shared" si="22"/>
        <v>-9.9960191337526871E-2</v>
      </c>
      <c r="AB137" s="120" t="s">
        <v>471</v>
      </c>
    </row>
    <row r="138" spans="1:28" ht="12.75" customHeight="1">
      <c r="A138" s="120" t="s">
        <v>485</v>
      </c>
      <c r="B138" s="120" t="s">
        <v>1190</v>
      </c>
      <c r="C138" s="343" t="s">
        <v>1163</v>
      </c>
      <c r="D138" s="344"/>
      <c r="E138" s="345"/>
      <c r="F138" s="121"/>
      <c r="G138" s="121"/>
      <c r="H138" s="346">
        <f t="shared" si="36"/>
        <v>259.27999999999997</v>
      </c>
      <c r="I138" s="121">
        <v>25</v>
      </c>
      <c r="J138" s="346">
        <v>259</v>
      </c>
      <c r="K138" s="128">
        <v>6482</v>
      </c>
      <c r="L138" s="150">
        <v>44299</v>
      </c>
      <c r="M138" s="124">
        <f t="shared" si="14"/>
        <v>270.24</v>
      </c>
      <c r="N138" s="155">
        <v>270.5</v>
      </c>
      <c r="O138" s="347">
        <v>6756</v>
      </c>
      <c r="P138" s="120">
        <v>44337</v>
      </c>
      <c r="Q138" s="348">
        <v>44335</v>
      </c>
      <c r="R138" s="125">
        <v>15.93</v>
      </c>
      <c r="S138" s="125"/>
      <c r="T138" s="127">
        <f t="shared" si="34"/>
        <v>274</v>
      </c>
      <c r="U138" s="127" t="str">
        <f t="shared" si="16"/>
        <v>25 BSOFT</v>
      </c>
      <c r="V138" s="127">
        <f t="shared" si="17"/>
        <v>258.07</v>
      </c>
      <c r="W138" s="350">
        <f t="shared" si="35"/>
        <v>3.9813329219376734E-2</v>
      </c>
      <c r="X138" s="397">
        <f t="shared" si="19"/>
        <v>0</v>
      </c>
      <c r="Y138" s="352">
        <f t="shared" si="20"/>
        <v>1</v>
      </c>
      <c r="Z138" s="353">
        <f t="shared" si="21"/>
        <v>8</v>
      </c>
      <c r="AA138" s="350">
        <f t="shared" si="22"/>
        <v>0.45499295217260749</v>
      </c>
      <c r="AB138" s="120" t="s">
        <v>471</v>
      </c>
    </row>
    <row r="139" spans="1:28" ht="12.75" customHeight="1">
      <c r="A139" s="120" t="s">
        <v>506</v>
      </c>
      <c r="B139" s="120" t="s">
        <v>1191</v>
      </c>
      <c r="C139" s="343" t="s">
        <v>1163</v>
      </c>
      <c r="D139" s="344" t="s">
        <v>1192</v>
      </c>
      <c r="E139" s="345" t="str">
        <f t="shared" ref="E139:E140" si="39">IFERROR(IF(D139="","",(D139-J139)/J139),"")</f>
        <v/>
      </c>
      <c r="F139" s="121" t="s">
        <v>1124</v>
      </c>
      <c r="G139" s="121" t="s">
        <v>1125</v>
      </c>
      <c r="H139" s="346">
        <f t="shared" si="36"/>
        <v>144.66999999999999</v>
      </c>
      <c r="I139" s="121">
        <v>100</v>
      </c>
      <c r="J139" s="346">
        <v>144.5</v>
      </c>
      <c r="K139" s="128">
        <v>14467</v>
      </c>
      <c r="L139" s="150">
        <v>44334</v>
      </c>
      <c r="M139" s="124">
        <f t="shared" si="14"/>
        <v>153.84</v>
      </c>
      <c r="N139" s="155">
        <v>154</v>
      </c>
      <c r="O139" s="347">
        <v>15384</v>
      </c>
      <c r="P139" s="120">
        <v>44344</v>
      </c>
      <c r="Q139" s="348">
        <v>44341</v>
      </c>
      <c r="R139" s="125">
        <v>15.93</v>
      </c>
      <c r="S139" s="125"/>
      <c r="T139" s="127">
        <f t="shared" si="34"/>
        <v>917</v>
      </c>
      <c r="U139" s="127" t="str">
        <f t="shared" si="16"/>
        <v>100 BURGERKING</v>
      </c>
      <c r="V139" s="127">
        <f t="shared" si="17"/>
        <v>901.07</v>
      </c>
      <c r="W139" s="350">
        <f t="shared" si="35"/>
        <v>6.2284509573512135E-2</v>
      </c>
      <c r="X139" s="397">
        <f t="shared" si="19"/>
        <v>0</v>
      </c>
      <c r="Y139" s="352">
        <f t="shared" si="20"/>
        <v>0</v>
      </c>
      <c r="Z139" s="353">
        <f t="shared" si="21"/>
        <v>10</v>
      </c>
      <c r="AA139" s="350">
        <f t="shared" si="22"/>
        <v>8.0738369808912651</v>
      </c>
      <c r="AB139" s="120" t="s">
        <v>471</v>
      </c>
    </row>
    <row r="140" spans="1:28" ht="12.75" customHeight="1">
      <c r="A140" s="121" t="s">
        <v>1193</v>
      </c>
      <c r="B140" s="120"/>
      <c r="C140" s="343"/>
      <c r="D140" s="344"/>
      <c r="E140" s="345" t="str">
        <f t="shared" si="39"/>
        <v/>
      </c>
      <c r="F140" s="121" t="s">
        <v>1121</v>
      </c>
      <c r="G140" s="121"/>
      <c r="H140" s="346">
        <f t="shared" si="36"/>
        <v>292</v>
      </c>
      <c r="I140" s="121">
        <v>51</v>
      </c>
      <c r="J140" s="346">
        <v>292</v>
      </c>
      <c r="K140" s="128">
        <v>14892</v>
      </c>
      <c r="L140" s="150">
        <v>44686</v>
      </c>
      <c r="M140" s="124">
        <f t="shared" si="14"/>
        <v>364.6275</v>
      </c>
      <c r="N140" s="155">
        <v>365</v>
      </c>
      <c r="O140" s="347">
        <v>18596</v>
      </c>
      <c r="P140" s="120">
        <v>44692</v>
      </c>
      <c r="Q140" s="348">
        <v>44690</v>
      </c>
      <c r="R140" s="125">
        <v>15.93</v>
      </c>
      <c r="S140" s="125"/>
      <c r="T140" s="127">
        <f t="shared" si="34"/>
        <v>3704</v>
      </c>
      <c r="U140" s="127" t="str">
        <f t="shared" si="16"/>
        <v>51 CAMPUS</v>
      </c>
      <c r="V140" s="127">
        <f t="shared" si="17"/>
        <v>3688.07</v>
      </c>
      <c r="W140" s="350">
        <f t="shared" si="35"/>
        <v>0.24765444533977976</v>
      </c>
      <c r="X140" s="397">
        <f t="shared" si="19"/>
        <v>0</v>
      </c>
      <c r="Y140" s="352">
        <f t="shared" si="20"/>
        <v>0</v>
      </c>
      <c r="Z140" s="353">
        <f t="shared" si="21"/>
        <v>6</v>
      </c>
      <c r="AA140" s="350">
        <f t="shared" si="22"/>
        <v>701030.7651114834</v>
      </c>
      <c r="AB140" s="120" t="s">
        <v>471</v>
      </c>
    </row>
    <row r="141" spans="1:28" ht="12.75" customHeight="1">
      <c r="A141" s="120" t="s">
        <v>470</v>
      </c>
      <c r="B141" s="120" t="s">
        <v>1126</v>
      </c>
      <c r="C141" s="343" t="s">
        <v>1163</v>
      </c>
      <c r="D141" s="344"/>
      <c r="E141" s="345"/>
      <c r="F141" s="121" t="s">
        <v>1121</v>
      </c>
      <c r="G141" s="121"/>
      <c r="H141" s="346">
        <v>1230</v>
      </c>
      <c r="I141" s="121">
        <v>12</v>
      </c>
      <c r="J141" s="346">
        <v>1230</v>
      </c>
      <c r="K141" s="128">
        <v>14760</v>
      </c>
      <c r="L141" s="150">
        <v>44103</v>
      </c>
      <c r="M141" s="124">
        <f t="shared" si="14"/>
        <v>1311.6183000000001</v>
      </c>
      <c r="N141" s="155">
        <v>1313</v>
      </c>
      <c r="O141" s="347">
        <v>15739.42</v>
      </c>
      <c r="P141" s="120">
        <v>44152</v>
      </c>
      <c r="Q141" s="348">
        <v>44148</v>
      </c>
      <c r="R141" s="125">
        <v>15.93</v>
      </c>
      <c r="S141" s="125"/>
      <c r="T141" s="127">
        <f t="shared" si="34"/>
        <v>979.42000000000007</v>
      </c>
      <c r="U141" s="127" t="str">
        <f t="shared" si="16"/>
        <v>12 CAMS</v>
      </c>
      <c r="V141" s="127">
        <f t="shared" si="17"/>
        <v>963.49000000000012</v>
      </c>
      <c r="W141" s="350">
        <f t="shared" si="35"/>
        <v>6.5277100271002725E-2</v>
      </c>
      <c r="X141" s="397">
        <f t="shared" si="19"/>
        <v>0</v>
      </c>
      <c r="Y141" s="352">
        <f t="shared" si="20"/>
        <v>1</v>
      </c>
      <c r="Z141" s="353">
        <f t="shared" si="21"/>
        <v>19</v>
      </c>
      <c r="AA141" s="350">
        <f t="shared" si="22"/>
        <v>0.60165244931410844</v>
      </c>
      <c r="AB141" s="120" t="s">
        <v>471</v>
      </c>
    </row>
    <row r="142" spans="1:28" ht="12.75" customHeight="1">
      <c r="A142" s="120" t="s">
        <v>597</v>
      </c>
      <c r="B142" s="120" t="s">
        <v>1194</v>
      </c>
      <c r="C142" s="343"/>
      <c r="D142" s="344">
        <v>240</v>
      </c>
      <c r="E142" s="345">
        <f t="shared" ref="E142:E146" si="40">IFERROR(IF(D142="","",(D142-J142)/J142),"")</f>
        <v>4.3478260869565216E-2</v>
      </c>
      <c r="F142" s="121" t="s">
        <v>1167</v>
      </c>
      <c r="G142" s="121" t="s">
        <v>1125</v>
      </c>
      <c r="H142" s="346">
        <f t="shared" ref="H142:H150" si="41">ROUND(K142/I142,4)</f>
        <v>230.28</v>
      </c>
      <c r="I142" s="121">
        <v>50</v>
      </c>
      <c r="J142" s="346">
        <v>230</v>
      </c>
      <c r="K142" s="128">
        <v>11514</v>
      </c>
      <c r="L142" s="150">
        <v>44649</v>
      </c>
      <c r="M142" s="124">
        <f t="shared" si="14"/>
        <v>238.26</v>
      </c>
      <c r="N142" s="155">
        <v>238.5</v>
      </c>
      <c r="O142" s="347">
        <v>11913</v>
      </c>
      <c r="P142" s="120">
        <v>44656</v>
      </c>
      <c r="Q142" s="348">
        <v>44652</v>
      </c>
      <c r="R142" s="125">
        <v>15.93</v>
      </c>
      <c r="S142" s="125"/>
      <c r="T142" s="127">
        <f t="shared" si="34"/>
        <v>399</v>
      </c>
      <c r="U142" s="127" t="str">
        <f t="shared" si="16"/>
        <v>50 CANBK</v>
      </c>
      <c r="V142" s="127">
        <f t="shared" si="17"/>
        <v>383.07</v>
      </c>
      <c r="W142" s="350">
        <f t="shared" si="35"/>
        <v>3.3269932256383535E-2</v>
      </c>
      <c r="X142" s="397">
        <f t="shared" si="19"/>
        <v>0</v>
      </c>
      <c r="Y142" s="352">
        <f t="shared" si="20"/>
        <v>0</v>
      </c>
      <c r="Z142" s="353">
        <f t="shared" si="21"/>
        <v>7</v>
      </c>
      <c r="AA142" s="350">
        <f t="shared" si="22"/>
        <v>4.5099507129909728</v>
      </c>
      <c r="AB142" s="120" t="s">
        <v>471</v>
      </c>
    </row>
    <row r="143" spans="1:28" ht="12" customHeight="1">
      <c r="A143" s="120" t="s">
        <v>600</v>
      </c>
      <c r="B143" s="120"/>
      <c r="C143" s="343"/>
      <c r="D143" s="344">
        <v>1050</v>
      </c>
      <c r="E143" s="345">
        <f t="shared" si="40"/>
        <v>0.33248730964467005</v>
      </c>
      <c r="F143" s="121" t="s">
        <v>1195</v>
      </c>
      <c r="G143" s="121"/>
      <c r="H143" s="346">
        <f t="shared" si="41"/>
        <v>789</v>
      </c>
      <c r="I143" s="121">
        <v>5</v>
      </c>
      <c r="J143" s="346">
        <v>788</v>
      </c>
      <c r="K143" s="128">
        <v>3945</v>
      </c>
      <c r="L143" s="150">
        <v>44652</v>
      </c>
      <c r="M143" s="124">
        <f t="shared" si="14"/>
        <v>849.2</v>
      </c>
      <c r="N143" s="155">
        <v>850</v>
      </c>
      <c r="O143" s="347">
        <v>4246</v>
      </c>
      <c r="P143" s="120">
        <v>44778</v>
      </c>
      <c r="Q143" s="348">
        <v>44776</v>
      </c>
      <c r="R143" s="125">
        <v>15.93</v>
      </c>
      <c r="S143" s="125"/>
      <c r="T143" s="127">
        <f t="shared" ref="T143:T145" si="42">IF(OR(O143="",K143=""),"",O143-K143)</f>
        <v>301</v>
      </c>
      <c r="U143" s="127" t="str">
        <f t="shared" si="16"/>
        <v>5 CARBORUNIN</v>
      </c>
      <c r="V143" s="127">
        <f t="shared" si="17"/>
        <v>285.07</v>
      </c>
      <c r="W143" s="350">
        <f t="shared" ref="W143:W145" si="43">IF(OR(K143="",V143=""),"",V143/K143)</f>
        <v>7.2261089987325722E-2</v>
      </c>
      <c r="X143" s="397">
        <f t="shared" si="19"/>
        <v>0</v>
      </c>
      <c r="Y143" s="352">
        <f t="shared" si="20"/>
        <v>4</v>
      </c>
      <c r="Z143" s="353">
        <f t="shared" si="21"/>
        <v>4</v>
      </c>
      <c r="AA143" s="350">
        <f t="shared" si="22"/>
        <v>0.22398302043343743</v>
      </c>
      <c r="AB143" s="120" t="s">
        <v>471</v>
      </c>
    </row>
    <row r="144" spans="1:28" ht="12" customHeight="1">
      <c r="A144" s="120" t="s">
        <v>600</v>
      </c>
      <c r="B144" s="120"/>
      <c r="C144" s="343"/>
      <c r="D144" s="344">
        <v>1050</v>
      </c>
      <c r="E144" s="345">
        <f t="shared" si="40"/>
        <v>0.33248730964467005</v>
      </c>
      <c r="F144" s="121" t="s">
        <v>1195</v>
      </c>
      <c r="G144" s="121"/>
      <c r="H144" s="346">
        <f t="shared" si="41"/>
        <v>788.9</v>
      </c>
      <c r="I144" s="121">
        <v>10</v>
      </c>
      <c r="J144" s="346">
        <v>788</v>
      </c>
      <c r="K144" s="128">
        <v>7889</v>
      </c>
      <c r="L144" s="150">
        <v>44652</v>
      </c>
      <c r="M144" s="124">
        <f t="shared" si="14"/>
        <v>819.2</v>
      </c>
      <c r="N144" s="155">
        <v>820</v>
      </c>
      <c r="O144" s="347">
        <v>8192</v>
      </c>
      <c r="P144" s="120">
        <v>44798</v>
      </c>
      <c r="Q144" s="348">
        <v>44796</v>
      </c>
      <c r="R144" s="125">
        <v>15.93</v>
      </c>
      <c r="S144" s="125"/>
      <c r="T144" s="127">
        <f t="shared" si="42"/>
        <v>303</v>
      </c>
      <c r="U144" s="127" t="str">
        <f t="shared" si="16"/>
        <v>10 CARBORUNIN</v>
      </c>
      <c r="V144" s="127">
        <f t="shared" si="17"/>
        <v>287.07</v>
      </c>
      <c r="W144" s="350">
        <f t="shared" si="43"/>
        <v>3.6388642413487132E-2</v>
      </c>
      <c r="X144" s="397">
        <f t="shared" si="19"/>
        <v>0</v>
      </c>
      <c r="Y144" s="352">
        <f t="shared" si="20"/>
        <v>4</v>
      </c>
      <c r="Z144" s="353">
        <f t="shared" si="21"/>
        <v>24</v>
      </c>
      <c r="AA144" s="350">
        <f t="shared" si="22"/>
        <v>9.3469345528722991E-2</v>
      </c>
      <c r="AB144" s="120" t="s">
        <v>471</v>
      </c>
    </row>
    <row r="145" spans="1:28" ht="12.75" customHeight="1">
      <c r="A145" s="120" t="s">
        <v>600</v>
      </c>
      <c r="B145" s="120"/>
      <c r="C145" s="343"/>
      <c r="D145" s="344">
        <v>1050</v>
      </c>
      <c r="E145" s="345">
        <f t="shared" si="40"/>
        <v>0.33248730964467005</v>
      </c>
      <c r="F145" s="121" t="s">
        <v>1195</v>
      </c>
      <c r="G145" s="121"/>
      <c r="H145" s="346">
        <f t="shared" si="41"/>
        <v>788.9</v>
      </c>
      <c r="I145" s="121">
        <v>10</v>
      </c>
      <c r="J145" s="346">
        <v>788</v>
      </c>
      <c r="K145" s="128">
        <v>7889</v>
      </c>
      <c r="L145" s="150">
        <v>44652</v>
      </c>
      <c r="M145" s="124">
        <f t="shared" si="14"/>
        <v>829.1</v>
      </c>
      <c r="N145" s="155">
        <v>830</v>
      </c>
      <c r="O145" s="347">
        <v>8291</v>
      </c>
      <c r="P145" s="120">
        <v>44799</v>
      </c>
      <c r="Q145" s="348">
        <v>44797</v>
      </c>
      <c r="R145" s="125">
        <v>15.93</v>
      </c>
      <c r="S145" s="125"/>
      <c r="T145" s="127">
        <f t="shared" si="42"/>
        <v>402</v>
      </c>
      <c r="U145" s="127" t="str">
        <f t="shared" si="16"/>
        <v>10 CARBORUNIN</v>
      </c>
      <c r="V145" s="127">
        <f t="shared" si="17"/>
        <v>386.07</v>
      </c>
      <c r="W145" s="350">
        <f t="shared" si="43"/>
        <v>4.8937761439979716E-2</v>
      </c>
      <c r="X145" s="397">
        <f t="shared" si="19"/>
        <v>0</v>
      </c>
      <c r="Y145" s="352">
        <f t="shared" si="20"/>
        <v>4</v>
      </c>
      <c r="Z145" s="353">
        <f t="shared" si="21"/>
        <v>25</v>
      </c>
      <c r="AA145" s="350">
        <f t="shared" si="22"/>
        <v>0.12595598568552346</v>
      </c>
      <c r="AB145" s="120" t="s">
        <v>471</v>
      </c>
    </row>
    <row r="146" spans="1:28" ht="12.75" customHeight="1">
      <c r="A146" s="120" t="s">
        <v>491</v>
      </c>
      <c r="B146" s="120" t="s">
        <v>1196</v>
      </c>
      <c r="C146" s="343" t="s">
        <v>1163</v>
      </c>
      <c r="D146" s="344">
        <v>630</v>
      </c>
      <c r="E146" s="345">
        <f t="shared" si="40"/>
        <v>0.12701252236135957</v>
      </c>
      <c r="F146" s="121" t="s">
        <v>1116</v>
      </c>
      <c r="G146" s="121" t="s">
        <v>1170</v>
      </c>
      <c r="H146" s="346">
        <f t="shared" si="41"/>
        <v>559.65</v>
      </c>
      <c r="I146" s="121">
        <v>20</v>
      </c>
      <c r="J146" s="346">
        <v>559</v>
      </c>
      <c r="K146" s="128">
        <v>11193</v>
      </c>
      <c r="L146" s="150">
        <v>44316</v>
      </c>
      <c r="M146" s="124">
        <f t="shared" si="14"/>
        <v>583.4</v>
      </c>
      <c r="N146" s="155">
        <v>584</v>
      </c>
      <c r="O146" s="347">
        <v>11668</v>
      </c>
      <c r="P146" s="120">
        <v>44322</v>
      </c>
      <c r="Q146" s="348">
        <v>44320</v>
      </c>
      <c r="R146" s="125">
        <v>15.93</v>
      </c>
      <c r="S146" s="125"/>
      <c r="T146" s="127">
        <f t="shared" ref="T146:T167" si="44">IF(O146="","",O146-K146)</f>
        <v>475</v>
      </c>
      <c r="U146" s="127" t="str">
        <f t="shared" si="16"/>
        <v>20 CARBORUNIV</v>
      </c>
      <c r="V146" s="127">
        <f t="shared" si="17"/>
        <v>459.07</v>
      </c>
      <c r="W146" s="350">
        <f t="shared" ref="W146:W167" si="45">IF(M146=0,"",V146/K146)</f>
        <v>4.1014026623782722E-2</v>
      </c>
      <c r="X146" s="397">
        <f t="shared" si="19"/>
        <v>0</v>
      </c>
      <c r="Y146" s="352">
        <f t="shared" si="20"/>
        <v>0</v>
      </c>
      <c r="Z146" s="353">
        <f t="shared" si="21"/>
        <v>6</v>
      </c>
      <c r="AA146" s="350">
        <f t="shared" si="22"/>
        <v>10.532992910916949</v>
      </c>
      <c r="AB146" s="120" t="s">
        <v>471</v>
      </c>
    </row>
    <row r="147" spans="1:28" ht="12.75" customHeight="1">
      <c r="A147" s="120" t="s">
        <v>491</v>
      </c>
      <c r="B147" s="120" t="s">
        <v>1196</v>
      </c>
      <c r="C147" s="343" t="s">
        <v>1163</v>
      </c>
      <c r="D147" s="344" t="s">
        <v>1197</v>
      </c>
      <c r="E147" s="345">
        <v>0.12701252236135957</v>
      </c>
      <c r="F147" s="121" t="s">
        <v>1116</v>
      </c>
      <c r="G147" s="121" t="s">
        <v>1117</v>
      </c>
      <c r="H147" s="346">
        <f t="shared" si="41"/>
        <v>635.76</v>
      </c>
      <c r="I147" s="121">
        <v>25</v>
      </c>
      <c r="J147" s="346">
        <v>635</v>
      </c>
      <c r="K147" s="128">
        <v>15894</v>
      </c>
      <c r="L147" s="150">
        <v>44378</v>
      </c>
      <c r="M147" s="124">
        <f t="shared" si="14"/>
        <v>660.32</v>
      </c>
      <c r="N147" s="155">
        <v>661</v>
      </c>
      <c r="O147" s="347">
        <v>16508</v>
      </c>
      <c r="P147" s="120">
        <v>44383</v>
      </c>
      <c r="Q147" s="348">
        <v>44379</v>
      </c>
      <c r="R147" s="125">
        <v>15.93</v>
      </c>
      <c r="S147" s="125"/>
      <c r="T147" s="127">
        <f t="shared" si="44"/>
        <v>614</v>
      </c>
      <c r="U147" s="127" t="str">
        <f t="shared" si="16"/>
        <v>25 CARBORUNIV</v>
      </c>
      <c r="V147" s="127">
        <f t="shared" si="17"/>
        <v>598.07000000000005</v>
      </c>
      <c r="W147" s="350">
        <f t="shared" si="45"/>
        <v>3.7628664904995598E-2</v>
      </c>
      <c r="X147" s="397">
        <f t="shared" si="19"/>
        <v>0</v>
      </c>
      <c r="Y147" s="352">
        <f t="shared" si="20"/>
        <v>0</v>
      </c>
      <c r="Z147" s="353">
        <f t="shared" si="21"/>
        <v>5</v>
      </c>
      <c r="AA147" s="350">
        <f t="shared" si="22"/>
        <v>13.827336315044185</v>
      </c>
      <c r="AB147" s="120" t="s">
        <v>471</v>
      </c>
    </row>
    <row r="148" spans="1:28" ht="12.75" customHeight="1">
      <c r="A148" s="120" t="s">
        <v>562</v>
      </c>
      <c r="B148" s="120" t="s">
        <v>1198</v>
      </c>
      <c r="C148" s="343" t="s">
        <v>1127</v>
      </c>
      <c r="D148" s="344"/>
      <c r="E148" s="345" t="str">
        <f t="shared" ref="E148:E150" si="46">IFERROR(IF(D148="","",(D148-J148)/J148),"")</f>
        <v/>
      </c>
      <c r="F148" s="121" t="s">
        <v>1107</v>
      </c>
      <c r="G148" s="121"/>
      <c r="H148" s="346">
        <f t="shared" si="41"/>
        <v>1211.4000000000001</v>
      </c>
      <c r="I148" s="121">
        <v>5</v>
      </c>
      <c r="J148" s="346">
        <v>1210</v>
      </c>
      <c r="K148" s="128">
        <v>6057</v>
      </c>
      <c r="L148" s="150">
        <v>44445</v>
      </c>
      <c r="M148" s="124">
        <f t="shared" si="14"/>
        <v>1464.4</v>
      </c>
      <c r="N148" s="155">
        <v>1466</v>
      </c>
      <c r="O148" s="347">
        <v>7322</v>
      </c>
      <c r="P148" s="120">
        <v>44516</v>
      </c>
      <c r="Q148" s="348">
        <v>44512</v>
      </c>
      <c r="R148" s="125">
        <f>15.93+15.93+15.93</f>
        <v>47.79</v>
      </c>
      <c r="S148" s="125">
        <v>45</v>
      </c>
      <c r="T148" s="127">
        <f t="shared" si="44"/>
        <v>1265</v>
      </c>
      <c r="U148" s="127" t="str">
        <f t="shared" si="16"/>
        <v>5 CDSL</v>
      </c>
      <c r="V148" s="127">
        <f t="shared" si="17"/>
        <v>1262.21</v>
      </c>
      <c r="W148" s="350">
        <f t="shared" si="45"/>
        <v>0.20838864124153872</v>
      </c>
      <c r="X148" s="397">
        <f t="shared" si="19"/>
        <v>0</v>
      </c>
      <c r="Y148" s="352">
        <f t="shared" si="20"/>
        <v>2</v>
      </c>
      <c r="Z148" s="353">
        <f t="shared" si="21"/>
        <v>10</v>
      </c>
      <c r="AA148" s="350">
        <f t="shared" si="22"/>
        <v>1.6461324011083245</v>
      </c>
      <c r="AB148" s="120" t="s">
        <v>471</v>
      </c>
    </row>
    <row r="149" spans="1:28" ht="12.75" customHeight="1">
      <c r="A149" s="120" t="s">
        <v>562</v>
      </c>
      <c r="B149" s="120" t="s">
        <v>1198</v>
      </c>
      <c r="C149" s="343" t="s">
        <v>1127</v>
      </c>
      <c r="D149" s="344"/>
      <c r="E149" s="345" t="str">
        <f t="shared" si="46"/>
        <v/>
      </c>
      <c r="F149" s="121" t="s">
        <v>1107</v>
      </c>
      <c r="G149" s="121"/>
      <c r="H149" s="346">
        <f t="shared" si="41"/>
        <v>1451.8</v>
      </c>
      <c r="I149" s="121">
        <v>5</v>
      </c>
      <c r="J149" s="346">
        <v>1450</v>
      </c>
      <c r="K149" s="128">
        <v>7259</v>
      </c>
      <c r="L149" s="150">
        <v>44510</v>
      </c>
      <c r="M149" s="124">
        <f t="shared" si="14"/>
        <v>1464.6</v>
      </c>
      <c r="N149" s="155">
        <v>1466</v>
      </c>
      <c r="O149" s="347">
        <v>7323</v>
      </c>
      <c r="P149" s="120">
        <v>44516</v>
      </c>
      <c r="Q149" s="348">
        <v>44512</v>
      </c>
      <c r="R149" s="125"/>
      <c r="S149" s="125"/>
      <c r="T149" s="127">
        <f t="shared" si="44"/>
        <v>64</v>
      </c>
      <c r="U149" s="127" t="str">
        <f t="shared" si="16"/>
        <v>5 CDSL</v>
      </c>
      <c r="V149" s="127">
        <f t="shared" si="17"/>
        <v>64</v>
      </c>
      <c r="W149" s="350">
        <f t="shared" si="45"/>
        <v>8.8166414106626255E-3</v>
      </c>
      <c r="X149" s="397">
        <f t="shared" si="19"/>
        <v>0</v>
      </c>
      <c r="Y149" s="352">
        <f t="shared" si="20"/>
        <v>0</v>
      </c>
      <c r="Z149" s="353">
        <f t="shared" si="21"/>
        <v>6</v>
      </c>
      <c r="AA149" s="350">
        <f t="shared" si="22"/>
        <v>0.70573330307583992</v>
      </c>
      <c r="AB149" s="120" t="s">
        <v>471</v>
      </c>
    </row>
    <row r="150" spans="1:28" ht="12.75" customHeight="1">
      <c r="A150" s="120" t="s">
        <v>562</v>
      </c>
      <c r="B150" s="120" t="s">
        <v>1198</v>
      </c>
      <c r="C150" s="343" t="s">
        <v>1127</v>
      </c>
      <c r="D150" s="344"/>
      <c r="E150" s="345" t="str">
        <f t="shared" si="46"/>
        <v/>
      </c>
      <c r="F150" s="121" t="s">
        <v>1107</v>
      </c>
      <c r="G150" s="121"/>
      <c r="H150" s="346">
        <f t="shared" si="41"/>
        <v>1497</v>
      </c>
      <c r="I150" s="121">
        <v>2</v>
      </c>
      <c r="J150" s="346">
        <v>1495</v>
      </c>
      <c r="K150" s="128">
        <v>2994</v>
      </c>
      <c r="L150" s="150">
        <v>44561</v>
      </c>
      <c r="M150" s="124">
        <f t="shared" si="14"/>
        <v>1558.5</v>
      </c>
      <c r="N150" s="155">
        <v>1560</v>
      </c>
      <c r="O150" s="347">
        <v>3117</v>
      </c>
      <c r="P150" s="120">
        <v>44636</v>
      </c>
      <c r="Q150" s="348">
        <v>44634</v>
      </c>
      <c r="R150" s="125">
        <v>15.93</v>
      </c>
      <c r="S150" s="125"/>
      <c r="T150" s="127">
        <f t="shared" si="44"/>
        <v>123</v>
      </c>
      <c r="U150" s="127" t="str">
        <f t="shared" si="16"/>
        <v>2 CDSL</v>
      </c>
      <c r="V150" s="127">
        <f t="shared" si="17"/>
        <v>107.07</v>
      </c>
      <c r="W150" s="350">
        <f t="shared" si="45"/>
        <v>3.5761523046092182E-2</v>
      </c>
      <c r="X150" s="397">
        <f t="shared" si="19"/>
        <v>0</v>
      </c>
      <c r="Y150" s="352">
        <f t="shared" si="20"/>
        <v>2</v>
      </c>
      <c r="Z150" s="353">
        <f t="shared" si="21"/>
        <v>13</v>
      </c>
      <c r="AA150" s="350">
        <f t="shared" si="22"/>
        <v>0.18649040792590621</v>
      </c>
      <c r="AB150" s="120" t="s">
        <v>471</v>
      </c>
    </row>
    <row r="151" spans="1:28" ht="12.75" customHeight="1">
      <c r="A151" s="120" t="s">
        <v>468</v>
      </c>
      <c r="B151" s="120" t="s">
        <v>1199</v>
      </c>
      <c r="C151" s="343" t="s">
        <v>1163</v>
      </c>
      <c r="D151" s="344"/>
      <c r="E151" s="345"/>
      <c r="F151" s="121"/>
      <c r="G151" s="121"/>
      <c r="H151" s="346">
        <f>132.3536/2</f>
        <v>66.1768</v>
      </c>
      <c r="I151" s="121">
        <v>50</v>
      </c>
      <c r="J151" s="346">
        <f>131.6/2</f>
        <v>65.8</v>
      </c>
      <c r="K151" s="128">
        <v>3308.84</v>
      </c>
      <c r="L151" s="150">
        <v>41205</v>
      </c>
      <c r="M151" s="124">
        <f t="shared" si="14"/>
        <v>96.81</v>
      </c>
      <c r="N151" s="155">
        <v>97.5</v>
      </c>
      <c r="O151" s="347">
        <v>4840.5</v>
      </c>
      <c r="P151" s="120">
        <v>43117</v>
      </c>
      <c r="Q151" s="348">
        <v>43115</v>
      </c>
      <c r="R151" s="125">
        <v>24.78</v>
      </c>
      <c r="S151" s="125">
        <f>20+20+20+20+20+20+20+75+87.5</f>
        <v>302.5</v>
      </c>
      <c r="T151" s="127">
        <f t="shared" si="44"/>
        <v>1531.6599999999999</v>
      </c>
      <c r="U151" s="127" t="str">
        <f t="shared" si="16"/>
        <v>50 CGPOWER</v>
      </c>
      <c r="V151" s="127">
        <f t="shared" si="17"/>
        <v>1809.3799999999999</v>
      </c>
      <c r="W151" s="350">
        <f t="shared" si="45"/>
        <v>0.54683212243565715</v>
      </c>
      <c r="X151" s="397">
        <f t="shared" si="19"/>
        <v>5</v>
      </c>
      <c r="Y151" s="352">
        <f t="shared" si="20"/>
        <v>2</v>
      </c>
      <c r="Z151" s="353">
        <f t="shared" si="21"/>
        <v>25</v>
      </c>
      <c r="AA151" s="350">
        <f t="shared" si="22"/>
        <v>8.6837523607971701E-2</v>
      </c>
      <c r="AB151" s="120" t="s">
        <v>448</v>
      </c>
    </row>
    <row r="152" spans="1:28" ht="12.75" customHeight="1">
      <c r="A152" s="120" t="s">
        <v>486</v>
      </c>
      <c r="B152" s="120" t="s">
        <v>1200</v>
      </c>
      <c r="C152" s="343" t="s">
        <v>1120</v>
      </c>
      <c r="D152" s="344"/>
      <c r="E152" s="345"/>
      <c r="F152" s="121"/>
      <c r="G152" s="121"/>
      <c r="H152" s="346">
        <f t="shared" ref="H152:H156" si="47">ROUND(K152/I152,4)</f>
        <v>512.24</v>
      </c>
      <c r="I152" s="121">
        <v>25</v>
      </c>
      <c r="J152" s="346">
        <v>511.6</v>
      </c>
      <c r="K152" s="128">
        <v>12806</v>
      </c>
      <c r="L152" s="150">
        <v>44299</v>
      </c>
      <c r="M152" s="124">
        <f t="shared" si="14"/>
        <v>551.16</v>
      </c>
      <c r="N152" s="155">
        <v>551.75</v>
      </c>
      <c r="O152" s="347">
        <v>13779</v>
      </c>
      <c r="P152" s="120">
        <v>44312</v>
      </c>
      <c r="Q152" s="348">
        <v>44308</v>
      </c>
      <c r="R152" s="125">
        <v>15.93</v>
      </c>
      <c r="S152" s="125"/>
      <c r="T152" s="127">
        <f t="shared" si="44"/>
        <v>973</v>
      </c>
      <c r="U152" s="127" t="str">
        <f t="shared" si="16"/>
        <v>25 CHOLAFIN</v>
      </c>
      <c r="V152" s="127">
        <f t="shared" si="17"/>
        <v>957.07</v>
      </c>
      <c r="W152" s="350">
        <f t="shared" si="45"/>
        <v>7.4736061221302524E-2</v>
      </c>
      <c r="X152" s="397">
        <f t="shared" si="19"/>
        <v>0</v>
      </c>
      <c r="Y152" s="352">
        <f t="shared" si="20"/>
        <v>0</v>
      </c>
      <c r="Z152" s="353">
        <f t="shared" si="21"/>
        <v>13</v>
      </c>
      <c r="AA152" s="350">
        <f t="shared" si="22"/>
        <v>6.5658691733370169</v>
      </c>
      <c r="AB152" s="120" t="s">
        <v>471</v>
      </c>
    </row>
    <row r="153" spans="1:28" ht="12.75" customHeight="1">
      <c r="A153" s="120" t="s">
        <v>486</v>
      </c>
      <c r="B153" s="120" t="s">
        <v>1200</v>
      </c>
      <c r="C153" s="343" t="s">
        <v>1120</v>
      </c>
      <c r="D153" s="344"/>
      <c r="E153" s="345"/>
      <c r="F153" s="121" t="s">
        <v>1201</v>
      </c>
      <c r="G153" s="121"/>
      <c r="H153" s="346">
        <f t="shared" si="47"/>
        <v>525.6</v>
      </c>
      <c r="I153" s="121">
        <v>5</v>
      </c>
      <c r="J153" s="346">
        <v>525</v>
      </c>
      <c r="K153" s="128">
        <v>2628</v>
      </c>
      <c r="L153" s="150">
        <v>44328</v>
      </c>
      <c r="M153" s="124">
        <f t="shared" si="14"/>
        <v>548.4</v>
      </c>
      <c r="N153" s="155">
        <v>549</v>
      </c>
      <c r="O153" s="347">
        <v>2742</v>
      </c>
      <c r="P153" s="120">
        <v>44337</v>
      </c>
      <c r="Q153" s="348">
        <v>44335</v>
      </c>
      <c r="R153" s="125">
        <v>15.93</v>
      </c>
      <c r="S153" s="125"/>
      <c r="T153" s="127">
        <f t="shared" si="44"/>
        <v>114</v>
      </c>
      <c r="U153" s="127" t="str">
        <f t="shared" si="16"/>
        <v>5 CHOLAFIN</v>
      </c>
      <c r="V153" s="127">
        <f t="shared" si="17"/>
        <v>98.07</v>
      </c>
      <c r="W153" s="350">
        <f t="shared" si="45"/>
        <v>3.7317351598173516E-2</v>
      </c>
      <c r="X153" s="397">
        <f t="shared" si="19"/>
        <v>0</v>
      </c>
      <c r="Y153" s="352">
        <f t="shared" si="20"/>
        <v>0</v>
      </c>
      <c r="Z153" s="353">
        <f t="shared" si="21"/>
        <v>9</v>
      </c>
      <c r="AA153" s="350">
        <f t="shared" si="22"/>
        <v>3.4188117887623157</v>
      </c>
      <c r="AB153" s="120" t="s">
        <v>471</v>
      </c>
    </row>
    <row r="154" spans="1:28" ht="12.75" customHeight="1">
      <c r="A154" s="120" t="s">
        <v>486</v>
      </c>
      <c r="B154" s="120" t="s">
        <v>1200</v>
      </c>
      <c r="C154" s="343" t="s">
        <v>1120</v>
      </c>
      <c r="D154" s="344"/>
      <c r="E154" s="345"/>
      <c r="F154" s="121" t="s">
        <v>1201</v>
      </c>
      <c r="G154" s="121"/>
      <c r="H154" s="346">
        <f t="shared" si="47"/>
        <v>575.6</v>
      </c>
      <c r="I154" s="121">
        <v>10</v>
      </c>
      <c r="J154" s="346">
        <v>574.9</v>
      </c>
      <c r="K154" s="128">
        <v>5756</v>
      </c>
      <c r="L154" s="150">
        <v>44322</v>
      </c>
      <c r="M154" s="124">
        <f t="shared" si="14"/>
        <v>554.6</v>
      </c>
      <c r="N154" s="155">
        <v>555.20000000000005</v>
      </c>
      <c r="O154" s="347">
        <v>5546</v>
      </c>
      <c r="P154" s="120">
        <v>44340</v>
      </c>
      <c r="Q154" s="348">
        <v>44336</v>
      </c>
      <c r="R154" s="125">
        <v>15.93</v>
      </c>
      <c r="S154" s="125"/>
      <c r="T154" s="127">
        <f t="shared" si="44"/>
        <v>-210</v>
      </c>
      <c r="U154" s="127" t="str">
        <f t="shared" si="16"/>
        <v>10 CHOLAFIN</v>
      </c>
      <c r="V154" s="127">
        <f t="shared" si="17"/>
        <v>-225.93</v>
      </c>
      <c r="W154" s="350">
        <f t="shared" si="45"/>
        <v>-3.9251216122307156E-2</v>
      </c>
      <c r="X154" s="397">
        <f t="shared" si="19"/>
        <v>0</v>
      </c>
      <c r="Y154" s="352">
        <f t="shared" si="20"/>
        <v>0</v>
      </c>
      <c r="Z154" s="353">
        <f t="shared" si="21"/>
        <v>18</v>
      </c>
      <c r="AA154" s="350">
        <f t="shared" si="22"/>
        <v>-0.55601707399631906</v>
      </c>
      <c r="AB154" s="120" t="s">
        <v>471</v>
      </c>
    </row>
    <row r="155" spans="1:28" ht="12.75" customHeight="1">
      <c r="A155" s="120" t="s">
        <v>486</v>
      </c>
      <c r="B155" s="120" t="s">
        <v>1200</v>
      </c>
      <c r="C155" s="343" t="s">
        <v>1120</v>
      </c>
      <c r="D155" s="344"/>
      <c r="E155" s="345"/>
      <c r="F155" s="121" t="s">
        <v>1107</v>
      </c>
      <c r="G155" s="121"/>
      <c r="H155" s="346">
        <f t="shared" si="47"/>
        <v>550.66669999999999</v>
      </c>
      <c r="I155" s="121">
        <v>30</v>
      </c>
      <c r="J155" s="346">
        <v>550</v>
      </c>
      <c r="K155" s="128">
        <v>16520</v>
      </c>
      <c r="L155" s="150">
        <v>44341</v>
      </c>
      <c r="M155" s="124">
        <f t="shared" si="14"/>
        <v>577.4</v>
      </c>
      <c r="N155" s="155">
        <v>578</v>
      </c>
      <c r="O155" s="347">
        <v>17322</v>
      </c>
      <c r="P155" s="120">
        <v>44356</v>
      </c>
      <c r="Q155" s="348">
        <v>44354</v>
      </c>
      <c r="R155" s="125">
        <v>15.93</v>
      </c>
      <c r="S155" s="125"/>
      <c r="T155" s="127">
        <f t="shared" si="44"/>
        <v>802</v>
      </c>
      <c r="U155" s="127" t="str">
        <f t="shared" si="16"/>
        <v>30 CHOLAFIN</v>
      </c>
      <c r="V155" s="127">
        <f t="shared" si="17"/>
        <v>786.07</v>
      </c>
      <c r="W155" s="350">
        <f t="shared" si="45"/>
        <v>4.7582929782082325E-2</v>
      </c>
      <c r="X155" s="397">
        <f t="shared" si="19"/>
        <v>0</v>
      </c>
      <c r="Y155" s="352">
        <f t="shared" si="20"/>
        <v>0</v>
      </c>
      <c r="Z155" s="353">
        <f t="shared" si="21"/>
        <v>15</v>
      </c>
      <c r="AA155" s="350">
        <f t="shared" si="22"/>
        <v>2.0992127071611977</v>
      </c>
      <c r="AB155" s="120" t="s">
        <v>471</v>
      </c>
    </row>
    <row r="156" spans="1:28" ht="12.75" customHeight="1">
      <c r="A156" s="120" t="s">
        <v>486</v>
      </c>
      <c r="B156" s="120" t="s">
        <v>1200</v>
      </c>
      <c r="C156" s="343" t="s">
        <v>1120</v>
      </c>
      <c r="D156" s="344"/>
      <c r="E156" s="345" t="str">
        <f>IFERROR(IF(D156="","",(D156-J156)/J156),"")</f>
        <v/>
      </c>
      <c r="F156" s="121" t="s">
        <v>1107</v>
      </c>
      <c r="G156" s="121"/>
      <c r="H156" s="346">
        <f t="shared" si="47"/>
        <v>566.17999999999995</v>
      </c>
      <c r="I156" s="121">
        <v>50</v>
      </c>
      <c r="J156" s="346">
        <v>565.5</v>
      </c>
      <c r="K156" s="128">
        <v>28309</v>
      </c>
      <c r="L156" s="150">
        <v>44357</v>
      </c>
      <c r="M156" s="124">
        <f t="shared" si="14"/>
        <v>581.4</v>
      </c>
      <c r="N156" s="155">
        <v>582</v>
      </c>
      <c r="O156" s="347">
        <v>29070</v>
      </c>
      <c r="P156" s="120">
        <v>44454</v>
      </c>
      <c r="Q156" s="348">
        <v>44452</v>
      </c>
      <c r="R156" s="125">
        <v>15.93</v>
      </c>
      <c r="S156" s="125">
        <v>35</v>
      </c>
      <c r="T156" s="127">
        <f t="shared" si="44"/>
        <v>761</v>
      </c>
      <c r="U156" s="127" t="str">
        <f t="shared" si="16"/>
        <v>50 CHOLAFIN</v>
      </c>
      <c r="V156" s="127">
        <f t="shared" si="17"/>
        <v>780.07</v>
      </c>
      <c r="W156" s="350">
        <f t="shared" si="45"/>
        <v>2.7555547705676642E-2</v>
      </c>
      <c r="X156" s="397">
        <f t="shared" si="19"/>
        <v>0</v>
      </c>
      <c r="Y156" s="352">
        <f t="shared" si="20"/>
        <v>3</v>
      </c>
      <c r="Z156" s="353">
        <f t="shared" si="21"/>
        <v>5</v>
      </c>
      <c r="AA156" s="350">
        <f t="shared" si="22"/>
        <v>0.10769969583834715</v>
      </c>
      <c r="AB156" s="120" t="s">
        <v>471</v>
      </c>
    </row>
    <row r="157" spans="1:28" ht="12.75" customHeight="1">
      <c r="A157" s="120" t="s">
        <v>459</v>
      </c>
      <c r="B157" s="120" t="s">
        <v>1202</v>
      </c>
      <c r="C157" s="343" t="s">
        <v>1163</v>
      </c>
      <c r="D157" s="344"/>
      <c r="E157" s="345"/>
      <c r="F157" s="121"/>
      <c r="G157" s="121"/>
      <c r="H157" s="346">
        <v>276.26</v>
      </c>
      <c r="I157" s="121">
        <v>50</v>
      </c>
      <c r="J157" s="346">
        <v>279.11949960000004</v>
      </c>
      <c r="K157" s="128">
        <v>13813</v>
      </c>
      <c r="L157" s="150">
        <v>38850</v>
      </c>
      <c r="M157" s="124">
        <f t="shared" si="14"/>
        <v>354.33460000000002</v>
      </c>
      <c r="N157" s="155">
        <v>356.35</v>
      </c>
      <c r="O157" s="347">
        <v>17716.73</v>
      </c>
      <c r="P157" s="120">
        <v>41124</v>
      </c>
      <c r="Q157" s="348">
        <v>41122</v>
      </c>
      <c r="R157" s="125">
        <v>6</v>
      </c>
      <c r="S157" s="125">
        <f>6+100+100+100+40</f>
        <v>346</v>
      </c>
      <c r="T157" s="127">
        <f t="shared" si="44"/>
        <v>3903.7299999999996</v>
      </c>
      <c r="U157" s="127" t="str">
        <f t="shared" si="16"/>
        <v>50 CIPLA</v>
      </c>
      <c r="V157" s="127">
        <f t="shared" si="17"/>
        <v>4243.7299999999996</v>
      </c>
      <c r="W157" s="350">
        <f t="shared" si="45"/>
        <v>0.30722724969231879</v>
      </c>
      <c r="X157" s="397">
        <f t="shared" si="19"/>
        <v>6</v>
      </c>
      <c r="Y157" s="352">
        <f t="shared" si="20"/>
        <v>2</v>
      </c>
      <c r="Z157" s="353">
        <f t="shared" si="21"/>
        <v>21</v>
      </c>
      <c r="AA157" s="350">
        <f t="shared" si="22"/>
        <v>4.3939972686319217E-2</v>
      </c>
      <c r="AB157" s="120" t="s">
        <v>448</v>
      </c>
    </row>
    <row r="158" spans="1:28" ht="12.75" customHeight="1">
      <c r="A158" s="120" t="s">
        <v>459</v>
      </c>
      <c r="B158" s="120"/>
      <c r="C158" s="343"/>
      <c r="D158" s="344">
        <v>952</v>
      </c>
      <c r="E158" s="345">
        <f>IFERROR(IF(D158="","",(D158-J158)/J158),"")</f>
        <v>2.6099022651459254E-2</v>
      </c>
      <c r="F158" s="121" t="s">
        <v>1116</v>
      </c>
      <c r="G158" s="121" t="s">
        <v>904</v>
      </c>
      <c r="H158" s="346">
        <f>ROUND(K158/I158,4)</f>
        <v>928.88570000000004</v>
      </c>
      <c r="I158" s="121">
        <v>70</v>
      </c>
      <c r="J158" s="346">
        <v>927.78570000000002</v>
      </c>
      <c r="K158" s="128">
        <v>65022</v>
      </c>
      <c r="L158" s="150">
        <v>44574</v>
      </c>
      <c r="M158" s="124">
        <f t="shared" si="14"/>
        <v>937.02859999999998</v>
      </c>
      <c r="N158" s="155">
        <v>938</v>
      </c>
      <c r="O158" s="347">
        <v>65592</v>
      </c>
      <c r="P158" s="120">
        <v>44593</v>
      </c>
      <c r="Q158" s="348">
        <v>44589</v>
      </c>
      <c r="R158" s="125">
        <v>15.93</v>
      </c>
      <c r="S158" s="125"/>
      <c r="T158" s="127">
        <f t="shared" si="44"/>
        <v>570</v>
      </c>
      <c r="U158" s="127" t="str">
        <f t="shared" si="16"/>
        <v>70 CIPLA</v>
      </c>
      <c r="V158" s="127">
        <f t="shared" si="17"/>
        <v>554.07000000000005</v>
      </c>
      <c r="W158" s="350">
        <f t="shared" si="45"/>
        <v>8.5212697240933839E-3</v>
      </c>
      <c r="X158" s="397">
        <f t="shared" si="19"/>
        <v>0</v>
      </c>
      <c r="Y158" s="352">
        <f t="shared" si="20"/>
        <v>0</v>
      </c>
      <c r="Z158" s="353">
        <f t="shared" si="21"/>
        <v>19</v>
      </c>
      <c r="AA158" s="350">
        <f t="shared" si="22"/>
        <v>0.1770420517475606</v>
      </c>
      <c r="AB158" s="120" t="s">
        <v>471</v>
      </c>
    </row>
    <row r="159" spans="1:28" ht="12.75" customHeight="1">
      <c r="A159" s="120" t="s">
        <v>451</v>
      </c>
      <c r="B159" s="120" t="s">
        <v>1014</v>
      </c>
      <c r="C159" s="343" t="s">
        <v>1163</v>
      </c>
      <c r="D159" s="344"/>
      <c r="E159" s="345"/>
      <c r="F159" s="121"/>
      <c r="G159" s="121"/>
      <c r="H159" s="346">
        <v>117.28</v>
      </c>
      <c r="I159" s="121">
        <v>50</v>
      </c>
      <c r="J159" s="346">
        <v>118.77178800000002</v>
      </c>
      <c r="K159" s="128">
        <v>5864</v>
      </c>
      <c r="L159" s="150">
        <v>38869</v>
      </c>
      <c r="M159" s="124">
        <f t="shared" si="14"/>
        <v>35.150799999999997</v>
      </c>
      <c r="N159" s="155">
        <v>35.35</v>
      </c>
      <c r="O159" s="347">
        <v>1757.54</v>
      </c>
      <c r="P159" s="120">
        <v>40995</v>
      </c>
      <c r="Q159" s="348">
        <v>40991</v>
      </c>
      <c r="R159" s="125">
        <v>8</v>
      </c>
      <c r="S159" s="125">
        <f>50+50+100</f>
        <v>200</v>
      </c>
      <c r="T159" s="127">
        <f t="shared" si="44"/>
        <v>-4106.46</v>
      </c>
      <c r="U159" s="127" t="str">
        <f t="shared" si="16"/>
        <v>50 CONTROLPR</v>
      </c>
      <c r="V159" s="127">
        <f t="shared" si="17"/>
        <v>-3914.46</v>
      </c>
      <c r="W159" s="350">
        <f t="shared" si="45"/>
        <v>-0.66754092769440654</v>
      </c>
      <c r="X159" s="397">
        <f t="shared" si="19"/>
        <v>5</v>
      </c>
      <c r="Y159" s="352">
        <f t="shared" si="20"/>
        <v>9</v>
      </c>
      <c r="Z159" s="353">
        <f t="shared" si="21"/>
        <v>26</v>
      </c>
      <c r="AA159" s="350">
        <f t="shared" si="22"/>
        <v>-0.17226724660016179</v>
      </c>
      <c r="AB159" s="120" t="s">
        <v>448</v>
      </c>
    </row>
    <row r="160" spans="1:28" ht="12.75" customHeight="1">
      <c r="A160" s="120" t="s">
        <v>530</v>
      </c>
      <c r="B160" s="120" t="s">
        <v>1203</v>
      </c>
      <c r="C160" s="343" t="s">
        <v>1163</v>
      </c>
      <c r="D160" s="344" t="s">
        <v>1204</v>
      </c>
      <c r="E160" s="345">
        <f>IFERROR(IF(D160="","",(D160-J160)/J160),"")</f>
        <v>0.10067114093959731</v>
      </c>
      <c r="F160" s="121" t="s">
        <v>1124</v>
      </c>
      <c r="G160" s="121" t="s">
        <v>1125</v>
      </c>
      <c r="H160" s="346">
        <f>ROUND(K160/I160,4)</f>
        <v>745.9</v>
      </c>
      <c r="I160" s="121">
        <v>20</v>
      </c>
      <c r="J160" s="346">
        <v>745</v>
      </c>
      <c r="K160" s="128">
        <v>14918</v>
      </c>
      <c r="L160" s="150">
        <v>44362</v>
      </c>
      <c r="M160" s="124">
        <f t="shared" si="14"/>
        <v>756.2</v>
      </c>
      <c r="N160" s="155">
        <v>757</v>
      </c>
      <c r="O160" s="347">
        <v>15124</v>
      </c>
      <c r="P160" s="120">
        <v>44378</v>
      </c>
      <c r="Q160" s="348">
        <v>44376</v>
      </c>
      <c r="R160" s="125">
        <v>15.93</v>
      </c>
      <c r="S160" s="125"/>
      <c r="T160" s="127">
        <f t="shared" si="44"/>
        <v>206</v>
      </c>
      <c r="U160" s="127" t="str">
        <f t="shared" si="16"/>
        <v>20 CREDITACC</v>
      </c>
      <c r="V160" s="127">
        <f t="shared" si="17"/>
        <v>190.07</v>
      </c>
      <c r="W160" s="350">
        <f t="shared" si="45"/>
        <v>1.2740984046118783E-2</v>
      </c>
      <c r="X160" s="397">
        <f t="shared" si="19"/>
        <v>0</v>
      </c>
      <c r="Y160" s="352">
        <f t="shared" si="20"/>
        <v>0</v>
      </c>
      <c r="Z160" s="353">
        <f t="shared" si="21"/>
        <v>16</v>
      </c>
      <c r="AA160" s="350">
        <f t="shared" si="22"/>
        <v>0.33484832376782059</v>
      </c>
      <c r="AB160" s="120" t="s">
        <v>471</v>
      </c>
    </row>
    <row r="161" spans="1:28" ht="12.75" customHeight="1">
      <c r="A161" s="120" t="s">
        <v>463</v>
      </c>
      <c r="B161" s="120" t="s">
        <v>1205</v>
      </c>
      <c r="C161" s="343" t="s">
        <v>1163</v>
      </c>
      <c r="D161" s="344"/>
      <c r="E161" s="345"/>
      <c r="F161" s="121"/>
      <c r="G161" s="121"/>
      <c r="H161" s="346">
        <f>132.3536/2</f>
        <v>66.1768</v>
      </c>
      <c r="I161" s="121">
        <v>50</v>
      </c>
      <c r="J161" s="346">
        <f>131.6/2</f>
        <v>65.8</v>
      </c>
      <c r="K161" s="128">
        <v>3308.84</v>
      </c>
      <c r="L161" s="150">
        <v>41205</v>
      </c>
      <c r="M161" s="124">
        <f t="shared" si="14"/>
        <v>310.82</v>
      </c>
      <c r="N161" s="155">
        <v>313</v>
      </c>
      <c r="O161" s="347">
        <v>15541</v>
      </c>
      <c r="P161" s="120">
        <v>44131</v>
      </c>
      <c r="Q161" s="348">
        <v>44127</v>
      </c>
      <c r="R161" s="125">
        <v>24.78</v>
      </c>
      <c r="S161" s="125">
        <f>100</f>
        <v>100</v>
      </c>
      <c r="T161" s="127">
        <f t="shared" si="44"/>
        <v>12232.16</v>
      </c>
      <c r="U161" s="127" t="str">
        <f t="shared" si="16"/>
        <v>50 CROMPTON</v>
      </c>
      <c r="V161" s="127">
        <f t="shared" si="17"/>
        <v>12307.38</v>
      </c>
      <c r="W161" s="350">
        <f t="shared" si="45"/>
        <v>3.7195452182638018</v>
      </c>
      <c r="X161" s="397">
        <f t="shared" si="19"/>
        <v>8</v>
      </c>
      <c r="Y161" s="352">
        <f t="shared" si="20"/>
        <v>0</v>
      </c>
      <c r="Z161" s="353">
        <f t="shared" si="21"/>
        <v>4</v>
      </c>
      <c r="AA161" s="350">
        <f t="shared" si="22"/>
        <v>0.21356986341331985</v>
      </c>
      <c r="AB161" s="120" t="s">
        <v>448</v>
      </c>
    </row>
    <row r="162" spans="1:28" ht="12.75" customHeight="1">
      <c r="A162" s="120" t="s">
        <v>454</v>
      </c>
      <c r="B162" s="120" t="s">
        <v>1206</v>
      </c>
      <c r="C162" s="343" t="s">
        <v>1163</v>
      </c>
      <c r="D162" s="344"/>
      <c r="E162" s="345"/>
      <c r="F162" s="121"/>
      <c r="G162" s="121"/>
      <c r="H162" s="346">
        <v>459.68</v>
      </c>
      <c r="I162" s="121">
        <v>10</v>
      </c>
      <c r="J162" s="346">
        <v>457</v>
      </c>
      <c r="K162" s="128">
        <v>4596.8</v>
      </c>
      <c r="L162" s="150">
        <v>40995</v>
      </c>
      <c r="M162" s="124">
        <f t="shared" si="14"/>
        <v>486.1</v>
      </c>
      <c r="N162" s="155">
        <v>489</v>
      </c>
      <c r="O162" s="347">
        <v>4861</v>
      </c>
      <c r="P162" s="120">
        <v>41004</v>
      </c>
      <c r="Q162" s="348">
        <v>41002</v>
      </c>
      <c r="R162" s="125">
        <v>6</v>
      </c>
      <c r="S162" s="125"/>
      <c r="T162" s="127">
        <f t="shared" si="44"/>
        <v>264.19999999999982</v>
      </c>
      <c r="U162" s="127" t="str">
        <f t="shared" si="16"/>
        <v>10 CUMMINSIND</v>
      </c>
      <c r="V162" s="127">
        <f t="shared" si="17"/>
        <v>258.19999999999982</v>
      </c>
      <c r="W162" s="350">
        <f t="shared" si="45"/>
        <v>5.6169509223807826E-2</v>
      </c>
      <c r="X162" s="397">
        <f t="shared" si="19"/>
        <v>0</v>
      </c>
      <c r="Y162" s="352">
        <f t="shared" si="20"/>
        <v>0</v>
      </c>
      <c r="Z162" s="353">
        <f t="shared" si="21"/>
        <v>9</v>
      </c>
      <c r="AA162" s="350">
        <f t="shared" si="22"/>
        <v>8.1734008524471164</v>
      </c>
      <c r="AB162" s="120" t="s">
        <v>448</v>
      </c>
    </row>
    <row r="163" spans="1:28" ht="12.75" customHeight="1">
      <c r="A163" s="120" t="s">
        <v>496</v>
      </c>
      <c r="B163" s="120" t="s">
        <v>1207</v>
      </c>
      <c r="C163" s="343" t="s">
        <v>1163</v>
      </c>
      <c r="D163" s="344" t="s">
        <v>1208</v>
      </c>
      <c r="E163" s="345">
        <f t="shared" ref="E163:E165" si="48">IFERROR(IF(D163="","",(D163-J163)/J163),"")</f>
        <v>0.25461254612546125</v>
      </c>
      <c r="F163" s="121" t="s">
        <v>1124</v>
      </c>
      <c r="G163" s="121" t="s">
        <v>1125</v>
      </c>
      <c r="H163" s="346">
        <f t="shared" ref="H163:H166" si="49">ROUND(K163/I163,4)</f>
        <v>135.66</v>
      </c>
      <c r="I163" s="121">
        <v>50</v>
      </c>
      <c r="J163" s="346">
        <v>135.5</v>
      </c>
      <c r="K163" s="128">
        <v>6783</v>
      </c>
      <c r="L163" s="150">
        <v>44333</v>
      </c>
      <c r="M163" s="124">
        <f t="shared" si="14"/>
        <v>139.16</v>
      </c>
      <c r="N163" s="155">
        <v>139.30000000000001</v>
      </c>
      <c r="O163" s="347">
        <v>6958</v>
      </c>
      <c r="P163" s="120">
        <v>44336</v>
      </c>
      <c r="Q163" s="348">
        <v>44334</v>
      </c>
      <c r="R163" s="125">
        <v>15.93</v>
      </c>
      <c r="S163" s="125"/>
      <c r="T163" s="127">
        <f t="shared" si="44"/>
        <v>175</v>
      </c>
      <c r="U163" s="127" t="str">
        <f t="shared" si="16"/>
        <v>50 CYBERTECH</v>
      </c>
      <c r="V163" s="127">
        <f t="shared" si="17"/>
        <v>159.07</v>
      </c>
      <c r="W163" s="350">
        <f t="shared" si="45"/>
        <v>2.3451275246940882E-2</v>
      </c>
      <c r="X163" s="397">
        <f t="shared" si="19"/>
        <v>0</v>
      </c>
      <c r="Y163" s="352">
        <f t="shared" si="20"/>
        <v>0</v>
      </c>
      <c r="Z163" s="353">
        <f t="shared" si="21"/>
        <v>3</v>
      </c>
      <c r="AA163" s="350">
        <f t="shared" si="22"/>
        <v>15.781825329644612</v>
      </c>
      <c r="AB163" s="120" t="s">
        <v>471</v>
      </c>
    </row>
    <row r="164" spans="1:28" ht="12.75" customHeight="1">
      <c r="A164" s="120" t="s">
        <v>496</v>
      </c>
      <c r="B164" s="120" t="s">
        <v>1207</v>
      </c>
      <c r="C164" s="343" t="s">
        <v>1163</v>
      </c>
      <c r="D164" s="344" t="s">
        <v>1208</v>
      </c>
      <c r="E164" s="345">
        <f t="shared" si="48"/>
        <v>0.1111111111111111</v>
      </c>
      <c r="F164" s="121" t="s">
        <v>1124</v>
      </c>
      <c r="G164" s="121" t="s">
        <v>1125</v>
      </c>
      <c r="H164" s="346">
        <f t="shared" si="49"/>
        <v>153.18</v>
      </c>
      <c r="I164" s="121">
        <v>50</v>
      </c>
      <c r="J164" s="346">
        <v>153</v>
      </c>
      <c r="K164" s="128">
        <v>7659</v>
      </c>
      <c r="L164" s="150">
        <v>44327</v>
      </c>
      <c r="M164" s="124">
        <f t="shared" si="14"/>
        <v>154.84</v>
      </c>
      <c r="N164" s="155">
        <v>155</v>
      </c>
      <c r="O164" s="347">
        <v>7742</v>
      </c>
      <c r="P164" s="120">
        <v>44379</v>
      </c>
      <c r="Q164" s="348">
        <v>44377</v>
      </c>
      <c r="R164" s="125">
        <v>15.93</v>
      </c>
      <c r="S164" s="125"/>
      <c r="T164" s="127">
        <f t="shared" si="44"/>
        <v>83</v>
      </c>
      <c r="U164" s="127" t="str">
        <f t="shared" si="16"/>
        <v>50 CYBERTECH</v>
      </c>
      <c r="V164" s="127">
        <f t="shared" si="17"/>
        <v>67.069999999999993</v>
      </c>
      <c r="W164" s="350">
        <f t="shared" si="45"/>
        <v>8.7570178874526693E-3</v>
      </c>
      <c r="X164" s="397">
        <f t="shared" si="19"/>
        <v>0</v>
      </c>
      <c r="Y164" s="352">
        <f t="shared" si="20"/>
        <v>1</v>
      </c>
      <c r="Z164" s="353">
        <f t="shared" si="21"/>
        <v>21</v>
      </c>
      <c r="AA164" s="350">
        <f t="shared" si="22"/>
        <v>6.3111466589275134E-2</v>
      </c>
      <c r="AB164" s="120" t="s">
        <v>471</v>
      </c>
    </row>
    <row r="165" spans="1:28" ht="12.75" customHeight="1">
      <c r="A165" s="120" t="s">
        <v>496</v>
      </c>
      <c r="B165" s="120" t="s">
        <v>1207</v>
      </c>
      <c r="C165" s="343" t="s">
        <v>1163</v>
      </c>
      <c r="D165" s="344" t="s">
        <v>1208</v>
      </c>
      <c r="E165" s="345">
        <f t="shared" si="48"/>
        <v>7.9365079365079361E-2</v>
      </c>
      <c r="F165" s="121" t="s">
        <v>1124</v>
      </c>
      <c r="G165" s="121" t="s">
        <v>1125</v>
      </c>
      <c r="H165" s="346">
        <f t="shared" si="49"/>
        <v>157.68</v>
      </c>
      <c r="I165" s="121">
        <v>50</v>
      </c>
      <c r="J165" s="346">
        <v>157.5</v>
      </c>
      <c r="K165" s="128">
        <v>7884</v>
      </c>
      <c r="L165" s="150">
        <v>44323</v>
      </c>
      <c r="M165" s="124">
        <f t="shared" si="14"/>
        <v>162.08000000000001</v>
      </c>
      <c r="N165" s="155">
        <v>162.25</v>
      </c>
      <c r="O165" s="347">
        <v>8104</v>
      </c>
      <c r="P165" s="120">
        <v>44384</v>
      </c>
      <c r="Q165" s="348">
        <v>44382</v>
      </c>
      <c r="R165" s="125">
        <v>15.93</v>
      </c>
      <c r="S165" s="125"/>
      <c r="T165" s="127">
        <f t="shared" si="44"/>
        <v>220</v>
      </c>
      <c r="U165" s="127" t="str">
        <f t="shared" si="16"/>
        <v>50 CYBERTECH</v>
      </c>
      <c r="V165" s="127">
        <f t="shared" si="17"/>
        <v>204.07</v>
      </c>
      <c r="W165" s="350">
        <f t="shared" si="45"/>
        <v>2.5884069000507357E-2</v>
      </c>
      <c r="X165" s="397">
        <f t="shared" si="19"/>
        <v>0</v>
      </c>
      <c r="Y165" s="352">
        <f t="shared" si="20"/>
        <v>2</v>
      </c>
      <c r="Z165" s="353">
        <f t="shared" si="21"/>
        <v>0</v>
      </c>
      <c r="AA165" s="350">
        <f t="shared" si="22"/>
        <v>0.1652195833779464</v>
      </c>
      <c r="AB165" s="120" t="s">
        <v>471</v>
      </c>
    </row>
    <row r="166" spans="1:28" ht="12.75" customHeight="1">
      <c r="A166" s="120" t="s">
        <v>523</v>
      </c>
      <c r="B166" s="120" t="s">
        <v>1209</v>
      </c>
      <c r="C166" s="343" t="s">
        <v>1163</v>
      </c>
      <c r="D166" s="344" t="s">
        <v>1210</v>
      </c>
      <c r="E166" s="345">
        <f>IFERROR((D166-J166)/J166,"")</f>
        <v>6.0049019607843139E-2</v>
      </c>
      <c r="F166" s="121" t="s">
        <v>1116</v>
      </c>
      <c r="G166" s="121" t="s">
        <v>1170</v>
      </c>
      <c r="H166" s="346">
        <f t="shared" si="49"/>
        <v>816.96</v>
      </c>
      <c r="I166" s="121">
        <v>25</v>
      </c>
      <c r="J166" s="346">
        <v>816</v>
      </c>
      <c r="K166" s="128">
        <v>20424</v>
      </c>
      <c r="L166" s="150">
        <v>44356</v>
      </c>
      <c r="M166" s="124">
        <f t="shared" si="14"/>
        <v>848.12</v>
      </c>
      <c r="N166" s="155">
        <v>849</v>
      </c>
      <c r="O166" s="347">
        <v>21203</v>
      </c>
      <c r="P166" s="120">
        <v>44365</v>
      </c>
      <c r="Q166" s="348">
        <v>44363</v>
      </c>
      <c r="R166" s="125">
        <v>15.93</v>
      </c>
      <c r="S166" s="125"/>
      <c r="T166" s="127">
        <f t="shared" si="44"/>
        <v>779</v>
      </c>
      <c r="U166" s="127" t="str">
        <f t="shared" si="16"/>
        <v>25 CYIENT</v>
      </c>
      <c r="V166" s="127">
        <f t="shared" si="17"/>
        <v>763.07</v>
      </c>
      <c r="W166" s="350">
        <f t="shared" si="45"/>
        <v>3.7361437524481005E-2</v>
      </c>
      <c r="X166" s="397">
        <f t="shared" si="19"/>
        <v>0</v>
      </c>
      <c r="Y166" s="352">
        <f t="shared" si="20"/>
        <v>0</v>
      </c>
      <c r="Z166" s="353">
        <f t="shared" si="21"/>
        <v>9</v>
      </c>
      <c r="AA166" s="350">
        <f t="shared" si="22"/>
        <v>3.426434496712238</v>
      </c>
      <c r="AB166" s="120" t="s">
        <v>471</v>
      </c>
    </row>
    <row r="167" spans="1:28" ht="12.75" customHeight="1">
      <c r="A167" s="120" t="s">
        <v>464</v>
      </c>
      <c r="B167" s="120" t="s">
        <v>1211</v>
      </c>
      <c r="C167" s="343" t="s">
        <v>1163</v>
      </c>
      <c r="D167" s="344"/>
      <c r="E167" s="345"/>
      <c r="F167" s="121"/>
      <c r="G167" s="121"/>
      <c r="H167" s="346">
        <v>133.76400000000001</v>
      </c>
      <c r="I167" s="121">
        <v>20</v>
      </c>
      <c r="J167" s="346">
        <v>133</v>
      </c>
      <c r="K167" s="128">
        <v>2675.28</v>
      </c>
      <c r="L167" s="150">
        <v>41207</v>
      </c>
      <c r="M167" s="124">
        <f t="shared" si="14"/>
        <v>315.97000000000003</v>
      </c>
      <c r="N167" s="155">
        <v>318.2</v>
      </c>
      <c r="O167" s="347">
        <v>6319.4</v>
      </c>
      <c r="P167" s="120">
        <v>42956</v>
      </c>
      <c r="Q167" s="348">
        <v>42954</v>
      </c>
      <c r="R167" s="125">
        <v>24.78</v>
      </c>
      <c r="S167" s="125">
        <f>13+17+15+20+25+15+25+20+25+20</f>
        <v>195</v>
      </c>
      <c r="T167" s="127">
        <f t="shared" si="44"/>
        <v>3644.1199999999994</v>
      </c>
      <c r="U167" s="127" t="str">
        <f t="shared" si="16"/>
        <v>20 DABUR</v>
      </c>
      <c r="V167" s="127">
        <f t="shared" si="17"/>
        <v>3814.3399999999992</v>
      </c>
      <c r="W167" s="350">
        <f t="shared" si="45"/>
        <v>1.4257722556143653</v>
      </c>
      <c r="X167" s="397">
        <f t="shared" si="19"/>
        <v>4</v>
      </c>
      <c r="Y167" s="352">
        <f t="shared" si="20"/>
        <v>9</v>
      </c>
      <c r="Z167" s="353">
        <f t="shared" si="21"/>
        <v>15</v>
      </c>
      <c r="AA167" s="350">
        <f t="shared" si="22"/>
        <v>0.20313569973194778</v>
      </c>
      <c r="AB167" s="120" t="s">
        <v>448</v>
      </c>
    </row>
    <row r="168" spans="1:28" ht="12.75" customHeight="1">
      <c r="A168" s="120" t="s">
        <v>531</v>
      </c>
      <c r="B168" s="120" t="s">
        <v>1212</v>
      </c>
      <c r="C168" s="343" t="s">
        <v>1213</v>
      </c>
      <c r="D168" s="344" t="s">
        <v>1214</v>
      </c>
      <c r="E168" s="345">
        <f t="shared" ref="E168:E308" si="50">IFERROR(IF(D168="","",(D168-J168)/J168),"")</f>
        <v>0.14285714285714285</v>
      </c>
      <c r="F168" s="121" t="s">
        <v>1124</v>
      </c>
      <c r="G168" s="121" t="s">
        <v>1125</v>
      </c>
      <c r="H168" s="346">
        <f t="shared" ref="H168:H324" si="51">ROUND(K168/I168,4)</f>
        <v>113.89</v>
      </c>
      <c r="I168" s="121">
        <v>100</v>
      </c>
      <c r="J168" s="346">
        <v>113.75</v>
      </c>
      <c r="K168" s="128">
        <v>11389</v>
      </c>
      <c r="L168" s="150">
        <v>44364</v>
      </c>
      <c r="M168" s="124">
        <f t="shared" si="14"/>
        <v>120.88</v>
      </c>
      <c r="N168" s="155">
        <v>121</v>
      </c>
      <c r="O168" s="347">
        <v>12088</v>
      </c>
      <c r="P168" s="120">
        <v>44881</v>
      </c>
      <c r="Q168" s="348">
        <v>44879</v>
      </c>
      <c r="R168" s="125">
        <v>15.93</v>
      </c>
      <c r="S168" s="125"/>
      <c r="T168" s="127">
        <f t="shared" ref="T168:T169" si="52">IF(OR(O168="",K168=""),"",O168-K168)</f>
        <v>699</v>
      </c>
      <c r="U168" s="127" t="str">
        <f t="shared" si="16"/>
        <v>100 DCBBANK</v>
      </c>
      <c r="V168" s="127">
        <f t="shared" si="17"/>
        <v>683.07</v>
      </c>
      <c r="W168" s="350">
        <f t="shared" ref="W168:W169" si="53">IF(OR(K168="",V168=""),"",V168/K168)</f>
        <v>5.9976292914215475E-2</v>
      </c>
      <c r="X168" s="397">
        <f t="shared" si="19"/>
        <v>1</v>
      </c>
      <c r="Y168" s="352">
        <f t="shared" si="20"/>
        <v>4</v>
      </c>
      <c r="Z168" s="353">
        <f t="shared" si="21"/>
        <v>30</v>
      </c>
      <c r="AA168" s="350">
        <f t="shared" si="22"/>
        <v>4.1979046100143469E-2</v>
      </c>
      <c r="AB168" s="120" t="s">
        <v>471</v>
      </c>
    </row>
    <row r="169" spans="1:28" ht="12.75" customHeight="1">
      <c r="A169" s="120" t="s">
        <v>531</v>
      </c>
      <c r="B169" s="120" t="s">
        <v>1212</v>
      </c>
      <c r="C169" s="343" t="s">
        <v>1213</v>
      </c>
      <c r="D169" s="344" t="s">
        <v>1214</v>
      </c>
      <c r="E169" s="345">
        <f t="shared" si="50"/>
        <v>0.14285714285714285</v>
      </c>
      <c r="F169" s="121" t="s">
        <v>1124</v>
      </c>
      <c r="G169" s="121" t="s">
        <v>1125</v>
      </c>
      <c r="H169" s="346">
        <f t="shared" si="51"/>
        <v>113.88</v>
      </c>
      <c r="I169" s="121">
        <v>100</v>
      </c>
      <c r="J169" s="346">
        <v>113.75</v>
      </c>
      <c r="K169" s="128">
        <v>11388</v>
      </c>
      <c r="L169" s="150">
        <v>44364</v>
      </c>
      <c r="M169" s="124">
        <f t="shared" si="14"/>
        <v>121.37</v>
      </c>
      <c r="N169" s="155">
        <v>121.5</v>
      </c>
      <c r="O169" s="347">
        <v>12137</v>
      </c>
      <c r="P169" s="120">
        <v>44882</v>
      </c>
      <c r="Q169" s="348">
        <v>44880</v>
      </c>
      <c r="R169" s="125">
        <v>15.93</v>
      </c>
      <c r="S169" s="125"/>
      <c r="T169" s="127">
        <f t="shared" si="52"/>
        <v>749</v>
      </c>
      <c r="U169" s="127" t="str">
        <f t="shared" si="16"/>
        <v>100 DCBBANK</v>
      </c>
      <c r="V169" s="127">
        <f t="shared" si="17"/>
        <v>733.07</v>
      </c>
      <c r="W169" s="350">
        <f t="shared" si="53"/>
        <v>6.4372146118721468E-2</v>
      </c>
      <c r="X169" s="397">
        <f t="shared" si="19"/>
        <v>1</v>
      </c>
      <c r="Y169" s="352">
        <f t="shared" si="20"/>
        <v>5</v>
      </c>
      <c r="Z169" s="353">
        <f t="shared" si="21"/>
        <v>0</v>
      </c>
      <c r="AA169" s="350">
        <f t="shared" si="22"/>
        <v>4.4939100518978981E-2</v>
      </c>
      <c r="AB169" s="120" t="s">
        <v>471</v>
      </c>
    </row>
    <row r="170" spans="1:28" ht="12.75" customHeight="1">
      <c r="A170" s="121" t="s">
        <v>575</v>
      </c>
      <c r="B170" s="120" t="s">
        <v>1112</v>
      </c>
      <c r="C170" s="343" t="s">
        <v>1113</v>
      </c>
      <c r="D170" s="344"/>
      <c r="E170" s="345" t="str">
        <f t="shared" si="50"/>
        <v/>
      </c>
      <c r="F170" s="121" t="s">
        <v>1107</v>
      </c>
      <c r="G170" s="121"/>
      <c r="H170" s="346">
        <f t="shared" si="51"/>
        <v>982.16</v>
      </c>
      <c r="I170" s="121">
        <v>100</v>
      </c>
      <c r="J170" s="346">
        <v>981</v>
      </c>
      <c r="K170" s="128">
        <v>98216</v>
      </c>
      <c r="L170" s="150">
        <v>44496</v>
      </c>
      <c r="M170" s="124">
        <f t="shared" si="14"/>
        <v>973.98</v>
      </c>
      <c r="N170" s="155">
        <v>975</v>
      </c>
      <c r="O170" s="347">
        <v>97398</v>
      </c>
      <c r="P170" s="120">
        <v>44497</v>
      </c>
      <c r="Q170" s="348">
        <v>44495</v>
      </c>
      <c r="R170" s="125">
        <v>15.93</v>
      </c>
      <c r="S170" s="125"/>
      <c r="T170" s="127">
        <f t="shared" ref="T170:T235" si="54">IF(O170="","",O170-K170)</f>
        <v>-818</v>
      </c>
      <c r="U170" s="127" t="str">
        <f t="shared" si="16"/>
        <v>100 DCMSHRIRAM</v>
      </c>
      <c r="V170" s="127">
        <f t="shared" si="17"/>
        <v>-833.93</v>
      </c>
      <c r="W170" s="350">
        <f t="shared" ref="W170:W235" si="55">IF(M170=0,"",V170/K170)</f>
        <v>-8.4907754337378832E-3</v>
      </c>
      <c r="X170" s="397">
        <f t="shared" si="19"/>
        <v>0</v>
      </c>
      <c r="Y170" s="352">
        <f t="shared" si="20"/>
        <v>0</v>
      </c>
      <c r="Z170" s="353">
        <f t="shared" si="21"/>
        <v>1</v>
      </c>
      <c r="AA170" s="350">
        <f t="shared" si="22"/>
        <v>-0.9555044016275096</v>
      </c>
      <c r="AB170" s="120" t="s">
        <v>448</v>
      </c>
    </row>
    <row r="171" spans="1:28" ht="12.75" customHeight="1">
      <c r="A171" s="121" t="s">
        <v>575</v>
      </c>
      <c r="B171" s="120" t="s">
        <v>1112</v>
      </c>
      <c r="C171" s="343" t="s">
        <v>1113</v>
      </c>
      <c r="D171" s="344"/>
      <c r="E171" s="345" t="str">
        <f t="shared" si="50"/>
        <v/>
      </c>
      <c r="F171" s="121" t="s">
        <v>1107</v>
      </c>
      <c r="G171" s="121"/>
      <c r="H171" s="346">
        <f t="shared" si="51"/>
        <v>1012.2</v>
      </c>
      <c r="I171" s="121">
        <v>90</v>
      </c>
      <c r="J171" s="346">
        <v>1011</v>
      </c>
      <c r="K171" s="128">
        <v>91098</v>
      </c>
      <c r="L171" s="150">
        <v>44512</v>
      </c>
      <c r="M171" s="124">
        <f t="shared" si="14"/>
        <v>1018.2778</v>
      </c>
      <c r="N171" s="155">
        <v>1019.33333</v>
      </c>
      <c r="O171" s="347">
        <v>91645</v>
      </c>
      <c r="P171" s="120">
        <v>44513</v>
      </c>
      <c r="Q171" s="348">
        <v>44509</v>
      </c>
      <c r="R171" s="125">
        <v>0</v>
      </c>
      <c r="S171" s="125"/>
      <c r="T171" s="127">
        <f t="shared" si="54"/>
        <v>547</v>
      </c>
      <c r="U171" s="127" t="str">
        <f t="shared" si="16"/>
        <v>90 DCMSHRIRAM</v>
      </c>
      <c r="V171" s="127">
        <f t="shared" si="17"/>
        <v>547</v>
      </c>
      <c r="W171" s="350">
        <f t="shared" si="55"/>
        <v>6.0045226020329755E-3</v>
      </c>
      <c r="X171" s="397">
        <f t="shared" si="19"/>
        <v>0</v>
      </c>
      <c r="Y171" s="352">
        <f t="shared" si="20"/>
        <v>0</v>
      </c>
      <c r="Z171" s="353">
        <f t="shared" si="21"/>
        <v>1</v>
      </c>
      <c r="AA171" s="350">
        <f t="shared" si="22"/>
        <v>7.8915115476736446</v>
      </c>
      <c r="AB171" s="120" t="s">
        <v>448</v>
      </c>
    </row>
    <row r="172" spans="1:28" ht="12.75" customHeight="1">
      <c r="A172" s="121" t="s">
        <v>575</v>
      </c>
      <c r="B172" s="120" t="s">
        <v>1112</v>
      </c>
      <c r="C172" s="343" t="s">
        <v>1113</v>
      </c>
      <c r="D172" s="344"/>
      <c r="E172" s="345" t="str">
        <f t="shared" si="50"/>
        <v/>
      </c>
      <c r="F172" s="121" t="s">
        <v>1107</v>
      </c>
      <c r="G172" s="121"/>
      <c r="H172" s="346">
        <f t="shared" si="51"/>
        <v>1021.0636</v>
      </c>
      <c r="I172" s="121">
        <v>110</v>
      </c>
      <c r="J172" s="346">
        <v>1019.855</v>
      </c>
      <c r="K172" s="128">
        <v>112317</v>
      </c>
      <c r="L172" s="150">
        <v>44510</v>
      </c>
      <c r="M172" s="124">
        <f t="shared" si="14"/>
        <v>1018.2818</v>
      </c>
      <c r="N172" s="155">
        <v>1019.33333</v>
      </c>
      <c r="O172" s="347">
        <v>112011</v>
      </c>
      <c r="P172" s="120">
        <v>44511</v>
      </c>
      <c r="Q172" s="348">
        <v>44509</v>
      </c>
      <c r="R172" s="125">
        <v>0</v>
      </c>
      <c r="S172" s="125"/>
      <c r="T172" s="127">
        <f t="shared" si="54"/>
        <v>-306</v>
      </c>
      <c r="U172" s="127" t="str">
        <f t="shared" si="16"/>
        <v>110 DCMSHRIRAM</v>
      </c>
      <c r="V172" s="127">
        <f t="shared" si="17"/>
        <v>-306</v>
      </c>
      <c r="W172" s="350">
        <f t="shared" si="55"/>
        <v>-2.7244317423008092E-3</v>
      </c>
      <c r="X172" s="397">
        <f t="shared" si="19"/>
        <v>0</v>
      </c>
      <c r="Y172" s="352">
        <f t="shared" si="20"/>
        <v>0</v>
      </c>
      <c r="Z172" s="353">
        <f t="shared" si="21"/>
        <v>1</v>
      </c>
      <c r="AA172" s="350">
        <f t="shared" si="22"/>
        <v>-0.63056285553278069</v>
      </c>
      <c r="AB172" s="120" t="s">
        <v>448</v>
      </c>
    </row>
    <row r="173" spans="1:28" ht="12.75" customHeight="1">
      <c r="A173" s="121" t="s">
        <v>575</v>
      </c>
      <c r="B173" s="120" t="s">
        <v>1112</v>
      </c>
      <c r="C173" s="343" t="s">
        <v>1113</v>
      </c>
      <c r="D173" s="344"/>
      <c r="E173" s="345" t="str">
        <f t="shared" si="50"/>
        <v/>
      </c>
      <c r="F173" s="121" t="s">
        <v>1107</v>
      </c>
      <c r="G173" s="121"/>
      <c r="H173" s="346">
        <f t="shared" si="51"/>
        <v>1002.19</v>
      </c>
      <c r="I173" s="121">
        <v>100</v>
      </c>
      <c r="J173" s="346">
        <v>1001</v>
      </c>
      <c r="K173" s="128">
        <v>100219</v>
      </c>
      <c r="L173" s="150">
        <v>44515</v>
      </c>
      <c r="M173" s="124">
        <f t="shared" si="14"/>
        <v>1018.28</v>
      </c>
      <c r="N173" s="155">
        <v>1019.33333</v>
      </c>
      <c r="O173" s="347">
        <v>101828</v>
      </c>
      <c r="P173" s="120">
        <v>44516</v>
      </c>
      <c r="Q173" s="348">
        <v>44509</v>
      </c>
      <c r="R173" s="125">
        <v>15.93</v>
      </c>
      <c r="S173" s="125"/>
      <c r="T173" s="127">
        <f t="shared" si="54"/>
        <v>1609</v>
      </c>
      <c r="U173" s="127" t="str">
        <f t="shared" si="16"/>
        <v>100 DCMSHRIRAM</v>
      </c>
      <c r="V173" s="127">
        <f t="shared" si="17"/>
        <v>1593.07</v>
      </c>
      <c r="W173" s="350">
        <f t="shared" si="55"/>
        <v>1.5895888005268463E-2</v>
      </c>
      <c r="X173" s="397">
        <f t="shared" si="19"/>
        <v>0</v>
      </c>
      <c r="Y173" s="352">
        <f t="shared" si="20"/>
        <v>0</v>
      </c>
      <c r="Z173" s="353">
        <f t="shared" si="21"/>
        <v>1</v>
      </c>
      <c r="AA173" s="350">
        <f t="shared" si="22"/>
        <v>315.19783774575194</v>
      </c>
      <c r="AB173" s="120" t="s">
        <v>448</v>
      </c>
    </row>
    <row r="174" spans="1:28" ht="12.75" customHeight="1">
      <c r="A174" s="121" t="s">
        <v>575</v>
      </c>
      <c r="B174" s="120" t="s">
        <v>1112</v>
      </c>
      <c r="C174" s="343" t="s">
        <v>1113</v>
      </c>
      <c r="D174" s="344"/>
      <c r="E174" s="345" t="str">
        <f t="shared" si="50"/>
        <v/>
      </c>
      <c r="F174" s="121" t="s">
        <v>1107</v>
      </c>
      <c r="G174" s="121"/>
      <c r="H174" s="346">
        <f t="shared" si="51"/>
        <v>960.14</v>
      </c>
      <c r="I174" s="121">
        <v>100</v>
      </c>
      <c r="J174" s="346">
        <v>959</v>
      </c>
      <c r="K174" s="128">
        <v>96014</v>
      </c>
      <c r="L174" s="150">
        <v>44543</v>
      </c>
      <c r="M174" s="124">
        <f t="shared" si="14"/>
        <v>958.01</v>
      </c>
      <c r="N174" s="155">
        <v>959</v>
      </c>
      <c r="O174" s="347">
        <v>95801</v>
      </c>
      <c r="P174" s="120">
        <v>44544</v>
      </c>
      <c r="Q174" s="348">
        <v>44529</v>
      </c>
      <c r="R174" s="125">
        <v>15.93</v>
      </c>
      <c r="S174" s="125"/>
      <c r="T174" s="127">
        <f t="shared" si="54"/>
        <v>-213</v>
      </c>
      <c r="U174" s="127" t="str">
        <f t="shared" si="16"/>
        <v>100 DCMSHRIRAM</v>
      </c>
      <c r="V174" s="127">
        <f t="shared" si="17"/>
        <v>-228.93</v>
      </c>
      <c r="W174" s="350">
        <f t="shared" si="55"/>
        <v>-2.3843397837815319E-3</v>
      </c>
      <c r="X174" s="397">
        <f t="shared" si="19"/>
        <v>0</v>
      </c>
      <c r="Y174" s="352">
        <f t="shared" si="20"/>
        <v>0</v>
      </c>
      <c r="Z174" s="353">
        <f t="shared" si="21"/>
        <v>1</v>
      </c>
      <c r="AA174" s="350">
        <f t="shared" si="22"/>
        <v>-0.58160244069636025</v>
      </c>
      <c r="AB174" s="120" t="s">
        <v>448</v>
      </c>
    </row>
    <row r="175" spans="1:28" ht="12.75" customHeight="1">
      <c r="A175" s="121" t="s">
        <v>575</v>
      </c>
      <c r="B175" s="120" t="s">
        <v>1112</v>
      </c>
      <c r="C175" s="343" t="s">
        <v>1113</v>
      </c>
      <c r="D175" s="344"/>
      <c r="E175" s="345" t="str">
        <f t="shared" si="50"/>
        <v/>
      </c>
      <c r="F175" s="121" t="s">
        <v>1107</v>
      </c>
      <c r="G175" s="121"/>
      <c r="H175" s="346">
        <f t="shared" si="51"/>
        <v>972.64480000000003</v>
      </c>
      <c r="I175" s="121">
        <v>183</v>
      </c>
      <c r="J175" s="346">
        <v>971.48524999999995</v>
      </c>
      <c r="K175" s="128">
        <v>177994</v>
      </c>
      <c r="L175" s="150">
        <v>44545</v>
      </c>
      <c r="M175" s="124">
        <f t="shared" si="14"/>
        <v>976.61749999999995</v>
      </c>
      <c r="N175" s="155">
        <v>977.62840000000006</v>
      </c>
      <c r="O175" s="347">
        <v>178721</v>
      </c>
      <c r="P175" s="120">
        <v>44546</v>
      </c>
      <c r="Q175" s="348">
        <v>44544</v>
      </c>
      <c r="R175" s="125">
        <v>15.93</v>
      </c>
      <c r="S175" s="125"/>
      <c r="T175" s="127">
        <f t="shared" si="54"/>
        <v>727</v>
      </c>
      <c r="U175" s="127" t="str">
        <f t="shared" si="16"/>
        <v>183 DCMSHRIRAM</v>
      </c>
      <c r="V175" s="127">
        <f t="shared" si="17"/>
        <v>711.07</v>
      </c>
      <c r="W175" s="350">
        <f t="shared" si="55"/>
        <v>3.9949099407845211E-3</v>
      </c>
      <c r="X175" s="397">
        <f t="shared" si="19"/>
        <v>0</v>
      </c>
      <c r="Y175" s="352">
        <f t="shared" si="20"/>
        <v>0</v>
      </c>
      <c r="Z175" s="353">
        <f t="shared" si="21"/>
        <v>1</v>
      </c>
      <c r="AA175" s="350">
        <f t="shared" si="22"/>
        <v>3.2855002468401047</v>
      </c>
      <c r="AB175" s="120" t="s">
        <v>448</v>
      </c>
    </row>
    <row r="176" spans="1:28" ht="12.75" customHeight="1">
      <c r="A176" s="121" t="s">
        <v>575</v>
      </c>
      <c r="B176" s="120" t="s">
        <v>1112</v>
      </c>
      <c r="C176" s="343" t="s">
        <v>1113</v>
      </c>
      <c r="D176" s="344"/>
      <c r="E176" s="345" t="str">
        <f t="shared" si="50"/>
        <v/>
      </c>
      <c r="F176" s="121" t="s">
        <v>1107</v>
      </c>
      <c r="G176" s="121"/>
      <c r="H176" s="346">
        <f t="shared" si="51"/>
        <v>973.16</v>
      </c>
      <c r="I176" s="121">
        <v>100</v>
      </c>
      <c r="J176" s="346">
        <v>972</v>
      </c>
      <c r="K176" s="128">
        <v>97316</v>
      </c>
      <c r="L176" s="150">
        <v>44550</v>
      </c>
      <c r="M176" s="124">
        <f t="shared" si="14"/>
        <v>988.96</v>
      </c>
      <c r="N176" s="155">
        <v>990</v>
      </c>
      <c r="O176" s="347">
        <v>98896</v>
      </c>
      <c r="P176" s="120">
        <v>44551</v>
      </c>
      <c r="Q176" s="348">
        <v>44546</v>
      </c>
      <c r="R176" s="125">
        <v>15.93</v>
      </c>
      <c r="S176" s="125"/>
      <c r="T176" s="127">
        <f t="shared" si="54"/>
        <v>1580</v>
      </c>
      <c r="U176" s="127" t="str">
        <f t="shared" si="16"/>
        <v>100 DCMSHRIRAM</v>
      </c>
      <c r="V176" s="127">
        <f t="shared" si="17"/>
        <v>1564.07</v>
      </c>
      <c r="W176" s="350">
        <f t="shared" si="55"/>
        <v>1.6072074479016811E-2</v>
      </c>
      <c r="X176" s="397">
        <f t="shared" si="19"/>
        <v>0</v>
      </c>
      <c r="Y176" s="352">
        <f t="shared" si="20"/>
        <v>0</v>
      </c>
      <c r="Z176" s="353">
        <f t="shared" si="21"/>
        <v>1</v>
      </c>
      <c r="AA176" s="350">
        <f t="shared" si="22"/>
        <v>335.85899224129713</v>
      </c>
      <c r="AB176" s="120" t="s">
        <v>448</v>
      </c>
    </row>
    <row r="177" spans="1:28" ht="12.75" customHeight="1">
      <c r="A177" s="121" t="s">
        <v>575</v>
      </c>
      <c r="B177" s="120" t="s">
        <v>1112</v>
      </c>
      <c r="C177" s="343" t="s">
        <v>1113</v>
      </c>
      <c r="D177" s="344"/>
      <c r="E177" s="345" t="str">
        <f t="shared" si="50"/>
        <v/>
      </c>
      <c r="F177" s="121" t="s">
        <v>1107</v>
      </c>
      <c r="G177" s="121"/>
      <c r="H177" s="346">
        <f t="shared" si="51"/>
        <v>982.13329999999996</v>
      </c>
      <c r="I177" s="121">
        <v>135</v>
      </c>
      <c r="J177" s="346">
        <v>980.96299999999997</v>
      </c>
      <c r="K177" s="128">
        <v>132588</v>
      </c>
      <c r="L177" s="150">
        <v>44552</v>
      </c>
      <c r="M177" s="124">
        <f t="shared" si="14"/>
        <v>984.97040000000004</v>
      </c>
      <c r="N177" s="155">
        <v>986</v>
      </c>
      <c r="O177" s="347">
        <v>132971</v>
      </c>
      <c r="P177" s="120">
        <v>44553</v>
      </c>
      <c r="Q177" s="348">
        <v>44551</v>
      </c>
      <c r="R177" s="125">
        <v>15.93</v>
      </c>
      <c r="S177" s="125"/>
      <c r="T177" s="127">
        <f t="shared" si="54"/>
        <v>383</v>
      </c>
      <c r="U177" s="127" t="str">
        <f t="shared" si="16"/>
        <v>135 DCMSHRIRAM</v>
      </c>
      <c r="V177" s="127">
        <f t="shared" si="17"/>
        <v>367.07</v>
      </c>
      <c r="W177" s="350">
        <f t="shared" si="55"/>
        <v>2.7685009201436025E-3</v>
      </c>
      <c r="X177" s="397">
        <f t="shared" si="19"/>
        <v>0</v>
      </c>
      <c r="Y177" s="352">
        <f t="shared" si="20"/>
        <v>0</v>
      </c>
      <c r="Z177" s="353">
        <f t="shared" si="21"/>
        <v>1</v>
      </c>
      <c r="AA177" s="350">
        <f t="shared" si="22"/>
        <v>1.7431492540696798</v>
      </c>
      <c r="AB177" s="120" t="s">
        <v>448</v>
      </c>
    </row>
    <row r="178" spans="1:28" ht="12.75" customHeight="1">
      <c r="A178" s="121" t="s">
        <v>575</v>
      </c>
      <c r="B178" s="120" t="s">
        <v>1112</v>
      </c>
      <c r="C178" s="343" t="s">
        <v>1113</v>
      </c>
      <c r="D178" s="344"/>
      <c r="E178" s="345" t="str">
        <f t="shared" si="50"/>
        <v/>
      </c>
      <c r="F178" s="121" t="s">
        <v>1107</v>
      </c>
      <c r="G178" s="121"/>
      <c r="H178" s="346">
        <f t="shared" si="51"/>
        <v>979.16920000000005</v>
      </c>
      <c r="I178" s="121">
        <v>65</v>
      </c>
      <c r="J178" s="346">
        <v>978</v>
      </c>
      <c r="K178" s="128">
        <v>63646</v>
      </c>
      <c r="L178" s="150">
        <v>44553</v>
      </c>
      <c r="M178" s="124">
        <f t="shared" si="14"/>
        <v>984.9692</v>
      </c>
      <c r="N178" s="155">
        <v>986</v>
      </c>
      <c r="O178" s="347">
        <v>64023</v>
      </c>
      <c r="P178" s="120">
        <v>44554</v>
      </c>
      <c r="Q178" s="348">
        <v>44551</v>
      </c>
      <c r="R178" s="125">
        <v>15.93</v>
      </c>
      <c r="S178" s="125"/>
      <c r="T178" s="127">
        <f t="shared" si="54"/>
        <v>377</v>
      </c>
      <c r="U178" s="127" t="str">
        <f t="shared" si="16"/>
        <v>65 DCMSHRIRAM</v>
      </c>
      <c r="V178" s="127">
        <f t="shared" si="17"/>
        <v>361.07</v>
      </c>
      <c r="W178" s="350">
        <f t="shared" si="55"/>
        <v>5.6730980737202648E-3</v>
      </c>
      <c r="X178" s="397">
        <f t="shared" si="19"/>
        <v>0</v>
      </c>
      <c r="Y178" s="352">
        <f t="shared" si="20"/>
        <v>0</v>
      </c>
      <c r="Z178" s="353">
        <f t="shared" si="21"/>
        <v>1</v>
      </c>
      <c r="AA178" s="350">
        <f t="shared" si="22"/>
        <v>6.8839522246720586</v>
      </c>
      <c r="AB178" s="120" t="s">
        <v>448</v>
      </c>
    </row>
    <row r="179" spans="1:28" ht="12.75" customHeight="1">
      <c r="A179" s="121" t="s">
        <v>575</v>
      </c>
      <c r="B179" s="120" t="s">
        <v>1112</v>
      </c>
      <c r="C179" s="343" t="s">
        <v>1113</v>
      </c>
      <c r="D179" s="344"/>
      <c r="E179" s="345" t="str">
        <f t="shared" si="50"/>
        <v/>
      </c>
      <c r="F179" s="121" t="s">
        <v>1107</v>
      </c>
      <c r="G179" s="121"/>
      <c r="H179" s="346">
        <f t="shared" si="51"/>
        <v>964.14</v>
      </c>
      <c r="I179" s="121">
        <v>50</v>
      </c>
      <c r="J179" s="346">
        <v>963</v>
      </c>
      <c r="K179" s="128">
        <v>48207</v>
      </c>
      <c r="L179" s="150">
        <v>44554</v>
      </c>
      <c r="M179" s="124">
        <f t="shared" si="14"/>
        <v>966</v>
      </c>
      <c r="N179" s="155">
        <v>967</v>
      </c>
      <c r="O179" s="347">
        <v>48300</v>
      </c>
      <c r="P179" s="120">
        <v>44566</v>
      </c>
      <c r="Q179" s="348">
        <v>44564</v>
      </c>
      <c r="R179" s="125">
        <v>15.93</v>
      </c>
      <c r="S179" s="125"/>
      <c r="T179" s="127">
        <f t="shared" si="54"/>
        <v>93</v>
      </c>
      <c r="U179" s="127" t="str">
        <f t="shared" si="16"/>
        <v>50 DCMSHRIRAM</v>
      </c>
      <c r="V179" s="127">
        <f t="shared" si="17"/>
        <v>77.069999999999993</v>
      </c>
      <c r="W179" s="350">
        <f t="shared" si="55"/>
        <v>1.5987304748273071E-3</v>
      </c>
      <c r="X179" s="397">
        <f t="shared" si="19"/>
        <v>0</v>
      </c>
      <c r="Y179" s="352">
        <f t="shared" si="20"/>
        <v>0</v>
      </c>
      <c r="Z179" s="353">
        <f t="shared" si="21"/>
        <v>12</v>
      </c>
      <c r="AA179" s="350">
        <f t="shared" si="22"/>
        <v>4.9789031655372407E-2</v>
      </c>
      <c r="AB179" s="120" t="s">
        <v>448</v>
      </c>
    </row>
    <row r="180" spans="1:28" ht="12" customHeight="1">
      <c r="A180" s="121" t="s">
        <v>575</v>
      </c>
      <c r="B180" s="120" t="s">
        <v>1112</v>
      </c>
      <c r="C180" s="343" t="s">
        <v>1113</v>
      </c>
      <c r="D180" s="344"/>
      <c r="E180" s="345" t="str">
        <f t="shared" si="50"/>
        <v/>
      </c>
      <c r="F180" s="121" t="s">
        <v>1107</v>
      </c>
      <c r="G180" s="121"/>
      <c r="H180" s="346">
        <f t="shared" si="51"/>
        <v>1036.22</v>
      </c>
      <c r="I180" s="121">
        <v>50</v>
      </c>
      <c r="J180" s="346">
        <v>1035</v>
      </c>
      <c r="K180" s="128">
        <v>51811</v>
      </c>
      <c r="L180" s="150">
        <v>44566</v>
      </c>
      <c r="M180" s="124">
        <f t="shared" si="14"/>
        <v>1042.42</v>
      </c>
      <c r="N180" s="155">
        <v>1043.5</v>
      </c>
      <c r="O180" s="347">
        <v>52121</v>
      </c>
      <c r="P180" s="120">
        <v>44567</v>
      </c>
      <c r="Q180" s="348">
        <v>44565</v>
      </c>
      <c r="R180" s="125">
        <v>0</v>
      </c>
      <c r="S180" s="125"/>
      <c r="T180" s="127">
        <f t="shared" si="54"/>
        <v>310</v>
      </c>
      <c r="U180" s="127" t="str">
        <f t="shared" si="16"/>
        <v>50 DCMSHRIRAM</v>
      </c>
      <c r="V180" s="127">
        <f t="shared" si="17"/>
        <v>310</v>
      </c>
      <c r="W180" s="350">
        <f t="shared" si="55"/>
        <v>5.9832854027137092E-3</v>
      </c>
      <c r="X180" s="397">
        <f t="shared" si="19"/>
        <v>0</v>
      </c>
      <c r="Y180" s="352">
        <f t="shared" si="20"/>
        <v>0</v>
      </c>
      <c r="Z180" s="353">
        <f t="shared" si="21"/>
        <v>1</v>
      </c>
      <c r="AA180" s="350">
        <f t="shared" si="22"/>
        <v>7.8232622439524846</v>
      </c>
      <c r="AB180" s="120" t="s">
        <v>448</v>
      </c>
    </row>
    <row r="181" spans="1:28" ht="12.75" customHeight="1">
      <c r="A181" s="121" t="s">
        <v>575</v>
      </c>
      <c r="B181" s="120" t="s">
        <v>1112</v>
      </c>
      <c r="C181" s="343" t="s">
        <v>1113</v>
      </c>
      <c r="D181" s="344"/>
      <c r="E181" s="345" t="str">
        <f t="shared" si="50"/>
        <v/>
      </c>
      <c r="F181" s="121" t="s">
        <v>1107</v>
      </c>
      <c r="G181" s="121"/>
      <c r="H181" s="346">
        <f t="shared" si="51"/>
        <v>1026.22</v>
      </c>
      <c r="I181" s="121">
        <v>50</v>
      </c>
      <c r="J181" s="346">
        <v>1025</v>
      </c>
      <c r="K181" s="128">
        <v>51311</v>
      </c>
      <c r="L181" s="150">
        <v>44566</v>
      </c>
      <c r="M181" s="124">
        <f t="shared" si="14"/>
        <v>1028.94</v>
      </c>
      <c r="N181" s="155">
        <v>1030</v>
      </c>
      <c r="O181" s="347">
        <v>51447</v>
      </c>
      <c r="P181" s="120">
        <v>44567</v>
      </c>
      <c r="Q181" s="348">
        <v>44565</v>
      </c>
      <c r="R181" s="125">
        <v>15.93</v>
      </c>
      <c r="S181" s="125"/>
      <c r="T181" s="127">
        <f t="shared" si="54"/>
        <v>136</v>
      </c>
      <c r="U181" s="127" t="str">
        <f t="shared" si="16"/>
        <v>50 DCMSHRIRAM</v>
      </c>
      <c r="V181" s="127">
        <f t="shared" si="17"/>
        <v>120.07</v>
      </c>
      <c r="W181" s="350">
        <f t="shared" si="55"/>
        <v>2.3400440451365203E-3</v>
      </c>
      <c r="X181" s="397">
        <f t="shared" si="19"/>
        <v>0</v>
      </c>
      <c r="Y181" s="352">
        <f t="shared" si="20"/>
        <v>0</v>
      </c>
      <c r="Z181" s="353">
        <f t="shared" si="21"/>
        <v>1</v>
      </c>
      <c r="AA181" s="350">
        <f t="shared" si="22"/>
        <v>1.3469539552383201</v>
      </c>
      <c r="AB181" s="120" t="s">
        <v>448</v>
      </c>
    </row>
    <row r="182" spans="1:28" ht="12.75" customHeight="1">
      <c r="A182" s="121" t="s">
        <v>575</v>
      </c>
      <c r="B182" s="120" t="s">
        <v>1112</v>
      </c>
      <c r="C182" s="343" t="s">
        <v>1113</v>
      </c>
      <c r="D182" s="344"/>
      <c r="E182" s="345" t="str">
        <f t="shared" si="50"/>
        <v/>
      </c>
      <c r="F182" s="121" t="s">
        <v>1107</v>
      </c>
      <c r="G182" s="121"/>
      <c r="H182" s="346">
        <f t="shared" si="51"/>
        <v>1006.33</v>
      </c>
      <c r="I182" s="121">
        <v>100</v>
      </c>
      <c r="J182" s="346">
        <v>1005.13</v>
      </c>
      <c r="K182" s="128">
        <v>100633</v>
      </c>
      <c r="L182" s="150">
        <v>44567</v>
      </c>
      <c r="M182" s="124">
        <f t="shared" si="14"/>
        <v>1010.95</v>
      </c>
      <c r="N182" s="155">
        <v>1012</v>
      </c>
      <c r="O182" s="347">
        <v>101095</v>
      </c>
      <c r="P182" s="120">
        <v>44568</v>
      </c>
      <c r="Q182" s="348">
        <v>44565</v>
      </c>
      <c r="R182" s="125">
        <v>0</v>
      </c>
      <c r="S182" s="125"/>
      <c r="T182" s="127">
        <f t="shared" si="54"/>
        <v>462</v>
      </c>
      <c r="U182" s="127" t="str">
        <f t="shared" si="16"/>
        <v>100 DCMSHRIRAM</v>
      </c>
      <c r="V182" s="127">
        <f t="shared" si="17"/>
        <v>462</v>
      </c>
      <c r="W182" s="350">
        <f t="shared" si="55"/>
        <v>4.5909393538898771E-3</v>
      </c>
      <c r="X182" s="397">
        <f t="shared" si="19"/>
        <v>0</v>
      </c>
      <c r="Y182" s="352">
        <f t="shared" si="20"/>
        <v>0</v>
      </c>
      <c r="Z182" s="353">
        <f t="shared" si="21"/>
        <v>1</v>
      </c>
      <c r="AA182" s="350">
        <f t="shared" si="22"/>
        <v>4.3220474818963819</v>
      </c>
      <c r="AB182" s="120" t="s">
        <v>448</v>
      </c>
    </row>
    <row r="183" spans="1:28" ht="12.75" customHeight="1">
      <c r="A183" s="121" t="s">
        <v>575</v>
      </c>
      <c r="B183" s="120" t="s">
        <v>1112</v>
      </c>
      <c r="C183" s="343" t="s">
        <v>1113</v>
      </c>
      <c r="D183" s="344"/>
      <c r="E183" s="345" t="str">
        <f t="shared" si="50"/>
        <v/>
      </c>
      <c r="F183" s="121" t="s">
        <v>1107</v>
      </c>
      <c r="G183" s="121"/>
      <c r="H183" s="346">
        <f t="shared" si="51"/>
        <v>991.16669999999999</v>
      </c>
      <c r="I183" s="121">
        <v>60</v>
      </c>
      <c r="J183" s="346">
        <v>990</v>
      </c>
      <c r="K183" s="128">
        <v>59470</v>
      </c>
      <c r="L183" s="150">
        <v>44567</v>
      </c>
      <c r="M183" s="124">
        <f t="shared" si="14"/>
        <v>993.61670000000004</v>
      </c>
      <c r="N183" s="155">
        <v>994.65</v>
      </c>
      <c r="O183" s="347">
        <v>59617</v>
      </c>
      <c r="P183" s="120">
        <v>44568</v>
      </c>
      <c r="Q183" s="348">
        <v>44565</v>
      </c>
      <c r="R183" s="125">
        <v>0</v>
      </c>
      <c r="S183" s="125"/>
      <c r="T183" s="127">
        <f t="shared" si="54"/>
        <v>147</v>
      </c>
      <c r="U183" s="127" t="str">
        <f t="shared" si="16"/>
        <v>60 DCMSHRIRAM</v>
      </c>
      <c r="V183" s="127">
        <f t="shared" si="17"/>
        <v>147</v>
      </c>
      <c r="W183" s="350">
        <f t="shared" si="55"/>
        <v>2.4718345384227344E-3</v>
      </c>
      <c r="X183" s="397">
        <f t="shared" si="19"/>
        <v>0</v>
      </c>
      <c r="Y183" s="352">
        <f t="shared" si="20"/>
        <v>0</v>
      </c>
      <c r="Z183" s="353">
        <f t="shared" si="21"/>
        <v>1</v>
      </c>
      <c r="AA183" s="350">
        <f t="shared" si="22"/>
        <v>1.4623258526875298</v>
      </c>
      <c r="AB183" s="120" t="s">
        <v>448</v>
      </c>
    </row>
    <row r="184" spans="1:28" ht="12.75" customHeight="1">
      <c r="A184" s="121" t="s">
        <v>575</v>
      </c>
      <c r="B184" s="120" t="s">
        <v>1112</v>
      </c>
      <c r="C184" s="343" t="s">
        <v>1113</v>
      </c>
      <c r="D184" s="344"/>
      <c r="E184" s="345" t="str">
        <f t="shared" si="50"/>
        <v/>
      </c>
      <c r="F184" s="121" t="s">
        <v>1107</v>
      </c>
      <c r="G184" s="121"/>
      <c r="H184" s="346">
        <f t="shared" si="51"/>
        <v>955.93</v>
      </c>
      <c r="I184" s="121">
        <v>100</v>
      </c>
      <c r="J184" s="346">
        <v>954.8</v>
      </c>
      <c r="K184" s="128">
        <v>95593</v>
      </c>
      <c r="L184" s="150">
        <v>44614</v>
      </c>
      <c r="M184" s="124">
        <f t="shared" si="14"/>
        <v>982.98</v>
      </c>
      <c r="N184" s="155">
        <v>984</v>
      </c>
      <c r="O184" s="347">
        <v>98298</v>
      </c>
      <c r="P184" s="120">
        <v>44615</v>
      </c>
      <c r="Q184" s="348">
        <v>44565</v>
      </c>
      <c r="R184" s="125">
        <v>0</v>
      </c>
      <c r="S184" s="125"/>
      <c r="T184" s="127">
        <f t="shared" si="54"/>
        <v>2705</v>
      </c>
      <c r="U184" s="127" t="str">
        <f t="shared" si="16"/>
        <v>100 DCMSHRIRAM</v>
      </c>
      <c r="V184" s="127">
        <f t="shared" si="17"/>
        <v>2705</v>
      </c>
      <c r="W184" s="350">
        <f t="shared" si="55"/>
        <v>2.8297051039302041E-2</v>
      </c>
      <c r="X184" s="397">
        <f t="shared" si="19"/>
        <v>0</v>
      </c>
      <c r="Y184" s="352">
        <f t="shared" si="20"/>
        <v>0</v>
      </c>
      <c r="Z184" s="353">
        <f t="shared" si="21"/>
        <v>1</v>
      </c>
      <c r="AA184" s="350">
        <f t="shared" si="22"/>
        <v>26501.416278860455</v>
      </c>
      <c r="AB184" s="120" t="s">
        <v>448</v>
      </c>
    </row>
    <row r="185" spans="1:28" ht="12.75" customHeight="1">
      <c r="A185" s="121" t="s">
        <v>575</v>
      </c>
      <c r="B185" s="120" t="s">
        <v>1112</v>
      </c>
      <c r="C185" s="343" t="s">
        <v>1113</v>
      </c>
      <c r="D185" s="344"/>
      <c r="E185" s="345" t="str">
        <f t="shared" si="50"/>
        <v/>
      </c>
      <c r="F185" s="121" t="s">
        <v>1107</v>
      </c>
      <c r="G185" s="121"/>
      <c r="H185" s="346">
        <f t="shared" si="51"/>
        <v>1005.18</v>
      </c>
      <c r="I185" s="121">
        <v>50</v>
      </c>
      <c r="J185" s="346">
        <v>1004</v>
      </c>
      <c r="K185" s="128">
        <v>50259</v>
      </c>
      <c r="L185" s="150">
        <v>44571</v>
      </c>
      <c r="M185" s="124">
        <f t="shared" si="14"/>
        <v>1008.96</v>
      </c>
      <c r="N185" s="155">
        <v>1010</v>
      </c>
      <c r="O185" s="347">
        <v>50448</v>
      </c>
      <c r="P185" s="120">
        <v>44572</v>
      </c>
      <c r="Q185" s="348">
        <v>44568</v>
      </c>
      <c r="R185" s="125">
        <v>15.93</v>
      </c>
      <c r="S185" s="125"/>
      <c r="T185" s="127">
        <f t="shared" si="54"/>
        <v>189</v>
      </c>
      <c r="U185" s="127" t="str">
        <f t="shared" si="16"/>
        <v>50 DCMSHRIRAM</v>
      </c>
      <c r="V185" s="127">
        <f t="shared" si="17"/>
        <v>173.07</v>
      </c>
      <c r="W185" s="350">
        <f t="shared" si="55"/>
        <v>3.4435623470423205E-3</v>
      </c>
      <c r="X185" s="397">
        <f t="shared" si="19"/>
        <v>0</v>
      </c>
      <c r="Y185" s="352">
        <f t="shared" si="20"/>
        <v>0</v>
      </c>
      <c r="Z185" s="353">
        <f t="shared" si="21"/>
        <v>1</v>
      </c>
      <c r="AA185" s="350">
        <f t="shared" si="22"/>
        <v>2.5069303294949328</v>
      </c>
      <c r="AB185" s="120" t="s">
        <v>448</v>
      </c>
    </row>
    <row r="186" spans="1:28" ht="12.75" customHeight="1">
      <c r="A186" s="121" t="s">
        <v>575</v>
      </c>
      <c r="B186" s="120" t="s">
        <v>1112</v>
      </c>
      <c r="C186" s="343" t="s">
        <v>1113</v>
      </c>
      <c r="D186" s="344"/>
      <c r="E186" s="345" t="str">
        <f t="shared" si="50"/>
        <v/>
      </c>
      <c r="F186" s="121" t="s">
        <v>1107</v>
      </c>
      <c r="G186" s="121"/>
      <c r="H186" s="346">
        <f t="shared" si="51"/>
        <v>1002.12</v>
      </c>
      <c r="I186" s="121">
        <v>175</v>
      </c>
      <c r="J186" s="346">
        <v>1002</v>
      </c>
      <c r="K186" s="128">
        <v>175371</v>
      </c>
      <c r="L186" s="150">
        <v>44575</v>
      </c>
      <c r="M186" s="124">
        <f t="shared" si="14"/>
        <v>1006.56</v>
      </c>
      <c r="N186" s="155">
        <v>1007.6</v>
      </c>
      <c r="O186" s="347">
        <v>176148</v>
      </c>
      <c r="P186" s="120">
        <v>44578</v>
      </c>
      <c r="Q186" s="348">
        <v>44574</v>
      </c>
      <c r="R186" s="125">
        <v>15.93</v>
      </c>
      <c r="S186" s="125"/>
      <c r="T186" s="127">
        <f t="shared" si="54"/>
        <v>777</v>
      </c>
      <c r="U186" s="127" t="str">
        <f t="shared" si="16"/>
        <v>175 DCMSHRIRAM</v>
      </c>
      <c r="V186" s="127">
        <f t="shared" si="17"/>
        <v>761.07</v>
      </c>
      <c r="W186" s="350">
        <f t="shared" si="55"/>
        <v>4.3397711138101515E-3</v>
      </c>
      <c r="X186" s="397">
        <f t="shared" si="19"/>
        <v>0</v>
      </c>
      <c r="Y186" s="352">
        <f t="shared" si="20"/>
        <v>0</v>
      </c>
      <c r="Z186" s="353">
        <f t="shared" si="21"/>
        <v>3</v>
      </c>
      <c r="AA186" s="350">
        <f t="shared" si="22"/>
        <v>0.69361124079386816</v>
      </c>
      <c r="AB186" s="120" t="s">
        <v>448</v>
      </c>
    </row>
    <row r="187" spans="1:28" ht="12.75" customHeight="1">
      <c r="A187" s="121" t="s">
        <v>575</v>
      </c>
      <c r="B187" s="120" t="s">
        <v>1112</v>
      </c>
      <c r="C187" s="343" t="s">
        <v>1113</v>
      </c>
      <c r="D187" s="344"/>
      <c r="E187" s="345" t="str">
        <f t="shared" si="50"/>
        <v/>
      </c>
      <c r="F187" s="121" t="s">
        <v>1107</v>
      </c>
      <c r="G187" s="121"/>
      <c r="H187" s="346">
        <f t="shared" si="51"/>
        <v>1001.18</v>
      </c>
      <c r="I187" s="121">
        <v>100</v>
      </c>
      <c r="J187" s="346">
        <v>1000</v>
      </c>
      <c r="K187" s="128">
        <v>100118</v>
      </c>
      <c r="L187" s="150">
        <v>44579</v>
      </c>
      <c r="M187" s="124">
        <f t="shared" si="14"/>
        <v>1006.96</v>
      </c>
      <c r="N187" s="155">
        <v>1008</v>
      </c>
      <c r="O187" s="347">
        <v>100696</v>
      </c>
      <c r="P187" s="120">
        <v>44580</v>
      </c>
      <c r="Q187" s="348">
        <v>44575</v>
      </c>
      <c r="R187" s="125">
        <v>15.93</v>
      </c>
      <c r="S187" s="125"/>
      <c r="T187" s="127">
        <f t="shared" si="54"/>
        <v>578</v>
      </c>
      <c r="U187" s="127" t="str">
        <f t="shared" si="16"/>
        <v>100 DCMSHRIRAM</v>
      </c>
      <c r="V187" s="127">
        <f t="shared" si="17"/>
        <v>562.07000000000005</v>
      </c>
      <c r="W187" s="350">
        <f t="shared" si="55"/>
        <v>5.6140753910385753E-3</v>
      </c>
      <c r="X187" s="397">
        <f t="shared" si="19"/>
        <v>0</v>
      </c>
      <c r="Y187" s="352">
        <f t="shared" si="20"/>
        <v>0</v>
      </c>
      <c r="Z187" s="353">
        <f t="shared" si="21"/>
        <v>1</v>
      </c>
      <c r="AA187" s="350">
        <f t="shared" si="22"/>
        <v>6.7168553993530224</v>
      </c>
      <c r="AB187" s="120" t="s">
        <v>448</v>
      </c>
    </row>
    <row r="188" spans="1:28" ht="12.75" customHeight="1">
      <c r="A188" s="121" t="s">
        <v>575</v>
      </c>
      <c r="B188" s="120" t="s">
        <v>1112</v>
      </c>
      <c r="C188" s="343" t="s">
        <v>1113</v>
      </c>
      <c r="D188" s="344"/>
      <c r="E188" s="345" t="str">
        <f t="shared" si="50"/>
        <v/>
      </c>
      <c r="F188" s="121" t="s">
        <v>1107</v>
      </c>
      <c r="G188" s="121"/>
      <c r="H188" s="346">
        <f t="shared" si="51"/>
        <v>1041.2333000000001</v>
      </c>
      <c r="I188" s="121">
        <v>150</v>
      </c>
      <c r="J188" s="346">
        <v>1040</v>
      </c>
      <c r="K188" s="128">
        <v>156185</v>
      </c>
      <c r="L188" s="150">
        <v>44579</v>
      </c>
      <c r="M188" s="124">
        <f t="shared" si="14"/>
        <v>1042.28</v>
      </c>
      <c r="N188" s="155">
        <v>1043.3599999999999</v>
      </c>
      <c r="O188" s="347">
        <v>156342</v>
      </c>
      <c r="P188" s="120">
        <v>44580</v>
      </c>
      <c r="Q188" s="348">
        <v>44578</v>
      </c>
      <c r="R188" s="125">
        <v>15.93</v>
      </c>
      <c r="S188" s="125"/>
      <c r="T188" s="127">
        <f t="shared" si="54"/>
        <v>157</v>
      </c>
      <c r="U188" s="127" t="str">
        <f t="shared" si="16"/>
        <v>150 DCMSHRIRAM</v>
      </c>
      <c r="V188" s="127">
        <f t="shared" si="17"/>
        <v>141.07</v>
      </c>
      <c r="W188" s="350">
        <f t="shared" si="55"/>
        <v>9.0322374107628767E-4</v>
      </c>
      <c r="X188" s="397">
        <f t="shared" si="19"/>
        <v>0</v>
      </c>
      <c r="Y188" s="352">
        <f t="shared" si="20"/>
        <v>0</v>
      </c>
      <c r="Z188" s="353">
        <f t="shared" si="21"/>
        <v>1</v>
      </c>
      <c r="AA188" s="350">
        <f t="shared" si="22"/>
        <v>0.39031156455622606</v>
      </c>
      <c r="AB188" s="120" t="s">
        <v>448</v>
      </c>
    </row>
    <row r="189" spans="1:28" ht="12.75" customHeight="1">
      <c r="A189" s="121" t="s">
        <v>575</v>
      </c>
      <c r="B189" s="120" t="s">
        <v>1112</v>
      </c>
      <c r="C189" s="343" t="s">
        <v>1113</v>
      </c>
      <c r="D189" s="344"/>
      <c r="E189" s="345" t="str">
        <f t="shared" si="50"/>
        <v/>
      </c>
      <c r="F189" s="121"/>
      <c r="G189" s="121"/>
      <c r="H189" s="346">
        <f t="shared" si="51"/>
        <v>1031.2128</v>
      </c>
      <c r="I189" s="121">
        <v>47</v>
      </c>
      <c r="J189" s="346">
        <v>1030</v>
      </c>
      <c r="K189" s="128">
        <v>48467</v>
      </c>
      <c r="L189" s="150">
        <v>44579</v>
      </c>
      <c r="M189" s="124">
        <f t="shared" si="14"/>
        <v>1099.8723</v>
      </c>
      <c r="N189" s="155">
        <v>1101</v>
      </c>
      <c r="O189" s="347">
        <v>51694</v>
      </c>
      <c r="P189" s="120">
        <v>44582</v>
      </c>
      <c r="Q189" s="348">
        <v>44580</v>
      </c>
      <c r="R189" s="125">
        <v>15.93</v>
      </c>
      <c r="S189" s="125"/>
      <c r="T189" s="127">
        <f t="shared" si="54"/>
        <v>3227</v>
      </c>
      <c r="U189" s="127" t="str">
        <f t="shared" si="16"/>
        <v>47 DCMSHRIRAM</v>
      </c>
      <c r="V189" s="127">
        <f t="shared" si="17"/>
        <v>3211.07</v>
      </c>
      <c r="W189" s="350">
        <f t="shared" si="55"/>
        <v>6.6252708028142857E-2</v>
      </c>
      <c r="X189" s="397">
        <f t="shared" si="19"/>
        <v>0</v>
      </c>
      <c r="Y189" s="352">
        <f t="shared" si="20"/>
        <v>0</v>
      </c>
      <c r="Z189" s="353">
        <f t="shared" si="21"/>
        <v>3</v>
      </c>
      <c r="AA189" s="350">
        <f t="shared" si="22"/>
        <v>2451.7384564513673</v>
      </c>
      <c r="AB189" s="120" t="s">
        <v>448</v>
      </c>
    </row>
    <row r="190" spans="1:28" ht="12.75" customHeight="1">
      <c r="A190" s="121" t="s">
        <v>575</v>
      </c>
      <c r="B190" s="120" t="s">
        <v>1112</v>
      </c>
      <c r="C190" s="343" t="s">
        <v>1113</v>
      </c>
      <c r="D190" s="344"/>
      <c r="E190" s="345" t="str">
        <f t="shared" si="50"/>
        <v/>
      </c>
      <c r="F190" s="121" t="s">
        <v>1107</v>
      </c>
      <c r="G190" s="121"/>
      <c r="H190" s="346">
        <f t="shared" si="51"/>
        <v>1012.4348</v>
      </c>
      <c r="I190" s="121">
        <v>115</v>
      </c>
      <c r="J190" s="346">
        <v>1011.2417</v>
      </c>
      <c r="K190" s="128">
        <v>116430</v>
      </c>
      <c r="L190" s="150">
        <v>44613</v>
      </c>
      <c r="M190" s="124">
        <f t="shared" si="14"/>
        <v>1025.9391000000001</v>
      </c>
      <c r="N190" s="155">
        <v>1027</v>
      </c>
      <c r="O190" s="347">
        <v>117983</v>
      </c>
      <c r="P190" s="120">
        <v>44614</v>
      </c>
      <c r="Q190" s="348">
        <v>44586</v>
      </c>
      <c r="R190" s="125">
        <v>15.93</v>
      </c>
      <c r="S190" s="125"/>
      <c r="T190" s="127">
        <f t="shared" si="54"/>
        <v>1553</v>
      </c>
      <c r="U190" s="127" t="str">
        <f t="shared" si="16"/>
        <v>115 DCMSHRIRAM</v>
      </c>
      <c r="V190" s="127">
        <f t="shared" si="17"/>
        <v>1537.07</v>
      </c>
      <c r="W190" s="350">
        <f t="shared" si="55"/>
        <v>1.3201666237224083E-2</v>
      </c>
      <c r="X190" s="397">
        <f t="shared" si="19"/>
        <v>0</v>
      </c>
      <c r="Y190" s="352">
        <f t="shared" si="20"/>
        <v>0</v>
      </c>
      <c r="Z190" s="353">
        <f t="shared" si="21"/>
        <v>1</v>
      </c>
      <c r="AA190" s="350">
        <f t="shared" si="22"/>
        <v>118.95042600672537</v>
      </c>
      <c r="AB190" s="120" t="s">
        <v>448</v>
      </c>
    </row>
    <row r="191" spans="1:28" ht="12.75" customHeight="1">
      <c r="A191" s="121" t="s">
        <v>575</v>
      </c>
      <c r="B191" s="120" t="s">
        <v>1112</v>
      </c>
      <c r="C191" s="343" t="s">
        <v>1113</v>
      </c>
      <c r="D191" s="344"/>
      <c r="E191" s="345" t="str">
        <f t="shared" si="50"/>
        <v/>
      </c>
      <c r="F191" s="121" t="s">
        <v>1107</v>
      </c>
      <c r="G191" s="121"/>
      <c r="H191" s="346">
        <f t="shared" si="51"/>
        <v>1161.6947</v>
      </c>
      <c r="I191" s="121">
        <v>190</v>
      </c>
      <c r="J191" s="346">
        <v>1161</v>
      </c>
      <c r="K191" s="128">
        <v>220722</v>
      </c>
      <c r="L191" s="150">
        <v>44600</v>
      </c>
      <c r="M191" s="124">
        <f t="shared" si="14"/>
        <v>1161.3684000000001</v>
      </c>
      <c r="N191" s="155">
        <v>1162.5684000000001</v>
      </c>
      <c r="O191" s="347">
        <v>220660</v>
      </c>
      <c r="P191" s="120">
        <v>44601</v>
      </c>
      <c r="Q191" s="348">
        <v>44596</v>
      </c>
      <c r="R191" s="125">
        <v>15.93</v>
      </c>
      <c r="S191" s="125"/>
      <c r="T191" s="127">
        <f t="shared" si="54"/>
        <v>-62</v>
      </c>
      <c r="U191" s="127" t="str">
        <f t="shared" si="16"/>
        <v>190 DCMSHRIRAM</v>
      </c>
      <c r="V191" s="127">
        <f t="shared" si="17"/>
        <v>-77.930000000000007</v>
      </c>
      <c r="W191" s="350">
        <f t="shared" si="55"/>
        <v>-3.5306856588831201E-4</v>
      </c>
      <c r="X191" s="397">
        <f t="shared" si="19"/>
        <v>0</v>
      </c>
      <c r="Y191" s="352">
        <f t="shared" si="20"/>
        <v>0</v>
      </c>
      <c r="Z191" s="353">
        <f t="shared" si="21"/>
        <v>1</v>
      </c>
      <c r="AA191" s="350">
        <f t="shared" si="22"/>
        <v>-0.12093178746874012</v>
      </c>
      <c r="AB191" s="120" t="s">
        <v>448</v>
      </c>
    </row>
    <row r="192" spans="1:28" ht="12.75" customHeight="1">
      <c r="A192" s="121" t="s">
        <v>575</v>
      </c>
      <c r="B192" s="120" t="s">
        <v>1112</v>
      </c>
      <c r="C192" s="343" t="s">
        <v>1113</v>
      </c>
      <c r="D192" s="344"/>
      <c r="E192" s="345" t="str">
        <f t="shared" si="50"/>
        <v/>
      </c>
      <c r="F192" s="121" t="s">
        <v>1107</v>
      </c>
      <c r="G192" s="121"/>
      <c r="H192" s="346">
        <f t="shared" si="51"/>
        <v>1136.3499999999999</v>
      </c>
      <c r="I192" s="121">
        <v>60</v>
      </c>
      <c r="J192" s="346">
        <v>1135</v>
      </c>
      <c r="K192" s="128">
        <v>68181</v>
      </c>
      <c r="L192" s="150">
        <v>44601</v>
      </c>
      <c r="M192" s="124">
        <f t="shared" si="14"/>
        <v>1142.5667000000001</v>
      </c>
      <c r="N192" s="155">
        <v>1143.75</v>
      </c>
      <c r="O192" s="347">
        <v>68554</v>
      </c>
      <c r="P192" s="120">
        <v>44602</v>
      </c>
      <c r="Q192" s="348">
        <v>44600</v>
      </c>
      <c r="R192" s="125">
        <v>15.93</v>
      </c>
      <c r="S192" s="125"/>
      <c r="T192" s="127">
        <f t="shared" si="54"/>
        <v>373</v>
      </c>
      <c r="U192" s="127" t="str">
        <f t="shared" si="16"/>
        <v>60 DCMSHRIRAM</v>
      </c>
      <c r="V192" s="127">
        <f t="shared" si="17"/>
        <v>357.07</v>
      </c>
      <c r="W192" s="350">
        <f t="shared" si="55"/>
        <v>5.2370895117408072E-3</v>
      </c>
      <c r="X192" s="397">
        <f t="shared" si="19"/>
        <v>0</v>
      </c>
      <c r="Y192" s="352">
        <f t="shared" si="20"/>
        <v>0</v>
      </c>
      <c r="Z192" s="353">
        <f t="shared" si="21"/>
        <v>1</v>
      </c>
      <c r="AA192" s="350">
        <f t="shared" si="22"/>
        <v>5.7298283118745994</v>
      </c>
      <c r="AB192" s="120" t="s">
        <v>448</v>
      </c>
    </row>
    <row r="193" spans="1:28" ht="12.75" customHeight="1">
      <c r="A193" s="121" t="s">
        <v>575</v>
      </c>
      <c r="B193" s="120" t="s">
        <v>1112</v>
      </c>
      <c r="C193" s="343" t="s">
        <v>1113</v>
      </c>
      <c r="D193" s="344"/>
      <c r="E193" s="345" t="str">
        <f t="shared" si="50"/>
        <v/>
      </c>
      <c r="F193" s="121" t="s">
        <v>1107</v>
      </c>
      <c r="G193" s="121"/>
      <c r="H193" s="346">
        <f t="shared" si="51"/>
        <v>1133.3399999999999</v>
      </c>
      <c r="I193" s="121">
        <v>50</v>
      </c>
      <c r="J193" s="346">
        <v>1132</v>
      </c>
      <c r="K193" s="128">
        <v>56667</v>
      </c>
      <c r="L193" s="150">
        <v>44603</v>
      </c>
      <c r="M193" s="124">
        <f t="shared" si="14"/>
        <v>1140.82</v>
      </c>
      <c r="N193" s="155">
        <v>1142</v>
      </c>
      <c r="O193" s="347">
        <v>57041</v>
      </c>
      <c r="P193" s="120">
        <v>44606</v>
      </c>
      <c r="Q193" s="348">
        <v>44602</v>
      </c>
      <c r="R193" s="125">
        <v>15.93</v>
      </c>
      <c r="S193" s="125"/>
      <c r="T193" s="127">
        <f t="shared" si="54"/>
        <v>374</v>
      </c>
      <c r="U193" s="127" t="str">
        <f t="shared" si="16"/>
        <v>50 DCMSHRIRAM</v>
      </c>
      <c r="V193" s="127">
        <f t="shared" si="17"/>
        <v>358.07</v>
      </c>
      <c r="W193" s="350">
        <f t="shared" si="55"/>
        <v>6.3188451832636274E-3</v>
      </c>
      <c r="X193" s="397">
        <f t="shared" si="19"/>
        <v>0</v>
      </c>
      <c r="Y193" s="352">
        <f t="shared" si="20"/>
        <v>0</v>
      </c>
      <c r="Z193" s="353">
        <f t="shared" si="21"/>
        <v>3</v>
      </c>
      <c r="AA193" s="350">
        <f t="shared" si="22"/>
        <v>1.1519492794988193</v>
      </c>
      <c r="AB193" s="120" t="s">
        <v>448</v>
      </c>
    </row>
    <row r="194" spans="1:28" ht="12.75" customHeight="1">
      <c r="A194" s="121" t="s">
        <v>575</v>
      </c>
      <c r="B194" s="120" t="s">
        <v>1112</v>
      </c>
      <c r="C194" s="343" t="s">
        <v>1113</v>
      </c>
      <c r="D194" s="344"/>
      <c r="E194" s="345" t="str">
        <f t="shared" si="50"/>
        <v/>
      </c>
      <c r="F194" s="121" t="s">
        <v>1107</v>
      </c>
      <c r="G194" s="121"/>
      <c r="H194" s="346">
        <f t="shared" si="51"/>
        <v>1051.9571000000001</v>
      </c>
      <c r="I194" s="121">
        <v>70</v>
      </c>
      <c r="J194" s="346">
        <v>1050.7143000000001</v>
      </c>
      <c r="K194" s="128">
        <v>73637</v>
      </c>
      <c r="L194" s="150">
        <v>44610</v>
      </c>
      <c r="M194" s="124">
        <f t="shared" si="14"/>
        <v>1060.7571</v>
      </c>
      <c r="N194" s="155">
        <v>1061.8499999999999</v>
      </c>
      <c r="O194" s="347">
        <v>74253</v>
      </c>
      <c r="P194" s="120">
        <v>44611</v>
      </c>
      <c r="Q194" s="348">
        <v>44607</v>
      </c>
      <c r="R194" s="125">
        <v>15.93</v>
      </c>
      <c r="S194" s="125"/>
      <c r="T194" s="127">
        <f t="shared" si="54"/>
        <v>616</v>
      </c>
      <c r="U194" s="127" t="str">
        <f t="shared" si="16"/>
        <v>70 DCMSHRIRAM</v>
      </c>
      <c r="V194" s="127">
        <f t="shared" si="17"/>
        <v>600.07000000000005</v>
      </c>
      <c r="W194" s="350">
        <f t="shared" si="55"/>
        <v>8.149028341730381E-3</v>
      </c>
      <c r="X194" s="397">
        <f t="shared" si="19"/>
        <v>0</v>
      </c>
      <c r="Y194" s="352">
        <f t="shared" si="20"/>
        <v>0</v>
      </c>
      <c r="Z194" s="353">
        <f t="shared" si="21"/>
        <v>1</v>
      </c>
      <c r="AA194" s="350">
        <f t="shared" si="22"/>
        <v>18.343212231144015</v>
      </c>
      <c r="AB194" s="120" t="s">
        <v>448</v>
      </c>
    </row>
    <row r="195" spans="1:28" ht="12.75" customHeight="1">
      <c r="A195" s="121" t="s">
        <v>575</v>
      </c>
      <c r="B195" s="120" t="s">
        <v>1112</v>
      </c>
      <c r="C195" s="343" t="s">
        <v>1113</v>
      </c>
      <c r="D195" s="344"/>
      <c r="E195" s="345" t="str">
        <f t="shared" si="50"/>
        <v/>
      </c>
      <c r="F195" s="121" t="s">
        <v>1107</v>
      </c>
      <c r="G195" s="121"/>
      <c r="H195" s="346">
        <f t="shared" si="51"/>
        <v>951.1</v>
      </c>
      <c r="I195" s="121">
        <v>10</v>
      </c>
      <c r="J195" s="346">
        <v>950</v>
      </c>
      <c r="K195" s="128">
        <v>9511</v>
      </c>
      <c r="L195" s="150">
        <v>44616</v>
      </c>
      <c r="M195" s="124">
        <f t="shared" si="14"/>
        <v>979</v>
      </c>
      <c r="N195" s="155">
        <v>980</v>
      </c>
      <c r="O195" s="347">
        <v>9790</v>
      </c>
      <c r="P195" s="120">
        <v>44617</v>
      </c>
      <c r="Q195" s="348">
        <v>44615</v>
      </c>
      <c r="R195" s="125">
        <v>15.93</v>
      </c>
      <c r="S195" s="125"/>
      <c r="T195" s="127">
        <f t="shared" si="54"/>
        <v>279</v>
      </c>
      <c r="U195" s="127" t="str">
        <f t="shared" si="16"/>
        <v>10 DCMSHRIRAM</v>
      </c>
      <c r="V195" s="127">
        <f t="shared" si="17"/>
        <v>263.07</v>
      </c>
      <c r="W195" s="350">
        <f t="shared" si="55"/>
        <v>2.7659552097571233E-2</v>
      </c>
      <c r="X195" s="397">
        <f t="shared" si="19"/>
        <v>0</v>
      </c>
      <c r="Y195" s="352">
        <f t="shared" si="20"/>
        <v>0</v>
      </c>
      <c r="Z195" s="353">
        <f t="shared" si="21"/>
        <v>1</v>
      </c>
      <c r="AA195" s="350">
        <f t="shared" si="22"/>
        <v>21132.971970430041</v>
      </c>
      <c r="AB195" s="120" t="s">
        <v>448</v>
      </c>
    </row>
    <row r="196" spans="1:28" ht="12.75" customHeight="1">
      <c r="A196" s="121" t="s">
        <v>575</v>
      </c>
      <c r="B196" s="120" t="s">
        <v>1112</v>
      </c>
      <c r="C196" s="343" t="s">
        <v>1113</v>
      </c>
      <c r="D196" s="344"/>
      <c r="E196" s="345" t="str">
        <f t="shared" si="50"/>
        <v/>
      </c>
      <c r="F196" s="121" t="s">
        <v>1107</v>
      </c>
      <c r="G196" s="121"/>
      <c r="H196" s="346">
        <f t="shared" si="51"/>
        <v>975.2</v>
      </c>
      <c r="I196" s="121">
        <v>10</v>
      </c>
      <c r="J196" s="346">
        <v>974</v>
      </c>
      <c r="K196" s="128">
        <v>9752</v>
      </c>
      <c r="L196" s="150">
        <v>44620</v>
      </c>
      <c r="M196" s="124">
        <f t="shared" si="14"/>
        <v>983</v>
      </c>
      <c r="N196" s="155">
        <v>984</v>
      </c>
      <c r="O196" s="347">
        <v>9830</v>
      </c>
      <c r="P196" s="120">
        <v>44621</v>
      </c>
      <c r="Q196" s="348">
        <v>44617</v>
      </c>
      <c r="R196" s="125">
        <v>15.93</v>
      </c>
      <c r="S196" s="125"/>
      <c r="T196" s="127">
        <f t="shared" si="54"/>
        <v>78</v>
      </c>
      <c r="U196" s="127" t="str">
        <f t="shared" si="16"/>
        <v>10 DCMSHRIRAM</v>
      </c>
      <c r="V196" s="127">
        <f t="shared" si="17"/>
        <v>62.07</v>
      </c>
      <c r="W196" s="350">
        <f t="shared" si="55"/>
        <v>6.3648482362592285E-3</v>
      </c>
      <c r="X196" s="397">
        <f t="shared" si="19"/>
        <v>0</v>
      </c>
      <c r="Y196" s="352">
        <f t="shared" si="20"/>
        <v>0</v>
      </c>
      <c r="Z196" s="353">
        <f t="shared" si="21"/>
        <v>1</v>
      </c>
      <c r="AA196" s="350">
        <f t="shared" si="22"/>
        <v>9.1331022761298613</v>
      </c>
      <c r="AB196" s="120" t="s">
        <v>448</v>
      </c>
    </row>
    <row r="197" spans="1:28" ht="12.75" customHeight="1">
      <c r="A197" s="121" t="s">
        <v>575</v>
      </c>
      <c r="B197" s="120" t="s">
        <v>1112</v>
      </c>
      <c r="C197" s="343" t="s">
        <v>1113</v>
      </c>
      <c r="D197" s="344"/>
      <c r="E197" s="345" t="str">
        <f t="shared" si="50"/>
        <v/>
      </c>
      <c r="F197" s="121" t="s">
        <v>1107</v>
      </c>
      <c r="G197" s="121"/>
      <c r="H197" s="346">
        <f t="shared" si="51"/>
        <v>1039.25</v>
      </c>
      <c r="I197" s="121">
        <v>20</v>
      </c>
      <c r="J197" s="346">
        <v>1038</v>
      </c>
      <c r="K197" s="128">
        <v>20785</v>
      </c>
      <c r="L197" s="150">
        <v>44610</v>
      </c>
      <c r="M197" s="124">
        <f t="shared" si="14"/>
        <v>1047.75</v>
      </c>
      <c r="N197" s="155">
        <v>1048</v>
      </c>
      <c r="O197" s="347">
        <v>20955</v>
      </c>
      <c r="P197" s="120">
        <v>44622</v>
      </c>
      <c r="Q197" s="348">
        <v>44620</v>
      </c>
      <c r="R197" s="125">
        <v>15.93</v>
      </c>
      <c r="S197" s="125"/>
      <c r="T197" s="127">
        <f t="shared" si="54"/>
        <v>170</v>
      </c>
      <c r="U197" s="127" t="str">
        <f t="shared" si="16"/>
        <v>20 DCMSHRIRAM</v>
      </c>
      <c r="V197" s="127">
        <f t="shared" si="17"/>
        <v>154.07</v>
      </c>
      <c r="W197" s="350">
        <f t="shared" si="55"/>
        <v>7.4125571325475096E-3</v>
      </c>
      <c r="X197" s="397">
        <f t="shared" si="19"/>
        <v>0</v>
      </c>
      <c r="Y197" s="352">
        <f t="shared" si="20"/>
        <v>0</v>
      </c>
      <c r="Z197" s="353">
        <f t="shared" si="21"/>
        <v>12</v>
      </c>
      <c r="AA197" s="350">
        <f t="shared" si="22"/>
        <v>0.25186413568444177</v>
      </c>
      <c r="AB197" s="120" t="s">
        <v>448</v>
      </c>
    </row>
    <row r="198" spans="1:28" ht="12.75" customHeight="1">
      <c r="A198" s="121" t="s">
        <v>575</v>
      </c>
      <c r="B198" s="120" t="s">
        <v>1112</v>
      </c>
      <c r="C198" s="343" t="s">
        <v>1113</v>
      </c>
      <c r="D198" s="344"/>
      <c r="E198" s="345" t="str">
        <f t="shared" si="50"/>
        <v/>
      </c>
      <c r="F198" s="121" t="s">
        <v>1107</v>
      </c>
      <c r="G198" s="121"/>
      <c r="H198" s="346">
        <f t="shared" si="51"/>
        <v>1051</v>
      </c>
      <c r="I198" s="121">
        <v>1</v>
      </c>
      <c r="J198" s="346">
        <v>1050</v>
      </c>
      <c r="K198" s="128">
        <f>1051</f>
        <v>1051</v>
      </c>
      <c r="L198" s="150">
        <v>44490</v>
      </c>
      <c r="M198" s="124">
        <f t="shared" si="14"/>
        <v>1047</v>
      </c>
      <c r="N198" s="155">
        <v>1048</v>
      </c>
      <c r="O198" s="347">
        <v>1047</v>
      </c>
      <c r="P198" s="120">
        <v>44622</v>
      </c>
      <c r="Q198" s="348">
        <v>44620</v>
      </c>
      <c r="R198" s="125">
        <v>0</v>
      </c>
      <c r="S198" s="125"/>
      <c r="T198" s="127">
        <f t="shared" si="54"/>
        <v>-4</v>
      </c>
      <c r="U198" s="127" t="str">
        <f t="shared" si="16"/>
        <v>1 DCMSHRIRAM</v>
      </c>
      <c r="V198" s="127">
        <f t="shared" si="17"/>
        <v>-4</v>
      </c>
      <c r="W198" s="350">
        <f t="shared" si="55"/>
        <v>-3.8058991436726928E-3</v>
      </c>
      <c r="X198" s="397">
        <f t="shared" si="19"/>
        <v>0</v>
      </c>
      <c r="Y198" s="352">
        <f t="shared" si="20"/>
        <v>4</v>
      </c>
      <c r="Z198" s="353">
        <f t="shared" si="21"/>
        <v>9</v>
      </c>
      <c r="AA198" s="350">
        <f t="shared" si="22"/>
        <v>-1.0488572425835674E-2</v>
      </c>
      <c r="AB198" s="120" t="s">
        <v>448</v>
      </c>
    </row>
    <row r="199" spans="1:28" ht="12.75" customHeight="1">
      <c r="A199" s="121" t="s">
        <v>575</v>
      </c>
      <c r="B199" s="120"/>
      <c r="C199" s="343"/>
      <c r="D199" s="344"/>
      <c r="E199" s="345" t="str">
        <f t="shared" si="50"/>
        <v/>
      </c>
      <c r="F199" s="121" t="s">
        <v>1107</v>
      </c>
      <c r="G199" s="121"/>
      <c r="H199" s="346">
        <f t="shared" si="51"/>
        <v>979.2</v>
      </c>
      <c r="I199" s="121">
        <v>10</v>
      </c>
      <c r="J199" s="346">
        <v>978</v>
      </c>
      <c r="K199" s="128">
        <v>9792</v>
      </c>
      <c r="L199" s="150">
        <v>44627</v>
      </c>
      <c r="M199" s="124">
        <f t="shared" si="14"/>
        <v>997</v>
      </c>
      <c r="N199" s="155">
        <v>998</v>
      </c>
      <c r="O199" s="347">
        <v>9970</v>
      </c>
      <c r="P199" s="120">
        <v>44628</v>
      </c>
      <c r="Q199" s="348">
        <v>44620</v>
      </c>
      <c r="R199" s="125">
        <v>15.93</v>
      </c>
      <c r="S199" s="125"/>
      <c r="T199" s="127">
        <f t="shared" si="54"/>
        <v>178</v>
      </c>
      <c r="U199" s="127" t="str">
        <f t="shared" si="16"/>
        <v>10 DCMSHRIRAM</v>
      </c>
      <c r="V199" s="127">
        <f t="shared" si="17"/>
        <v>162.07</v>
      </c>
      <c r="W199" s="350">
        <f t="shared" si="55"/>
        <v>1.6551266339869281E-2</v>
      </c>
      <c r="X199" s="397">
        <f t="shared" si="19"/>
        <v>0</v>
      </c>
      <c r="Y199" s="352">
        <f t="shared" si="20"/>
        <v>0</v>
      </c>
      <c r="Z199" s="353">
        <f t="shared" si="21"/>
        <v>1</v>
      </c>
      <c r="AA199" s="350">
        <f t="shared" si="22"/>
        <v>399.11909949274065</v>
      </c>
      <c r="AB199" s="120" t="s">
        <v>448</v>
      </c>
    </row>
    <row r="200" spans="1:28" ht="12.75" customHeight="1">
      <c r="A200" s="121" t="s">
        <v>575</v>
      </c>
      <c r="B200" s="120" t="s">
        <v>1112</v>
      </c>
      <c r="C200" s="343" t="s">
        <v>1113</v>
      </c>
      <c r="D200" s="344"/>
      <c r="E200" s="345" t="str">
        <f t="shared" si="50"/>
        <v/>
      </c>
      <c r="F200" s="121" t="s">
        <v>1107</v>
      </c>
      <c r="G200" s="121"/>
      <c r="H200" s="346">
        <f t="shared" si="51"/>
        <v>987.9</v>
      </c>
      <c r="I200" s="121">
        <v>20</v>
      </c>
      <c r="J200" s="346">
        <v>986.75</v>
      </c>
      <c r="K200" s="128">
        <v>19758</v>
      </c>
      <c r="L200" s="150">
        <v>44627</v>
      </c>
      <c r="M200" s="124">
        <f t="shared" si="14"/>
        <v>991.95</v>
      </c>
      <c r="N200" s="155">
        <v>993</v>
      </c>
      <c r="O200" s="347">
        <v>19839</v>
      </c>
      <c r="P200" s="120">
        <v>44631</v>
      </c>
      <c r="Q200" s="348">
        <v>44629</v>
      </c>
      <c r="R200" s="125">
        <v>15.93</v>
      </c>
      <c r="S200" s="125"/>
      <c r="T200" s="127">
        <f t="shared" si="54"/>
        <v>81</v>
      </c>
      <c r="U200" s="127" t="str">
        <f t="shared" si="16"/>
        <v>20 DCMSHRIRAM</v>
      </c>
      <c r="V200" s="127">
        <f t="shared" si="17"/>
        <v>65.069999999999993</v>
      </c>
      <c r="W200" s="350">
        <f t="shared" si="55"/>
        <v>3.2933495293045851E-3</v>
      </c>
      <c r="X200" s="397">
        <f t="shared" si="19"/>
        <v>0</v>
      </c>
      <c r="Y200" s="352">
        <f t="shared" si="20"/>
        <v>0</v>
      </c>
      <c r="Z200" s="353">
        <f t="shared" si="21"/>
        <v>4</v>
      </c>
      <c r="AA200" s="350">
        <f t="shared" si="22"/>
        <v>0.34989170770217126</v>
      </c>
      <c r="AB200" s="120" t="s">
        <v>448</v>
      </c>
    </row>
    <row r="201" spans="1:28" ht="12.75" customHeight="1">
      <c r="A201" s="121" t="s">
        <v>575</v>
      </c>
      <c r="B201" s="120" t="s">
        <v>1112</v>
      </c>
      <c r="C201" s="343" t="s">
        <v>1113</v>
      </c>
      <c r="D201" s="344"/>
      <c r="E201" s="345" t="str">
        <f t="shared" si="50"/>
        <v/>
      </c>
      <c r="F201" s="121" t="s">
        <v>1107</v>
      </c>
      <c r="G201" s="121"/>
      <c r="H201" s="346">
        <f t="shared" si="51"/>
        <v>1036.75</v>
      </c>
      <c r="I201" s="121">
        <v>20</v>
      </c>
      <c r="J201" s="346">
        <v>1035.5</v>
      </c>
      <c r="K201" s="128">
        <v>20735</v>
      </c>
      <c r="L201" s="150">
        <v>44624</v>
      </c>
      <c r="M201" s="124">
        <f t="shared" si="14"/>
        <v>1058.9000000000001</v>
      </c>
      <c r="N201" s="155">
        <v>1060</v>
      </c>
      <c r="O201" s="347">
        <v>21178</v>
      </c>
      <c r="P201" s="120">
        <v>44636</v>
      </c>
      <c r="Q201" s="348">
        <v>44634</v>
      </c>
      <c r="R201" s="125">
        <v>15.93</v>
      </c>
      <c r="S201" s="125"/>
      <c r="T201" s="127">
        <f t="shared" si="54"/>
        <v>443</v>
      </c>
      <c r="U201" s="127" t="str">
        <f t="shared" si="16"/>
        <v>20 DCMSHRIRAM</v>
      </c>
      <c r="V201" s="127">
        <f t="shared" si="17"/>
        <v>427.07</v>
      </c>
      <c r="W201" s="350">
        <f t="shared" si="55"/>
        <v>2.0596575837955149E-2</v>
      </c>
      <c r="X201" s="397">
        <f t="shared" si="19"/>
        <v>0</v>
      </c>
      <c r="Y201" s="352">
        <f t="shared" si="20"/>
        <v>0</v>
      </c>
      <c r="Z201" s="353">
        <f t="shared" si="21"/>
        <v>12</v>
      </c>
      <c r="AA201" s="350">
        <f t="shared" si="22"/>
        <v>0.85914138572774412</v>
      </c>
      <c r="AB201" s="120" t="s">
        <v>448</v>
      </c>
    </row>
    <row r="202" spans="1:28" ht="12.75" customHeight="1">
      <c r="A202" s="121" t="s">
        <v>575</v>
      </c>
      <c r="B202" s="120" t="s">
        <v>1112</v>
      </c>
      <c r="C202" s="343" t="s">
        <v>1113</v>
      </c>
      <c r="D202" s="344"/>
      <c r="E202" s="345" t="str">
        <f t="shared" si="50"/>
        <v/>
      </c>
      <c r="F202" s="121" t="s">
        <v>1107</v>
      </c>
      <c r="G202" s="121"/>
      <c r="H202" s="346">
        <f t="shared" si="51"/>
        <v>1041.2</v>
      </c>
      <c r="I202" s="121">
        <v>10</v>
      </c>
      <c r="J202" s="346">
        <v>1040</v>
      </c>
      <c r="K202" s="128">
        <v>10412</v>
      </c>
      <c r="L202" s="150">
        <v>44635</v>
      </c>
      <c r="M202" s="124">
        <f t="shared" si="14"/>
        <v>1049.9000000000001</v>
      </c>
      <c r="N202" s="155">
        <v>1051</v>
      </c>
      <c r="O202" s="347">
        <v>10499</v>
      </c>
      <c r="P202" s="120">
        <v>44636</v>
      </c>
      <c r="Q202" s="348">
        <v>44634</v>
      </c>
      <c r="R202" s="125">
        <v>0</v>
      </c>
      <c r="S202" s="125"/>
      <c r="T202" s="127">
        <f t="shared" si="54"/>
        <v>87</v>
      </c>
      <c r="U202" s="127" t="str">
        <f t="shared" si="16"/>
        <v>10 DCMSHRIRAM</v>
      </c>
      <c r="V202" s="127">
        <f t="shared" si="17"/>
        <v>87</v>
      </c>
      <c r="W202" s="350">
        <f t="shared" si="55"/>
        <v>8.3557433730311187E-3</v>
      </c>
      <c r="X202" s="397">
        <f t="shared" si="19"/>
        <v>0</v>
      </c>
      <c r="Y202" s="352">
        <f t="shared" si="20"/>
        <v>0</v>
      </c>
      <c r="Z202" s="353">
        <f t="shared" si="21"/>
        <v>1</v>
      </c>
      <c r="AA202" s="350">
        <f t="shared" si="22"/>
        <v>19.846269287448251</v>
      </c>
      <c r="AB202" s="120" t="s">
        <v>448</v>
      </c>
    </row>
    <row r="203" spans="1:28" ht="12.75" customHeight="1">
      <c r="A203" s="121" t="s">
        <v>575</v>
      </c>
      <c r="B203" s="120" t="s">
        <v>1112</v>
      </c>
      <c r="C203" s="343" t="s">
        <v>1113</v>
      </c>
      <c r="D203" s="344"/>
      <c r="E203" s="345" t="str">
        <f t="shared" si="50"/>
        <v/>
      </c>
      <c r="F203" s="121" t="s">
        <v>1107</v>
      </c>
      <c r="G203" s="121"/>
      <c r="H203" s="346">
        <f t="shared" si="51"/>
        <v>1062.25</v>
      </c>
      <c r="I203" s="121">
        <v>16</v>
      </c>
      <c r="J203" s="346">
        <v>1061</v>
      </c>
      <c r="K203" s="128">
        <v>16996</v>
      </c>
      <c r="L203" s="150">
        <v>44643</v>
      </c>
      <c r="M203" s="124">
        <f t="shared" si="14"/>
        <v>1064.875</v>
      </c>
      <c r="N203" s="155">
        <v>1065.9563000000001</v>
      </c>
      <c r="O203" s="347">
        <v>17038</v>
      </c>
      <c r="P203" s="120">
        <v>44644</v>
      </c>
      <c r="Q203" s="348">
        <v>44642</v>
      </c>
      <c r="R203" s="125">
        <v>15.93</v>
      </c>
      <c r="S203" s="125"/>
      <c r="T203" s="127">
        <f t="shared" si="54"/>
        <v>42</v>
      </c>
      <c r="U203" s="127" t="str">
        <f t="shared" si="16"/>
        <v>16 DCMSHRIRAM</v>
      </c>
      <c r="V203" s="127">
        <f t="shared" si="17"/>
        <v>26.07</v>
      </c>
      <c r="W203" s="350">
        <f t="shared" si="55"/>
        <v>1.5338903271357967E-3</v>
      </c>
      <c r="X203" s="397">
        <f t="shared" si="19"/>
        <v>0</v>
      </c>
      <c r="Y203" s="352">
        <f t="shared" si="20"/>
        <v>0</v>
      </c>
      <c r="Z203" s="353">
        <f t="shared" si="21"/>
        <v>1</v>
      </c>
      <c r="AA203" s="350">
        <f t="shared" si="22"/>
        <v>0.74969418008292088</v>
      </c>
      <c r="AB203" s="120" t="s">
        <v>448</v>
      </c>
    </row>
    <row r="204" spans="1:28" ht="12.75" customHeight="1">
      <c r="A204" s="121" t="s">
        <v>575</v>
      </c>
      <c r="B204" s="120" t="s">
        <v>1112</v>
      </c>
      <c r="C204" s="343" t="s">
        <v>1113</v>
      </c>
      <c r="D204" s="344"/>
      <c r="E204" s="345" t="str">
        <f t="shared" si="50"/>
        <v/>
      </c>
      <c r="F204" s="121" t="s">
        <v>1107</v>
      </c>
      <c r="G204" s="121"/>
      <c r="H204" s="346">
        <f t="shared" si="51"/>
        <v>1091.3</v>
      </c>
      <c r="I204" s="121">
        <v>40</v>
      </c>
      <c r="J204" s="346">
        <v>1090</v>
      </c>
      <c r="K204" s="128">
        <v>43652</v>
      </c>
      <c r="L204" s="150">
        <v>44650</v>
      </c>
      <c r="M204" s="124">
        <f t="shared" si="14"/>
        <v>1098.125</v>
      </c>
      <c r="N204" s="155">
        <v>1099.25</v>
      </c>
      <c r="O204" s="347">
        <v>43925</v>
      </c>
      <c r="P204" s="120">
        <v>44651</v>
      </c>
      <c r="Q204" s="348">
        <v>44649</v>
      </c>
      <c r="R204" s="125">
        <v>15.93</v>
      </c>
      <c r="S204" s="125"/>
      <c r="T204" s="127">
        <f t="shared" si="54"/>
        <v>273</v>
      </c>
      <c r="U204" s="127" t="str">
        <f t="shared" si="16"/>
        <v>40 DCMSHRIRAM</v>
      </c>
      <c r="V204" s="127">
        <f t="shared" si="17"/>
        <v>257.07</v>
      </c>
      <c r="W204" s="350">
        <f t="shared" si="55"/>
        <v>5.8890772473197102E-3</v>
      </c>
      <c r="X204" s="397">
        <f t="shared" si="19"/>
        <v>0</v>
      </c>
      <c r="Y204" s="352">
        <f t="shared" si="20"/>
        <v>0</v>
      </c>
      <c r="Z204" s="353">
        <f t="shared" si="21"/>
        <v>1</v>
      </c>
      <c r="AA204" s="350">
        <f t="shared" si="22"/>
        <v>7.5267528135343014</v>
      </c>
      <c r="AB204" s="120" t="s">
        <v>448</v>
      </c>
    </row>
    <row r="205" spans="1:28" ht="12.75" customHeight="1">
      <c r="A205" s="121" t="s">
        <v>575</v>
      </c>
      <c r="B205" s="120" t="s">
        <v>1112</v>
      </c>
      <c r="C205" s="343" t="s">
        <v>1113</v>
      </c>
      <c r="D205" s="344"/>
      <c r="E205" s="345" t="str">
        <f t="shared" si="50"/>
        <v/>
      </c>
      <c r="F205" s="121" t="s">
        <v>1107</v>
      </c>
      <c r="G205" s="121"/>
      <c r="H205" s="346">
        <f t="shared" si="51"/>
        <v>1188.48</v>
      </c>
      <c r="I205" s="121">
        <v>50</v>
      </c>
      <c r="J205" s="346">
        <v>1187.07</v>
      </c>
      <c r="K205" s="128">
        <v>59424</v>
      </c>
      <c r="L205" s="150">
        <v>44599</v>
      </c>
      <c r="M205" s="124">
        <f t="shared" si="14"/>
        <v>1197.76</v>
      </c>
      <c r="N205" s="155">
        <v>1199</v>
      </c>
      <c r="O205" s="347">
        <v>59888</v>
      </c>
      <c r="P205" s="120">
        <v>44656</v>
      </c>
      <c r="Q205" s="348">
        <v>44652</v>
      </c>
      <c r="R205" s="125">
        <v>0</v>
      </c>
      <c r="S205" s="125"/>
      <c r="T205" s="127">
        <f t="shared" si="54"/>
        <v>464</v>
      </c>
      <c r="U205" s="127" t="str">
        <f t="shared" si="16"/>
        <v>50 DCMSHRIRAM</v>
      </c>
      <c r="V205" s="127">
        <f t="shared" si="17"/>
        <v>464</v>
      </c>
      <c r="W205" s="350">
        <f t="shared" si="55"/>
        <v>7.808292945611201E-3</v>
      </c>
      <c r="X205" s="397">
        <f t="shared" si="19"/>
        <v>0</v>
      </c>
      <c r="Y205" s="352">
        <f t="shared" si="20"/>
        <v>1</v>
      </c>
      <c r="Z205" s="353">
        <f t="shared" si="21"/>
        <v>29</v>
      </c>
      <c r="AA205" s="350">
        <f t="shared" si="22"/>
        <v>5.1067456985657733E-2</v>
      </c>
      <c r="AB205" s="120" t="s">
        <v>448</v>
      </c>
    </row>
    <row r="206" spans="1:28" ht="12.75" customHeight="1">
      <c r="A206" s="121" t="s">
        <v>575</v>
      </c>
      <c r="B206" s="120" t="s">
        <v>1112</v>
      </c>
      <c r="C206" s="343" t="s">
        <v>1113</v>
      </c>
      <c r="D206" s="344"/>
      <c r="E206" s="345" t="str">
        <f t="shared" si="50"/>
        <v/>
      </c>
      <c r="F206" s="121" t="s">
        <v>1107</v>
      </c>
      <c r="G206" s="121"/>
      <c r="H206" s="346">
        <f t="shared" si="51"/>
        <v>1123.3</v>
      </c>
      <c r="I206" s="121">
        <v>10</v>
      </c>
      <c r="J206" s="346">
        <v>1122</v>
      </c>
      <c r="K206" s="128">
        <v>11233</v>
      </c>
      <c r="L206" s="150">
        <v>44650</v>
      </c>
      <c r="M206" s="124">
        <f t="shared" si="14"/>
        <v>1153.4000000000001</v>
      </c>
      <c r="N206" s="155">
        <v>1154.6099999999999</v>
      </c>
      <c r="O206" s="347">
        <v>11534</v>
      </c>
      <c r="P206" s="120">
        <v>44656</v>
      </c>
      <c r="Q206" s="348">
        <v>44652</v>
      </c>
      <c r="R206" s="125">
        <v>0</v>
      </c>
      <c r="S206" s="125"/>
      <c r="T206" s="127">
        <f t="shared" si="54"/>
        <v>301</v>
      </c>
      <c r="U206" s="127" t="str">
        <f t="shared" si="16"/>
        <v>10 DCMSHRIRAM</v>
      </c>
      <c r="V206" s="127">
        <f t="shared" si="17"/>
        <v>301</v>
      </c>
      <c r="W206" s="350">
        <f t="shared" si="55"/>
        <v>2.6796047360455801E-2</v>
      </c>
      <c r="X206" s="397">
        <f t="shared" si="19"/>
        <v>0</v>
      </c>
      <c r="Y206" s="352">
        <f t="shared" si="20"/>
        <v>0</v>
      </c>
      <c r="Z206" s="353">
        <f t="shared" si="21"/>
        <v>6</v>
      </c>
      <c r="AA206" s="350">
        <f t="shared" si="22"/>
        <v>3.995988710095995</v>
      </c>
      <c r="AB206" s="120" t="s">
        <v>448</v>
      </c>
    </row>
    <row r="207" spans="1:28" ht="12.75" customHeight="1">
      <c r="A207" s="121" t="s">
        <v>575</v>
      </c>
      <c r="B207" s="120" t="s">
        <v>1112</v>
      </c>
      <c r="C207" s="343" t="s">
        <v>1113</v>
      </c>
      <c r="D207" s="344"/>
      <c r="E207" s="345" t="str">
        <f t="shared" si="50"/>
        <v/>
      </c>
      <c r="F207" s="121" t="s">
        <v>1107</v>
      </c>
      <c r="G207" s="121"/>
      <c r="H207" s="346">
        <f t="shared" si="51"/>
        <v>1125.2719</v>
      </c>
      <c r="I207" s="121">
        <v>114</v>
      </c>
      <c r="J207" s="346">
        <v>1123.94</v>
      </c>
      <c r="K207" s="128">
        <v>128281</v>
      </c>
      <c r="L207" s="150">
        <v>44603</v>
      </c>
      <c r="M207" s="124">
        <f t="shared" si="14"/>
        <v>1153.4211</v>
      </c>
      <c r="N207" s="155">
        <v>1154.6099999999999</v>
      </c>
      <c r="O207" s="347">
        <v>131490</v>
      </c>
      <c r="P207" s="120">
        <v>44656</v>
      </c>
      <c r="Q207" s="348">
        <v>44652</v>
      </c>
      <c r="R207" s="125">
        <v>15.93</v>
      </c>
      <c r="S207" s="125"/>
      <c r="T207" s="127">
        <f t="shared" si="54"/>
        <v>3209</v>
      </c>
      <c r="U207" s="127" t="str">
        <f t="shared" si="16"/>
        <v>114 DCMSHRIRAM</v>
      </c>
      <c r="V207" s="127">
        <f t="shared" si="17"/>
        <v>3193.07</v>
      </c>
      <c r="W207" s="350">
        <f t="shared" si="55"/>
        <v>2.4891215378738864E-2</v>
      </c>
      <c r="X207" s="397">
        <f t="shared" si="19"/>
        <v>0</v>
      </c>
      <c r="Y207" s="352">
        <f t="shared" si="20"/>
        <v>1</v>
      </c>
      <c r="Z207" s="353">
        <f t="shared" si="21"/>
        <v>25</v>
      </c>
      <c r="AA207" s="350">
        <f t="shared" si="22"/>
        <v>0.18450143339555036</v>
      </c>
      <c r="AB207" s="120" t="s">
        <v>448</v>
      </c>
    </row>
    <row r="208" spans="1:28" ht="12.75" customHeight="1">
      <c r="A208" s="121" t="s">
        <v>575</v>
      </c>
      <c r="B208" s="120" t="s">
        <v>1112</v>
      </c>
      <c r="C208" s="343" t="s">
        <v>1113</v>
      </c>
      <c r="D208" s="344"/>
      <c r="E208" s="345" t="str">
        <f t="shared" si="50"/>
        <v/>
      </c>
      <c r="F208" s="121" t="s">
        <v>1107</v>
      </c>
      <c r="G208" s="121"/>
      <c r="H208" s="346">
        <f t="shared" si="51"/>
        <v>1126.3306</v>
      </c>
      <c r="I208" s="121">
        <v>124</v>
      </c>
      <c r="J208" s="346">
        <v>1125</v>
      </c>
      <c r="K208" s="128">
        <v>139665</v>
      </c>
      <c r="L208" s="150">
        <v>44663</v>
      </c>
      <c r="M208" s="124">
        <f t="shared" si="14"/>
        <v>1153.8064999999999</v>
      </c>
      <c r="N208" s="155">
        <v>1155</v>
      </c>
      <c r="O208" s="347">
        <v>143072</v>
      </c>
      <c r="P208" s="120">
        <v>44664</v>
      </c>
      <c r="Q208" s="348">
        <v>44652</v>
      </c>
      <c r="R208" s="125">
        <v>0</v>
      </c>
      <c r="S208" s="125"/>
      <c r="T208" s="127">
        <f t="shared" si="54"/>
        <v>3407</v>
      </c>
      <c r="U208" s="127" t="str">
        <f t="shared" si="16"/>
        <v>124 DCMSHRIRAM</v>
      </c>
      <c r="V208" s="127">
        <f t="shared" si="17"/>
        <v>3407</v>
      </c>
      <c r="W208" s="350">
        <f t="shared" si="55"/>
        <v>2.4394085848279814E-2</v>
      </c>
      <c r="X208" s="397">
        <f t="shared" si="19"/>
        <v>0</v>
      </c>
      <c r="Y208" s="352">
        <f t="shared" si="20"/>
        <v>0</v>
      </c>
      <c r="Z208" s="353">
        <f t="shared" si="21"/>
        <v>1</v>
      </c>
      <c r="AA208" s="350">
        <f t="shared" si="22"/>
        <v>6613.2073663134952</v>
      </c>
      <c r="AB208" s="120" t="s">
        <v>448</v>
      </c>
    </row>
    <row r="209" spans="1:28" ht="12.75" customHeight="1">
      <c r="A209" s="121" t="s">
        <v>575</v>
      </c>
      <c r="B209" s="120" t="s">
        <v>1112</v>
      </c>
      <c r="C209" s="343" t="s">
        <v>1113</v>
      </c>
      <c r="D209" s="344"/>
      <c r="E209" s="345" t="str">
        <f t="shared" si="50"/>
        <v/>
      </c>
      <c r="F209" s="121" t="s">
        <v>1107</v>
      </c>
      <c r="G209" s="121"/>
      <c r="H209" s="346">
        <f t="shared" si="51"/>
        <v>1195.6600000000001</v>
      </c>
      <c r="I209" s="121">
        <v>50</v>
      </c>
      <c r="J209" s="346">
        <v>1194.25</v>
      </c>
      <c r="K209" s="128">
        <v>59783</v>
      </c>
      <c r="L209" s="150">
        <v>44655</v>
      </c>
      <c r="M209" s="124">
        <f t="shared" si="14"/>
        <v>1201.76</v>
      </c>
      <c r="N209" s="155">
        <v>1203</v>
      </c>
      <c r="O209" s="347">
        <v>60088</v>
      </c>
      <c r="P209" s="120">
        <v>44658</v>
      </c>
      <c r="Q209" s="348">
        <v>44656</v>
      </c>
      <c r="R209" s="125">
        <v>15.93</v>
      </c>
      <c r="S209" s="125"/>
      <c r="T209" s="127">
        <f t="shared" si="54"/>
        <v>305</v>
      </c>
      <c r="U209" s="127" t="str">
        <f t="shared" si="16"/>
        <v>50 DCMSHRIRAM</v>
      </c>
      <c r="V209" s="127">
        <f t="shared" si="17"/>
        <v>289.07</v>
      </c>
      <c r="W209" s="350">
        <f t="shared" si="55"/>
        <v>4.8353210778983987E-3</v>
      </c>
      <c r="X209" s="397">
        <f t="shared" si="19"/>
        <v>0</v>
      </c>
      <c r="Y209" s="352">
        <f t="shared" si="20"/>
        <v>0</v>
      </c>
      <c r="Z209" s="353">
        <f t="shared" si="21"/>
        <v>3</v>
      </c>
      <c r="AA209" s="350">
        <f t="shared" si="22"/>
        <v>0.79836813621202141</v>
      </c>
      <c r="AB209" s="120" t="s">
        <v>448</v>
      </c>
    </row>
    <row r="210" spans="1:28" ht="12.75" customHeight="1">
      <c r="A210" s="121" t="s">
        <v>575</v>
      </c>
      <c r="B210" s="120" t="s">
        <v>1112</v>
      </c>
      <c r="C210" s="343" t="s">
        <v>1113</v>
      </c>
      <c r="D210" s="344"/>
      <c r="E210" s="345" t="str">
        <f t="shared" si="50"/>
        <v/>
      </c>
      <c r="F210" s="121" t="s">
        <v>1107</v>
      </c>
      <c r="G210" s="121"/>
      <c r="H210" s="346">
        <f t="shared" si="51"/>
        <v>1119.32</v>
      </c>
      <c r="I210" s="121">
        <v>100</v>
      </c>
      <c r="J210" s="346">
        <v>1118</v>
      </c>
      <c r="K210" s="128">
        <v>111932</v>
      </c>
      <c r="L210" s="150">
        <v>44663</v>
      </c>
      <c r="M210" s="124">
        <f t="shared" si="14"/>
        <v>1131.83</v>
      </c>
      <c r="N210" s="155">
        <v>1133</v>
      </c>
      <c r="O210" s="347">
        <v>113183</v>
      </c>
      <c r="P210" s="120">
        <v>44671</v>
      </c>
      <c r="Q210" s="348">
        <v>44669</v>
      </c>
      <c r="R210" s="125">
        <v>15.93</v>
      </c>
      <c r="S210" s="125"/>
      <c r="T210" s="127">
        <f t="shared" si="54"/>
        <v>1251</v>
      </c>
      <c r="U210" s="127" t="str">
        <f t="shared" si="16"/>
        <v>100 DCMSHRIRAM</v>
      </c>
      <c r="V210" s="127">
        <f t="shared" si="17"/>
        <v>1235.07</v>
      </c>
      <c r="W210" s="350">
        <f t="shared" si="55"/>
        <v>1.1034109995354322E-2</v>
      </c>
      <c r="X210" s="397">
        <f t="shared" si="19"/>
        <v>0</v>
      </c>
      <c r="Y210" s="352">
        <f t="shared" si="20"/>
        <v>0</v>
      </c>
      <c r="Z210" s="353">
        <f t="shared" si="21"/>
        <v>8</v>
      </c>
      <c r="AA210" s="350">
        <f t="shared" si="22"/>
        <v>0.64983300570288205</v>
      </c>
      <c r="AB210" s="120" t="s">
        <v>448</v>
      </c>
    </row>
    <row r="211" spans="1:28" ht="12.75" customHeight="1">
      <c r="A211" s="121" t="s">
        <v>575</v>
      </c>
      <c r="B211" s="120" t="s">
        <v>1112</v>
      </c>
      <c r="C211" s="343" t="s">
        <v>1113</v>
      </c>
      <c r="D211" s="344"/>
      <c r="E211" s="345" t="str">
        <f t="shared" si="50"/>
        <v/>
      </c>
      <c r="F211" s="121" t="s">
        <v>1107</v>
      </c>
      <c r="G211" s="121"/>
      <c r="H211" s="346">
        <f t="shared" si="51"/>
        <v>1115.32</v>
      </c>
      <c r="I211" s="121">
        <v>100</v>
      </c>
      <c r="J211" s="346">
        <v>1114</v>
      </c>
      <c r="K211" s="128">
        <v>111532</v>
      </c>
      <c r="L211" s="150">
        <v>44670</v>
      </c>
      <c r="M211" s="124">
        <f t="shared" si="14"/>
        <v>1134.83</v>
      </c>
      <c r="N211" s="155">
        <v>1136</v>
      </c>
      <c r="O211" s="347">
        <v>113483</v>
      </c>
      <c r="P211" s="120">
        <v>44671</v>
      </c>
      <c r="Q211" s="348">
        <v>44669</v>
      </c>
      <c r="R211" s="125">
        <v>0</v>
      </c>
      <c r="S211" s="125"/>
      <c r="T211" s="127">
        <f t="shared" si="54"/>
        <v>1951</v>
      </c>
      <c r="U211" s="127" t="str">
        <f t="shared" si="16"/>
        <v>100 DCMSHRIRAM</v>
      </c>
      <c r="V211" s="127">
        <f t="shared" si="17"/>
        <v>1951</v>
      </c>
      <c r="W211" s="350">
        <f t="shared" si="55"/>
        <v>1.7492737510310941E-2</v>
      </c>
      <c r="X211" s="397">
        <f t="shared" si="19"/>
        <v>0</v>
      </c>
      <c r="Y211" s="352">
        <f t="shared" si="20"/>
        <v>0</v>
      </c>
      <c r="Z211" s="353">
        <f t="shared" si="21"/>
        <v>1</v>
      </c>
      <c r="AA211" s="350">
        <f t="shared" si="22"/>
        <v>559.95896989432731</v>
      </c>
      <c r="AB211" s="120" t="s">
        <v>448</v>
      </c>
    </row>
    <row r="212" spans="1:28" ht="12.75" customHeight="1">
      <c r="A212" s="121" t="s">
        <v>575</v>
      </c>
      <c r="B212" s="120" t="s">
        <v>1112</v>
      </c>
      <c r="C212" s="343" t="s">
        <v>1113</v>
      </c>
      <c r="D212" s="344"/>
      <c r="E212" s="345" t="str">
        <f t="shared" si="50"/>
        <v/>
      </c>
      <c r="F212" s="121" t="s">
        <v>1107</v>
      </c>
      <c r="G212" s="121"/>
      <c r="H212" s="346">
        <f t="shared" si="51"/>
        <v>1159.4332999999999</v>
      </c>
      <c r="I212" s="121">
        <v>30</v>
      </c>
      <c r="J212" s="346">
        <v>1158</v>
      </c>
      <c r="K212" s="128">
        <v>34783</v>
      </c>
      <c r="L212" s="150">
        <v>44670</v>
      </c>
      <c r="M212" s="124">
        <f t="shared" si="14"/>
        <v>1184.0333000000001</v>
      </c>
      <c r="N212" s="155">
        <v>1185.25</v>
      </c>
      <c r="O212" s="347">
        <v>35521</v>
      </c>
      <c r="P212" s="120">
        <v>44673</v>
      </c>
      <c r="Q212" s="348">
        <v>44671</v>
      </c>
      <c r="R212" s="125">
        <v>15.93</v>
      </c>
      <c r="S212" s="125"/>
      <c r="T212" s="127">
        <f t="shared" si="54"/>
        <v>738</v>
      </c>
      <c r="U212" s="127" t="str">
        <f t="shared" si="16"/>
        <v>30 DCMSHRIRAM</v>
      </c>
      <c r="V212" s="127">
        <f t="shared" si="17"/>
        <v>722.07</v>
      </c>
      <c r="W212" s="350">
        <f t="shared" si="55"/>
        <v>2.0759278958111721E-2</v>
      </c>
      <c r="X212" s="397">
        <f t="shared" si="19"/>
        <v>0</v>
      </c>
      <c r="Y212" s="352">
        <f t="shared" si="20"/>
        <v>0</v>
      </c>
      <c r="Z212" s="353">
        <f t="shared" si="21"/>
        <v>3</v>
      </c>
      <c r="AA212" s="350">
        <f t="shared" si="22"/>
        <v>11.180709969648333</v>
      </c>
      <c r="AB212" s="120" t="s">
        <v>448</v>
      </c>
    </row>
    <row r="213" spans="1:28" ht="12.75" customHeight="1">
      <c r="A213" s="121" t="s">
        <v>575</v>
      </c>
      <c r="B213" s="120" t="s">
        <v>1112</v>
      </c>
      <c r="C213" s="343" t="s">
        <v>1113</v>
      </c>
      <c r="D213" s="344"/>
      <c r="E213" s="345" t="str">
        <f t="shared" si="50"/>
        <v/>
      </c>
      <c r="F213" s="121" t="s">
        <v>1107</v>
      </c>
      <c r="G213" s="121"/>
      <c r="H213" s="346">
        <f t="shared" si="51"/>
        <v>1136.3499999999999</v>
      </c>
      <c r="I213" s="121">
        <v>60</v>
      </c>
      <c r="J213" s="346">
        <v>1135</v>
      </c>
      <c r="K213" s="128">
        <v>68181</v>
      </c>
      <c r="L213" s="150">
        <v>44673</v>
      </c>
      <c r="M213" s="124">
        <f t="shared" si="14"/>
        <v>1143.6500000000001</v>
      </c>
      <c r="N213" s="155">
        <v>1144.8333</v>
      </c>
      <c r="O213" s="347">
        <v>68619</v>
      </c>
      <c r="P213" s="120">
        <v>44674</v>
      </c>
      <c r="Q213" s="348">
        <v>44671</v>
      </c>
      <c r="R213" s="125">
        <v>0</v>
      </c>
      <c r="S213" s="125"/>
      <c r="T213" s="127">
        <f t="shared" si="54"/>
        <v>438</v>
      </c>
      <c r="U213" s="127" t="str">
        <f t="shared" si="16"/>
        <v>60 DCMSHRIRAM</v>
      </c>
      <c r="V213" s="127">
        <f t="shared" si="17"/>
        <v>438</v>
      </c>
      <c r="W213" s="350">
        <f t="shared" si="55"/>
        <v>6.4240770889250672E-3</v>
      </c>
      <c r="X213" s="397">
        <f t="shared" si="19"/>
        <v>0</v>
      </c>
      <c r="Y213" s="352">
        <f t="shared" si="20"/>
        <v>0</v>
      </c>
      <c r="Z213" s="353">
        <f t="shared" si="21"/>
        <v>1</v>
      </c>
      <c r="AA213" s="350">
        <f t="shared" si="22"/>
        <v>9.3531279192254697</v>
      </c>
      <c r="AB213" s="120" t="s">
        <v>448</v>
      </c>
    </row>
    <row r="214" spans="1:28" ht="12.75" customHeight="1">
      <c r="A214" s="121" t="s">
        <v>575</v>
      </c>
      <c r="B214" s="120" t="s">
        <v>1112</v>
      </c>
      <c r="C214" s="343" t="s">
        <v>1113</v>
      </c>
      <c r="D214" s="344"/>
      <c r="E214" s="345" t="str">
        <f t="shared" si="50"/>
        <v/>
      </c>
      <c r="F214" s="121" t="s">
        <v>1107</v>
      </c>
      <c r="G214" s="121"/>
      <c r="H214" s="346">
        <f t="shared" si="51"/>
        <v>1184.3870999999999</v>
      </c>
      <c r="I214" s="121">
        <v>31</v>
      </c>
      <c r="J214" s="346">
        <v>1183</v>
      </c>
      <c r="K214" s="128">
        <v>36716</v>
      </c>
      <c r="L214" s="150">
        <v>44659</v>
      </c>
      <c r="M214" s="124">
        <f t="shared" si="14"/>
        <v>1194.7742000000001</v>
      </c>
      <c r="N214" s="155">
        <v>1196</v>
      </c>
      <c r="O214" s="347">
        <v>37038</v>
      </c>
      <c r="P214" s="120">
        <v>44676</v>
      </c>
      <c r="Q214" s="348">
        <v>44672</v>
      </c>
      <c r="R214" s="125">
        <v>15.93</v>
      </c>
      <c r="S214" s="125"/>
      <c r="T214" s="127">
        <f t="shared" si="54"/>
        <v>322</v>
      </c>
      <c r="U214" s="127" t="str">
        <f t="shared" si="16"/>
        <v>31 DCMSHRIRAM</v>
      </c>
      <c r="V214" s="127">
        <f t="shared" si="17"/>
        <v>306.07</v>
      </c>
      <c r="W214" s="350">
        <f t="shared" si="55"/>
        <v>8.3361477285107313E-3</v>
      </c>
      <c r="X214" s="397">
        <f t="shared" si="19"/>
        <v>0</v>
      </c>
      <c r="Y214" s="352">
        <f t="shared" si="20"/>
        <v>0</v>
      </c>
      <c r="Z214" s="353">
        <f t="shared" si="21"/>
        <v>17</v>
      </c>
      <c r="AA214" s="350">
        <f t="shared" si="22"/>
        <v>0.1951122395974505</v>
      </c>
      <c r="AB214" s="120" t="s">
        <v>448</v>
      </c>
    </row>
    <row r="215" spans="1:28" ht="12.75" customHeight="1">
      <c r="A215" s="121" t="s">
        <v>575</v>
      </c>
      <c r="B215" s="120" t="s">
        <v>1112</v>
      </c>
      <c r="C215" s="343" t="s">
        <v>1113</v>
      </c>
      <c r="D215" s="344"/>
      <c r="E215" s="345" t="str">
        <f t="shared" si="50"/>
        <v/>
      </c>
      <c r="F215" s="121" t="s">
        <v>1107</v>
      </c>
      <c r="G215" s="121"/>
      <c r="H215" s="346">
        <f t="shared" si="51"/>
        <v>1136.3399999999999</v>
      </c>
      <c r="I215" s="121">
        <v>50</v>
      </c>
      <c r="J215" s="346">
        <v>1135</v>
      </c>
      <c r="K215" s="128">
        <v>56817</v>
      </c>
      <c r="L215" s="150">
        <v>44676</v>
      </c>
      <c r="M215" s="124">
        <f t="shared" si="14"/>
        <v>1153.8</v>
      </c>
      <c r="N215" s="155">
        <v>1155</v>
      </c>
      <c r="O215" s="347">
        <v>57690</v>
      </c>
      <c r="P215" s="120">
        <v>44679</v>
      </c>
      <c r="Q215" s="348">
        <v>44677</v>
      </c>
      <c r="R215" s="125">
        <v>15.93</v>
      </c>
      <c r="S215" s="125"/>
      <c r="T215" s="127">
        <f t="shared" si="54"/>
        <v>873</v>
      </c>
      <c r="U215" s="127" t="str">
        <f t="shared" si="16"/>
        <v>50 DCMSHRIRAM</v>
      </c>
      <c r="V215" s="127">
        <f t="shared" si="17"/>
        <v>857.07</v>
      </c>
      <c r="W215" s="350">
        <f t="shared" si="55"/>
        <v>1.5084745762711866E-2</v>
      </c>
      <c r="X215" s="397">
        <f t="shared" si="19"/>
        <v>0</v>
      </c>
      <c r="Y215" s="352">
        <f t="shared" si="20"/>
        <v>0</v>
      </c>
      <c r="Z215" s="353">
        <f t="shared" si="21"/>
        <v>3</v>
      </c>
      <c r="AA215" s="350">
        <f t="shared" si="22"/>
        <v>5.1817771102732619</v>
      </c>
      <c r="AB215" s="120" t="s">
        <v>448</v>
      </c>
    </row>
    <row r="216" spans="1:28" ht="12.75" customHeight="1">
      <c r="A216" s="121" t="s">
        <v>575</v>
      </c>
      <c r="B216" s="120" t="s">
        <v>1112</v>
      </c>
      <c r="C216" s="343" t="s">
        <v>1113</v>
      </c>
      <c r="D216" s="344"/>
      <c r="E216" s="345" t="str">
        <f t="shared" si="50"/>
        <v/>
      </c>
      <c r="F216" s="121" t="s">
        <v>1107</v>
      </c>
      <c r="G216" s="121"/>
      <c r="H216" s="346">
        <f t="shared" si="51"/>
        <v>1161.3699999999999</v>
      </c>
      <c r="I216" s="121">
        <v>100</v>
      </c>
      <c r="J216" s="346">
        <v>1160</v>
      </c>
      <c r="K216" s="128">
        <v>116137</v>
      </c>
      <c r="L216" s="150">
        <v>44683</v>
      </c>
      <c r="M216" s="124">
        <f t="shared" si="14"/>
        <v>1176.28</v>
      </c>
      <c r="N216" s="155">
        <v>1177.5</v>
      </c>
      <c r="O216" s="347">
        <v>117628</v>
      </c>
      <c r="P216" s="120">
        <v>44684</v>
      </c>
      <c r="Q216" s="348">
        <v>44679</v>
      </c>
      <c r="R216" s="125">
        <v>0</v>
      </c>
      <c r="S216" s="125"/>
      <c r="T216" s="127">
        <f t="shared" si="54"/>
        <v>1491</v>
      </c>
      <c r="U216" s="127" t="str">
        <f t="shared" si="16"/>
        <v>100 DCMSHRIRAM</v>
      </c>
      <c r="V216" s="127">
        <f t="shared" si="17"/>
        <v>1491</v>
      </c>
      <c r="W216" s="350">
        <f t="shared" si="55"/>
        <v>1.2838285817611959E-2</v>
      </c>
      <c r="X216" s="397">
        <f t="shared" si="19"/>
        <v>0</v>
      </c>
      <c r="Y216" s="352">
        <f t="shared" si="20"/>
        <v>0</v>
      </c>
      <c r="Z216" s="353">
        <f t="shared" si="21"/>
        <v>1</v>
      </c>
      <c r="AA216" s="350">
        <f t="shared" si="22"/>
        <v>104.23009996929605</v>
      </c>
      <c r="AB216" s="120" t="s">
        <v>448</v>
      </c>
    </row>
    <row r="217" spans="1:28" ht="12.75" customHeight="1">
      <c r="A217" s="121" t="s">
        <v>575</v>
      </c>
      <c r="B217" s="120" t="s">
        <v>1112</v>
      </c>
      <c r="C217" s="343" t="s">
        <v>1113</v>
      </c>
      <c r="D217" s="344"/>
      <c r="E217" s="345" t="str">
        <f t="shared" si="50"/>
        <v/>
      </c>
      <c r="F217" s="121" t="s">
        <v>1107</v>
      </c>
      <c r="G217" s="121"/>
      <c r="H217" s="346">
        <f t="shared" si="51"/>
        <v>1159.18</v>
      </c>
      <c r="I217" s="121">
        <v>50</v>
      </c>
      <c r="J217" s="346">
        <v>1157.8</v>
      </c>
      <c r="K217" s="128">
        <v>57959</v>
      </c>
      <c r="L217" s="150">
        <v>44683</v>
      </c>
      <c r="M217" s="124">
        <f t="shared" si="14"/>
        <v>1168.8</v>
      </c>
      <c r="N217" s="155">
        <v>1170</v>
      </c>
      <c r="O217" s="347">
        <v>58440</v>
      </c>
      <c r="P217" s="120">
        <v>44687</v>
      </c>
      <c r="Q217" s="348">
        <v>44685</v>
      </c>
      <c r="R217" s="125">
        <v>15.93</v>
      </c>
      <c r="S217" s="125"/>
      <c r="T217" s="127">
        <f t="shared" si="54"/>
        <v>481</v>
      </c>
      <c r="U217" s="127" t="str">
        <f t="shared" si="16"/>
        <v>50 DCMSHRIRAM</v>
      </c>
      <c r="V217" s="127">
        <f t="shared" si="17"/>
        <v>465.07</v>
      </c>
      <c r="W217" s="350">
        <f t="shared" si="55"/>
        <v>8.0241204989734121E-3</v>
      </c>
      <c r="X217" s="397">
        <f t="shared" si="19"/>
        <v>0</v>
      </c>
      <c r="Y217" s="352">
        <f t="shared" si="20"/>
        <v>0</v>
      </c>
      <c r="Z217" s="353">
        <f t="shared" si="21"/>
        <v>4</v>
      </c>
      <c r="AA217" s="350">
        <f t="shared" si="22"/>
        <v>1.0735849757854878</v>
      </c>
      <c r="AB217" s="120" t="s">
        <v>448</v>
      </c>
    </row>
    <row r="218" spans="1:28" ht="12.75" customHeight="1">
      <c r="A218" s="121" t="s">
        <v>575</v>
      </c>
      <c r="B218" s="120" t="s">
        <v>1112</v>
      </c>
      <c r="C218" s="343" t="s">
        <v>1113</v>
      </c>
      <c r="D218" s="344"/>
      <c r="E218" s="345" t="str">
        <f t="shared" si="50"/>
        <v/>
      </c>
      <c r="F218" s="121" t="s">
        <v>1107</v>
      </c>
      <c r="G218" s="121"/>
      <c r="H218" s="346">
        <f t="shared" si="51"/>
        <v>1199.79</v>
      </c>
      <c r="I218" s="121">
        <v>100</v>
      </c>
      <c r="J218" s="346">
        <v>1198.3685</v>
      </c>
      <c r="K218" s="128">
        <v>119979</v>
      </c>
      <c r="L218" s="150">
        <v>44679</v>
      </c>
      <c r="M218" s="124">
        <f t="shared" si="14"/>
        <v>1205.75</v>
      </c>
      <c r="N218" s="155">
        <v>1207</v>
      </c>
      <c r="O218" s="347">
        <v>120575</v>
      </c>
      <c r="P218" s="120">
        <v>44687</v>
      </c>
      <c r="Q218" s="348">
        <v>44685</v>
      </c>
      <c r="R218" s="125">
        <v>0</v>
      </c>
      <c r="S218" s="125"/>
      <c r="T218" s="127">
        <f t="shared" si="54"/>
        <v>596</v>
      </c>
      <c r="U218" s="127" t="str">
        <f t="shared" si="16"/>
        <v>100 DCMSHRIRAM</v>
      </c>
      <c r="V218" s="127">
        <f t="shared" si="17"/>
        <v>596</v>
      </c>
      <c r="W218" s="350">
        <f t="shared" si="55"/>
        <v>4.967535985464123E-3</v>
      </c>
      <c r="X218" s="397">
        <f t="shared" si="19"/>
        <v>0</v>
      </c>
      <c r="Y218" s="352">
        <f t="shared" si="20"/>
        <v>0</v>
      </c>
      <c r="Z218" s="353">
        <f t="shared" si="21"/>
        <v>8</v>
      </c>
      <c r="AA218" s="350">
        <f t="shared" si="22"/>
        <v>0.25367941045606401</v>
      </c>
      <c r="AB218" s="120" t="s">
        <v>448</v>
      </c>
    </row>
    <row r="219" spans="1:28" ht="12.75" customHeight="1">
      <c r="A219" s="121" t="s">
        <v>575</v>
      </c>
      <c r="B219" s="120" t="s">
        <v>1112</v>
      </c>
      <c r="C219" s="343" t="s">
        <v>1113</v>
      </c>
      <c r="D219" s="344"/>
      <c r="E219" s="345" t="str">
        <f t="shared" si="50"/>
        <v/>
      </c>
      <c r="F219" s="121" t="s">
        <v>1107</v>
      </c>
      <c r="G219" s="121"/>
      <c r="H219" s="346">
        <f t="shared" si="51"/>
        <v>1211.44</v>
      </c>
      <c r="I219" s="121">
        <v>50</v>
      </c>
      <c r="J219" s="346">
        <v>1210</v>
      </c>
      <c r="K219" s="128">
        <v>60572</v>
      </c>
      <c r="L219" s="150">
        <v>44658</v>
      </c>
      <c r="M219" s="124">
        <f t="shared" si="14"/>
        <v>1228.74</v>
      </c>
      <c r="N219" s="155">
        <v>1230</v>
      </c>
      <c r="O219" s="347">
        <v>61437</v>
      </c>
      <c r="P219" s="120">
        <v>44690</v>
      </c>
      <c r="Q219" s="348">
        <v>44686</v>
      </c>
      <c r="R219" s="125">
        <v>15.93</v>
      </c>
      <c r="S219" s="125"/>
      <c r="T219" s="127">
        <f t="shared" si="54"/>
        <v>865</v>
      </c>
      <c r="U219" s="127" t="str">
        <f t="shared" si="16"/>
        <v>50 DCMSHRIRAM</v>
      </c>
      <c r="V219" s="127">
        <f t="shared" si="17"/>
        <v>849.07</v>
      </c>
      <c r="W219" s="350">
        <f t="shared" si="55"/>
        <v>1.4017532853463648E-2</v>
      </c>
      <c r="X219" s="397">
        <f t="shared" si="19"/>
        <v>0</v>
      </c>
      <c r="Y219" s="352">
        <f t="shared" si="20"/>
        <v>1</v>
      </c>
      <c r="Z219" s="353">
        <f t="shared" si="21"/>
        <v>2</v>
      </c>
      <c r="AA219" s="350">
        <f t="shared" si="22"/>
        <v>0.17207681798976049</v>
      </c>
      <c r="AB219" s="120" t="s">
        <v>448</v>
      </c>
    </row>
    <row r="220" spans="1:28" ht="12.75" customHeight="1">
      <c r="A220" s="121" t="s">
        <v>575</v>
      </c>
      <c r="B220" s="120" t="s">
        <v>1112</v>
      </c>
      <c r="C220" s="343" t="s">
        <v>1113</v>
      </c>
      <c r="D220" s="344"/>
      <c r="E220" s="345" t="str">
        <f t="shared" si="50"/>
        <v/>
      </c>
      <c r="F220" s="121" t="s">
        <v>1107</v>
      </c>
      <c r="G220" s="121"/>
      <c r="H220" s="346">
        <f t="shared" si="51"/>
        <v>1203.52</v>
      </c>
      <c r="I220" s="121">
        <v>100</v>
      </c>
      <c r="J220" s="346">
        <v>1202.0995</v>
      </c>
      <c r="K220" s="128">
        <v>120352</v>
      </c>
      <c r="L220" s="150">
        <v>44680</v>
      </c>
      <c r="M220" s="124">
        <f t="shared" si="14"/>
        <v>1208.75</v>
      </c>
      <c r="N220" s="155">
        <v>1210</v>
      </c>
      <c r="O220" s="347">
        <v>120875</v>
      </c>
      <c r="P220" s="120">
        <v>44690</v>
      </c>
      <c r="Q220" s="348">
        <v>44686</v>
      </c>
      <c r="R220" s="125">
        <v>0</v>
      </c>
      <c r="S220" s="125"/>
      <c r="T220" s="127">
        <f t="shared" si="54"/>
        <v>523</v>
      </c>
      <c r="U220" s="127" t="str">
        <f t="shared" si="16"/>
        <v>100 DCMSHRIRAM</v>
      </c>
      <c r="V220" s="127">
        <f t="shared" si="17"/>
        <v>523</v>
      </c>
      <c r="W220" s="350">
        <f t="shared" si="55"/>
        <v>4.3455862802446159E-3</v>
      </c>
      <c r="X220" s="397">
        <f t="shared" si="19"/>
        <v>0</v>
      </c>
      <c r="Y220" s="352">
        <f t="shared" si="20"/>
        <v>0</v>
      </c>
      <c r="Z220" s="353">
        <f t="shared" si="21"/>
        <v>10</v>
      </c>
      <c r="AA220" s="350">
        <f t="shared" si="22"/>
        <v>0.17148275594708018</v>
      </c>
      <c r="AB220" s="120" t="s">
        <v>448</v>
      </c>
    </row>
    <row r="221" spans="1:28" ht="12.75" customHeight="1">
      <c r="A221" s="121" t="s">
        <v>575</v>
      </c>
      <c r="B221" s="120" t="s">
        <v>1112</v>
      </c>
      <c r="C221" s="343" t="s">
        <v>1113</v>
      </c>
      <c r="D221" s="344"/>
      <c r="E221" s="345" t="str">
        <f t="shared" si="50"/>
        <v/>
      </c>
      <c r="F221" s="121" t="s">
        <v>1107</v>
      </c>
      <c r="G221" s="121"/>
      <c r="H221" s="346">
        <f t="shared" si="51"/>
        <v>1156.3699999999999</v>
      </c>
      <c r="I221" s="121">
        <v>100</v>
      </c>
      <c r="J221" s="346">
        <v>1155</v>
      </c>
      <c r="K221" s="128">
        <v>115637</v>
      </c>
      <c r="L221" s="150">
        <v>44687</v>
      </c>
      <c r="M221" s="124">
        <f t="shared" si="14"/>
        <v>1223.73</v>
      </c>
      <c r="N221" s="155">
        <v>1225</v>
      </c>
      <c r="O221" s="347">
        <v>122373</v>
      </c>
      <c r="P221" s="120">
        <v>44690</v>
      </c>
      <c r="Q221" s="348">
        <v>44686</v>
      </c>
      <c r="R221" s="125">
        <v>0</v>
      </c>
      <c r="S221" s="125"/>
      <c r="T221" s="127">
        <f t="shared" si="54"/>
        <v>6736</v>
      </c>
      <c r="U221" s="127" t="str">
        <f t="shared" si="16"/>
        <v>100 DCMSHRIRAM</v>
      </c>
      <c r="V221" s="127">
        <f t="shared" si="17"/>
        <v>6736</v>
      </c>
      <c r="W221" s="350">
        <f t="shared" si="55"/>
        <v>5.8251251761979296E-2</v>
      </c>
      <c r="X221" s="397">
        <f t="shared" si="19"/>
        <v>0</v>
      </c>
      <c r="Y221" s="352">
        <f t="shared" si="20"/>
        <v>0</v>
      </c>
      <c r="Z221" s="353">
        <f t="shared" si="21"/>
        <v>3</v>
      </c>
      <c r="AA221" s="350">
        <f t="shared" si="22"/>
        <v>979.92594317432042</v>
      </c>
      <c r="AB221" s="120" t="s">
        <v>448</v>
      </c>
    </row>
    <row r="222" spans="1:28" ht="12.75" customHeight="1">
      <c r="A222" s="121" t="s">
        <v>575</v>
      </c>
      <c r="B222" s="120" t="s">
        <v>1112</v>
      </c>
      <c r="C222" s="343" t="s">
        <v>1113</v>
      </c>
      <c r="D222" s="344"/>
      <c r="E222" s="345" t="str">
        <f t="shared" si="50"/>
        <v/>
      </c>
      <c r="F222" s="121" t="s">
        <v>1107</v>
      </c>
      <c r="G222" s="121"/>
      <c r="H222" s="346">
        <f t="shared" si="51"/>
        <v>1023.2</v>
      </c>
      <c r="I222" s="121">
        <v>30</v>
      </c>
      <c r="J222" s="346">
        <v>1022</v>
      </c>
      <c r="K222" s="128">
        <v>30696</v>
      </c>
      <c r="L222" s="150">
        <v>44690</v>
      </c>
      <c r="M222" s="124">
        <f t="shared" si="14"/>
        <v>1023.9333</v>
      </c>
      <c r="N222" s="155">
        <v>1025</v>
      </c>
      <c r="O222" s="347">
        <v>30718</v>
      </c>
      <c r="P222" s="120">
        <v>44697</v>
      </c>
      <c r="Q222" s="348">
        <v>44693</v>
      </c>
      <c r="R222" s="125">
        <v>15.93</v>
      </c>
      <c r="S222" s="125"/>
      <c r="T222" s="127">
        <f t="shared" si="54"/>
        <v>22</v>
      </c>
      <c r="U222" s="127" t="str">
        <f t="shared" si="16"/>
        <v>30 DCMSHRIRAM</v>
      </c>
      <c r="V222" s="127">
        <f t="shared" si="17"/>
        <v>6.07</v>
      </c>
      <c r="W222" s="350">
        <f t="shared" si="55"/>
        <v>1.977456346103727E-4</v>
      </c>
      <c r="X222" s="397">
        <f t="shared" si="19"/>
        <v>0</v>
      </c>
      <c r="Y222" s="352">
        <f t="shared" si="20"/>
        <v>0</v>
      </c>
      <c r="Z222" s="353">
        <f t="shared" si="21"/>
        <v>7</v>
      </c>
      <c r="AA222" s="350">
        <f t="shared" si="22"/>
        <v>1.0363334235952149E-2</v>
      </c>
      <c r="AB222" s="120" t="s">
        <v>448</v>
      </c>
    </row>
    <row r="223" spans="1:28" ht="12.75" customHeight="1">
      <c r="A223" s="121" t="s">
        <v>575</v>
      </c>
      <c r="B223" s="120" t="s">
        <v>1112</v>
      </c>
      <c r="C223" s="343" t="s">
        <v>1113</v>
      </c>
      <c r="D223" s="344"/>
      <c r="E223" s="345" t="str">
        <f t="shared" si="50"/>
        <v/>
      </c>
      <c r="F223" s="121" t="s">
        <v>1107</v>
      </c>
      <c r="G223" s="121"/>
      <c r="H223" s="346">
        <f t="shared" si="51"/>
        <v>1011.6</v>
      </c>
      <c r="I223" s="121">
        <v>10</v>
      </c>
      <c r="J223" s="346">
        <v>1010.4</v>
      </c>
      <c r="K223" s="128">
        <v>10116</v>
      </c>
      <c r="L223" s="150">
        <v>44691</v>
      </c>
      <c r="M223" s="124">
        <f t="shared" si="14"/>
        <v>1024</v>
      </c>
      <c r="N223" s="155">
        <v>1025</v>
      </c>
      <c r="O223" s="347">
        <v>10240</v>
      </c>
      <c r="P223" s="120">
        <v>44697</v>
      </c>
      <c r="Q223" s="348">
        <v>44693</v>
      </c>
      <c r="R223" s="125">
        <v>0</v>
      </c>
      <c r="S223" s="125"/>
      <c r="T223" s="127">
        <f t="shared" si="54"/>
        <v>124</v>
      </c>
      <c r="U223" s="127" t="str">
        <f t="shared" si="16"/>
        <v>10 DCMSHRIRAM</v>
      </c>
      <c r="V223" s="127">
        <f t="shared" si="17"/>
        <v>124</v>
      </c>
      <c r="W223" s="350">
        <f t="shared" si="55"/>
        <v>1.2257809410834321E-2</v>
      </c>
      <c r="X223" s="397">
        <f t="shared" si="19"/>
        <v>0</v>
      </c>
      <c r="Y223" s="352">
        <f t="shared" si="20"/>
        <v>0</v>
      </c>
      <c r="Z223" s="353">
        <f t="shared" si="21"/>
        <v>6</v>
      </c>
      <c r="AA223" s="350">
        <f t="shared" si="22"/>
        <v>1.0983476266553094</v>
      </c>
      <c r="AB223" s="120" t="s">
        <v>448</v>
      </c>
    </row>
    <row r="224" spans="1:28" ht="12.75" customHeight="1">
      <c r="A224" s="121" t="s">
        <v>575</v>
      </c>
      <c r="B224" s="120"/>
      <c r="C224" s="343"/>
      <c r="D224" s="344"/>
      <c r="E224" s="345" t="str">
        <f t="shared" si="50"/>
        <v/>
      </c>
      <c r="F224" s="121" t="s">
        <v>1107</v>
      </c>
      <c r="G224" s="121"/>
      <c r="H224" s="346">
        <f t="shared" si="51"/>
        <v>1017.6</v>
      </c>
      <c r="I224" s="121">
        <v>95</v>
      </c>
      <c r="J224" s="346">
        <v>1016.3946999999999</v>
      </c>
      <c r="K224" s="128">
        <v>96672</v>
      </c>
      <c r="L224" s="150">
        <v>44694</v>
      </c>
      <c r="M224" s="124">
        <f t="shared" si="14"/>
        <v>1023.1895</v>
      </c>
      <c r="N224" s="155">
        <v>1024.2526</v>
      </c>
      <c r="O224" s="347">
        <v>97203</v>
      </c>
      <c r="P224" s="120">
        <v>44697</v>
      </c>
      <c r="Q224" s="348">
        <v>44693</v>
      </c>
      <c r="R224" s="125">
        <v>0</v>
      </c>
      <c r="S224" s="125"/>
      <c r="T224" s="127">
        <f t="shared" si="54"/>
        <v>531</v>
      </c>
      <c r="U224" s="127" t="str">
        <f t="shared" si="16"/>
        <v>95 DCMSHRIRAM</v>
      </c>
      <c r="V224" s="349">
        <f t="shared" si="17"/>
        <v>531</v>
      </c>
      <c r="W224" s="350">
        <f t="shared" si="55"/>
        <v>5.4928003972194639E-3</v>
      </c>
      <c r="X224" s="351">
        <f t="shared" si="19"/>
        <v>0</v>
      </c>
      <c r="Y224" s="352">
        <f t="shared" si="20"/>
        <v>0</v>
      </c>
      <c r="Z224" s="353">
        <f t="shared" si="21"/>
        <v>3</v>
      </c>
      <c r="AA224" s="350">
        <f t="shared" si="22"/>
        <v>0.9473354741282074</v>
      </c>
      <c r="AB224" s="120" t="s">
        <v>448</v>
      </c>
    </row>
    <row r="225" spans="1:28" ht="12.75" customHeight="1">
      <c r="A225" s="121" t="s">
        <v>575</v>
      </c>
      <c r="B225" s="120"/>
      <c r="C225" s="343"/>
      <c r="D225" s="344"/>
      <c r="E225" s="345" t="str">
        <f t="shared" si="50"/>
        <v/>
      </c>
      <c r="F225" s="121" t="s">
        <v>1107</v>
      </c>
      <c r="G225" s="121"/>
      <c r="H225" s="346">
        <f t="shared" si="51"/>
        <v>992.22</v>
      </c>
      <c r="I225" s="121">
        <v>50</v>
      </c>
      <c r="J225" s="346">
        <v>991.05</v>
      </c>
      <c r="K225" s="128">
        <v>49611</v>
      </c>
      <c r="L225" s="150">
        <v>44694</v>
      </c>
      <c r="M225" s="124">
        <f t="shared" si="14"/>
        <v>993.98</v>
      </c>
      <c r="N225" s="155">
        <v>995</v>
      </c>
      <c r="O225" s="347">
        <v>49699</v>
      </c>
      <c r="P225" s="120">
        <v>44697</v>
      </c>
      <c r="Q225" s="348">
        <v>44693</v>
      </c>
      <c r="R225" s="125">
        <v>0</v>
      </c>
      <c r="S225" s="125"/>
      <c r="T225" s="127">
        <f t="shared" si="54"/>
        <v>88</v>
      </c>
      <c r="U225" s="127" t="str">
        <f t="shared" si="16"/>
        <v>50 DCMSHRIRAM</v>
      </c>
      <c r="V225" s="349">
        <f t="shared" si="17"/>
        <v>88</v>
      </c>
      <c r="W225" s="350">
        <f t="shared" si="55"/>
        <v>1.7738001652859246E-3</v>
      </c>
      <c r="X225" s="351">
        <f t="shared" si="19"/>
        <v>0</v>
      </c>
      <c r="Y225" s="352">
        <f t="shared" si="20"/>
        <v>0</v>
      </c>
      <c r="Z225" s="353">
        <f t="shared" si="21"/>
        <v>3</v>
      </c>
      <c r="AA225" s="350">
        <f t="shared" si="22"/>
        <v>0.24063230804283786</v>
      </c>
      <c r="AB225" s="120" t="s">
        <v>448</v>
      </c>
    </row>
    <row r="226" spans="1:28" ht="12.75" customHeight="1">
      <c r="A226" s="121" t="s">
        <v>575</v>
      </c>
      <c r="B226" s="120"/>
      <c r="C226" s="343"/>
      <c r="D226" s="344"/>
      <c r="E226" s="345" t="str">
        <f t="shared" si="50"/>
        <v/>
      </c>
      <c r="F226" s="121" t="s">
        <v>1107</v>
      </c>
      <c r="G226" s="121"/>
      <c r="H226" s="346">
        <f t="shared" si="51"/>
        <v>971.16</v>
      </c>
      <c r="I226" s="121">
        <v>100</v>
      </c>
      <c r="J226" s="346">
        <v>970</v>
      </c>
      <c r="K226" s="128">
        <v>97116</v>
      </c>
      <c r="L226" s="150">
        <v>44697</v>
      </c>
      <c r="M226" s="124">
        <f t="shared" si="14"/>
        <v>983.98</v>
      </c>
      <c r="N226" s="155">
        <v>985</v>
      </c>
      <c r="O226" s="347">
        <v>98398</v>
      </c>
      <c r="P226" s="120">
        <v>44698</v>
      </c>
      <c r="Q226" s="348">
        <v>44693</v>
      </c>
      <c r="R226" s="125">
        <v>0</v>
      </c>
      <c r="S226" s="125"/>
      <c r="T226" s="127">
        <f t="shared" si="54"/>
        <v>1282</v>
      </c>
      <c r="U226" s="127" t="str">
        <f t="shared" si="16"/>
        <v>100 DCMSHRIRAM</v>
      </c>
      <c r="V226" s="349">
        <f t="shared" si="17"/>
        <v>1282</v>
      </c>
      <c r="W226" s="350">
        <f t="shared" si="55"/>
        <v>1.3200708431154496E-2</v>
      </c>
      <c r="X226" s="351">
        <f t="shared" si="19"/>
        <v>0</v>
      </c>
      <c r="Y226" s="352">
        <f t="shared" si="20"/>
        <v>0</v>
      </c>
      <c r="Z226" s="353">
        <f t="shared" si="21"/>
        <v>1</v>
      </c>
      <c r="AA226" s="350">
        <f t="shared" si="22"/>
        <v>118.90904494486485</v>
      </c>
      <c r="AB226" s="120" t="s">
        <v>448</v>
      </c>
    </row>
    <row r="227" spans="1:28" ht="12.75" customHeight="1">
      <c r="A227" s="121" t="s">
        <v>575</v>
      </c>
      <c r="B227" s="120" t="s">
        <v>1112</v>
      </c>
      <c r="C227" s="343" t="s">
        <v>1113</v>
      </c>
      <c r="D227" s="344"/>
      <c r="E227" s="345" t="str">
        <f t="shared" si="50"/>
        <v/>
      </c>
      <c r="F227" s="121" t="s">
        <v>1107</v>
      </c>
      <c r="G227" s="121"/>
      <c r="H227" s="346">
        <f t="shared" si="51"/>
        <v>957.07270000000005</v>
      </c>
      <c r="I227" s="121">
        <v>55</v>
      </c>
      <c r="J227" s="346">
        <v>955.95</v>
      </c>
      <c r="K227" s="128">
        <v>52639</v>
      </c>
      <c r="L227" s="150">
        <v>44697</v>
      </c>
      <c r="M227" s="124">
        <f t="shared" si="14"/>
        <v>969</v>
      </c>
      <c r="N227" s="155">
        <v>970</v>
      </c>
      <c r="O227" s="347">
        <v>53295</v>
      </c>
      <c r="P227" s="120">
        <v>44704</v>
      </c>
      <c r="Q227" s="348">
        <v>44700</v>
      </c>
      <c r="R227" s="125">
        <v>15.93</v>
      </c>
      <c r="S227" s="125"/>
      <c r="T227" s="127">
        <f t="shared" si="54"/>
        <v>656</v>
      </c>
      <c r="U227" s="127" t="str">
        <f t="shared" si="16"/>
        <v>55 DCMSHRIRAM</v>
      </c>
      <c r="V227" s="349">
        <f t="shared" si="17"/>
        <v>640.07000000000005</v>
      </c>
      <c r="W227" s="350">
        <f t="shared" si="55"/>
        <v>1.2159615494215317E-2</v>
      </c>
      <c r="X227" s="351">
        <f t="shared" si="19"/>
        <v>0</v>
      </c>
      <c r="Y227" s="352">
        <f t="shared" si="20"/>
        <v>0</v>
      </c>
      <c r="Z227" s="353">
        <f t="shared" si="21"/>
        <v>7</v>
      </c>
      <c r="AA227" s="350">
        <f t="shared" si="22"/>
        <v>0.87801099713769482</v>
      </c>
      <c r="AB227" s="120" t="s">
        <v>448</v>
      </c>
    </row>
    <row r="228" spans="1:28" ht="12.75" customHeight="1">
      <c r="A228" s="120" t="s">
        <v>575</v>
      </c>
      <c r="B228" s="120" t="s">
        <v>1112</v>
      </c>
      <c r="C228" s="343" t="s">
        <v>1113</v>
      </c>
      <c r="D228" s="344"/>
      <c r="E228" s="345" t="str">
        <f t="shared" si="50"/>
        <v/>
      </c>
      <c r="F228" s="121" t="s">
        <v>1107</v>
      </c>
      <c r="G228" s="121"/>
      <c r="H228" s="346">
        <f t="shared" si="51"/>
        <v>1003.38</v>
      </c>
      <c r="I228" s="121">
        <v>50</v>
      </c>
      <c r="J228" s="346">
        <v>1002.2</v>
      </c>
      <c r="K228" s="128">
        <v>50169</v>
      </c>
      <c r="L228" s="150">
        <v>44704</v>
      </c>
      <c r="M228" s="124">
        <f t="shared" si="14"/>
        <v>1005.96</v>
      </c>
      <c r="N228" s="155">
        <v>1007</v>
      </c>
      <c r="O228" s="347">
        <v>50298</v>
      </c>
      <c r="P228" s="120">
        <v>44705</v>
      </c>
      <c r="Q228" s="348">
        <v>44701</v>
      </c>
      <c r="R228" s="125">
        <v>0</v>
      </c>
      <c r="S228" s="125"/>
      <c r="T228" s="127">
        <f t="shared" si="54"/>
        <v>129</v>
      </c>
      <c r="U228" s="127" t="str">
        <f t="shared" si="16"/>
        <v>50 DCMSHRIRAM</v>
      </c>
      <c r="V228" s="349">
        <f t="shared" si="17"/>
        <v>129</v>
      </c>
      <c r="W228" s="350">
        <f t="shared" si="55"/>
        <v>2.5713089756622615E-3</v>
      </c>
      <c r="X228" s="351">
        <f t="shared" si="19"/>
        <v>0</v>
      </c>
      <c r="Y228" s="352">
        <f t="shared" si="20"/>
        <v>0</v>
      </c>
      <c r="Z228" s="353">
        <f t="shared" si="21"/>
        <v>1</v>
      </c>
      <c r="AA228" s="350">
        <f t="shared" si="22"/>
        <v>1.5531380695362333</v>
      </c>
      <c r="AB228" s="120" t="s">
        <v>448</v>
      </c>
    </row>
    <row r="229" spans="1:28" ht="12.75" customHeight="1">
      <c r="A229" s="120" t="s">
        <v>575</v>
      </c>
      <c r="B229" s="120" t="s">
        <v>1112</v>
      </c>
      <c r="C229" s="343" t="s">
        <v>1113</v>
      </c>
      <c r="D229" s="344"/>
      <c r="E229" s="345" t="str">
        <f t="shared" si="50"/>
        <v/>
      </c>
      <c r="F229" s="121" t="s">
        <v>1107</v>
      </c>
      <c r="G229" s="121"/>
      <c r="H229" s="346">
        <f t="shared" si="51"/>
        <v>987.16</v>
      </c>
      <c r="I229" s="121">
        <v>50</v>
      </c>
      <c r="J229" s="346">
        <v>986</v>
      </c>
      <c r="K229" s="128">
        <v>49358</v>
      </c>
      <c r="L229" s="150">
        <v>44704</v>
      </c>
      <c r="M229" s="124">
        <f t="shared" si="14"/>
        <v>990</v>
      </c>
      <c r="N229" s="155">
        <v>991.02</v>
      </c>
      <c r="O229" s="347">
        <v>49500</v>
      </c>
      <c r="P229" s="120">
        <v>44705</v>
      </c>
      <c r="Q229" s="348">
        <v>44701</v>
      </c>
      <c r="R229" s="125">
        <v>0</v>
      </c>
      <c r="S229" s="125"/>
      <c r="T229" s="127">
        <f t="shared" si="54"/>
        <v>142</v>
      </c>
      <c r="U229" s="127" t="str">
        <f t="shared" si="16"/>
        <v>50 DCMSHRIRAM</v>
      </c>
      <c r="V229" s="349">
        <f t="shared" si="17"/>
        <v>142</v>
      </c>
      <c r="W229" s="350">
        <f t="shared" si="55"/>
        <v>2.8769399084241664E-3</v>
      </c>
      <c r="X229" s="351">
        <f t="shared" si="19"/>
        <v>0</v>
      </c>
      <c r="Y229" s="352">
        <f t="shared" si="20"/>
        <v>0</v>
      </c>
      <c r="Z229" s="353">
        <f t="shared" si="21"/>
        <v>1</v>
      </c>
      <c r="AA229" s="350">
        <f t="shared" si="22"/>
        <v>1.8535831336705209</v>
      </c>
      <c r="AB229" s="120" t="s">
        <v>448</v>
      </c>
    </row>
    <row r="230" spans="1:28" ht="12.75" customHeight="1">
      <c r="A230" s="121" t="s">
        <v>575</v>
      </c>
      <c r="B230" s="120" t="s">
        <v>1112</v>
      </c>
      <c r="C230" s="343" t="s">
        <v>1113</v>
      </c>
      <c r="D230" s="344"/>
      <c r="E230" s="345" t="str">
        <f t="shared" si="50"/>
        <v/>
      </c>
      <c r="F230" s="121" t="s">
        <v>1107</v>
      </c>
      <c r="G230" s="121"/>
      <c r="H230" s="346">
        <f t="shared" si="51"/>
        <v>973.46</v>
      </c>
      <c r="I230" s="121">
        <v>50</v>
      </c>
      <c r="J230" s="346">
        <v>972.3</v>
      </c>
      <c r="K230" s="128">
        <v>48673</v>
      </c>
      <c r="L230" s="150">
        <v>44705</v>
      </c>
      <c r="M230" s="124">
        <f t="shared" si="14"/>
        <v>980.98</v>
      </c>
      <c r="N230" s="155">
        <v>982</v>
      </c>
      <c r="O230" s="347">
        <v>49049</v>
      </c>
      <c r="P230" s="120">
        <v>44706</v>
      </c>
      <c r="Q230" s="348">
        <v>44701</v>
      </c>
      <c r="R230" s="125">
        <v>0</v>
      </c>
      <c r="S230" s="125"/>
      <c r="T230" s="127">
        <f t="shared" si="54"/>
        <v>376</v>
      </c>
      <c r="U230" s="127" t="str">
        <f t="shared" si="16"/>
        <v>50 DCMSHRIRAM</v>
      </c>
      <c r="V230" s="349">
        <f t="shared" si="17"/>
        <v>376</v>
      </c>
      <c r="W230" s="350">
        <f t="shared" si="55"/>
        <v>7.7250220861668686E-3</v>
      </c>
      <c r="X230" s="351">
        <f t="shared" si="19"/>
        <v>0</v>
      </c>
      <c r="Y230" s="352">
        <f t="shared" si="20"/>
        <v>0</v>
      </c>
      <c r="Z230" s="353">
        <f t="shared" si="21"/>
        <v>1</v>
      </c>
      <c r="AA230" s="350">
        <f t="shared" si="22"/>
        <v>15.58996447345519</v>
      </c>
      <c r="AB230" s="120" t="s">
        <v>448</v>
      </c>
    </row>
    <row r="231" spans="1:28" ht="12.75" customHeight="1">
      <c r="A231" s="121" t="s">
        <v>575</v>
      </c>
      <c r="B231" s="120" t="s">
        <v>1112</v>
      </c>
      <c r="C231" s="343" t="s">
        <v>1113</v>
      </c>
      <c r="D231" s="344"/>
      <c r="E231" s="345" t="str">
        <f t="shared" si="50"/>
        <v/>
      </c>
      <c r="F231" s="121" t="s">
        <v>1107</v>
      </c>
      <c r="G231" s="121"/>
      <c r="H231" s="346">
        <f t="shared" si="51"/>
        <v>964.4067</v>
      </c>
      <c r="I231" s="121">
        <v>150</v>
      </c>
      <c r="J231" s="346">
        <v>963.26670000000001</v>
      </c>
      <c r="K231" s="128">
        <v>144661</v>
      </c>
      <c r="L231" s="150">
        <v>44706</v>
      </c>
      <c r="M231" s="124">
        <f t="shared" si="14"/>
        <v>968.99329999999998</v>
      </c>
      <c r="N231" s="155">
        <v>970</v>
      </c>
      <c r="O231" s="347">
        <v>145349</v>
      </c>
      <c r="P231" s="120">
        <v>44707</v>
      </c>
      <c r="Q231" s="348">
        <v>44701</v>
      </c>
      <c r="R231" s="125">
        <v>0</v>
      </c>
      <c r="S231" s="125"/>
      <c r="T231" s="127">
        <f t="shared" si="54"/>
        <v>688</v>
      </c>
      <c r="U231" s="127" t="str">
        <f t="shared" si="16"/>
        <v>150 DCMSHRIRAM</v>
      </c>
      <c r="V231" s="349">
        <f t="shared" si="17"/>
        <v>688</v>
      </c>
      <c r="W231" s="350">
        <f t="shared" si="55"/>
        <v>4.755946661505174E-3</v>
      </c>
      <c r="X231" s="351">
        <f t="shared" si="19"/>
        <v>0</v>
      </c>
      <c r="Y231" s="352">
        <f t="shared" si="20"/>
        <v>0</v>
      </c>
      <c r="Z231" s="353">
        <f t="shared" si="21"/>
        <v>1</v>
      </c>
      <c r="AA231" s="350">
        <f t="shared" si="22"/>
        <v>4.6508478762455319</v>
      </c>
      <c r="AB231" s="120" t="s">
        <v>448</v>
      </c>
    </row>
    <row r="232" spans="1:28" ht="12.75" customHeight="1">
      <c r="A232" s="121" t="s">
        <v>575</v>
      </c>
      <c r="B232" s="120" t="s">
        <v>1112</v>
      </c>
      <c r="C232" s="343" t="s">
        <v>1113</v>
      </c>
      <c r="D232" s="344"/>
      <c r="E232" s="345" t="str">
        <f t="shared" si="50"/>
        <v/>
      </c>
      <c r="F232" s="121" t="s">
        <v>1107</v>
      </c>
      <c r="G232" s="121"/>
      <c r="H232" s="346">
        <f t="shared" si="51"/>
        <v>985.16669999999999</v>
      </c>
      <c r="I232" s="121">
        <v>30</v>
      </c>
      <c r="J232" s="346">
        <v>984</v>
      </c>
      <c r="K232" s="128">
        <v>29555</v>
      </c>
      <c r="L232" s="150">
        <v>44706</v>
      </c>
      <c r="M232" s="124">
        <f t="shared" si="14"/>
        <v>988.96669999999995</v>
      </c>
      <c r="N232" s="155">
        <v>990</v>
      </c>
      <c r="O232" s="347">
        <v>29669</v>
      </c>
      <c r="P232" s="120">
        <v>44711</v>
      </c>
      <c r="Q232" s="348">
        <v>44707</v>
      </c>
      <c r="R232" s="125">
        <v>0</v>
      </c>
      <c r="S232" s="125"/>
      <c r="T232" s="127">
        <f t="shared" si="54"/>
        <v>114</v>
      </c>
      <c r="U232" s="127" t="str">
        <f t="shared" si="16"/>
        <v>30 DCMSHRIRAM</v>
      </c>
      <c r="V232" s="349">
        <f t="shared" si="17"/>
        <v>114</v>
      </c>
      <c r="W232" s="350">
        <f t="shared" si="55"/>
        <v>3.8572153611909996E-3</v>
      </c>
      <c r="X232" s="351">
        <f t="shared" si="19"/>
        <v>0</v>
      </c>
      <c r="Y232" s="352">
        <f t="shared" si="20"/>
        <v>0</v>
      </c>
      <c r="Z232" s="353">
        <f t="shared" si="21"/>
        <v>5</v>
      </c>
      <c r="AA232" s="350">
        <f t="shared" si="22"/>
        <v>0.32450004374197672</v>
      </c>
      <c r="AB232" s="120" t="s">
        <v>448</v>
      </c>
    </row>
    <row r="233" spans="1:28" ht="12.75" customHeight="1">
      <c r="A233" s="121" t="s">
        <v>575</v>
      </c>
      <c r="B233" s="120" t="s">
        <v>1112</v>
      </c>
      <c r="C233" s="343" t="s">
        <v>1113</v>
      </c>
      <c r="D233" s="344"/>
      <c r="E233" s="345" t="str">
        <f t="shared" si="50"/>
        <v/>
      </c>
      <c r="F233" s="121" t="s">
        <v>1107</v>
      </c>
      <c r="G233" s="121"/>
      <c r="H233" s="346">
        <f t="shared" si="51"/>
        <v>957.13329999999996</v>
      </c>
      <c r="I233" s="121">
        <v>75</v>
      </c>
      <c r="J233" s="346">
        <v>956</v>
      </c>
      <c r="K233" s="128">
        <v>71785</v>
      </c>
      <c r="L233" s="150">
        <v>44708</v>
      </c>
      <c r="M233" s="124">
        <f t="shared" si="14"/>
        <v>965.01329999999996</v>
      </c>
      <c r="N233" s="155">
        <v>966</v>
      </c>
      <c r="O233" s="347">
        <v>72376</v>
      </c>
      <c r="P233" s="120">
        <v>44711</v>
      </c>
      <c r="Q233" s="348">
        <v>44707</v>
      </c>
      <c r="R233" s="125">
        <v>15.93</v>
      </c>
      <c r="S233" s="125"/>
      <c r="T233" s="127">
        <f t="shared" si="54"/>
        <v>591</v>
      </c>
      <c r="U233" s="127" t="str">
        <f t="shared" si="16"/>
        <v>75 DCMSHRIRAM</v>
      </c>
      <c r="V233" s="349">
        <f t="shared" si="17"/>
        <v>575.07000000000005</v>
      </c>
      <c r="W233" s="350">
        <f t="shared" si="55"/>
        <v>8.0110050846277092E-3</v>
      </c>
      <c r="X233" s="351">
        <f t="shared" si="19"/>
        <v>0</v>
      </c>
      <c r="Y233" s="352">
        <f t="shared" si="20"/>
        <v>0</v>
      </c>
      <c r="Z233" s="353">
        <f t="shared" si="21"/>
        <v>3</v>
      </c>
      <c r="AA233" s="350">
        <f t="shared" si="22"/>
        <v>1.6400265099589331</v>
      </c>
      <c r="AB233" s="120" t="s">
        <v>448</v>
      </c>
    </row>
    <row r="234" spans="1:28" ht="12.75" customHeight="1">
      <c r="A234" s="121" t="s">
        <v>575</v>
      </c>
      <c r="B234" s="120" t="s">
        <v>1112</v>
      </c>
      <c r="C234" s="343" t="s">
        <v>1113</v>
      </c>
      <c r="D234" s="344"/>
      <c r="E234" s="345" t="str">
        <f t="shared" si="50"/>
        <v/>
      </c>
      <c r="F234" s="121" t="s">
        <v>1107</v>
      </c>
      <c r="G234" s="121"/>
      <c r="H234" s="346">
        <f t="shared" si="51"/>
        <v>996.73</v>
      </c>
      <c r="I234" s="121">
        <v>100</v>
      </c>
      <c r="J234" s="346">
        <v>995.55</v>
      </c>
      <c r="K234" s="128">
        <v>99673</v>
      </c>
      <c r="L234" s="150">
        <v>44704</v>
      </c>
      <c r="M234" s="124">
        <f t="shared" si="14"/>
        <v>1003.96</v>
      </c>
      <c r="N234" s="155">
        <v>1005</v>
      </c>
      <c r="O234" s="347">
        <v>100396</v>
      </c>
      <c r="P234" s="120">
        <v>44713</v>
      </c>
      <c r="Q234" s="348">
        <v>44711</v>
      </c>
      <c r="R234" s="125">
        <v>15.93</v>
      </c>
      <c r="S234" s="125"/>
      <c r="T234" s="127">
        <f t="shared" si="54"/>
        <v>723</v>
      </c>
      <c r="U234" s="127" t="str">
        <f t="shared" si="16"/>
        <v>100 DCMSHRIRAM</v>
      </c>
      <c r="V234" s="349">
        <f t="shared" si="17"/>
        <v>707.07</v>
      </c>
      <c r="W234" s="350">
        <f t="shared" si="55"/>
        <v>7.0938970433316951E-3</v>
      </c>
      <c r="X234" s="351">
        <f t="shared" si="19"/>
        <v>0</v>
      </c>
      <c r="Y234" s="352">
        <f t="shared" si="20"/>
        <v>0</v>
      </c>
      <c r="Z234" s="353">
        <f t="shared" si="21"/>
        <v>9</v>
      </c>
      <c r="AA234" s="350">
        <f t="shared" si="22"/>
        <v>0.3319996240250116</v>
      </c>
      <c r="AB234" s="120" t="s">
        <v>448</v>
      </c>
    </row>
    <row r="235" spans="1:28" ht="12.75" customHeight="1">
      <c r="A235" s="121" t="s">
        <v>575</v>
      </c>
      <c r="B235" s="120" t="s">
        <v>1112</v>
      </c>
      <c r="C235" s="343" t="s">
        <v>1113</v>
      </c>
      <c r="D235" s="344"/>
      <c r="E235" s="345" t="str">
        <f t="shared" si="50"/>
        <v/>
      </c>
      <c r="F235" s="121" t="s">
        <v>1107</v>
      </c>
      <c r="G235" s="121"/>
      <c r="H235" s="346">
        <f t="shared" si="51"/>
        <v>985.16</v>
      </c>
      <c r="I235" s="121">
        <v>50</v>
      </c>
      <c r="J235" s="346">
        <v>984</v>
      </c>
      <c r="K235" s="128">
        <v>49258</v>
      </c>
      <c r="L235" s="150">
        <v>44708</v>
      </c>
      <c r="M235" s="124">
        <f t="shared" si="14"/>
        <v>993.98</v>
      </c>
      <c r="N235" s="155">
        <v>995</v>
      </c>
      <c r="O235" s="347">
        <v>49699</v>
      </c>
      <c r="P235" s="120">
        <v>44713</v>
      </c>
      <c r="Q235" s="348">
        <v>44711</v>
      </c>
      <c r="R235" s="125">
        <v>0</v>
      </c>
      <c r="S235" s="125"/>
      <c r="T235" s="127">
        <f t="shared" si="54"/>
        <v>441</v>
      </c>
      <c r="U235" s="127" t="str">
        <f t="shared" si="16"/>
        <v>50 DCMSHRIRAM</v>
      </c>
      <c r="V235" s="349">
        <f t="shared" si="17"/>
        <v>441</v>
      </c>
      <c r="W235" s="350">
        <f t="shared" si="55"/>
        <v>8.9528604490641123E-3</v>
      </c>
      <c r="X235" s="351">
        <f t="shared" si="19"/>
        <v>0</v>
      </c>
      <c r="Y235" s="352">
        <f t="shared" si="20"/>
        <v>0</v>
      </c>
      <c r="Z235" s="353">
        <f t="shared" si="21"/>
        <v>5</v>
      </c>
      <c r="AA235" s="350">
        <f t="shared" si="22"/>
        <v>0.91678738505390123</v>
      </c>
      <c r="AB235" s="120" t="s">
        <v>448</v>
      </c>
    </row>
    <row r="236" spans="1:28" ht="12.75" customHeight="1">
      <c r="A236" s="121" t="s">
        <v>575</v>
      </c>
      <c r="B236" s="120" t="s">
        <v>1112</v>
      </c>
      <c r="C236" s="343" t="s">
        <v>1113</v>
      </c>
      <c r="D236" s="344"/>
      <c r="E236" s="345" t="str">
        <f t="shared" si="50"/>
        <v/>
      </c>
      <c r="F236" s="121" t="s">
        <v>1107</v>
      </c>
      <c r="G236" s="121"/>
      <c r="H236" s="346">
        <f t="shared" si="51"/>
        <v>983.16</v>
      </c>
      <c r="I236" s="121">
        <v>50</v>
      </c>
      <c r="J236" s="346">
        <v>982</v>
      </c>
      <c r="K236" s="128">
        <v>49158</v>
      </c>
      <c r="L236" s="150">
        <v>44719</v>
      </c>
      <c r="M236" s="124">
        <f t="shared" si="14"/>
        <v>987.98</v>
      </c>
      <c r="N236" s="155">
        <v>989</v>
      </c>
      <c r="O236" s="347">
        <v>49399</v>
      </c>
      <c r="P236" s="120">
        <v>44722</v>
      </c>
      <c r="Q236" s="348">
        <v>44720</v>
      </c>
      <c r="R236" s="125">
        <v>15.93</v>
      </c>
      <c r="S236" s="125"/>
      <c r="T236" s="127">
        <f t="shared" ref="T236:T298" si="56">IF(OR(O236="",K236=""),"",O236-K236)</f>
        <v>241</v>
      </c>
      <c r="U236" s="127" t="str">
        <f t="shared" si="16"/>
        <v>50 DCMSHRIRAM</v>
      </c>
      <c r="V236" s="349">
        <f t="shared" si="17"/>
        <v>225.07</v>
      </c>
      <c r="W236" s="350">
        <f t="shared" ref="W236:W298" si="57">IF(OR(K236="",V236=""),"",V236/K236)</f>
        <v>4.5785019732291791E-3</v>
      </c>
      <c r="X236" s="351">
        <f t="shared" si="19"/>
        <v>0</v>
      </c>
      <c r="Y236" s="352">
        <f t="shared" si="20"/>
        <v>0</v>
      </c>
      <c r="Z236" s="353">
        <f t="shared" si="21"/>
        <v>3</v>
      </c>
      <c r="AA236" s="350">
        <f t="shared" si="22"/>
        <v>0.74329974553685019</v>
      </c>
      <c r="AB236" s="120" t="s">
        <v>448</v>
      </c>
    </row>
    <row r="237" spans="1:28" ht="12.75" customHeight="1">
      <c r="A237" s="121" t="s">
        <v>575</v>
      </c>
      <c r="B237" s="120" t="s">
        <v>1112</v>
      </c>
      <c r="C237" s="343" t="s">
        <v>1113</v>
      </c>
      <c r="D237" s="344"/>
      <c r="E237" s="345" t="str">
        <f t="shared" si="50"/>
        <v/>
      </c>
      <c r="F237" s="121" t="s">
        <v>1107</v>
      </c>
      <c r="G237" s="121"/>
      <c r="H237" s="346">
        <f t="shared" si="51"/>
        <v>938.625</v>
      </c>
      <c r="I237" s="121">
        <v>8</v>
      </c>
      <c r="J237" s="346">
        <v>937.5</v>
      </c>
      <c r="K237" s="128">
        <v>7509</v>
      </c>
      <c r="L237" s="150">
        <v>44725</v>
      </c>
      <c r="M237" s="124">
        <f t="shared" si="14"/>
        <v>917</v>
      </c>
      <c r="N237" s="155">
        <v>918</v>
      </c>
      <c r="O237" s="347">
        <v>7336</v>
      </c>
      <c r="P237" s="120">
        <v>44726</v>
      </c>
      <c r="Q237" s="348">
        <v>44698</v>
      </c>
      <c r="R237" s="125">
        <v>15.93</v>
      </c>
      <c r="S237" s="125"/>
      <c r="T237" s="127">
        <f t="shared" si="56"/>
        <v>-173</v>
      </c>
      <c r="U237" s="127" t="str">
        <f t="shared" si="16"/>
        <v>8 DCMSHRIRAM</v>
      </c>
      <c r="V237" s="349">
        <f t="shared" si="17"/>
        <v>-188.93</v>
      </c>
      <c r="W237" s="350">
        <f t="shared" si="57"/>
        <v>-2.516047409774937E-2</v>
      </c>
      <c r="X237" s="351">
        <f t="shared" si="19"/>
        <v>0</v>
      </c>
      <c r="Y237" s="352">
        <f t="shared" si="20"/>
        <v>0</v>
      </c>
      <c r="Z237" s="353">
        <f t="shared" si="21"/>
        <v>1</v>
      </c>
      <c r="AA237" s="350">
        <f t="shared" si="22"/>
        <v>-0.99990867443305265</v>
      </c>
      <c r="AB237" s="120" t="s">
        <v>448</v>
      </c>
    </row>
    <row r="238" spans="1:28" ht="12.75" customHeight="1">
      <c r="A238" s="121" t="s">
        <v>575</v>
      </c>
      <c r="B238" s="120" t="s">
        <v>1112</v>
      </c>
      <c r="C238" s="343" t="s">
        <v>1113</v>
      </c>
      <c r="D238" s="344"/>
      <c r="E238" s="345" t="str">
        <f t="shared" si="50"/>
        <v/>
      </c>
      <c r="F238" s="121" t="s">
        <v>1107</v>
      </c>
      <c r="G238" s="121"/>
      <c r="H238" s="346">
        <f t="shared" si="51"/>
        <v>938.6</v>
      </c>
      <c r="I238" s="121">
        <v>40</v>
      </c>
      <c r="J238" s="346">
        <v>937.5</v>
      </c>
      <c r="K238" s="128">
        <v>37544</v>
      </c>
      <c r="L238" s="150">
        <v>44725</v>
      </c>
      <c r="M238" s="124">
        <f t="shared" si="14"/>
        <v>939.02499999999998</v>
      </c>
      <c r="N238" s="155">
        <v>940</v>
      </c>
      <c r="O238" s="347">
        <v>37561</v>
      </c>
      <c r="P238" s="120">
        <v>44726</v>
      </c>
      <c r="Q238" s="348">
        <v>44700</v>
      </c>
      <c r="R238" s="125">
        <v>15.93</v>
      </c>
      <c r="S238" s="125"/>
      <c r="T238" s="127">
        <f t="shared" si="56"/>
        <v>17</v>
      </c>
      <c r="U238" s="127" t="str">
        <f t="shared" si="16"/>
        <v>40 DCMSHRIRAM</v>
      </c>
      <c r="V238" s="349">
        <f t="shared" si="17"/>
        <v>1.0700000000000003</v>
      </c>
      <c r="W238" s="350">
        <f t="shared" si="57"/>
        <v>2.8499893458342219E-5</v>
      </c>
      <c r="X238" s="351">
        <f t="shared" si="19"/>
        <v>0</v>
      </c>
      <c r="Y238" s="352">
        <f t="shared" si="20"/>
        <v>0</v>
      </c>
      <c r="Z238" s="353">
        <f t="shared" si="21"/>
        <v>1</v>
      </c>
      <c r="AA238" s="350">
        <f t="shared" si="22"/>
        <v>1.0456605028543731E-2</v>
      </c>
      <c r="AB238" s="120" t="s">
        <v>448</v>
      </c>
    </row>
    <row r="239" spans="1:28" ht="12.75" customHeight="1">
      <c r="A239" s="121" t="s">
        <v>575</v>
      </c>
      <c r="B239" s="120" t="s">
        <v>1112</v>
      </c>
      <c r="C239" s="343" t="s">
        <v>1113</v>
      </c>
      <c r="D239" s="344"/>
      <c r="E239" s="345" t="str">
        <f t="shared" si="50"/>
        <v/>
      </c>
      <c r="F239" s="121" t="s">
        <v>1107</v>
      </c>
      <c r="G239" s="121"/>
      <c r="H239" s="346">
        <f t="shared" si="51"/>
        <v>938.6</v>
      </c>
      <c r="I239" s="121">
        <v>20</v>
      </c>
      <c r="J239" s="346">
        <v>937.5</v>
      </c>
      <c r="K239" s="128">
        <v>18772</v>
      </c>
      <c r="L239" s="150">
        <v>44725</v>
      </c>
      <c r="M239" s="124">
        <f t="shared" si="14"/>
        <v>949</v>
      </c>
      <c r="N239" s="155">
        <v>950</v>
      </c>
      <c r="O239" s="347">
        <v>18980</v>
      </c>
      <c r="P239" s="120">
        <v>44726</v>
      </c>
      <c r="Q239" s="348">
        <v>44707</v>
      </c>
      <c r="R239" s="125">
        <v>0</v>
      </c>
      <c r="S239" s="125"/>
      <c r="T239" s="127">
        <f t="shared" si="56"/>
        <v>208</v>
      </c>
      <c r="U239" s="127" t="str">
        <f t="shared" si="16"/>
        <v>20 DCMSHRIRAM</v>
      </c>
      <c r="V239" s="349">
        <f t="shared" si="17"/>
        <v>208</v>
      </c>
      <c r="W239" s="350">
        <f t="shared" si="57"/>
        <v>1.1080332409972299E-2</v>
      </c>
      <c r="X239" s="351">
        <f t="shared" si="19"/>
        <v>0</v>
      </c>
      <c r="Y239" s="352">
        <f t="shared" si="20"/>
        <v>0</v>
      </c>
      <c r="Z239" s="353">
        <f t="shared" si="21"/>
        <v>1</v>
      </c>
      <c r="AA239" s="350">
        <f t="shared" si="22"/>
        <v>54.817043739424889</v>
      </c>
      <c r="AB239" s="120" t="s">
        <v>448</v>
      </c>
    </row>
    <row r="240" spans="1:28" ht="12.75" customHeight="1">
      <c r="A240" s="121" t="s">
        <v>575</v>
      </c>
      <c r="B240" s="120" t="s">
        <v>1112</v>
      </c>
      <c r="C240" s="343" t="s">
        <v>1113</v>
      </c>
      <c r="D240" s="344"/>
      <c r="E240" s="345" t="str">
        <f t="shared" si="50"/>
        <v/>
      </c>
      <c r="F240" s="121" t="s">
        <v>1107</v>
      </c>
      <c r="G240" s="121"/>
      <c r="H240" s="346">
        <f t="shared" si="51"/>
        <v>963.14</v>
      </c>
      <c r="I240" s="121">
        <v>50</v>
      </c>
      <c r="J240" s="346">
        <v>962</v>
      </c>
      <c r="K240" s="128">
        <v>48157</v>
      </c>
      <c r="L240" s="150">
        <v>44728</v>
      </c>
      <c r="M240" s="124">
        <f t="shared" si="14"/>
        <v>970</v>
      </c>
      <c r="N240" s="155">
        <v>971</v>
      </c>
      <c r="O240" s="347">
        <v>48500</v>
      </c>
      <c r="P240" s="120">
        <v>44729</v>
      </c>
      <c r="Q240" s="348">
        <v>44727</v>
      </c>
      <c r="R240" s="125">
        <v>0</v>
      </c>
      <c r="S240" s="125"/>
      <c r="T240" s="127">
        <f t="shared" si="56"/>
        <v>343</v>
      </c>
      <c r="U240" s="127" t="str">
        <f t="shared" si="16"/>
        <v>50 DCMSHRIRAM</v>
      </c>
      <c r="V240" s="349">
        <f t="shared" si="17"/>
        <v>343</v>
      </c>
      <c r="W240" s="350">
        <f t="shared" si="57"/>
        <v>7.1225367028677038E-3</v>
      </c>
      <c r="X240" s="351">
        <f t="shared" si="19"/>
        <v>0</v>
      </c>
      <c r="Y240" s="352">
        <f t="shared" si="20"/>
        <v>0</v>
      </c>
      <c r="Z240" s="353">
        <f t="shared" si="21"/>
        <v>1</v>
      </c>
      <c r="AA240" s="350">
        <f t="shared" si="22"/>
        <v>12.336588902147797</v>
      </c>
      <c r="AB240" s="120" t="s">
        <v>448</v>
      </c>
    </row>
    <row r="241" spans="1:28" ht="12.75" customHeight="1">
      <c r="A241" s="121" t="s">
        <v>575</v>
      </c>
      <c r="B241" s="120" t="s">
        <v>1112</v>
      </c>
      <c r="C241" s="343" t="s">
        <v>1113</v>
      </c>
      <c r="D241" s="344"/>
      <c r="E241" s="345" t="str">
        <f t="shared" si="50"/>
        <v/>
      </c>
      <c r="F241" s="121" t="s">
        <v>1107</v>
      </c>
      <c r="G241" s="121"/>
      <c r="H241" s="346">
        <f t="shared" si="51"/>
        <v>952.58</v>
      </c>
      <c r="I241" s="121">
        <v>100</v>
      </c>
      <c r="J241" s="346">
        <v>951.46</v>
      </c>
      <c r="K241" s="128">
        <v>95258</v>
      </c>
      <c r="L241" s="150">
        <v>44728</v>
      </c>
      <c r="M241" s="124">
        <f t="shared" si="14"/>
        <v>954.01</v>
      </c>
      <c r="N241" s="155">
        <v>955</v>
      </c>
      <c r="O241" s="347">
        <v>95401</v>
      </c>
      <c r="P241" s="120">
        <v>44729</v>
      </c>
      <c r="Q241" s="348">
        <v>44727</v>
      </c>
      <c r="R241" s="125">
        <v>15.93</v>
      </c>
      <c r="S241" s="125"/>
      <c r="T241" s="127">
        <f t="shared" si="56"/>
        <v>143</v>
      </c>
      <c r="U241" s="127" t="str">
        <f t="shared" si="16"/>
        <v>100 DCMSHRIRAM</v>
      </c>
      <c r="V241" s="349">
        <f t="shared" si="17"/>
        <v>127.07</v>
      </c>
      <c r="W241" s="350">
        <f t="shared" si="57"/>
        <v>1.3339562031535409E-3</v>
      </c>
      <c r="X241" s="351">
        <f t="shared" si="19"/>
        <v>0</v>
      </c>
      <c r="Y241" s="352">
        <f t="shared" si="20"/>
        <v>0</v>
      </c>
      <c r="Z241" s="353">
        <f t="shared" si="21"/>
        <v>1</v>
      </c>
      <c r="AA241" s="350">
        <f t="shared" si="22"/>
        <v>0.62672624250430675</v>
      </c>
      <c r="AB241" s="120" t="s">
        <v>448</v>
      </c>
    </row>
    <row r="242" spans="1:28" ht="12.75" customHeight="1">
      <c r="A242" s="121" t="s">
        <v>575</v>
      </c>
      <c r="B242" s="120" t="s">
        <v>1112</v>
      </c>
      <c r="C242" s="343" t="s">
        <v>1113</v>
      </c>
      <c r="D242" s="344"/>
      <c r="E242" s="345" t="str">
        <f t="shared" si="50"/>
        <v/>
      </c>
      <c r="F242" s="121" t="s">
        <v>1107</v>
      </c>
      <c r="G242" s="121"/>
      <c r="H242" s="346">
        <f t="shared" si="51"/>
        <v>949.86670000000004</v>
      </c>
      <c r="I242" s="121">
        <v>15</v>
      </c>
      <c r="J242" s="346">
        <v>948.77670000000001</v>
      </c>
      <c r="K242" s="128">
        <v>14248</v>
      </c>
      <c r="L242" s="150">
        <v>44728</v>
      </c>
      <c r="M242" s="124">
        <f t="shared" si="14"/>
        <v>961</v>
      </c>
      <c r="N242" s="155">
        <v>962</v>
      </c>
      <c r="O242" s="347">
        <v>14415</v>
      </c>
      <c r="P242" s="120">
        <v>44729</v>
      </c>
      <c r="Q242" s="348">
        <v>44727</v>
      </c>
      <c r="R242" s="125">
        <v>0</v>
      </c>
      <c r="S242" s="125"/>
      <c r="T242" s="127">
        <f t="shared" si="56"/>
        <v>167</v>
      </c>
      <c r="U242" s="127" t="str">
        <f t="shared" si="16"/>
        <v>15 DCMSHRIRAM</v>
      </c>
      <c r="V242" s="349">
        <f t="shared" si="17"/>
        <v>167</v>
      </c>
      <c r="W242" s="350">
        <f t="shared" si="57"/>
        <v>1.1720943290286357E-2</v>
      </c>
      <c r="X242" s="351">
        <f t="shared" si="19"/>
        <v>0</v>
      </c>
      <c r="Y242" s="352">
        <f t="shared" si="20"/>
        <v>0</v>
      </c>
      <c r="Z242" s="353">
        <f t="shared" si="21"/>
        <v>1</v>
      </c>
      <c r="AA242" s="350">
        <f t="shared" si="22"/>
        <v>69.334790499575433</v>
      </c>
      <c r="AB242" s="120" t="s">
        <v>448</v>
      </c>
    </row>
    <row r="243" spans="1:28" ht="12.75" customHeight="1">
      <c r="A243" s="121" t="s">
        <v>575</v>
      </c>
      <c r="B243" s="120" t="s">
        <v>1112</v>
      </c>
      <c r="C243" s="343" t="s">
        <v>1113</v>
      </c>
      <c r="D243" s="344"/>
      <c r="E243" s="345" t="str">
        <f t="shared" si="50"/>
        <v/>
      </c>
      <c r="F243" s="121" t="s">
        <v>1107</v>
      </c>
      <c r="G243" s="121"/>
      <c r="H243" s="346">
        <f t="shared" si="51"/>
        <v>952.11429999999996</v>
      </c>
      <c r="I243" s="121">
        <v>35</v>
      </c>
      <c r="J243" s="346">
        <v>951</v>
      </c>
      <c r="K243" s="128">
        <v>33324</v>
      </c>
      <c r="L243" s="150">
        <v>44741</v>
      </c>
      <c r="M243" s="124">
        <f t="shared" si="14"/>
        <v>961</v>
      </c>
      <c r="N243" s="155">
        <v>962</v>
      </c>
      <c r="O243" s="347">
        <v>33635</v>
      </c>
      <c r="P243" s="120">
        <v>44742</v>
      </c>
      <c r="Q243" s="348">
        <v>44727</v>
      </c>
      <c r="R243" s="125">
        <v>0</v>
      </c>
      <c r="S243" s="125"/>
      <c r="T243" s="127">
        <f t="shared" si="56"/>
        <v>311</v>
      </c>
      <c r="U243" s="127" t="str">
        <f t="shared" si="16"/>
        <v>35 DCMSHRIRAM</v>
      </c>
      <c r="V243" s="349">
        <f t="shared" si="17"/>
        <v>311</v>
      </c>
      <c r="W243" s="350">
        <f t="shared" si="57"/>
        <v>9.3326131316768691E-3</v>
      </c>
      <c r="X243" s="351">
        <f t="shared" si="19"/>
        <v>0</v>
      </c>
      <c r="Y243" s="352">
        <f t="shared" si="20"/>
        <v>0</v>
      </c>
      <c r="Z243" s="353">
        <f t="shared" si="21"/>
        <v>1</v>
      </c>
      <c r="AA243" s="350">
        <f t="shared" si="22"/>
        <v>28.683955417126629</v>
      </c>
      <c r="AB243" s="120" t="s">
        <v>448</v>
      </c>
    </row>
    <row r="244" spans="1:28" ht="12.75" customHeight="1">
      <c r="A244" s="121" t="s">
        <v>575</v>
      </c>
      <c r="B244" s="120" t="s">
        <v>1112</v>
      </c>
      <c r="C244" s="343" t="s">
        <v>1113</v>
      </c>
      <c r="D244" s="344"/>
      <c r="E244" s="345" t="str">
        <f t="shared" si="50"/>
        <v/>
      </c>
      <c r="F244" s="121" t="s">
        <v>1107</v>
      </c>
      <c r="G244" s="121"/>
      <c r="H244" s="346">
        <f t="shared" si="51"/>
        <v>952.36</v>
      </c>
      <c r="I244" s="121">
        <v>25</v>
      </c>
      <c r="J244" s="346">
        <v>951.25</v>
      </c>
      <c r="K244" s="128">
        <v>23809</v>
      </c>
      <c r="L244" s="150">
        <v>44746</v>
      </c>
      <c r="M244" s="124">
        <f t="shared" si="14"/>
        <v>954</v>
      </c>
      <c r="N244" s="155">
        <v>955</v>
      </c>
      <c r="O244" s="347">
        <v>23850</v>
      </c>
      <c r="P244" s="120">
        <v>44749</v>
      </c>
      <c r="Q244" s="348">
        <v>44747</v>
      </c>
      <c r="R244" s="125">
        <v>15.93</v>
      </c>
      <c r="S244" s="125"/>
      <c r="T244" s="127">
        <f t="shared" si="56"/>
        <v>41</v>
      </c>
      <c r="U244" s="127" t="str">
        <f t="shared" si="16"/>
        <v>25 DCMSHRIRAM</v>
      </c>
      <c r="V244" s="349">
        <f t="shared" si="17"/>
        <v>25.07</v>
      </c>
      <c r="W244" s="350">
        <f t="shared" si="57"/>
        <v>1.0529631651896342E-3</v>
      </c>
      <c r="X244" s="351">
        <f t="shared" si="19"/>
        <v>0</v>
      </c>
      <c r="Y244" s="352">
        <f t="shared" si="20"/>
        <v>0</v>
      </c>
      <c r="Z244" s="353">
        <f t="shared" si="21"/>
        <v>3</v>
      </c>
      <c r="AA244" s="350">
        <f t="shared" si="22"/>
        <v>0.13660200954625834</v>
      </c>
      <c r="AB244" s="120" t="s">
        <v>448</v>
      </c>
    </row>
    <row r="245" spans="1:28" ht="12.75" customHeight="1">
      <c r="A245" s="121" t="s">
        <v>575</v>
      </c>
      <c r="B245" s="120" t="s">
        <v>1112</v>
      </c>
      <c r="C245" s="343" t="s">
        <v>1113</v>
      </c>
      <c r="D245" s="344"/>
      <c r="E245" s="345" t="str">
        <f t="shared" si="50"/>
        <v/>
      </c>
      <c r="F245" s="121" t="s">
        <v>1107</v>
      </c>
      <c r="G245" s="121"/>
      <c r="H245" s="346">
        <f t="shared" si="51"/>
        <v>957.64</v>
      </c>
      <c r="I245" s="121">
        <v>50</v>
      </c>
      <c r="J245" s="346">
        <v>956.5</v>
      </c>
      <c r="K245" s="128">
        <v>47882</v>
      </c>
      <c r="L245" s="150">
        <v>44749</v>
      </c>
      <c r="M245" s="124">
        <f t="shared" si="14"/>
        <v>963.02</v>
      </c>
      <c r="N245" s="155">
        <v>964</v>
      </c>
      <c r="O245" s="347">
        <v>48151</v>
      </c>
      <c r="P245" s="120">
        <v>44750</v>
      </c>
      <c r="Q245" s="348">
        <v>44748</v>
      </c>
      <c r="R245" s="125">
        <v>15.93</v>
      </c>
      <c r="S245" s="125"/>
      <c r="T245" s="127">
        <f t="shared" si="56"/>
        <v>269</v>
      </c>
      <c r="U245" s="127" t="str">
        <f t="shared" si="16"/>
        <v>50 DCMSHRIRAM</v>
      </c>
      <c r="V245" s="349">
        <f t="shared" si="17"/>
        <v>253.07</v>
      </c>
      <c r="W245" s="350">
        <f t="shared" si="57"/>
        <v>5.285284658117873E-3</v>
      </c>
      <c r="X245" s="351">
        <f t="shared" si="19"/>
        <v>0</v>
      </c>
      <c r="Y245" s="352">
        <f t="shared" si="20"/>
        <v>0</v>
      </c>
      <c r="Z245" s="353">
        <f t="shared" si="21"/>
        <v>1</v>
      </c>
      <c r="AA245" s="350">
        <f t="shared" si="22"/>
        <v>5.848631111257057</v>
      </c>
      <c r="AB245" s="120" t="s">
        <v>448</v>
      </c>
    </row>
    <row r="246" spans="1:28" ht="12.75" customHeight="1">
      <c r="A246" s="121" t="s">
        <v>575</v>
      </c>
      <c r="B246" s="120" t="s">
        <v>1112</v>
      </c>
      <c r="C246" s="343" t="s">
        <v>1113</v>
      </c>
      <c r="D246" s="344"/>
      <c r="E246" s="345" t="str">
        <f t="shared" si="50"/>
        <v/>
      </c>
      <c r="F246" s="121" t="s">
        <v>1107</v>
      </c>
      <c r="G246" s="121"/>
      <c r="H246" s="346">
        <f t="shared" si="51"/>
        <v>952.46</v>
      </c>
      <c r="I246" s="121">
        <v>50</v>
      </c>
      <c r="J246" s="346">
        <v>951.34</v>
      </c>
      <c r="K246" s="128">
        <v>47623</v>
      </c>
      <c r="L246" s="150">
        <v>44750</v>
      </c>
      <c r="M246" s="124">
        <f t="shared" si="14"/>
        <v>958</v>
      </c>
      <c r="N246" s="155">
        <v>959</v>
      </c>
      <c r="O246" s="347">
        <v>47900</v>
      </c>
      <c r="P246" s="120">
        <v>44750</v>
      </c>
      <c r="Q246" s="348">
        <v>44748</v>
      </c>
      <c r="R246" s="125">
        <v>0</v>
      </c>
      <c r="S246" s="125"/>
      <c r="T246" s="127">
        <f t="shared" si="56"/>
        <v>277</v>
      </c>
      <c r="U246" s="127" t="str">
        <f t="shared" si="16"/>
        <v>50 DCMSHRIRAM</v>
      </c>
      <c r="V246" s="349">
        <f t="shared" si="17"/>
        <v>277</v>
      </c>
      <c r="W246" s="350">
        <f t="shared" si="57"/>
        <v>5.8165172290699872E-3</v>
      </c>
      <c r="X246" s="351">
        <f t="shared" si="19"/>
        <v>0</v>
      </c>
      <c r="Y246" s="352">
        <f t="shared" si="20"/>
        <v>0</v>
      </c>
      <c r="Z246" s="353">
        <f t="shared" si="21"/>
        <v>0</v>
      </c>
      <c r="AA246" s="350" t="str">
        <f t="shared" si="22"/>
        <v/>
      </c>
      <c r="AB246" s="120" t="s">
        <v>448</v>
      </c>
    </row>
    <row r="247" spans="1:28" ht="12.75" customHeight="1">
      <c r="A247" s="121" t="s">
        <v>575</v>
      </c>
      <c r="B247" s="120" t="s">
        <v>1112</v>
      </c>
      <c r="C247" s="343" t="s">
        <v>1113</v>
      </c>
      <c r="D247" s="344"/>
      <c r="E247" s="345" t="str">
        <f t="shared" si="50"/>
        <v/>
      </c>
      <c r="F247" s="121" t="s">
        <v>1107</v>
      </c>
      <c r="G247" s="121"/>
      <c r="H247" s="346">
        <f t="shared" si="51"/>
        <v>963.57780000000002</v>
      </c>
      <c r="I247" s="121">
        <v>90</v>
      </c>
      <c r="J247" s="346">
        <v>964.05550000000005</v>
      </c>
      <c r="K247" s="128">
        <f>86868-135-11</f>
        <v>86722</v>
      </c>
      <c r="L247" s="150">
        <v>44754</v>
      </c>
      <c r="M247" s="124">
        <f t="shared" si="14"/>
        <v>965.17780000000005</v>
      </c>
      <c r="N247" s="155">
        <v>966.17639999999994</v>
      </c>
      <c r="O247" s="347">
        <v>86866</v>
      </c>
      <c r="P247" s="120">
        <v>44755</v>
      </c>
      <c r="Q247" s="348">
        <v>44753</v>
      </c>
      <c r="R247" s="125">
        <v>0</v>
      </c>
      <c r="S247" s="125"/>
      <c r="T247" s="127">
        <f t="shared" si="56"/>
        <v>144</v>
      </c>
      <c r="U247" s="127" t="str">
        <f t="shared" si="16"/>
        <v>90 DCMSHRIRAM</v>
      </c>
      <c r="V247" s="127">
        <f t="shared" si="17"/>
        <v>144</v>
      </c>
      <c r="W247" s="350">
        <f t="shared" si="57"/>
        <v>1.6604783100020756E-3</v>
      </c>
      <c r="X247" s="397">
        <f t="shared" si="19"/>
        <v>0</v>
      </c>
      <c r="Y247" s="352">
        <f t="shared" si="20"/>
        <v>0</v>
      </c>
      <c r="Z247" s="353">
        <f t="shared" si="21"/>
        <v>1</v>
      </c>
      <c r="AA247" s="350">
        <f t="shared" si="22"/>
        <v>0.83229989798625459</v>
      </c>
      <c r="AB247" s="120" t="s">
        <v>448</v>
      </c>
    </row>
    <row r="248" spans="1:28" ht="12.75" customHeight="1">
      <c r="A248" s="121" t="s">
        <v>575</v>
      </c>
      <c r="B248" s="120" t="s">
        <v>1112</v>
      </c>
      <c r="C248" s="343" t="s">
        <v>1113</v>
      </c>
      <c r="D248" s="344"/>
      <c r="E248" s="345" t="str">
        <f t="shared" si="50"/>
        <v/>
      </c>
      <c r="F248" s="121" t="s">
        <v>1107</v>
      </c>
      <c r="G248" s="121"/>
      <c r="H248" s="346">
        <f t="shared" si="51"/>
        <v>983.52</v>
      </c>
      <c r="I248" s="121">
        <v>50</v>
      </c>
      <c r="J248" s="346">
        <v>982.35</v>
      </c>
      <c r="K248" s="128">
        <v>49176</v>
      </c>
      <c r="L248" s="150">
        <v>44721</v>
      </c>
      <c r="M248" s="124">
        <f t="shared" si="14"/>
        <v>994.7</v>
      </c>
      <c r="N248" s="155">
        <v>995</v>
      </c>
      <c r="O248" s="347">
        <f>49699+36</f>
        <v>49735</v>
      </c>
      <c r="P248" s="120">
        <v>44756</v>
      </c>
      <c r="Q248" s="348">
        <v>44754</v>
      </c>
      <c r="R248" s="125">
        <v>0</v>
      </c>
      <c r="S248" s="125"/>
      <c r="T248" s="127">
        <f t="shared" si="56"/>
        <v>559</v>
      </c>
      <c r="U248" s="127" t="str">
        <f t="shared" si="16"/>
        <v>50 DCMSHRIRAM</v>
      </c>
      <c r="V248" s="127">
        <f t="shared" si="17"/>
        <v>559</v>
      </c>
      <c r="W248" s="350">
        <f t="shared" si="57"/>
        <v>1.1367333658695298E-2</v>
      </c>
      <c r="X248" s="397">
        <f t="shared" si="19"/>
        <v>0</v>
      </c>
      <c r="Y248" s="352">
        <f t="shared" si="20"/>
        <v>1</v>
      </c>
      <c r="Z248" s="353">
        <f t="shared" si="21"/>
        <v>5</v>
      </c>
      <c r="AA248" s="350">
        <f t="shared" si="22"/>
        <v>0.12510497597656589</v>
      </c>
      <c r="AB248" s="120" t="s">
        <v>448</v>
      </c>
    </row>
    <row r="249" spans="1:28" ht="12.75" customHeight="1">
      <c r="A249" s="121" t="s">
        <v>575</v>
      </c>
      <c r="B249" s="120" t="s">
        <v>1112</v>
      </c>
      <c r="C249" s="343" t="s">
        <v>1113</v>
      </c>
      <c r="D249" s="344"/>
      <c r="E249" s="345" t="str">
        <f t="shared" si="50"/>
        <v/>
      </c>
      <c r="F249" s="121" t="s">
        <v>1107</v>
      </c>
      <c r="G249" s="121"/>
      <c r="H249" s="346">
        <f t="shared" si="51"/>
        <v>984.22</v>
      </c>
      <c r="I249" s="121">
        <v>50</v>
      </c>
      <c r="J249" s="346">
        <v>983.05</v>
      </c>
      <c r="K249" s="128">
        <v>49211</v>
      </c>
      <c r="L249" s="150">
        <v>44728</v>
      </c>
      <c r="M249" s="124">
        <f t="shared" si="14"/>
        <v>993.96</v>
      </c>
      <c r="N249" s="155">
        <v>995</v>
      </c>
      <c r="O249" s="347">
        <v>49698</v>
      </c>
      <c r="P249" s="120">
        <v>44756</v>
      </c>
      <c r="Q249" s="348">
        <v>44754</v>
      </c>
      <c r="R249" s="125">
        <v>15.93</v>
      </c>
      <c r="S249" s="125"/>
      <c r="T249" s="127">
        <f t="shared" si="56"/>
        <v>487</v>
      </c>
      <c r="U249" s="127" t="str">
        <f t="shared" si="16"/>
        <v>50 DCMSHRIRAM</v>
      </c>
      <c r="V249" s="349">
        <f t="shared" si="17"/>
        <v>471.07</v>
      </c>
      <c r="W249" s="350">
        <f t="shared" si="57"/>
        <v>9.5724533132836159E-3</v>
      </c>
      <c r="X249" s="351">
        <f t="shared" si="19"/>
        <v>0</v>
      </c>
      <c r="Y249" s="352">
        <f t="shared" si="20"/>
        <v>0</v>
      </c>
      <c r="Z249" s="353">
        <f t="shared" si="21"/>
        <v>28</v>
      </c>
      <c r="AA249" s="350">
        <f t="shared" si="22"/>
        <v>0.13223132232741652</v>
      </c>
      <c r="AB249" s="120" t="s">
        <v>448</v>
      </c>
    </row>
    <row r="250" spans="1:28" ht="12.75" customHeight="1">
      <c r="A250" s="121" t="s">
        <v>575</v>
      </c>
      <c r="B250" s="120" t="s">
        <v>1112</v>
      </c>
      <c r="C250" s="343" t="s">
        <v>1113</v>
      </c>
      <c r="D250" s="344"/>
      <c r="E250" s="345" t="str">
        <f t="shared" si="50"/>
        <v/>
      </c>
      <c r="F250" s="121" t="s">
        <v>1107</v>
      </c>
      <c r="G250" s="121"/>
      <c r="H250" s="346">
        <f t="shared" si="51"/>
        <v>981.66</v>
      </c>
      <c r="I250" s="121">
        <v>50</v>
      </c>
      <c r="J250" s="346">
        <v>980.5</v>
      </c>
      <c r="K250" s="128">
        <v>49083</v>
      </c>
      <c r="L250" s="150">
        <v>44754</v>
      </c>
      <c r="M250" s="124">
        <f t="shared" si="14"/>
        <v>989.98</v>
      </c>
      <c r="N250" s="155">
        <v>991</v>
      </c>
      <c r="O250" s="347">
        <v>49499</v>
      </c>
      <c r="P250" s="120">
        <v>44760</v>
      </c>
      <c r="Q250" s="348">
        <v>44757</v>
      </c>
      <c r="R250" s="125">
        <v>0</v>
      </c>
      <c r="S250" s="125"/>
      <c r="T250" s="127">
        <f t="shared" si="56"/>
        <v>416</v>
      </c>
      <c r="U250" s="127" t="str">
        <f t="shared" si="16"/>
        <v>50 DCMSHRIRAM</v>
      </c>
      <c r="V250" s="349">
        <f t="shared" si="17"/>
        <v>416</v>
      </c>
      <c r="W250" s="350">
        <f t="shared" si="57"/>
        <v>8.4754395615589916E-3</v>
      </c>
      <c r="X250" s="351">
        <f t="shared" si="19"/>
        <v>0</v>
      </c>
      <c r="Y250" s="352">
        <f t="shared" si="20"/>
        <v>0</v>
      </c>
      <c r="Z250" s="353">
        <f t="shared" si="21"/>
        <v>6</v>
      </c>
      <c r="AA250" s="350">
        <f t="shared" si="22"/>
        <v>0.6709905340919351</v>
      </c>
      <c r="AB250" s="120" t="s">
        <v>448</v>
      </c>
    </row>
    <row r="251" spans="1:28" ht="12.75" customHeight="1">
      <c r="A251" s="121" t="s">
        <v>575</v>
      </c>
      <c r="B251" s="120" t="s">
        <v>1112</v>
      </c>
      <c r="C251" s="343" t="s">
        <v>1113</v>
      </c>
      <c r="D251" s="344"/>
      <c r="E251" s="345" t="str">
        <f t="shared" si="50"/>
        <v/>
      </c>
      <c r="F251" s="121" t="s">
        <v>1107</v>
      </c>
      <c r="G251" s="121"/>
      <c r="H251" s="346">
        <f t="shared" si="51"/>
        <v>1011.96</v>
      </c>
      <c r="I251" s="121">
        <v>25</v>
      </c>
      <c r="J251" s="346">
        <v>1003.98</v>
      </c>
      <c r="K251" s="128">
        <v>25299</v>
      </c>
      <c r="L251" s="150">
        <v>44715</v>
      </c>
      <c r="M251" s="124">
        <f t="shared" si="14"/>
        <v>1016.96</v>
      </c>
      <c r="N251" s="155">
        <v>1018</v>
      </c>
      <c r="O251" s="347">
        <v>25424</v>
      </c>
      <c r="P251" s="120">
        <v>44760</v>
      </c>
      <c r="Q251" s="348">
        <v>44757</v>
      </c>
      <c r="R251" s="125">
        <v>0</v>
      </c>
      <c r="S251" s="125"/>
      <c r="T251" s="127">
        <f t="shared" si="56"/>
        <v>125</v>
      </c>
      <c r="U251" s="127" t="str">
        <f t="shared" si="16"/>
        <v>25 DCMSHRIRAM</v>
      </c>
      <c r="V251" s="349">
        <f t="shared" si="17"/>
        <v>125</v>
      </c>
      <c r="W251" s="350">
        <f t="shared" si="57"/>
        <v>4.9409067552077159E-3</v>
      </c>
      <c r="X251" s="351">
        <f t="shared" si="19"/>
        <v>0</v>
      </c>
      <c r="Y251" s="352">
        <f t="shared" si="20"/>
        <v>1</v>
      </c>
      <c r="Z251" s="353">
        <f t="shared" si="21"/>
        <v>15</v>
      </c>
      <c r="AA251" s="350">
        <f t="shared" si="22"/>
        <v>4.0787420853657386E-2</v>
      </c>
      <c r="AB251" s="120" t="s">
        <v>448</v>
      </c>
    </row>
    <row r="252" spans="1:28" ht="12.75" customHeight="1">
      <c r="A252" s="121" t="s">
        <v>575</v>
      </c>
      <c r="B252" s="120" t="s">
        <v>1112</v>
      </c>
      <c r="C252" s="343" t="s">
        <v>1113</v>
      </c>
      <c r="D252" s="344"/>
      <c r="E252" s="345" t="str">
        <f t="shared" si="50"/>
        <v/>
      </c>
      <c r="F252" s="121" t="s">
        <v>1107</v>
      </c>
      <c r="G252" s="121"/>
      <c r="H252" s="346">
        <f t="shared" si="51"/>
        <v>971.16669999999999</v>
      </c>
      <c r="I252" s="121">
        <v>12</v>
      </c>
      <c r="J252" s="346">
        <v>970</v>
      </c>
      <c r="K252" s="128">
        <v>11654</v>
      </c>
      <c r="L252" s="150">
        <v>44763</v>
      </c>
      <c r="M252" s="124">
        <f t="shared" si="14"/>
        <v>917.08330000000001</v>
      </c>
      <c r="N252" s="155">
        <v>918</v>
      </c>
      <c r="O252" s="347">
        <v>11005</v>
      </c>
      <c r="P252" s="120">
        <v>44764</v>
      </c>
      <c r="Q252" s="348">
        <v>44698</v>
      </c>
      <c r="R252" s="125">
        <v>0</v>
      </c>
      <c r="S252" s="125"/>
      <c r="T252" s="127">
        <f t="shared" si="56"/>
        <v>-649</v>
      </c>
      <c r="U252" s="127" t="str">
        <f t="shared" si="16"/>
        <v>12 DCMSHRIRAM</v>
      </c>
      <c r="V252" s="127">
        <f t="shared" si="17"/>
        <v>-649</v>
      </c>
      <c r="W252" s="350">
        <f t="shared" si="57"/>
        <v>-5.5689033808134544E-2</v>
      </c>
      <c r="X252" s="397">
        <f t="shared" si="19"/>
        <v>0</v>
      </c>
      <c r="Y252" s="352">
        <f t="shared" si="20"/>
        <v>0</v>
      </c>
      <c r="Z252" s="353">
        <f t="shared" si="21"/>
        <v>1</v>
      </c>
      <c r="AA252" s="350">
        <f t="shared" si="22"/>
        <v>-0.99999999917398663</v>
      </c>
      <c r="AB252" s="120" t="s">
        <v>448</v>
      </c>
    </row>
    <row r="253" spans="1:28" ht="12.75" customHeight="1">
      <c r="A253" s="121" t="s">
        <v>575</v>
      </c>
      <c r="B253" s="120" t="s">
        <v>1112</v>
      </c>
      <c r="C253" s="343" t="s">
        <v>1113</v>
      </c>
      <c r="D253" s="344"/>
      <c r="E253" s="345" t="str">
        <f t="shared" si="50"/>
        <v/>
      </c>
      <c r="F253" s="121" t="s">
        <v>1107</v>
      </c>
      <c r="G253" s="121"/>
      <c r="H253" s="346">
        <f t="shared" si="51"/>
        <v>971.14</v>
      </c>
      <c r="I253" s="121">
        <v>50</v>
      </c>
      <c r="J253" s="346">
        <v>970</v>
      </c>
      <c r="K253" s="128">
        <v>48557</v>
      </c>
      <c r="L253" s="150">
        <v>44763</v>
      </c>
      <c r="M253" s="124">
        <f t="shared" si="14"/>
        <v>946.02</v>
      </c>
      <c r="N253" s="155">
        <v>947</v>
      </c>
      <c r="O253" s="347">
        <v>47301</v>
      </c>
      <c r="P253" s="120">
        <v>44764</v>
      </c>
      <c r="Q253" s="348">
        <v>44739</v>
      </c>
      <c r="R253" s="125">
        <v>15.93</v>
      </c>
      <c r="S253" s="125"/>
      <c r="T253" s="127">
        <f t="shared" si="56"/>
        <v>-1256</v>
      </c>
      <c r="U253" s="127" t="str">
        <f t="shared" si="16"/>
        <v>50 DCMSHRIRAM</v>
      </c>
      <c r="V253" s="349">
        <f t="shared" si="17"/>
        <v>-1271.93</v>
      </c>
      <c r="W253" s="350">
        <f t="shared" si="57"/>
        <v>-2.619457544741232E-2</v>
      </c>
      <c r="X253" s="351">
        <f t="shared" si="19"/>
        <v>0</v>
      </c>
      <c r="Y253" s="352">
        <f t="shared" si="20"/>
        <v>0</v>
      </c>
      <c r="Z253" s="353">
        <f t="shared" si="21"/>
        <v>1</v>
      </c>
      <c r="AA253" s="350">
        <f t="shared" si="22"/>
        <v>-0.99993800607325989</v>
      </c>
      <c r="AB253" s="120" t="s">
        <v>448</v>
      </c>
    </row>
    <row r="254" spans="1:28" ht="12.75" customHeight="1">
      <c r="A254" s="121" t="s">
        <v>575</v>
      </c>
      <c r="B254" s="120" t="s">
        <v>1112</v>
      </c>
      <c r="C254" s="343" t="s">
        <v>1113</v>
      </c>
      <c r="D254" s="344"/>
      <c r="E254" s="345" t="str">
        <f t="shared" si="50"/>
        <v/>
      </c>
      <c r="F254" s="121" t="s">
        <v>1107</v>
      </c>
      <c r="G254" s="121"/>
      <c r="H254" s="346">
        <f t="shared" si="51"/>
        <v>971.15790000000004</v>
      </c>
      <c r="I254" s="121">
        <v>38</v>
      </c>
      <c r="J254" s="346">
        <v>970</v>
      </c>
      <c r="K254" s="128">
        <v>36904</v>
      </c>
      <c r="L254" s="150">
        <v>44763</v>
      </c>
      <c r="M254" s="124">
        <f t="shared" si="14"/>
        <v>945.52629999999999</v>
      </c>
      <c r="N254" s="155">
        <v>946.5</v>
      </c>
      <c r="O254" s="347">
        <v>35930</v>
      </c>
      <c r="P254" s="120">
        <v>44764</v>
      </c>
      <c r="Q254" s="348">
        <v>44743</v>
      </c>
      <c r="R254" s="125">
        <v>15.93</v>
      </c>
      <c r="S254" s="125"/>
      <c r="T254" s="127">
        <f t="shared" si="56"/>
        <v>-974</v>
      </c>
      <c r="U254" s="127" t="str">
        <f t="shared" si="16"/>
        <v>38 DCMSHRIRAM</v>
      </c>
      <c r="V254" s="349">
        <f t="shared" si="17"/>
        <v>-989.93</v>
      </c>
      <c r="W254" s="350">
        <f t="shared" si="57"/>
        <v>-2.6824463472794276E-2</v>
      </c>
      <c r="X254" s="351">
        <f t="shared" si="19"/>
        <v>0</v>
      </c>
      <c r="Y254" s="352">
        <f t="shared" si="20"/>
        <v>0</v>
      </c>
      <c r="Z254" s="353">
        <f t="shared" si="21"/>
        <v>1</v>
      </c>
      <c r="AA254" s="350">
        <f t="shared" si="22"/>
        <v>-0.99995104671201829</v>
      </c>
      <c r="AB254" s="120" t="s">
        <v>448</v>
      </c>
    </row>
    <row r="255" spans="1:28" ht="12.75" customHeight="1">
      <c r="A255" s="121" t="s">
        <v>575</v>
      </c>
      <c r="B255" s="120" t="s">
        <v>1112</v>
      </c>
      <c r="C255" s="343" t="s">
        <v>1113</v>
      </c>
      <c r="D255" s="344"/>
      <c r="E255" s="345" t="str">
        <f t="shared" si="50"/>
        <v/>
      </c>
      <c r="F255" s="121" t="s">
        <v>1107</v>
      </c>
      <c r="G255" s="121"/>
      <c r="H255" s="346">
        <f t="shared" si="51"/>
        <v>971.14</v>
      </c>
      <c r="I255" s="121">
        <v>50</v>
      </c>
      <c r="J255" s="346">
        <v>970</v>
      </c>
      <c r="K255" s="128">
        <v>48557</v>
      </c>
      <c r="L255" s="150">
        <v>44763</v>
      </c>
      <c r="M255" s="124">
        <f t="shared" si="14"/>
        <v>965.18</v>
      </c>
      <c r="N255" s="155">
        <v>966.17639999999994</v>
      </c>
      <c r="O255" s="347">
        <v>48259</v>
      </c>
      <c r="P255" s="120">
        <v>44764</v>
      </c>
      <c r="Q255" s="348">
        <v>44753</v>
      </c>
      <c r="R255" s="125">
        <v>15.93</v>
      </c>
      <c r="S255" s="125"/>
      <c r="T255" s="127">
        <f t="shared" si="56"/>
        <v>-298</v>
      </c>
      <c r="U255" s="127" t="str">
        <f t="shared" si="16"/>
        <v>50 DCMSHRIRAM</v>
      </c>
      <c r="V255" s="127">
        <f t="shared" si="17"/>
        <v>-313.93</v>
      </c>
      <c r="W255" s="350">
        <f t="shared" si="57"/>
        <v>-6.4651852462054909E-3</v>
      </c>
      <c r="X255" s="397">
        <f t="shared" si="19"/>
        <v>0</v>
      </c>
      <c r="Y255" s="352">
        <f t="shared" si="20"/>
        <v>0</v>
      </c>
      <c r="Z255" s="353">
        <f t="shared" si="21"/>
        <v>1</v>
      </c>
      <c r="AA255" s="350">
        <f t="shared" si="22"/>
        <v>-0.90628095937555031</v>
      </c>
      <c r="AB255" s="120" t="s">
        <v>448</v>
      </c>
    </row>
    <row r="256" spans="1:28" ht="12.75" customHeight="1">
      <c r="A256" s="121" t="s">
        <v>575</v>
      </c>
      <c r="B256" s="120" t="s">
        <v>1112</v>
      </c>
      <c r="C256" s="343" t="s">
        <v>1113</v>
      </c>
      <c r="D256" s="344"/>
      <c r="E256" s="345" t="str">
        <f t="shared" si="50"/>
        <v/>
      </c>
      <c r="F256" s="121" t="s">
        <v>1107</v>
      </c>
      <c r="G256" s="121"/>
      <c r="H256" s="346">
        <f t="shared" si="51"/>
        <v>971.15</v>
      </c>
      <c r="I256" s="121">
        <v>200</v>
      </c>
      <c r="J256" s="346">
        <v>970</v>
      </c>
      <c r="K256" s="128">
        <v>194230</v>
      </c>
      <c r="L256" s="150">
        <v>44763</v>
      </c>
      <c r="M256" s="124">
        <f t="shared" si="14"/>
        <v>989.78499999999997</v>
      </c>
      <c r="N256" s="155">
        <v>990.8125</v>
      </c>
      <c r="O256" s="347">
        <v>197957</v>
      </c>
      <c r="P256" s="120">
        <v>44764</v>
      </c>
      <c r="Q256" s="348">
        <v>44757</v>
      </c>
      <c r="R256" s="125">
        <v>15.93</v>
      </c>
      <c r="S256" s="125"/>
      <c r="T256" s="127">
        <f t="shared" si="56"/>
        <v>3727</v>
      </c>
      <c r="U256" s="127" t="str">
        <f t="shared" si="16"/>
        <v>200 DCMSHRIRAM</v>
      </c>
      <c r="V256" s="127">
        <f t="shared" si="17"/>
        <v>3711.07</v>
      </c>
      <c r="W256" s="350">
        <f t="shared" si="57"/>
        <v>1.9106574679503684E-2</v>
      </c>
      <c r="X256" s="397">
        <f t="shared" si="19"/>
        <v>0</v>
      </c>
      <c r="Y256" s="352">
        <f t="shared" si="20"/>
        <v>0</v>
      </c>
      <c r="Z256" s="353">
        <f t="shared" si="21"/>
        <v>1</v>
      </c>
      <c r="AA256" s="350">
        <f t="shared" si="22"/>
        <v>999.35753017571778</v>
      </c>
      <c r="AB256" s="120" t="s">
        <v>448</v>
      </c>
    </row>
    <row r="257" spans="1:28" ht="12.75" customHeight="1">
      <c r="A257" s="121" t="s">
        <v>575</v>
      </c>
      <c r="B257" s="120" t="s">
        <v>1112</v>
      </c>
      <c r="C257" s="343" t="s">
        <v>1113</v>
      </c>
      <c r="D257" s="344"/>
      <c r="E257" s="345" t="str">
        <f t="shared" si="50"/>
        <v/>
      </c>
      <c r="F257" s="121" t="s">
        <v>1107</v>
      </c>
      <c r="G257" s="121"/>
      <c r="H257" s="346">
        <f t="shared" si="51"/>
        <v>971.06899999999996</v>
      </c>
      <c r="I257" s="121">
        <v>58</v>
      </c>
      <c r="J257" s="346">
        <v>969.92070000000001</v>
      </c>
      <c r="K257" s="128">
        <v>56322</v>
      </c>
      <c r="L257" s="150">
        <v>44763</v>
      </c>
      <c r="M257" s="124">
        <f t="shared" si="14"/>
        <v>975.4828</v>
      </c>
      <c r="N257" s="155">
        <v>976.5</v>
      </c>
      <c r="O257" s="347">
        <v>56578</v>
      </c>
      <c r="P257" s="120">
        <v>44768</v>
      </c>
      <c r="Q257" s="348">
        <v>44764</v>
      </c>
      <c r="R257" s="125">
        <v>15.93</v>
      </c>
      <c r="S257" s="125"/>
      <c r="T257" s="127">
        <f t="shared" si="56"/>
        <v>256</v>
      </c>
      <c r="U257" s="127" t="str">
        <f t="shared" si="16"/>
        <v>58 DCMSHRIRAM</v>
      </c>
      <c r="V257" s="349">
        <f t="shared" si="17"/>
        <v>240.07</v>
      </c>
      <c r="W257" s="350">
        <f t="shared" si="57"/>
        <v>4.2624551684954364E-3</v>
      </c>
      <c r="X257" s="351">
        <f t="shared" si="19"/>
        <v>0</v>
      </c>
      <c r="Y257" s="352">
        <f t="shared" si="20"/>
        <v>0</v>
      </c>
      <c r="Z257" s="353">
        <f t="shared" si="21"/>
        <v>5</v>
      </c>
      <c r="AA257" s="350">
        <f t="shared" si="22"/>
        <v>0.36410420700789081</v>
      </c>
      <c r="AB257" s="120" t="s">
        <v>448</v>
      </c>
    </row>
    <row r="258" spans="1:28" ht="12.75" customHeight="1">
      <c r="A258" s="121" t="s">
        <v>575</v>
      </c>
      <c r="B258" s="120" t="s">
        <v>1112</v>
      </c>
      <c r="C258" s="343" t="s">
        <v>1113</v>
      </c>
      <c r="D258" s="344"/>
      <c r="E258" s="345" t="str">
        <f t="shared" si="50"/>
        <v/>
      </c>
      <c r="F258" s="121" t="s">
        <v>1107</v>
      </c>
      <c r="G258" s="121"/>
      <c r="H258" s="346">
        <f t="shared" si="51"/>
        <v>962.35</v>
      </c>
      <c r="I258" s="121">
        <v>40</v>
      </c>
      <c r="J258" s="346">
        <v>961.21879999999999</v>
      </c>
      <c r="K258" s="128">
        <v>38494</v>
      </c>
      <c r="L258" s="150">
        <v>44768</v>
      </c>
      <c r="M258" s="124">
        <f t="shared" si="14"/>
        <v>978</v>
      </c>
      <c r="N258" s="155">
        <v>979</v>
      </c>
      <c r="O258" s="347">
        <v>39120</v>
      </c>
      <c r="P258" s="120">
        <v>44774</v>
      </c>
      <c r="Q258" s="348">
        <v>44771</v>
      </c>
      <c r="R258" s="125">
        <v>15.93</v>
      </c>
      <c r="S258" s="125"/>
      <c r="T258" s="127">
        <f t="shared" si="56"/>
        <v>626</v>
      </c>
      <c r="U258" s="127" t="str">
        <f t="shared" si="16"/>
        <v>40 DCMSHRIRAM</v>
      </c>
      <c r="V258" s="349">
        <f t="shared" si="17"/>
        <v>610.07000000000005</v>
      </c>
      <c r="W258" s="350">
        <f t="shared" si="57"/>
        <v>1.5848443913337146E-2</v>
      </c>
      <c r="X258" s="351">
        <f t="shared" si="19"/>
        <v>0</v>
      </c>
      <c r="Y258" s="352">
        <f t="shared" si="20"/>
        <v>0</v>
      </c>
      <c r="Z258" s="353">
        <f t="shared" si="21"/>
        <v>6</v>
      </c>
      <c r="AA258" s="350">
        <f t="shared" si="22"/>
        <v>1.6027109972306377</v>
      </c>
      <c r="AB258" s="120" t="s">
        <v>448</v>
      </c>
    </row>
    <row r="259" spans="1:28" ht="12.75" customHeight="1">
      <c r="A259" s="121" t="s">
        <v>575</v>
      </c>
      <c r="B259" s="120" t="s">
        <v>1112</v>
      </c>
      <c r="C259" s="343" t="s">
        <v>1113</v>
      </c>
      <c r="D259" s="344"/>
      <c r="E259" s="345" t="str">
        <f t="shared" si="50"/>
        <v/>
      </c>
      <c r="F259" s="121" t="s">
        <v>1107</v>
      </c>
      <c r="G259" s="121"/>
      <c r="H259" s="346">
        <f t="shared" si="51"/>
        <v>1011.96</v>
      </c>
      <c r="I259" s="121">
        <v>75</v>
      </c>
      <c r="J259" s="346">
        <v>1013.02</v>
      </c>
      <c r="K259" s="128">
        <v>75897</v>
      </c>
      <c r="L259" s="150">
        <v>44715</v>
      </c>
      <c r="M259" s="124">
        <f t="shared" si="14"/>
        <v>1038.3867</v>
      </c>
      <c r="N259" s="155">
        <v>1039.4659999999999</v>
      </c>
      <c r="O259" s="347">
        <v>77879</v>
      </c>
      <c r="P259" s="120">
        <v>44781</v>
      </c>
      <c r="Q259" s="348">
        <v>44777</v>
      </c>
      <c r="R259" s="125">
        <v>0</v>
      </c>
      <c r="S259" s="125"/>
      <c r="T259" s="127">
        <f t="shared" si="56"/>
        <v>1982</v>
      </c>
      <c r="U259" s="127" t="str">
        <f t="shared" si="16"/>
        <v>75 DCMSHRIRAM</v>
      </c>
      <c r="V259" s="349">
        <f t="shared" si="17"/>
        <v>1982</v>
      </c>
      <c r="W259" s="350">
        <f t="shared" si="57"/>
        <v>2.6114339170191181E-2</v>
      </c>
      <c r="X259" s="351">
        <f t="shared" si="19"/>
        <v>0</v>
      </c>
      <c r="Y259" s="352">
        <f t="shared" si="20"/>
        <v>2</v>
      </c>
      <c r="Z259" s="353">
        <f t="shared" si="21"/>
        <v>5</v>
      </c>
      <c r="AA259" s="350">
        <f t="shared" si="22"/>
        <v>0.15322998681853806</v>
      </c>
      <c r="AB259" s="120" t="s">
        <v>448</v>
      </c>
    </row>
    <row r="260" spans="1:28" ht="12.75" customHeight="1">
      <c r="A260" s="121" t="s">
        <v>575</v>
      </c>
      <c r="B260" s="120" t="s">
        <v>1112</v>
      </c>
      <c r="C260" s="343" t="s">
        <v>1113</v>
      </c>
      <c r="D260" s="344"/>
      <c r="E260" s="345" t="str">
        <f t="shared" si="50"/>
        <v/>
      </c>
      <c r="F260" s="121" t="s">
        <v>1107</v>
      </c>
      <c r="G260" s="121"/>
      <c r="H260" s="346">
        <f t="shared" si="51"/>
        <v>1019.3</v>
      </c>
      <c r="I260" s="121">
        <v>30</v>
      </c>
      <c r="J260" s="346">
        <v>1018.1</v>
      </c>
      <c r="K260" s="128">
        <v>30579</v>
      </c>
      <c r="L260" s="150">
        <v>44760</v>
      </c>
      <c r="M260" s="124">
        <f t="shared" si="14"/>
        <v>1047.7333000000001</v>
      </c>
      <c r="N260" s="155">
        <v>1048.8333</v>
      </c>
      <c r="O260" s="347">
        <v>31432</v>
      </c>
      <c r="P260" s="120">
        <v>44781</v>
      </c>
      <c r="Q260" s="348">
        <v>44777</v>
      </c>
      <c r="R260" s="125">
        <v>0</v>
      </c>
      <c r="S260" s="125"/>
      <c r="T260" s="127">
        <f t="shared" si="56"/>
        <v>853</v>
      </c>
      <c r="U260" s="127" t="str">
        <f t="shared" si="16"/>
        <v>30 DCMSHRIRAM</v>
      </c>
      <c r="V260" s="349">
        <f t="shared" si="17"/>
        <v>853</v>
      </c>
      <c r="W260" s="350">
        <f t="shared" si="57"/>
        <v>2.7894960593871612E-2</v>
      </c>
      <c r="X260" s="351">
        <f t="shared" si="19"/>
        <v>0</v>
      </c>
      <c r="Y260" s="352">
        <f t="shared" si="20"/>
        <v>0</v>
      </c>
      <c r="Z260" s="353">
        <f t="shared" si="21"/>
        <v>21</v>
      </c>
      <c r="AA260" s="350">
        <f t="shared" si="22"/>
        <v>0.61317107614320432</v>
      </c>
      <c r="AB260" s="120" t="s">
        <v>448</v>
      </c>
    </row>
    <row r="261" spans="1:28" ht="12.75" customHeight="1">
      <c r="A261" s="121" t="s">
        <v>575</v>
      </c>
      <c r="B261" s="120" t="s">
        <v>1112</v>
      </c>
      <c r="C261" s="343" t="s">
        <v>1113</v>
      </c>
      <c r="D261" s="344"/>
      <c r="E261" s="345" t="str">
        <f t="shared" si="50"/>
        <v/>
      </c>
      <c r="F261" s="121" t="s">
        <v>1107</v>
      </c>
      <c r="G261" s="121"/>
      <c r="H261" s="346">
        <f t="shared" si="51"/>
        <v>1012.2</v>
      </c>
      <c r="I261" s="121">
        <v>125</v>
      </c>
      <c r="J261" s="346">
        <v>1011</v>
      </c>
      <c r="K261" s="128">
        <v>126525</v>
      </c>
      <c r="L261" s="150">
        <v>44783</v>
      </c>
      <c r="M261" s="124">
        <f t="shared" si="14"/>
        <v>1019.552</v>
      </c>
      <c r="N261" s="155">
        <v>1020.6</v>
      </c>
      <c r="O261" s="347">
        <v>127444</v>
      </c>
      <c r="P261" s="120">
        <v>44784</v>
      </c>
      <c r="Q261" s="348">
        <v>44777</v>
      </c>
      <c r="R261" s="125">
        <v>15.93</v>
      </c>
      <c r="S261" s="125"/>
      <c r="T261" s="127">
        <f t="shared" si="56"/>
        <v>919</v>
      </c>
      <c r="U261" s="127" t="str">
        <f t="shared" si="16"/>
        <v>125 DCMSHRIRAM</v>
      </c>
      <c r="V261" s="349">
        <f t="shared" si="17"/>
        <v>903.07</v>
      </c>
      <c r="W261" s="350">
        <f t="shared" si="57"/>
        <v>7.1374827109266948E-3</v>
      </c>
      <c r="X261" s="351">
        <f t="shared" si="19"/>
        <v>0</v>
      </c>
      <c r="Y261" s="352">
        <f t="shared" si="20"/>
        <v>0</v>
      </c>
      <c r="Z261" s="353">
        <f t="shared" si="21"/>
        <v>1</v>
      </c>
      <c r="AA261" s="350">
        <f t="shared" si="22"/>
        <v>12.409024833797384</v>
      </c>
      <c r="AB261" s="120" t="s">
        <v>448</v>
      </c>
    </row>
    <row r="262" spans="1:28" ht="12.75" customHeight="1">
      <c r="A262" s="121" t="s">
        <v>575</v>
      </c>
      <c r="B262" s="120" t="s">
        <v>1112</v>
      </c>
      <c r="C262" s="343" t="s">
        <v>1113</v>
      </c>
      <c r="D262" s="344"/>
      <c r="E262" s="345" t="str">
        <f t="shared" si="50"/>
        <v/>
      </c>
      <c r="F262" s="121" t="s">
        <v>1107</v>
      </c>
      <c r="G262" s="121"/>
      <c r="H262" s="346">
        <f t="shared" si="51"/>
        <v>1021.96</v>
      </c>
      <c r="I262" s="121">
        <v>200</v>
      </c>
      <c r="J262" s="346">
        <v>1020.75</v>
      </c>
      <c r="K262" s="128">
        <v>204392</v>
      </c>
      <c r="L262" s="150">
        <v>44795</v>
      </c>
      <c r="M262" s="124">
        <f t="shared" si="14"/>
        <v>990</v>
      </c>
      <c r="N262" s="155">
        <v>991.02729999999997</v>
      </c>
      <c r="O262" s="347">
        <v>198000</v>
      </c>
      <c r="P262" s="120">
        <v>44796</v>
      </c>
      <c r="Q262" s="348">
        <v>44771</v>
      </c>
      <c r="R262" s="125">
        <v>0</v>
      </c>
      <c r="S262" s="125"/>
      <c r="T262" s="127">
        <f t="shared" si="56"/>
        <v>-6392</v>
      </c>
      <c r="U262" s="127" t="str">
        <f t="shared" si="16"/>
        <v>200 DCMSHRIRAM</v>
      </c>
      <c r="V262" s="349">
        <f t="shared" si="17"/>
        <v>-6392</v>
      </c>
      <c r="W262" s="350">
        <f t="shared" si="57"/>
        <v>-3.1273239657129435E-2</v>
      </c>
      <c r="X262" s="351">
        <f t="shared" si="19"/>
        <v>0</v>
      </c>
      <c r="Y262" s="352">
        <f t="shared" si="20"/>
        <v>0</v>
      </c>
      <c r="Z262" s="353">
        <f t="shared" si="21"/>
        <v>1</v>
      </c>
      <c r="AA262" s="350">
        <f t="shared" si="22"/>
        <v>-0.99999080665856421</v>
      </c>
      <c r="AB262" s="120" t="s">
        <v>448</v>
      </c>
    </row>
    <row r="263" spans="1:28" ht="12.75" customHeight="1">
      <c r="A263" s="121" t="s">
        <v>575</v>
      </c>
      <c r="B263" s="120" t="s">
        <v>1112</v>
      </c>
      <c r="C263" s="343" t="s">
        <v>1113</v>
      </c>
      <c r="D263" s="344"/>
      <c r="E263" s="345" t="str">
        <f t="shared" si="50"/>
        <v/>
      </c>
      <c r="F263" s="121" t="s">
        <v>1107</v>
      </c>
      <c r="G263" s="121"/>
      <c r="H263" s="346">
        <f t="shared" si="51"/>
        <v>1021.9556</v>
      </c>
      <c r="I263" s="121">
        <v>225</v>
      </c>
      <c r="J263" s="346">
        <v>1020.75</v>
      </c>
      <c r="K263" s="128">
        <v>229940</v>
      </c>
      <c r="L263" s="150">
        <v>44795</v>
      </c>
      <c r="M263" s="124">
        <f t="shared" si="14"/>
        <v>1060.4356</v>
      </c>
      <c r="N263" s="155">
        <v>1061.5333000000001</v>
      </c>
      <c r="O263" s="347">
        <v>238598</v>
      </c>
      <c r="P263" s="120">
        <v>44796</v>
      </c>
      <c r="Q263" s="348">
        <v>44789</v>
      </c>
      <c r="R263" s="125">
        <v>15.93</v>
      </c>
      <c r="S263" s="125"/>
      <c r="T263" s="127">
        <f t="shared" si="56"/>
        <v>8658</v>
      </c>
      <c r="U263" s="127" t="str">
        <f t="shared" si="16"/>
        <v>225 DCMSHRIRAM</v>
      </c>
      <c r="V263" s="349">
        <f t="shared" si="17"/>
        <v>8642.07</v>
      </c>
      <c r="W263" s="350">
        <f t="shared" si="57"/>
        <v>3.7584021918761416E-2</v>
      </c>
      <c r="X263" s="351">
        <f t="shared" si="19"/>
        <v>0</v>
      </c>
      <c r="Y263" s="352">
        <f t="shared" si="20"/>
        <v>0</v>
      </c>
      <c r="Z263" s="353">
        <f t="shared" si="21"/>
        <v>1</v>
      </c>
      <c r="AA263" s="350">
        <f t="shared" si="22"/>
        <v>705496.50327534776</v>
      </c>
      <c r="AB263" s="120" t="s">
        <v>448</v>
      </c>
    </row>
    <row r="264" spans="1:28" ht="12.75" customHeight="1">
      <c r="A264" s="121" t="s">
        <v>575</v>
      </c>
      <c r="B264" s="120" t="s">
        <v>1112</v>
      </c>
      <c r="C264" s="343" t="s">
        <v>1113</v>
      </c>
      <c r="D264" s="344"/>
      <c r="E264" s="345" t="str">
        <f t="shared" si="50"/>
        <v/>
      </c>
      <c r="F264" s="121" t="s">
        <v>1107</v>
      </c>
      <c r="G264" s="121"/>
      <c r="H264" s="346">
        <f t="shared" si="51"/>
        <v>1021.8</v>
      </c>
      <c r="I264" s="121">
        <v>5</v>
      </c>
      <c r="J264" s="346">
        <v>1020.55</v>
      </c>
      <c r="K264" s="128">
        <v>5109</v>
      </c>
      <c r="L264" s="150">
        <v>44795</v>
      </c>
      <c r="M264" s="124">
        <f t="shared" si="14"/>
        <v>1054</v>
      </c>
      <c r="N264" s="155">
        <v>1055</v>
      </c>
      <c r="O264" s="347">
        <v>5270</v>
      </c>
      <c r="P264" s="120">
        <v>44811</v>
      </c>
      <c r="Q264" s="348">
        <v>44809</v>
      </c>
      <c r="R264" s="125">
        <v>0</v>
      </c>
      <c r="S264" s="125"/>
      <c r="T264" s="127">
        <f t="shared" si="56"/>
        <v>161</v>
      </c>
      <c r="U264" s="127" t="str">
        <f t="shared" si="16"/>
        <v>5 DCMSHRIRAM</v>
      </c>
      <c r="V264" s="349">
        <f t="shared" si="17"/>
        <v>161</v>
      </c>
      <c r="W264" s="350">
        <f t="shared" si="57"/>
        <v>3.1513016245840672E-2</v>
      </c>
      <c r="X264" s="351">
        <f t="shared" si="19"/>
        <v>0</v>
      </c>
      <c r="Y264" s="352">
        <f t="shared" si="20"/>
        <v>0</v>
      </c>
      <c r="Z264" s="353">
        <f t="shared" si="21"/>
        <v>16</v>
      </c>
      <c r="AA264" s="350">
        <f t="shared" si="22"/>
        <v>1.0295131966045425</v>
      </c>
      <c r="AB264" s="120" t="s">
        <v>448</v>
      </c>
    </row>
    <row r="265" spans="1:28" ht="12.75" customHeight="1">
      <c r="A265" s="121" t="s">
        <v>575</v>
      </c>
      <c r="B265" s="120" t="s">
        <v>1112</v>
      </c>
      <c r="C265" s="343" t="s">
        <v>1113</v>
      </c>
      <c r="D265" s="344"/>
      <c r="E265" s="345" t="str">
        <f t="shared" si="50"/>
        <v/>
      </c>
      <c r="F265" s="121" t="s">
        <v>1107</v>
      </c>
      <c r="G265" s="121"/>
      <c r="H265" s="346">
        <f t="shared" si="51"/>
        <v>1003.64</v>
      </c>
      <c r="I265" s="121">
        <v>50</v>
      </c>
      <c r="J265" s="346">
        <v>1002.45</v>
      </c>
      <c r="K265" s="128">
        <v>50182</v>
      </c>
      <c r="L265" s="150">
        <v>44796</v>
      </c>
      <c r="M265" s="124">
        <f t="shared" si="14"/>
        <v>1053.9000000000001</v>
      </c>
      <c r="N265" s="155">
        <v>1055</v>
      </c>
      <c r="O265" s="347">
        <v>52695</v>
      </c>
      <c r="P265" s="120">
        <v>44811</v>
      </c>
      <c r="Q265" s="348">
        <v>44809</v>
      </c>
      <c r="R265" s="125">
        <v>15.93</v>
      </c>
      <c r="S265" s="125"/>
      <c r="T265" s="127">
        <f t="shared" si="56"/>
        <v>2513</v>
      </c>
      <c r="U265" s="127" t="str">
        <f t="shared" si="16"/>
        <v>50 DCMSHRIRAM</v>
      </c>
      <c r="V265" s="349">
        <f t="shared" si="17"/>
        <v>2497.0700000000002</v>
      </c>
      <c r="W265" s="350">
        <f t="shared" si="57"/>
        <v>4.9760272607707948E-2</v>
      </c>
      <c r="X265" s="351">
        <f t="shared" si="19"/>
        <v>0</v>
      </c>
      <c r="Y265" s="352">
        <f t="shared" si="20"/>
        <v>0</v>
      </c>
      <c r="Z265" s="353">
        <f t="shared" si="21"/>
        <v>15</v>
      </c>
      <c r="AA265" s="350">
        <f t="shared" si="22"/>
        <v>2.2598171558294347</v>
      </c>
      <c r="AB265" s="120" t="s">
        <v>448</v>
      </c>
    </row>
    <row r="266" spans="1:28" ht="12.75" customHeight="1">
      <c r="A266" s="121" t="s">
        <v>575</v>
      </c>
      <c r="B266" s="120" t="s">
        <v>1112</v>
      </c>
      <c r="C266" s="343" t="s">
        <v>1113</v>
      </c>
      <c r="D266" s="344"/>
      <c r="E266" s="345" t="str">
        <f t="shared" si="50"/>
        <v/>
      </c>
      <c r="F266" s="121" t="s">
        <v>1107</v>
      </c>
      <c r="G266" s="121"/>
      <c r="H266" s="346">
        <f t="shared" si="51"/>
        <v>1027.25</v>
      </c>
      <c r="I266" s="121">
        <v>8</v>
      </c>
      <c r="J266" s="346">
        <v>1026</v>
      </c>
      <c r="K266" s="128">
        <v>8218</v>
      </c>
      <c r="L266" s="150">
        <v>44803</v>
      </c>
      <c r="M266" s="124">
        <f t="shared" si="14"/>
        <v>1053.875</v>
      </c>
      <c r="N266" s="155">
        <v>1055</v>
      </c>
      <c r="O266" s="347">
        <v>8431</v>
      </c>
      <c r="P266" s="120">
        <v>44811</v>
      </c>
      <c r="Q266" s="348">
        <v>44809</v>
      </c>
      <c r="R266" s="125">
        <v>0</v>
      </c>
      <c r="S266" s="125"/>
      <c r="T266" s="127">
        <f t="shared" si="56"/>
        <v>213</v>
      </c>
      <c r="U266" s="127" t="str">
        <f t="shared" si="16"/>
        <v>8 DCMSHRIRAM</v>
      </c>
      <c r="V266" s="349">
        <f t="shared" si="17"/>
        <v>213</v>
      </c>
      <c r="W266" s="350">
        <f t="shared" si="57"/>
        <v>2.5918715015818935E-2</v>
      </c>
      <c r="X266" s="351">
        <f t="shared" si="19"/>
        <v>0</v>
      </c>
      <c r="Y266" s="352">
        <f t="shared" si="20"/>
        <v>0</v>
      </c>
      <c r="Z266" s="353">
        <f t="shared" si="21"/>
        <v>8</v>
      </c>
      <c r="AA266" s="350">
        <f t="shared" si="22"/>
        <v>2.2138710835935682</v>
      </c>
      <c r="AB266" s="120" t="s">
        <v>448</v>
      </c>
    </row>
    <row r="267" spans="1:28" ht="12.75" customHeight="1">
      <c r="A267" s="121" t="s">
        <v>575</v>
      </c>
      <c r="B267" s="120" t="s">
        <v>1112</v>
      </c>
      <c r="C267" s="343" t="s">
        <v>1113</v>
      </c>
      <c r="D267" s="344"/>
      <c r="E267" s="345" t="str">
        <f t="shared" si="50"/>
        <v/>
      </c>
      <c r="F267" s="121" t="s">
        <v>1107</v>
      </c>
      <c r="G267" s="121"/>
      <c r="H267" s="346">
        <f t="shared" si="51"/>
        <v>1048.24</v>
      </c>
      <c r="I267" s="121">
        <v>100</v>
      </c>
      <c r="J267" s="346">
        <v>1047</v>
      </c>
      <c r="K267" s="128">
        <v>104824</v>
      </c>
      <c r="L267" s="150">
        <v>44818</v>
      </c>
      <c r="M267" s="124">
        <f t="shared" si="14"/>
        <v>1026.56</v>
      </c>
      <c r="N267" s="155">
        <v>1027.626</v>
      </c>
      <c r="O267" s="347">
        <v>102656</v>
      </c>
      <c r="P267" s="120">
        <v>44819</v>
      </c>
      <c r="Q267" s="348">
        <v>44802</v>
      </c>
      <c r="R267" s="125">
        <v>15.93</v>
      </c>
      <c r="S267" s="125"/>
      <c r="T267" s="127">
        <f t="shared" si="56"/>
        <v>-2168</v>
      </c>
      <c r="U267" s="127" t="str">
        <f t="shared" si="16"/>
        <v>100 DCMSHRIRAM</v>
      </c>
      <c r="V267" s="349">
        <f t="shared" si="17"/>
        <v>-2183.9299999999998</v>
      </c>
      <c r="W267" s="350">
        <f t="shared" si="57"/>
        <v>-2.0834255514004425E-2</v>
      </c>
      <c r="X267" s="351">
        <f t="shared" si="19"/>
        <v>0</v>
      </c>
      <c r="Y267" s="352">
        <f t="shared" si="20"/>
        <v>0</v>
      </c>
      <c r="Z267" s="353">
        <f t="shared" si="21"/>
        <v>1</v>
      </c>
      <c r="AA267" s="350">
        <f t="shared" si="22"/>
        <v>-0.99954025479077768</v>
      </c>
      <c r="AB267" s="120" t="s">
        <v>448</v>
      </c>
    </row>
    <row r="268" spans="1:28" ht="12.75" customHeight="1">
      <c r="A268" s="121" t="s">
        <v>575</v>
      </c>
      <c r="B268" s="120" t="s">
        <v>1112</v>
      </c>
      <c r="C268" s="343" t="s">
        <v>1113</v>
      </c>
      <c r="D268" s="344"/>
      <c r="E268" s="345" t="str">
        <f t="shared" si="50"/>
        <v/>
      </c>
      <c r="F268" s="121" t="s">
        <v>1107</v>
      </c>
      <c r="G268" s="121"/>
      <c r="H268" s="346">
        <f t="shared" si="51"/>
        <v>1048.24</v>
      </c>
      <c r="I268" s="121">
        <v>100</v>
      </c>
      <c r="J268" s="346">
        <v>1047</v>
      </c>
      <c r="K268" s="128">
        <v>104824</v>
      </c>
      <c r="L268" s="150">
        <v>44818</v>
      </c>
      <c r="M268" s="124">
        <f t="shared" si="14"/>
        <v>1039.93</v>
      </c>
      <c r="N268" s="155">
        <v>1041</v>
      </c>
      <c r="O268" s="347">
        <v>103993</v>
      </c>
      <c r="P268" s="120">
        <v>44819</v>
      </c>
      <c r="Q268" s="348">
        <v>44809</v>
      </c>
      <c r="R268" s="125">
        <v>0</v>
      </c>
      <c r="S268" s="125"/>
      <c r="T268" s="127">
        <f t="shared" si="56"/>
        <v>-831</v>
      </c>
      <c r="U268" s="127" t="str">
        <f t="shared" si="16"/>
        <v>100 DCMSHRIRAM</v>
      </c>
      <c r="V268" s="349">
        <f t="shared" si="17"/>
        <v>-831</v>
      </c>
      <c r="W268" s="350">
        <f t="shared" si="57"/>
        <v>-7.9275738380523552E-3</v>
      </c>
      <c r="X268" s="351">
        <f t="shared" si="19"/>
        <v>0</v>
      </c>
      <c r="Y268" s="352">
        <f t="shared" si="20"/>
        <v>0</v>
      </c>
      <c r="Z268" s="353">
        <f t="shared" si="21"/>
        <v>1</v>
      </c>
      <c r="AA268" s="350">
        <f t="shared" si="22"/>
        <v>-0.94525640498993602</v>
      </c>
      <c r="AB268" s="120" t="s">
        <v>448</v>
      </c>
    </row>
    <row r="269" spans="1:28" ht="12.75" customHeight="1">
      <c r="A269" s="121" t="s">
        <v>575</v>
      </c>
      <c r="B269" s="120" t="s">
        <v>1112</v>
      </c>
      <c r="C269" s="343" t="s">
        <v>1113</v>
      </c>
      <c r="D269" s="344"/>
      <c r="E269" s="345" t="str">
        <f t="shared" si="50"/>
        <v/>
      </c>
      <c r="F269" s="121" t="s">
        <v>1107</v>
      </c>
      <c r="G269" s="121"/>
      <c r="H269" s="346">
        <f t="shared" si="51"/>
        <v>1048.24</v>
      </c>
      <c r="I269" s="121">
        <v>200</v>
      </c>
      <c r="J269" s="346">
        <v>1047</v>
      </c>
      <c r="K269" s="128">
        <v>209648</v>
      </c>
      <c r="L269" s="150">
        <v>44818</v>
      </c>
      <c r="M269" s="124">
        <f t="shared" si="14"/>
        <v>1073.8900000000001</v>
      </c>
      <c r="N269" s="155">
        <v>1075</v>
      </c>
      <c r="O269" s="347">
        <v>214778</v>
      </c>
      <c r="P269" s="120">
        <v>44819</v>
      </c>
      <c r="Q269" s="348">
        <v>44813</v>
      </c>
      <c r="R269" s="125">
        <v>15.93</v>
      </c>
      <c r="S269" s="125"/>
      <c r="T269" s="127">
        <f t="shared" si="56"/>
        <v>5130</v>
      </c>
      <c r="U269" s="127" t="str">
        <f t="shared" si="16"/>
        <v>200 DCMSHRIRAM</v>
      </c>
      <c r="V269" s="349">
        <f t="shared" si="17"/>
        <v>5114.07</v>
      </c>
      <c r="W269" s="350">
        <f t="shared" si="57"/>
        <v>2.4393602610089292E-2</v>
      </c>
      <c r="X269" s="351">
        <f t="shared" si="19"/>
        <v>0</v>
      </c>
      <c r="Y269" s="352">
        <f t="shared" si="20"/>
        <v>0</v>
      </c>
      <c r="Z269" s="353">
        <f t="shared" si="21"/>
        <v>1</v>
      </c>
      <c r="AA269" s="350">
        <f t="shared" si="22"/>
        <v>6612.0686184577271</v>
      </c>
      <c r="AB269" s="120" t="s">
        <v>448</v>
      </c>
    </row>
    <row r="270" spans="1:28" ht="12.75" customHeight="1">
      <c r="A270" s="121" t="s">
        <v>575</v>
      </c>
      <c r="B270" s="120" t="s">
        <v>1112</v>
      </c>
      <c r="C270" s="343" t="s">
        <v>1113</v>
      </c>
      <c r="D270" s="344"/>
      <c r="E270" s="345" t="str">
        <f t="shared" si="50"/>
        <v/>
      </c>
      <c r="F270" s="121" t="s">
        <v>1107</v>
      </c>
      <c r="G270" s="121"/>
      <c r="H270" s="346">
        <f t="shared" si="51"/>
        <v>1030.96</v>
      </c>
      <c r="I270" s="121">
        <v>50</v>
      </c>
      <c r="J270" s="346">
        <v>1029.74</v>
      </c>
      <c r="K270" s="128">
        <v>51548</v>
      </c>
      <c r="L270" s="150">
        <v>44694</v>
      </c>
      <c r="M270" s="124">
        <f t="shared" si="14"/>
        <v>1087.8800000000001</v>
      </c>
      <c r="N270" s="155">
        <v>1089</v>
      </c>
      <c r="O270" s="347">
        <v>54394</v>
      </c>
      <c r="P270" s="120">
        <v>44823</v>
      </c>
      <c r="Q270" s="348">
        <v>44819</v>
      </c>
      <c r="R270" s="125">
        <v>15.93</v>
      </c>
      <c r="S270" s="125"/>
      <c r="T270" s="127">
        <f t="shared" si="56"/>
        <v>2846</v>
      </c>
      <c r="U270" s="127" t="str">
        <f t="shared" si="16"/>
        <v>50 DCMSHRIRAM</v>
      </c>
      <c r="V270" s="349">
        <f t="shared" si="17"/>
        <v>2830.07</v>
      </c>
      <c r="W270" s="350">
        <f t="shared" si="57"/>
        <v>5.4901645068673857E-2</v>
      </c>
      <c r="X270" s="351">
        <f t="shared" si="19"/>
        <v>0</v>
      </c>
      <c r="Y270" s="352">
        <f t="shared" si="20"/>
        <v>4</v>
      </c>
      <c r="Z270" s="353">
        <f t="shared" si="21"/>
        <v>6</v>
      </c>
      <c r="AA270" s="350">
        <f t="shared" si="22"/>
        <v>0.16326129546704959</v>
      </c>
      <c r="AB270" s="120" t="s">
        <v>448</v>
      </c>
    </row>
    <row r="271" spans="1:28" ht="12.75" customHeight="1">
      <c r="A271" s="121" t="s">
        <v>575</v>
      </c>
      <c r="B271" s="120" t="s">
        <v>1112</v>
      </c>
      <c r="C271" s="343" t="s">
        <v>1113</v>
      </c>
      <c r="D271" s="344"/>
      <c r="E271" s="345" t="str">
        <f t="shared" si="50"/>
        <v/>
      </c>
      <c r="F271" s="121" t="s">
        <v>1107</v>
      </c>
      <c r="G271" s="121"/>
      <c r="H271" s="346">
        <f t="shared" si="51"/>
        <v>1053.3800000000001</v>
      </c>
      <c r="I271" s="121">
        <v>50</v>
      </c>
      <c r="J271" s="346">
        <v>1052.125</v>
      </c>
      <c r="K271" s="128">
        <v>52669</v>
      </c>
      <c r="L271" s="150">
        <v>44781</v>
      </c>
      <c r="M271" s="124">
        <f t="shared" si="14"/>
        <v>1087.8599999999999</v>
      </c>
      <c r="N271" s="155">
        <v>1089</v>
      </c>
      <c r="O271" s="347">
        <v>54393</v>
      </c>
      <c r="P271" s="120">
        <v>44823</v>
      </c>
      <c r="Q271" s="348">
        <v>44819</v>
      </c>
      <c r="R271" s="125">
        <v>0</v>
      </c>
      <c r="S271" s="125"/>
      <c r="T271" s="127">
        <f t="shared" si="56"/>
        <v>1724</v>
      </c>
      <c r="U271" s="127" t="str">
        <f t="shared" si="16"/>
        <v>50 DCMSHRIRAM</v>
      </c>
      <c r="V271" s="349">
        <f t="shared" si="17"/>
        <v>1724</v>
      </c>
      <c r="W271" s="350">
        <f t="shared" si="57"/>
        <v>3.2732727031080905E-2</v>
      </c>
      <c r="X271" s="351">
        <f t="shared" si="19"/>
        <v>0</v>
      </c>
      <c r="Y271" s="352">
        <f t="shared" si="20"/>
        <v>1</v>
      </c>
      <c r="Z271" s="353">
        <f t="shared" si="21"/>
        <v>11</v>
      </c>
      <c r="AA271" s="350">
        <f t="shared" si="22"/>
        <v>0.3230061372023354</v>
      </c>
      <c r="AB271" s="120" t="s">
        <v>448</v>
      </c>
    </row>
    <row r="272" spans="1:28" ht="12.75" customHeight="1">
      <c r="A272" s="121" t="s">
        <v>575</v>
      </c>
      <c r="B272" s="120" t="s">
        <v>1112</v>
      </c>
      <c r="C272" s="343" t="s">
        <v>1113</v>
      </c>
      <c r="D272" s="344"/>
      <c r="E272" s="345" t="str">
        <f t="shared" si="50"/>
        <v/>
      </c>
      <c r="F272" s="121" t="s">
        <v>1107</v>
      </c>
      <c r="G272" s="121"/>
      <c r="H272" s="346">
        <f t="shared" si="51"/>
        <v>1096.3333</v>
      </c>
      <c r="I272" s="121">
        <v>9</v>
      </c>
      <c r="J272" s="346">
        <v>1095</v>
      </c>
      <c r="K272" s="128">
        <v>9867</v>
      </c>
      <c r="L272" s="150">
        <v>44820</v>
      </c>
      <c r="M272" s="124">
        <f t="shared" si="14"/>
        <v>1100.8888999999999</v>
      </c>
      <c r="N272" s="155">
        <v>1102</v>
      </c>
      <c r="O272" s="347">
        <v>9908</v>
      </c>
      <c r="P272" s="120">
        <v>44823</v>
      </c>
      <c r="Q272" s="348">
        <v>44819</v>
      </c>
      <c r="R272" s="125">
        <v>0</v>
      </c>
      <c r="S272" s="125"/>
      <c r="T272" s="127">
        <f t="shared" si="56"/>
        <v>41</v>
      </c>
      <c r="U272" s="127" t="str">
        <f t="shared" si="16"/>
        <v>9 DCMSHRIRAM</v>
      </c>
      <c r="V272" s="349">
        <f t="shared" si="17"/>
        <v>41</v>
      </c>
      <c r="W272" s="350">
        <f t="shared" si="57"/>
        <v>4.155265024830242E-3</v>
      </c>
      <c r="X272" s="351">
        <f t="shared" si="19"/>
        <v>0</v>
      </c>
      <c r="Y272" s="352">
        <f t="shared" si="20"/>
        <v>0</v>
      </c>
      <c r="Z272" s="353">
        <f t="shared" si="21"/>
        <v>3</v>
      </c>
      <c r="AA272" s="350">
        <f t="shared" si="22"/>
        <v>0.65617343733658551</v>
      </c>
      <c r="AB272" s="120" t="s">
        <v>448</v>
      </c>
    </row>
    <row r="273" spans="1:28" ht="12.75" customHeight="1">
      <c r="A273" s="121" t="s">
        <v>575</v>
      </c>
      <c r="B273" s="120" t="s">
        <v>1112</v>
      </c>
      <c r="C273" s="343" t="s">
        <v>1113</v>
      </c>
      <c r="D273" s="344"/>
      <c r="E273" s="345" t="str">
        <f t="shared" si="50"/>
        <v/>
      </c>
      <c r="F273" s="121" t="s">
        <v>1107</v>
      </c>
      <c r="G273" s="121"/>
      <c r="H273" s="346">
        <f t="shared" si="51"/>
        <v>1054.24</v>
      </c>
      <c r="I273" s="121">
        <v>25</v>
      </c>
      <c r="J273" s="346">
        <v>1053</v>
      </c>
      <c r="K273" s="128">
        <v>26356</v>
      </c>
      <c r="L273" s="150">
        <v>44778</v>
      </c>
      <c r="M273" s="124">
        <f t="shared" si="14"/>
        <v>1068.72</v>
      </c>
      <c r="N273" s="155">
        <v>1069.8499999999999</v>
      </c>
      <c r="O273" s="347">
        <v>26718</v>
      </c>
      <c r="P273" s="120">
        <v>44826</v>
      </c>
      <c r="Q273" s="348">
        <v>44824</v>
      </c>
      <c r="R273" s="125">
        <v>0</v>
      </c>
      <c r="S273" s="125"/>
      <c r="T273" s="127">
        <f t="shared" si="56"/>
        <v>362</v>
      </c>
      <c r="U273" s="127" t="str">
        <f t="shared" si="16"/>
        <v>25 DCMSHRIRAM</v>
      </c>
      <c r="V273" s="349">
        <f t="shared" si="17"/>
        <v>362</v>
      </c>
      <c r="W273" s="350">
        <f t="shared" si="57"/>
        <v>1.3735012900288359E-2</v>
      </c>
      <c r="X273" s="351">
        <f t="shared" si="19"/>
        <v>0</v>
      </c>
      <c r="Y273" s="352">
        <f t="shared" si="20"/>
        <v>1</v>
      </c>
      <c r="Z273" s="353">
        <f t="shared" si="21"/>
        <v>17</v>
      </c>
      <c r="AA273" s="350">
        <f t="shared" si="22"/>
        <v>0.10930374624550132</v>
      </c>
      <c r="AB273" s="120" t="s">
        <v>448</v>
      </c>
    </row>
    <row r="274" spans="1:28" ht="12.75" customHeight="1">
      <c r="A274" s="121" t="s">
        <v>575</v>
      </c>
      <c r="B274" s="120" t="s">
        <v>1112</v>
      </c>
      <c r="C274" s="343" t="s">
        <v>1113</v>
      </c>
      <c r="D274" s="344"/>
      <c r="E274" s="345" t="str">
        <f t="shared" si="50"/>
        <v/>
      </c>
      <c r="F274" s="121" t="s">
        <v>1107</v>
      </c>
      <c r="G274" s="121"/>
      <c r="H274" s="346">
        <f t="shared" si="51"/>
        <v>1053.25</v>
      </c>
      <c r="I274" s="121">
        <v>40</v>
      </c>
      <c r="J274" s="346">
        <v>1052</v>
      </c>
      <c r="K274" s="128">
        <v>42130</v>
      </c>
      <c r="L274" s="150">
        <v>44823</v>
      </c>
      <c r="M274" s="124">
        <f t="shared" si="14"/>
        <v>1068.75</v>
      </c>
      <c r="N274" s="155">
        <v>1069.8499999999999</v>
      </c>
      <c r="O274" s="347">
        <v>42750</v>
      </c>
      <c r="P274" s="120">
        <v>44826</v>
      </c>
      <c r="Q274" s="348">
        <v>44824</v>
      </c>
      <c r="R274" s="125">
        <v>15.93</v>
      </c>
      <c r="S274" s="125"/>
      <c r="T274" s="127">
        <f t="shared" si="56"/>
        <v>620</v>
      </c>
      <c r="U274" s="127" t="str">
        <f t="shared" si="16"/>
        <v>40 DCMSHRIRAM</v>
      </c>
      <c r="V274" s="349">
        <f t="shared" si="17"/>
        <v>604.07000000000005</v>
      </c>
      <c r="W274" s="350">
        <f t="shared" si="57"/>
        <v>1.4338238784713981E-2</v>
      </c>
      <c r="X274" s="351">
        <f t="shared" si="19"/>
        <v>0</v>
      </c>
      <c r="Y274" s="352">
        <f t="shared" si="20"/>
        <v>0</v>
      </c>
      <c r="Z274" s="353">
        <f t="shared" si="21"/>
        <v>3</v>
      </c>
      <c r="AA274" s="350">
        <f t="shared" si="22"/>
        <v>4.6524979820423349</v>
      </c>
      <c r="AB274" s="120" t="s">
        <v>448</v>
      </c>
    </row>
    <row r="275" spans="1:28" ht="12.75" customHeight="1">
      <c r="A275" s="121" t="s">
        <v>575</v>
      </c>
      <c r="B275" s="120" t="s">
        <v>1112</v>
      </c>
      <c r="C275" s="343" t="s">
        <v>1113</v>
      </c>
      <c r="D275" s="344"/>
      <c r="E275" s="345" t="str">
        <f t="shared" si="50"/>
        <v/>
      </c>
      <c r="F275" s="121" t="s">
        <v>1107</v>
      </c>
      <c r="G275" s="121"/>
      <c r="H275" s="346">
        <f t="shared" si="51"/>
        <v>1007.7</v>
      </c>
      <c r="I275" s="121">
        <v>10</v>
      </c>
      <c r="J275" s="346">
        <v>1006.5</v>
      </c>
      <c r="K275" s="128">
        <v>10077</v>
      </c>
      <c r="L275" s="150">
        <v>44831</v>
      </c>
      <c r="M275" s="124">
        <f t="shared" si="14"/>
        <v>1015</v>
      </c>
      <c r="N275" s="155">
        <v>1016</v>
      </c>
      <c r="O275" s="347">
        <v>10150</v>
      </c>
      <c r="P275" s="120">
        <v>44834</v>
      </c>
      <c r="Q275" s="348">
        <v>44832</v>
      </c>
      <c r="R275" s="125">
        <v>15.93</v>
      </c>
      <c r="S275" s="125"/>
      <c r="T275" s="127">
        <f t="shared" si="56"/>
        <v>73</v>
      </c>
      <c r="U275" s="127" t="str">
        <f t="shared" si="16"/>
        <v>10 DCMSHRIRAM</v>
      </c>
      <c r="V275" s="349">
        <f t="shared" si="17"/>
        <v>57.07</v>
      </c>
      <c r="W275" s="350">
        <f t="shared" si="57"/>
        <v>5.6633918825047137E-3</v>
      </c>
      <c r="X275" s="351">
        <f t="shared" si="19"/>
        <v>0</v>
      </c>
      <c r="Y275" s="352">
        <f t="shared" si="20"/>
        <v>0</v>
      </c>
      <c r="Z275" s="353">
        <f t="shared" si="21"/>
        <v>3</v>
      </c>
      <c r="AA275" s="350">
        <f t="shared" si="22"/>
        <v>0.98794646589465662</v>
      </c>
      <c r="AB275" s="120" t="s">
        <v>448</v>
      </c>
    </row>
    <row r="276" spans="1:28" ht="12.75" customHeight="1">
      <c r="A276" s="121" t="s">
        <v>575</v>
      </c>
      <c r="B276" s="120" t="s">
        <v>1112</v>
      </c>
      <c r="C276" s="343" t="s">
        <v>1113</v>
      </c>
      <c r="D276" s="344"/>
      <c r="E276" s="345" t="str">
        <f t="shared" si="50"/>
        <v/>
      </c>
      <c r="F276" s="121" t="s">
        <v>1107</v>
      </c>
      <c r="G276" s="121"/>
      <c r="H276" s="346">
        <f t="shared" si="51"/>
        <v>1084.9467</v>
      </c>
      <c r="I276" s="121">
        <v>150</v>
      </c>
      <c r="J276" s="346">
        <v>1083.67</v>
      </c>
      <c r="K276" s="128">
        <v>162742</v>
      </c>
      <c r="L276" s="150">
        <v>44820</v>
      </c>
      <c r="M276" s="124">
        <f t="shared" si="14"/>
        <v>1103.8599999999999</v>
      </c>
      <c r="N276" s="155">
        <v>1105</v>
      </c>
      <c r="O276" s="347">
        <v>165579</v>
      </c>
      <c r="P276" s="120">
        <v>44854</v>
      </c>
      <c r="Q276" s="348">
        <v>44852</v>
      </c>
      <c r="R276" s="125">
        <v>15.93</v>
      </c>
      <c r="S276" s="125"/>
      <c r="T276" s="127">
        <f t="shared" si="56"/>
        <v>2837</v>
      </c>
      <c r="U276" s="127" t="str">
        <f t="shared" si="16"/>
        <v>150 DCMSHRIRAM</v>
      </c>
      <c r="V276" s="349">
        <f t="shared" si="17"/>
        <v>2821.07</v>
      </c>
      <c r="W276" s="350">
        <f t="shared" si="57"/>
        <v>1.7334615526416047E-2</v>
      </c>
      <c r="X276" s="351">
        <f t="shared" si="19"/>
        <v>0</v>
      </c>
      <c r="Y276" s="352">
        <f t="shared" si="20"/>
        <v>1</v>
      </c>
      <c r="Z276" s="353">
        <f t="shared" si="21"/>
        <v>4</v>
      </c>
      <c r="AA276" s="350">
        <f t="shared" si="22"/>
        <v>0.20261418915233076</v>
      </c>
      <c r="AB276" s="120" t="s">
        <v>448</v>
      </c>
    </row>
    <row r="277" spans="1:28" ht="12.75" customHeight="1">
      <c r="A277" s="121" t="s">
        <v>575</v>
      </c>
      <c r="B277" s="120" t="s">
        <v>1112</v>
      </c>
      <c r="C277" s="343" t="s">
        <v>1113</v>
      </c>
      <c r="D277" s="344"/>
      <c r="E277" s="345" t="str">
        <f t="shared" si="50"/>
        <v/>
      </c>
      <c r="F277" s="121" t="s">
        <v>1107</v>
      </c>
      <c r="G277" s="121"/>
      <c r="H277" s="346">
        <f t="shared" si="51"/>
        <v>1048.32</v>
      </c>
      <c r="I277" s="121">
        <v>25</v>
      </c>
      <c r="J277" s="346">
        <v>1047.0999999999999</v>
      </c>
      <c r="K277" s="128">
        <v>26208</v>
      </c>
      <c r="L277" s="150">
        <v>44825</v>
      </c>
      <c r="M277" s="124">
        <f t="shared" si="14"/>
        <v>1087.4000000000001</v>
      </c>
      <c r="N277" s="155">
        <v>1088.5</v>
      </c>
      <c r="O277" s="347">
        <v>27185</v>
      </c>
      <c r="P277" s="120">
        <v>44854</v>
      </c>
      <c r="Q277" s="348">
        <v>44852</v>
      </c>
      <c r="R277" s="125">
        <v>0</v>
      </c>
      <c r="S277" s="125"/>
      <c r="T277" s="127">
        <f t="shared" si="56"/>
        <v>977</v>
      </c>
      <c r="U277" s="127" t="str">
        <f t="shared" si="16"/>
        <v>25 DCMSHRIRAM</v>
      </c>
      <c r="V277" s="349">
        <f t="shared" si="17"/>
        <v>977</v>
      </c>
      <c r="W277" s="350">
        <f t="shared" si="57"/>
        <v>3.7278693528693528E-2</v>
      </c>
      <c r="X277" s="351">
        <f t="shared" si="19"/>
        <v>0</v>
      </c>
      <c r="Y277" s="352">
        <f t="shared" si="20"/>
        <v>0</v>
      </c>
      <c r="Z277" s="353">
        <f t="shared" si="21"/>
        <v>29</v>
      </c>
      <c r="AA277" s="350">
        <f t="shared" si="22"/>
        <v>0.58512499343114754</v>
      </c>
      <c r="AB277" s="120" t="s">
        <v>448</v>
      </c>
    </row>
    <row r="278" spans="1:28" ht="12.75" customHeight="1">
      <c r="A278" s="121" t="s">
        <v>575</v>
      </c>
      <c r="B278" s="120" t="s">
        <v>1112</v>
      </c>
      <c r="C278" s="343" t="s">
        <v>1113</v>
      </c>
      <c r="D278" s="344"/>
      <c r="E278" s="345" t="str">
        <f t="shared" si="50"/>
        <v/>
      </c>
      <c r="F278" s="121" t="s">
        <v>1107</v>
      </c>
      <c r="G278" s="121"/>
      <c r="H278" s="346">
        <f t="shared" si="51"/>
        <v>1041.24</v>
      </c>
      <c r="I278" s="121">
        <v>25</v>
      </c>
      <c r="J278" s="346">
        <v>1040</v>
      </c>
      <c r="K278" s="128">
        <v>26031</v>
      </c>
      <c r="L278" s="150">
        <v>44826</v>
      </c>
      <c r="M278" s="124">
        <f t="shared" si="14"/>
        <v>1087.4000000000001</v>
      </c>
      <c r="N278" s="155">
        <v>1088.5</v>
      </c>
      <c r="O278" s="347">
        <v>27185</v>
      </c>
      <c r="P278" s="120">
        <v>44854</v>
      </c>
      <c r="Q278" s="348">
        <v>44852</v>
      </c>
      <c r="R278" s="125">
        <v>0</v>
      </c>
      <c r="S278" s="125"/>
      <c r="T278" s="127">
        <f t="shared" si="56"/>
        <v>1154</v>
      </c>
      <c r="U278" s="127" t="str">
        <f t="shared" si="16"/>
        <v>25 DCMSHRIRAM</v>
      </c>
      <c r="V278" s="127">
        <f t="shared" si="17"/>
        <v>1154</v>
      </c>
      <c r="W278" s="350">
        <f t="shared" si="57"/>
        <v>4.4331758288194842E-2</v>
      </c>
      <c r="X278" s="397">
        <f t="shared" si="19"/>
        <v>0</v>
      </c>
      <c r="Y278" s="352">
        <f t="shared" si="20"/>
        <v>0</v>
      </c>
      <c r="Z278" s="353">
        <f t="shared" si="21"/>
        <v>28</v>
      </c>
      <c r="AA278" s="350">
        <f t="shared" si="22"/>
        <v>0.76024496283462528</v>
      </c>
      <c r="AB278" s="120" t="s">
        <v>448</v>
      </c>
    </row>
    <row r="279" spans="1:28" ht="12.75" customHeight="1">
      <c r="A279" s="121" t="s">
        <v>575</v>
      </c>
      <c r="B279" s="120" t="s">
        <v>1112</v>
      </c>
      <c r="C279" s="343" t="s">
        <v>1113</v>
      </c>
      <c r="D279" s="344"/>
      <c r="E279" s="345" t="str">
        <f t="shared" si="50"/>
        <v/>
      </c>
      <c r="F279" s="121" t="s">
        <v>1107</v>
      </c>
      <c r="G279" s="121"/>
      <c r="H279" s="346">
        <f t="shared" si="51"/>
        <v>1037.2</v>
      </c>
      <c r="I279" s="121">
        <v>10</v>
      </c>
      <c r="J279" s="346">
        <v>1036</v>
      </c>
      <c r="K279" s="128">
        <v>10372</v>
      </c>
      <c r="L279" s="150">
        <v>44827</v>
      </c>
      <c r="M279" s="124">
        <f t="shared" si="14"/>
        <v>1087.3</v>
      </c>
      <c r="N279" s="155">
        <v>1088.5</v>
      </c>
      <c r="O279" s="347">
        <v>10873</v>
      </c>
      <c r="P279" s="120">
        <v>44854</v>
      </c>
      <c r="Q279" s="348">
        <v>44852</v>
      </c>
      <c r="R279" s="125">
        <v>0</v>
      </c>
      <c r="S279" s="125"/>
      <c r="T279" s="127">
        <f t="shared" si="56"/>
        <v>501</v>
      </c>
      <c r="U279" s="127" t="str">
        <f t="shared" si="16"/>
        <v>10 DCMSHRIRAM</v>
      </c>
      <c r="V279" s="127">
        <f t="shared" si="17"/>
        <v>501</v>
      </c>
      <c r="W279" s="350">
        <f t="shared" si="57"/>
        <v>4.8303123794832238E-2</v>
      </c>
      <c r="X279" s="397">
        <f t="shared" si="19"/>
        <v>0</v>
      </c>
      <c r="Y279" s="352">
        <f t="shared" si="20"/>
        <v>0</v>
      </c>
      <c r="Z279" s="353">
        <f t="shared" si="21"/>
        <v>27</v>
      </c>
      <c r="AA279" s="350">
        <f t="shared" si="22"/>
        <v>0.8921356386141428</v>
      </c>
      <c r="AB279" s="120" t="s">
        <v>448</v>
      </c>
    </row>
    <row r="280" spans="1:28" ht="12.75" customHeight="1">
      <c r="A280" s="121" t="s">
        <v>575</v>
      </c>
      <c r="B280" s="120" t="s">
        <v>1112</v>
      </c>
      <c r="C280" s="343" t="s">
        <v>1113</v>
      </c>
      <c r="D280" s="344"/>
      <c r="E280" s="345" t="str">
        <f t="shared" si="50"/>
        <v/>
      </c>
      <c r="F280" s="121" t="s">
        <v>1107</v>
      </c>
      <c r="G280" s="121"/>
      <c r="H280" s="346">
        <f t="shared" si="51"/>
        <v>1041.2</v>
      </c>
      <c r="I280" s="121">
        <v>10</v>
      </c>
      <c r="J280" s="346">
        <v>1040</v>
      </c>
      <c r="K280" s="128">
        <v>10412</v>
      </c>
      <c r="L280" s="150">
        <v>44854</v>
      </c>
      <c r="M280" s="124">
        <f t="shared" si="14"/>
        <v>1018.9</v>
      </c>
      <c r="N280" s="155">
        <v>1019.95</v>
      </c>
      <c r="O280" s="347">
        <v>10189</v>
      </c>
      <c r="P280" s="120">
        <v>44855</v>
      </c>
      <c r="Q280" s="348">
        <v>44838</v>
      </c>
      <c r="R280" s="125">
        <v>15.93</v>
      </c>
      <c r="S280" s="125"/>
      <c r="T280" s="127">
        <f t="shared" si="56"/>
        <v>-223</v>
      </c>
      <c r="U280" s="127" t="str">
        <f t="shared" si="16"/>
        <v>10 DCMSHRIRAM</v>
      </c>
      <c r="V280" s="349">
        <f t="shared" si="17"/>
        <v>-238.93</v>
      </c>
      <c r="W280" s="350">
        <f t="shared" si="57"/>
        <v>-2.2947560507107185E-2</v>
      </c>
      <c r="X280" s="351">
        <f t="shared" si="19"/>
        <v>0</v>
      </c>
      <c r="Y280" s="352">
        <f t="shared" si="20"/>
        <v>0</v>
      </c>
      <c r="Z280" s="353">
        <f t="shared" si="21"/>
        <v>1</v>
      </c>
      <c r="AA280" s="350">
        <f t="shared" si="22"/>
        <v>-0.99979105893899212</v>
      </c>
      <c r="AB280" s="120" t="s">
        <v>448</v>
      </c>
    </row>
    <row r="281" spans="1:28" ht="12.75" customHeight="1">
      <c r="A281" s="121" t="s">
        <v>575</v>
      </c>
      <c r="B281" s="120" t="s">
        <v>1112</v>
      </c>
      <c r="C281" s="343" t="s">
        <v>1113</v>
      </c>
      <c r="D281" s="344"/>
      <c r="E281" s="345" t="str">
        <f t="shared" si="50"/>
        <v/>
      </c>
      <c r="F281" s="121" t="s">
        <v>1107</v>
      </c>
      <c r="G281" s="121"/>
      <c r="H281" s="346">
        <f t="shared" si="51"/>
        <v>1041.2308</v>
      </c>
      <c r="I281" s="121">
        <v>130</v>
      </c>
      <c r="J281" s="346">
        <v>1040</v>
      </c>
      <c r="K281" s="128">
        <v>135360</v>
      </c>
      <c r="L281" s="150">
        <v>44854</v>
      </c>
      <c r="M281" s="124">
        <f t="shared" si="14"/>
        <v>1065.6307999999999</v>
      </c>
      <c r="N281" s="155">
        <v>1066.73</v>
      </c>
      <c r="O281" s="347">
        <v>138532</v>
      </c>
      <c r="P281" s="120">
        <v>44855</v>
      </c>
      <c r="Q281" s="348">
        <v>44851</v>
      </c>
      <c r="R281" s="125">
        <v>15.93</v>
      </c>
      <c r="S281" s="125"/>
      <c r="T281" s="127">
        <f t="shared" si="56"/>
        <v>3172</v>
      </c>
      <c r="U281" s="127" t="str">
        <f t="shared" si="16"/>
        <v>130 DCMSHRIRAM</v>
      </c>
      <c r="V281" s="127">
        <f t="shared" si="17"/>
        <v>3156.07</v>
      </c>
      <c r="W281" s="350">
        <f t="shared" si="57"/>
        <v>2.331611997635934E-2</v>
      </c>
      <c r="X281" s="397">
        <f t="shared" si="19"/>
        <v>0</v>
      </c>
      <c r="Y281" s="352">
        <f t="shared" si="20"/>
        <v>0</v>
      </c>
      <c r="Z281" s="353">
        <f t="shared" si="21"/>
        <v>1</v>
      </c>
      <c r="AA281" s="350">
        <f t="shared" si="22"/>
        <v>4502.8368716955629</v>
      </c>
      <c r="AB281" s="120" t="s">
        <v>448</v>
      </c>
    </row>
    <row r="282" spans="1:28" ht="12.75" customHeight="1">
      <c r="A282" s="121" t="s">
        <v>575</v>
      </c>
      <c r="B282" s="120" t="s">
        <v>1112</v>
      </c>
      <c r="C282" s="343" t="s">
        <v>1113</v>
      </c>
      <c r="D282" s="344"/>
      <c r="E282" s="345" t="str">
        <f t="shared" si="50"/>
        <v/>
      </c>
      <c r="F282" s="121" t="s">
        <v>1107</v>
      </c>
      <c r="G282" s="121"/>
      <c r="H282" s="346">
        <f t="shared" si="51"/>
        <v>1041.2249999999999</v>
      </c>
      <c r="I282" s="121">
        <v>40</v>
      </c>
      <c r="J282" s="346">
        <v>1040</v>
      </c>
      <c r="K282" s="128">
        <v>41649</v>
      </c>
      <c r="L282" s="150">
        <v>44854</v>
      </c>
      <c r="M282" s="124">
        <f t="shared" si="14"/>
        <v>1078.375</v>
      </c>
      <c r="N282" s="155">
        <v>1079.5</v>
      </c>
      <c r="O282" s="347">
        <v>43135</v>
      </c>
      <c r="P282" s="120">
        <v>44855</v>
      </c>
      <c r="Q282" s="348">
        <v>44852</v>
      </c>
      <c r="R282" s="125">
        <v>0</v>
      </c>
      <c r="S282" s="125"/>
      <c r="T282" s="127">
        <f t="shared" si="56"/>
        <v>1486</v>
      </c>
      <c r="U282" s="127" t="str">
        <f t="shared" si="16"/>
        <v>40 DCMSHRIRAM</v>
      </c>
      <c r="V282" s="349">
        <f t="shared" si="17"/>
        <v>1486</v>
      </c>
      <c r="W282" s="350">
        <f t="shared" si="57"/>
        <v>3.5679127950250904E-2</v>
      </c>
      <c r="X282" s="351">
        <f t="shared" si="19"/>
        <v>0</v>
      </c>
      <c r="Y282" s="352">
        <f t="shared" si="20"/>
        <v>0</v>
      </c>
      <c r="Z282" s="353">
        <f t="shared" si="21"/>
        <v>1</v>
      </c>
      <c r="AA282" s="350">
        <f t="shared" si="22"/>
        <v>360749.3474741563</v>
      </c>
      <c r="AB282" s="120" t="s">
        <v>448</v>
      </c>
    </row>
    <row r="283" spans="1:28" ht="12.75" customHeight="1">
      <c r="A283" s="121" t="s">
        <v>575</v>
      </c>
      <c r="B283" s="120" t="s">
        <v>1112</v>
      </c>
      <c r="C283" s="343" t="s">
        <v>1113</v>
      </c>
      <c r="D283" s="344"/>
      <c r="E283" s="345" t="str">
        <f t="shared" si="50"/>
        <v/>
      </c>
      <c r="F283" s="121" t="s">
        <v>1107</v>
      </c>
      <c r="G283" s="121"/>
      <c r="H283" s="346">
        <f t="shared" si="51"/>
        <v>1041.2429</v>
      </c>
      <c r="I283" s="121">
        <v>70</v>
      </c>
      <c r="J283" s="346">
        <v>1040</v>
      </c>
      <c r="K283" s="128">
        <v>72887</v>
      </c>
      <c r="L283" s="150">
        <v>44854</v>
      </c>
      <c r="M283" s="124">
        <f t="shared" si="14"/>
        <v>1094.5999999999999</v>
      </c>
      <c r="N283" s="155">
        <v>1095.7285999999999</v>
      </c>
      <c r="O283" s="347">
        <v>76622</v>
      </c>
      <c r="P283" s="120">
        <v>44855</v>
      </c>
      <c r="Q283" s="348">
        <v>44853</v>
      </c>
      <c r="R283" s="125">
        <v>15.93</v>
      </c>
      <c r="S283" s="125"/>
      <c r="T283" s="127">
        <f t="shared" si="56"/>
        <v>3735</v>
      </c>
      <c r="U283" s="127" t="str">
        <f t="shared" si="16"/>
        <v>70 DCMSHRIRAM</v>
      </c>
      <c r="V283" s="349">
        <f t="shared" si="17"/>
        <v>3719.07</v>
      </c>
      <c r="W283" s="350">
        <f t="shared" si="57"/>
        <v>5.1025148517568293E-2</v>
      </c>
      <c r="X283" s="351">
        <f t="shared" si="19"/>
        <v>0</v>
      </c>
      <c r="Y283" s="352">
        <f t="shared" si="20"/>
        <v>0</v>
      </c>
      <c r="Z283" s="353">
        <f t="shared" si="21"/>
        <v>1</v>
      </c>
      <c r="AA283" s="350">
        <f t="shared" si="22"/>
        <v>77407730.438053638</v>
      </c>
      <c r="AB283" s="120" t="s">
        <v>448</v>
      </c>
    </row>
    <row r="284" spans="1:28" ht="12.75" customHeight="1">
      <c r="A284" s="121" t="s">
        <v>575</v>
      </c>
      <c r="B284" s="120" t="s">
        <v>1112</v>
      </c>
      <c r="C284" s="343" t="s">
        <v>1113</v>
      </c>
      <c r="D284" s="344"/>
      <c r="E284" s="345" t="str">
        <f t="shared" si="50"/>
        <v/>
      </c>
      <c r="F284" s="121" t="s">
        <v>1107</v>
      </c>
      <c r="G284" s="121"/>
      <c r="H284" s="346">
        <f t="shared" si="51"/>
        <v>1032.24</v>
      </c>
      <c r="I284" s="121">
        <v>25</v>
      </c>
      <c r="J284" s="346">
        <v>1031</v>
      </c>
      <c r="K284" s="128">
        <v>25806</v>
      </c>
      <c r="L284" s="150">
        <v>44854</v>
      </c>
      <c r="M284" s="124">
        <f t="shared" si="14"/>
        <v>1078.8800000000001</v>
      </c>
      <c r="N284" s="155">
        <v>1080</v>
      </c>
      <c r="O284" s="347">
        <v>26972</v>
      </c>
      <c r="P284" s="120">
        <v>44859</v>
      </c>
      <c r="Q284" s="348">
        <v>44855</v>
      </c>
      <c r="R284" s="125">
        <v>15.93</v>
      </c>
      <c r="S284" s="125"/>
      <c r="T284" s="127">
        <f t="shared" si="56"/>
        <v>1166</v>
      </c>
      <c r="U284" s="127" t="str">
        <f t="shared" si="16"/>
        <v>25 DCMSHRIRAM</v>
      </c>
      <c r="V284" s="127">
        <f t="shared" si="17"/>
        <v>1150.07</v>
      </c>
      <c r="W284" s="350">
        <f t="shared" si="57"/>
        <v>4.4565992404867083E-2</v>
      </c>
      <c r="X284" s="397">
        <f t="shared" si="19"/>
        <v>0</v>
      </c>
      <c r="Y284" s="352">
        <f t="shared" si="20"/>
        <v>0</v>
      </c>
      <c r="Z284" s="353">
        <f t="shared" si="21"/>
        <v>5</v>
      </c>
      <c r="AA284" s="350">
        <f t="shared" si="22"/>
        <v>23.116785791109649</v>
      </c>
      <c r="AB284" s="120" t="s">
        <v>448</v>
      </c>
    </row>
    <row r="285" spans="1:28" ht="12.75" customHeight="1">
      <c r="A285" s="121" t="s">
        <v>575</v>
      </c>
      <c r="B285" s="120" t="s">
        <v>1112</v>
      </c>
      <c r="C285" s="343" t="s">
        <v>1113</v>
      </c>
      <c r="D285" s="344"/>
      <c r="E285" s="345" t="str">
        <f t="shared" si="50"/>
        <v/>
      </c>
      <c r="F285" s="121" t="s">
        <v>1107</v>
      </c>
      <c r="G285" s="121"/>
      <c r="H285" s="346">
        <f t="shared" si="51"/>
        <v>1043.7</v>
      </c>
      <c r="I285" s="121">
        <v>10</v>
      </c>
      <c r="J285" s="346">
        <v>1042.45</v>
      </c>
      <c r="K285" s="128">
        <v>10437</v>
      </c>
      <c r="L285" s="150">
        <v>44854</v>
      </c>
      <c r="M285" s="124">
        <f t="shared" si="14"/>
        <v>1068.4000000000001</v>
      </c>
      <c r="N285" s="155">
        <v>1069.5</v>
      </c>
      <c r="O285" s="347">
        <v>10684</v>
      </c>
      <c r="P285" s="120">
        <v>44860</v>
      </c>
      <c r="Q285" s="348">
        <v>44858</v>
      </c>
      <c r="R285" s="125">
        <v>15.93</v>
      </c>
      <c r="S285" s="125"/>
      <c r="T285" s="127">
        <f t="shared" si="56"/>
        <v>247</v>
      </c>
      <c r="U285" s="127" t="str">
        <f t="shared" si="16"/>
        <v>10 DCMSHRIRAM</v>
      </c>
      <c r="V285" s="127">
        <f t="shared" si="17"/>
        <v>231.07</v>
      </c>
      <c r="W285" s="350">
        <f t="shared" si="57"/>
        <v>2.2139503688799463E-2</v>
      </c>
      <c r="X285" s="397">
        <f t="shared" si="19"/>
        <v>0</v>
      </c>
      <c r="Y285" s="352">
        <f t="shared" si="20"/>
        <v>0</v>
      </c>
      <c r="Z285" s="353">
        <f t="shared" si="21"/>
        <v>6</v>
      </c>
      <c r="AA285" s="350">
        <f t="shared" si="22"/>
        <v>2.7890953917533738</v>
      </c>
      <c r="AB285" s="120" t="s">
        <v>448</v>
      </c>
    </row>
    <row r="286" spans="1:28" ht="12.75" customHeight="1">
      <c r="A286" s="121" t="s">
        <v>575</v>
      </c>
      <c r="B286" s="120" t="s">
        <v>1112</v>
      </c>
      <c r="C286" s="343" t="s">
        <v>1113</v>
      </c>
      <c r="D286" s="344"/>
      <c r="E286" s="345" t="str">
        <f t="shared" si="50"/>
        <v/>
      </c>
      <c r="F286" s="121" t="s">
        <v>1107</v>
      </c>
      <c r="G286" s="121"/>
      <c r="H286" s="346">
        <f t="shared" si="51"/>
        <v>1045.25</v>
      </c>
      <c r="I286" s="121">
        <v>20</v>
      </c>
      <c r="J286" s="346">
        <v>1044</v>
      </c>
      <c r="K286" s="128">
        <v>20905</v>
      </c>
      <c r="L286" s="150">
        <v>44866</v>
      </c>
      <c r="M286" s="124">
        <f t="shared" si="14"/>
        <v>1048.95</v>
      </c>
      <c r="N286" s="155">
        <v>1050</v>
      </c>
      <c r="O286" s="347">
        <v>20979</v>
      </c>
      <c r="P286" s="120">
        <v>44876</v>
      </c>
      <c r="Q286" s="348">
        <v>44874</v>
      </c>
      <c r="R286" s="125">
        <v>0</v>
      </c>
      <c r="S286" s="125"/>
      <c r="T286" s="127">
        <f t="shared" si="56"/>
        <v>74</v>
      </c>
      <c r="U286" s="127" t="str">
        <f t="shared" si="16"/>
        <v>20 DCMSHRIRAM</v>
      </c>
      <c r="V286" s="127">
        <f t="shared" si="17"/>
        <v>74</v>
      </c>
      <c r="W286" s="350">
        <f t="shared" si="57"/>
        <v>3.5398230088495575E-3</v>
      </c>
      <c r="X286" s="397">
        <f t="shared" si="19"/>
        <v>0</v>
      </c>
      <c r="Y286" s="352">
        <f t="shared" si="20"/>
        <v>0</v>
      </c>
      <c r="Z286" s="353">
        <f t="shared" si="21"/>
        <v>10</v>
      </c>
      <c r="AA286" s="350">
        <f t="shared" si="22"/>
        <v>0.13766213644309766</v>
      </c>
      <c r="AB286" s="120" t="s">
        <v>448</v>
      </c>
    </row>
    <row r="287" spans="1:28" ht="12.75" customHeight="1">
      <c r="A287" s="121" t="s">
        <v>575</v>
      </c>
      <c r="B287" s="120" t="s">
        <v>1112</v>
      </c>
      <c r="C287" s="343" t="s">
        <v>1113</v>
      </c>
      <c r="D287" s="344"/>
      <c r="E287" s="345" t="str">
        <f t="shared" si="50"/>
        <v/>
      </c>
      <c r="F287" s="121" t="s">
        <v>1107</v>
      </c>
      <c r="G287" s="121"/>
      <c r="H287" s="346">
        <f t="shared" si="51"/>
        <v>1031.2</v>
      </c>
      <c r="I287" s="121">
        <v>20</v>
      </c>
      <c r="J287" s="346">
        <v>1030</v>
      </c>
      <c r="K287" s="128">
        <v>20624</v>
      </c>
      <c r="L287" s="150">
        <v>44868</v>
      </c>
      <c r="M287" s="124">
        <f t="shared" si="14"/>
        <v>1040.9000000000001</v>
      </c>
      <c r="N287" s="155">
        <v>1042</v>
      </c>
      <c r="O287" s="347">
        <v>20818</v>
      </c>
      <c r="P287" s="120">
        <v>44876</v>
      </c>
      <c r="Q287" s="348">
        <v>44874</v>
      </c>
      <c r="R287" s="125">
        <v>15.93</v>
      </c>
      <c r="S287" s="125"/>
      <c r="T287" s="127">
        <f t="shared" si="56"/>
        <v>194</v>
      </c>
      <c r="U287" s="127" t="str">
        <f t="shared" si="16"/>
        <v>20 DCMSHRIRAM</v>
      </c>
      <c r="V287" s="349">
        <f t="shared" si="17"/>
        <v>178.07</v>
      </c>
      <c r="W287" s="350">
        <f t="shared" si="57"/>
        <v>8.6341155934833193E-3</v>
      </c>
      <c r="X287" s="351">
        <f t="shared" si="19"/>
        <v>0</v>
      </c>
      <c r="Y287" s="352">
        <f t="shared" si="20"/>
        <v>0</v>
      </c>
      <c r="Z287" s="353">
        <f t="shared" si="21"/>
        <v>8</v>
      </c>
      <c r="AA287" s="350">
        <f t="shared" si="22"/>
        <v>0.4802938639229215</v>
      </c>
      <c r="AB287" s="120" t="s">
        <v>448</v>
      </c>
    </row>
    <row r="288" spans="1:28" ht="12.75" customHeight="1">
      <c r="A288" s="121" t="s">
        <v>575</v>
      </c>
      <c r="B288" s="120" t="s">
        <v>1112</v>
      </c>
      <c r="C288" s="343" t="s">
        <v>1113</v>
      </c>
      <c r="D288" s="344"/>
      <c r="E288" s="345" t="str">
        <f t="shared" si="50"/>
        <v/>
      </c>
      <c r="F288" s="121" t="s">
        <v>1107</v>
      </c>
      <c r="G288" s="121"/>
      <c r="H288" s="346">
        <f t="shared" si="51"/>
        <v>884.1</v>
      </c>
      <c r="I288" s="121">
        <v>10</v>
      </c>
      <c r="J288" s="346">
        <v>883</v>
      </c>
      <c r="K288" s="128">
        <v>8841</v>
      </c>
      <c r="L288" s="150">
        <v>44882</v>
      </c>
      <c r="M288" s="124">
        <f t="shared" si="14"/>
        <v>893.1</v>
      </c>
      <c r="N288" s="155">
        <v>894</v>
      </c>
      <c r="O288" s="347">
        <v>8931</v>
      </c>
      <c r="P288" s="120">
        <v>44883</v>
      </c>
      <c r="Q288" s="348">
        <v>44881</v>
      </c>
      <c r="R288" s="125">
        <v>15.93</v>
      </c>
      <c r="S288" s="125"/>
      <c r="T288" s="127">
        <f t="shared" si="56"/>
        <v>90</v>
      </c>
      <c r="U288" s="127" t="str">
        <f t="shared" si="16"/>
        <v>10 DCMSHRIRAM</v>
      </c>
      <c r="V288" s="349">
        <f t="shared" si="17"/>
        <v>74.069999999999993</v>
      </c>
      <c r="W288" s="350">
        <f t="shared" si="57"/>
        <v>8.3780115371564299E-3</v>
      </c>
      <c r="X288" s="351">
        <f t="shared" si="19"/>
        <v>0</v>
      </c>
      <c r="Y288" s="352">
        <f t="shared" si="20"/>
        <v>0</v>
      </c>
      <c r="Z288" s="353">
        <f t="shared" si="21"/>
        <v>1</v>
      </c>
      <c r="AA288" s="350">
        <f t="shared" si="22"/>
        <v>20.014978394890022</v>
      </c>
      <c r="AB288" s="120" t="s">
        <v>448</v>
      </c>
    </row>
    <row r="289" spans="1:28" ht="12.75" customHeight="1">
      <c r="A289" s="121" t="s">
        <v>575</v>
      </c>
      <c r="B289" s="120" t="s">
        <v>1112</v>
      </c>
      <c r="C289" s="343" t="s">
        <v>1113</v>
      </c>
      <c r="D289" s="344"/>
      <c r="E289" s="345" t="str">
        <f t="shared" si="50"/>
        <v/>
      </c>
      <c r="F289" s="121" t="s">
        <v>1107</v>
      </c>
      <c r="G289" s="121"/>
      <c r="H289" s="346">
        <f t="shared" si="51"/>
        <v>886</v>
      </c>
      <c r="I289" s="121">
        <v>10</v>
      </c>
      <c r="J289" s="346">
        <v>885</v>
      </c>
      <c r="K289" s="128">
        <v>8860</v>
      </c>
      <c r="L289" s="150">
        <v>44882</v>
      </c>
      <c r="M289" s="124">
        <f t="shared" si="14"/>
        <v>895.2</v>
      </c>
      <c r="N289" s="155">
        <v>896.15</v>
      </c>
      <c r="O289" s="347">
        <v>8952</v>
      </c>
      <c r="P289" s="120">
        <v>44887</v>
      </c>
      <c r="Q289" s="348">
        <v>44883</v>
      </c>
      <c r="R289" s="125">
        <v>15.93</v>
      </c>
      <c r="S289" s="125"/>
      <c r="T289" s="127">
        <f t="shared" si="56"/>
        <v>92</v>
      </c>
      <c r="U289" s="127" t="str">
        <f t="shared" si="16"/>
        <v>10 DCMSHRIRAM</v>
      </c>
      <c r="V289" s="349">
        <f t="shared" si="17"/>
        <v>76.069999999999993</v>
      </c>
      <c r="W289" s="350">
        <f t="shared" si="57"/>
        <v>8.5857787810383734E-3</v>
      </c>
      <c r="X289" s="351">
        <f t="shared" si="19"/>
        <v>0</v>
      </c>
      <c r="Y289" s="352">
        <f t="shared" si="20"/>
        <v>0</v>
      </c>
      <c r="Z289" s="353">
        <f t="shared" si="21"/>
        <v>5</v>
      </c>
      <c r="AA289" s="350">
        <f t="shared" si="22"/>
        <v>0.86654015735221335</v>
      </c>
      <c r="AB289" s="120" t="s">
        <v>448</v>
      </c>
    </row>
    <row r="290" spans="1:28" ht="12.75" customHeight="1">
      <c r="A290" s="121" t="s">
        <v>575</v>
      </c>
      <c r="B290" s="120" t="s">
        <v>1112</v>
      </c>
      <c r="C290" s="343" t="s">
        <v>1113</v>
      </c>
      <c r="D290" s="344"/>
      <c r="E290" s="345" t="str">
        <f t="shared" si="50"/>
        <v/>
      </c>
      <c r="F290" s="121" t="s">
        <v>1107</v>
      </c>
      <c r="G290" s="121"/>
      <c r="H290" s="346">
        <f t="shared" si="51"/>
        <v>841</v>
      </c>
      <c r="I290" s="121">
        <v>4</v>
      </c>
      <c r="J290" s="346">
        <v>839.95</v>
      </c>
      <c r="K290" s="128">
        <v>3364</v>
      </c>
      <c r="L290" s="150">
        <v>44889</v>
      </c>
      <c r="M290" s="124">
        <f t="shared" si="14"/>
        <v>852</v>
      </c>
      <c r="N290" s="155">
        <v>853</v>
      </c>
      <c r="O290" s="347">
        <v>3408</v>
      </c>
      <c r="P290" s="120">
        <v>44894</v>
      </c>
      <c r="Q290" s="348">
        <v>44890</v>
      </c>
      <c r="R290" s="125">
        <v>15.93</v>
      </c>
      <c r="S290" s="125"/>
      <c r="T290" s="127">
        <f t="shared" si="56"/>
        <v>44</v>
      </c>
      <c r="U290" s="127" t="str">
        <f t="shared" si="16"/>
        <v>4 DCMSHRIRAM</v>
      </c>
      <c r="V290" s="127">
        <f t="shared" si="17"/>
        <v>28.07</v>
      </c>
      <c r="W290" s="350">
        <f t="shared" si="57"/>
        <v>8.344233055885851E-3</v>
      </c>
      <c r="X290" s="397">
        <f t="shared" si="19"/>
        <v>0</v>
      </c>
      <c r="Y290" s="352">
        <f t="shared" si="20"/>
        <v>0</v>
      </c>
      <c r="Z290" s="353">
        <f t="shared" si="21"/>
        <v>5</v>
      </c>
      <c r="AA290" s="350">
        <f t="shared" si="22"/>
        <v>0.83418768512304364</v>
      </c>
      <c r="AB290" s="120" t="s">
        <v>448</v>
      </c>
    </row>
    <row r="291" spans="1:28" ht="12.75" customHeight="1">
      <c r="A291" s="121" t="s">
        <v>575</v>
      </c>
      <c r="B291" s="120" t="s">
        <v>1112</v>
      </c>
      <c r="C291" s="343" t="s">
        <v>1113</v>
      </c>
      <c r="D291" s="344"/>
      <c r="E291" s="345" t="str">
        <f t="shared" si="50"/>
        <v/>
      </c>
      <c r="F291" s="121" t="s">
        <v>1107</v>
      </c>
      <c r="G291" s="121"/>
      <c r="H291" s="346">
        <f t="shared" si="51"/>
        <v>884.05</v>
      </c>
      <c r="I291" s="121">
        <v>20</v>
      </c>
      <c r="J291" s="346">
        <v>883</v>
      </c>
      <c r="K291" s="128">
        <v>17681</v>
      </c>
      <c r="L291" s="150">
        <v>44930</v>
      </c>
      <c r="M291" s="124">
        <f t="shared" si="14"/>
        <v>891.95</v>
      </c>
      <c r="N291" s="155">
        <v>892.9</v>
      </c>
      <c r="O291" s="347">
        <v>17839</v>
      </c>
      <c r="P291" s="120">
        <v>44931</v>
      </c>
      <c r="Q291" s="348">
        <v>44925</v>
      </c>
      <c r="R291" s="125">
        <v>15.93</v>
      </c>
      <c r="S291" s="125"/>
      <c r="T291" s="127">
        <f t="shared" si="56"/>
        <v>158</v>
      </c>
      <c r="U291" s="127" t="str">
        <f t="shared" si="16"/>
        <v>20 DCMSHRIRAM</v>
      </c>
      <c r="V291" s="349">
        <f t="shared" si="17"/>
        <v>142.07</v>
      </c>
      <c r="W291" s="350">
        <f t="shared" si="57"/>
        <v>8.0351790057123455E-3</v>
      </c>
      <c r="X291" s="351">
        <f t="shared" si="19"/>
        <v>0</v>
      </c>
      <c r="Y291" s="352">
        <f t="shared" si="20"/>
        <v>0</v>
      </c>
      <c r="Z291" s="353">
        <f t="shared" si="21"/>
        <v>1</v>
      </c>
      <c r="AA291" s="350">
        <f t="shared" si="22"/>
        <v>17.562067735552521</v>
      </c>
      <c r="AB291" s="120" t="s">
        <v>448</v>
      </c>
    </row>
    <row r="292" spans="1:28" ht="12.75" customHeight="1">
      <c r="A292" s="121" t="s">
        <v>575</v>
      </c>
      <c r="B292" s="120" t="s">
        <v>1112</v>
      </c>
      <c r="C292" s="343" t="s">
        <v>1113</v>
      </c>
      <c r="D292" s="344"/>
      <c r="E292" s="345" t="str">
        <f t="shared" si="50"/>
        <v/>
      </c>
      <c r="F292" s="121" t="s">
        <v>1107</v>
      </c>
      <c r="G292" s="121"/>
      <c r="H292" s="346">
        <f t="shared" si="51"/>
        <v>880.4</v>
      </c>
      <c r="I292" s="121">
        <v>10</v>
      </c>
      <c r="J292" s="346">
        <v>879.4</v>
      </c>
      <c r="K292" s="128">
        <v>8804</v>
      </c>
      <c r="L292" s="150">
        <v>44931</v>
      </c>
      <c r="M292" s="124">
        <f t="shared" si="14"/>
        <v>899</v>
      </c>
      <c r="N292" s="155">
        <v>899.9</v>
      </c>
      <c r="O292" s="347">
        <v>8990</v>
      </c>
      <c r="P292" s="120">
        <v>44932</v>
      </c>
      <c r="Q292" s="348">
        <v>44925</v>
      </c>
      <c r="R292" s="125">
        <v>0</v>
      </c>
      <c r="S292" s="125"/>
      <c r="T292" s="127">
        <f t="shared" si="56"/>
        <v>186</v>
      </c>
      <c r="U292" s="127" t="str">
        <f t="shared" si="16"/>
        <v>10 DCMSHRIRAM</v>
      </c>
      <c r="V292" s="349">
        <f t="shared" si="17"/>
        <v>186</v>
      </c>
      <c r="W292" s="350">
        <f t="shared" si="57"/>
        <v>2.1126760563380281E-2</v>
      </c>
      <c r="X292" s="351">
        <f t="shared" si="19"/>
        <v>0</v>
      </c>
      <c r="Y292" s="352">
        <f t="shared" si="20"/>
        <v>0</v>
      </c>
      <c r="Z292" s="353">
        <f t="shared" si="21"/>
        <v>1</v>
      </c>
      <c r="AA292" s="350">
        <f t="shared" si="22"/>
        <v>2059.9863524309058</v>
      </c>
      <c r="AB292" s="120" t="s">
        <v>448</v>
      </c>
    </row>
    <row r="293" spans="1:28" ht="12.75" customHeight="1">
      <c r="A293" s="121" t="s">
        <v>575</v>
      </c>
      <c r="B293" s="120" t="s">
        <v>1112</v>
      </c>
      <c r="C293" s="343" t="s">
        <v>1113</v>
      </c>
      <c r="D293" s="344"/>
      <c r="E293" s="345" t="str">
        <f t="shared" si="50"/>
        <v/>
      </c>
      <c r="F293" s="121" t="s">
        <v>1107</v>
      </c>
      <c r="G293" s="121"/>
      <c r="H293" s="346">
        <f t="shared" si="51"/>
        <v>886.05</v>
      </c>
      <c r="I293" s="121">
        <v>20</v>
      </c>
      <c r="J293" s="346">
        <v>885</v>
      </c>
      <c r="K293" s="128">
        <v>17721</v>
      </c>
      <c r="L293" s="150">
        <v>44950</v>
      </c>
      <c r="M293" s="124">
        <f t="shared" si="14"/>
        <v>895.8</v>
      </c>
      <c r="N293" s="155">
        <v>896.75</v>
      </c>
      <c r="O293" s="347">
        <v>17916</v>
      </c>
      <c r="P293" s="120">
        <v>44951</v>
      </c>
      <c r="Q293" s="348">
        <v>44945</v>
      </c>
      <c r="R293" s="125">
        <v>15.93</v>
      </c>
      <c r="S293" s="125"/>
      <c r="T293" s="127">
        <f t="shared" si="56"/>
        <v>195</v>
      </c>
      <c r="U293" s="127" t="str">
        <f t="shared" si="16"/>
        <v>20 DCMSHRIRAM</v>
      </c>
      <c r="V293" s="349">
        <f t="shared" si="17"/>
        <v>179.07</v>
      </c>
      <c r="W293" s="350">
        <f t="shared" si="57"/>
        <v>1.010496021669206E-2</v>
      </c>
      <c r="X293" s="351">
        <f t="shared" si="19"/>
        <v>0</v>
      </c>
      <c r="Y293" s="352">
        <f t="shared" si="20"/>
        <v>0</v>
      </c>
      <c r="Z293" s="353">
        <f t="shared" si="21"/>
        <v>1</v>
      </c>
      <c r="AA293" s="350">
        <f t="shared" si="22"/>
        <v>38.244054617388194</v>
      </c>
      <c r="AB293" s="120" t="s">
        <v>448</v>
      </c>
    </row>
    <row r="294" spans="1:28" ht="12.75" customHeight="1">
      <c r="A294" s="121" t="s">
        <v>575</v>
      </c>
      <c r="B294" s="120" t="s">
        <v>1112</v>
      </c>
      <c r="C294" s="343" t="s">
        <v>1113</v>
      </c>
      <c r="D294" s="344"/>
      <c r="E294" s="345" t="str">
        <f t="shared" si="50"/>
        <v/>
      </c>
      <c r="F294" s="121" t="s">
        <v>1107</v>
      </c>
      <c r="G294" s="121"/>
      <c r="H294" s="346">
        <f t="shared" si="51"/>
        <v>881.0444</v>
      </c>
      <c r="I294" s="121">
        <v>45</v>
      </c>
      <c r="J294" s="346">
        <v>880</v>
      </c>
      <c r="K294" s="128">
        <v>39647</v>
      </c>
      <c r="L294" s="150">
        <v>44959</v>
      </c>
      <c r="M294" s="124">
        <f t="shared" si="14"/>
        <v>901.28890000000001</v>
      </c>
      <c r="N294" s="155">
        <v>902.22220000000004</v>
      </c>
      <c r="O294" s="347">
        <v>40558</v>
      </c>
      <c r="P294" s="120">
        <v>44960</v>
      </c>
      <c r="Q294" s="348">
        <v>44958</v>
      </c>
      <c r="R294" s="125">
        <v>15.93</v>
      </c>
      <c r="S294" s="125"/>
      <c r="T294" s="127">
        <f t="shared" si="56"/>
        <v>911</v>
      </c>
      <c r="U294" s="127" t="str">
        <f t="shared" si="16"/>
        <v>45 DCMSHRIRAM</v>
      </c>
      <c r="V294" s="349">
        <f t="shared" si="17"/>
        <v>895.07</v>
      </c>
      <c r="W294" s="350">
        <f t="shared" si="57"/>
        <v>2.2575983050419957E-2</v>
      </c>
      <c r="X294" s="351">
        <f t="shared" si="19"/>
        <v>0</v>
      </c>
      <c r="Y294" s="352">
        <f t="shared" si="20"/>
        <v>0</v>
      </c>
      <c r="Z294" s="353">
        <f t="shared" si="21"/>
        <v>1</v>
      </c>
      <c r="AA294" s="350">
        <f t="shared" si="22"/>
        <v>3457.515699274049</v>
      </c>
      <c r="AB294" s="120" t="s">
        <v>448</v>
      </c>
    </row>
    <row r="295" spans="1:28" ht="12.75" customHeight="1">
      <c r="A295" s="121" t="s">
        <v>575</v>
      </c>
      <c r="B295" s="120" t="s">
        <v>1112</v>
      </c>
      <c r="C295" s="343" t="s">
        <v>1113</v>
      </c>
      <c r="D295" s="344"/>
      <c r="E295" s="345" t="str">
        <f t="shared" si="50"/>
        <v/>
      </c>
      <c r="F295" s="121" t="s">
        <v>1107</v>
      </c>
      <c r="G295" s="121"/>
      <c r="H295" s="346">
        <f t="shared" si="51"/>
        <v>863</v>
      </c>
      <c r="I295" s="121">
        <v>10</v>
      </c>
      <c r="J295" s="346">
        <v>862</v>
      </c>
      <c r="K295" s="128">
        <v>8630</v>
      </c>
      <c r="L295" s="150">
        <v>44888</v>
      </c>
      <c r="M295" s="124">
        <f t="shared" si="14"/>
        <v>879.2</v>
      </c>
      <c r="N295" s="155">
        <v>880.08</v>
      </c>
      <c r="O295" s="347">
        <v>8792</v>
      </c>
      <c r="P295" s="120">
        <v>44974</v>
      </c>
      <c r="Q295" s="348">
        <v>44973</v>
      </c>
      <c r="R295" s="125">
        <v>15.93</v>
      </c>
      <c r="S295" s="125"/>
      <c r="T295" s="127">
        <f t="shared" si="56"/>
        <v>162</v>
      </c>
      <c r="U295" s="127" t="str">
        <f t="shared" si="16"/>
        <v>10 DCMSHRIRAM</v>
      </c>
      <c r="V295" s="349">
        <f t="shared" si="17"/>
        <v>146.07</v>
      </c>
      <c r="W295" s="350">
        <f t="shared" si="57"/>
        <v>1.6925840092699884E-2</v>
      </c>
      <c r="X295" s="351">
        <f t="shared" si="19"/>
        <v>0</v>
      </c>
      <c r="Y295" s="352">
        <f t="shared" si="20"/>
        <v>2</v>
      </c>
      <c r="Z295" s="353">
        <f t="shared" si="21"/>
        <v>25</v>
      </c>
      <c r="AA295" s="350">
        <f t="shared" si="22"/>
        <v>7.3833807605636403E-2</v>
      </c>
      <c r="AB295" s="120" t="s">
        <v>448</v>
      </c>
    </row>
    <row r="296" spans="1:28" ht="12.75" customHeight="1">
      <c r="A296" s="121" t="s">
        <v>575</v>
      </c>
      <c r="B296" s="120" t="s">
        <v>1112</v>
      </c>
      <c r="C296" s="343" t="s">
        <v>1113</v>
      </c>
      <c r="D296" s="344"/>
      <c r="E296" s="345" t="str">
        <f t="shared" si="50"/>
        <v/>
      </c>
      <c r="F296" s="121" t="s">
        <v>1107</v>
      </c>
      <c r="G296" s="121"/>
      <c r="H296" s="346">
        <f t="shared" si="51"/>
        <v>855</v>
      </c>
      <c r="I296" s="121">
        <v>20</v>
      </c>
      <c r="J296" s="346">
        <v>854</v>
      </c>
      <c r="K296" s="128">
        <v>17100</v>
      </c>
      <c r="L296" s="150">
        <v>44979</v>
      </c>
      <c r="M296" s="124">
        <f t="shared" si="14"/>
        <v>858.85</v>
      </c>
      <c r="N296" s="155">
        <v>859.75</v>
      </c>
      <c r="O296" s="347">
        <v>17177</v>
      </c>
      <c r="P296" s="120">
        <v>44973</v>
      </c>
      <c r="Q296" s="348">
        <v>44972</v>
      </c>
      <c r="R296" s="125">
        <v>15.93</v>
      </c>
      <c r="S296" s="125"/>
      <c r="T296" s="127">
        <f t="shared" si="56"/>
        <v>77</v>
      </c>
      <c r="U296" s="127" t="str">
        <f t="shared" si="16"/>
        <v>20 DCMSHRIRAM</v>
      </c>
      <c r="V296" s="349">
        <f t="shared" si="17"/>
        <v>61.07</v>
      </c>
      <c r="W296" s="350">
        <f t="shared" si="57"/>
        <v>3.5713450292397661E-3</v>
      </c>
      <c r="X296" s="351" t="e">
        <f t="shared" si="19"/>
        <v>#NUM!</v>
      </c>
      <c r="Y296" s="352" t="e">
        <f t="shared" si="20"/>
        <v>#NUM!</v>
      </c>
      <c r="Z296" s="353" t="e">
        <f t="shared" si="21"/>
        <v>#NUM!</v>
      </c>
      <c r="AA296" s="350">
        <f t="shared" si="22"/>
        <v>-0.19496521738215777</v>
      </c>
      <c r="AB296" s="120" t="s">
        <v>448</v>
      </c>
    </row>
    <row r="297" spans="1:28" ht="12.75" customHeight="1">
      <c r="A297" s="121" t="s">
        <v>575</v>
      </c>
      <c r="B297" s="120" t="s">
        <v>1112</v>
      </c>
      <c r="C297" s="343" t="s">
        <v>1113</v>
      </c>
      <c r="D297" s="344"/>
      <c r="E297" s="345" t="str">
        <f t="shared" si="50"/>
        <v/>
      </c>
      <c r="F297" s="121" t="s">
        <v>1107</v>
      </c>
      <c r="G297" s="121"/>
      <c r="H297" s="346">
        <f t="shared" si="51"/>
        <v>855</v>
      </c>
      <c r="I297" s="121">
        <v>1</v>
      </c>
      <c r="J297" s="346">
        <v>854</v>
      </c>
      <c r="K297" s="128">
        <v>855</v>
      </c>
      <c r="L297" s="150">
        <v>44979</v>
      </c>
      <c r="M297" s="124">
        <f t="shared" si="14"/>
        <v>856</v>
      </c>
      <c r="N297" s="155">
        <v>856.9</v>
      </c>
      <c r="O297" s="347">
        <v>856</v>
      </c>
      <c r="P297" s="120">
        <v>44972</v>
      </c>
      <c r="Q297" s="348">
        <v>44971</v>
      </c>
      <c r="R297" s="125">
        <v>15.93</v>
      </c>
      <c r="S297" s="125"/>
      <c r="T297" s="127">
        <f t="shared" si="56"/>
        <v>1</v>
      </c>
      <c r="U297" s="127" t="str">
        <f t="shared" si="16"/>
        <v>1 DCMSHRIRAM</v>
      </c>
      <c r="V297" s="349">
        <f t="shared" si="17"/>
        <v>-14.93</v>
      </c>
      <c r="W297" s="350">
        <f t="shared" si="57"/>
        <v>-1.7461988304093568E-2</v>
      </c>
      <c r="X297" s="351" t="e">
        <f t="shared" si="19"/>
        <v>#NUM!</v>
      </c>
      <c r="Y297" s="352" t="e">
        <f t="shared" si="20"/>
        <v>#NUM!</v>
      </c>
      <c r="Z297" s="353" t="e">
        <f t="shared" si="21"/>
        <v>#NUM!</v>
      </c>
      <c r="AA297" s="350">
        <f t="shared" si="22"/>
        <v>1.5056832782947618</v>
      </c>
      <c r="AB297" s="120" t="s">
        <v>448</v>
      </c>
    </row>
    <row r="298" spans="1:28" ht="12.75" customHeight="1">
      <c r="A298" s="120" t="s">
        <v>627</v>
      </c>
      <c r="B298" s="120"/>
      <c r="C298" s="343"/>
      <c r="D298" s="344"/>
      <c r="E298" s="345" t="str">
        <f t="shared" si="50"/>
        <v/>
      </c>
      <c r="F298" s="121" t="s">
        <v>1215</v>
      </c>
      <c r="G298" s="121"/>
      <c r="H298" s="346">
        <f t="shared" si="51"/>
        <v>207</v>
      </c>
      <c r="I298" s="121">
        <v>72</v>
      </c>
      <c r="J298" s="346">
        <v>207</v>
      </c>
      <c r="K298" s="128">
        <v>14904</v>
      </c>
      <c r="L298" s="150">
        <v>44875</v>
      </c>
      <c r="M298" s="124">
        <f t="shared" si="14"/>
        <v>294.69439999999997</v>
      </c>
      <c r="N298" s="155">
        <v>295</v>
      </c>
      <c r="O298" s="347">
        <v>21218</v>
      </c>
      <c r="P298" s="120">
        <v>44880</v>
      </c>
      <c r="Q298" s="348">
        <v>44876</v>
      </c>
      <c r="R298" s="125">
        <v>15.93</v>
      </c>
      <c r="S298" s="125"/>
      <c r="T298" s="127">
        <f t="shared" si="56"/>
        <v>6314</v>
      </c>
      <c r="U298" s="127" t="str">
        <f t="shared" si="16"/>
        <v>72 DCXINDIA</v>
      </c>
      <c r="V298" s="127">
        <f t="shared" si="17"/>
        <v>6298.07</v>
      </c>
      <c r="W298" s="350">
        <f t="shared" si="57"/>
        <v>0.42257581857219534</v>
      </c>
      <c r="X298" s="397">
        <f t="shared" si="19"/>
        <v>0</v>
      </c>
      <c r="Y298" s="352">
        <f t="shared" si="20"/>
        <v>0</v>
      </c>
      <c r="Z298" s="353">
        <f t="shared" si="21"/>
        <v>5</v>
      </c>
      <c r="AA298" s="350">
        <f t="shared" si="22"/>
        <v>149453405733.17639</v>
      </c>
      <c r="AB298" s="120" t="s">
        <v>471</v>
      </c>
    </row>
    <row r="299" spans="1:28" ht="12.75" customHeight="1">
      <c r="A299" s="120" t="s">
        <v>580</v>
      </c>
      <c r="B299" s="120" t="s">
        <v>1216</v>
      </c>
      <c r="C299" s="343" t="s">
        <v>1217</v>
      </c>
      <c r="D299" s="344">
        <v>185</v>
      </c>
      <c r="E299" s="345">
        <f t="shared" si="50"/>
        <v>0.13149847094801223</v>
      </c>
      <c r="F299" s="121" t="s">
        <v>1124</v>
      </c>
      <c r="G299" s="121" t="s">
        <v>1125</v>
      </c>
      <c r="H299" s="346">
        <f t="shared" si="51"/>
        <v>163.69999999999999</v>
      </c>
      <c r="I299" s="121">
        <v>20</v>
      </c>
      <c r="J299" s="346">
        <v>163.5</v>
      </c>
      <c r="K299" s="128">
        <v>3274</v>
      </c>
      <c r="L299" s="150">
        <v>44516</v>
      </c>
      <c r="M299" s="124">
        <f t="shared" si="14"/>
        <v>169.8</v>
      </c>
      <c r="N299" s="155">
        <v>170</v>
      </c>
      <c r="O299" s="347">
        <v>3396</v>
      </c>
      <c r="P299" s="120">
        <v>44540</v>
      </c>
      <c r="Q299" s="348">
        <v>44538</v>
      </c>
      <c r="R299" s="125">
        <v>15.93</v>
      </c>
      <c r="S299" s="125"/>
      <c r="T299" s="127">
        <f t="shared" ref="T299:T300" si="58">IF(O299="","",O299-K299)</f>
        <v>122</v>
      </c>
      <c r="U299" s="127" t="str">
        <f t="shared" si="16"/>
        <v>20 DEVYANI</v>
      </c>
      <c r="V299" s="127">
        <f t="shared" si="17"/>
        <v>106.07</v>
      </c>
      <c r="W299" s="350">
        <f t="shared" ref="W299:W300" si="59">IF(M299=0,"",V299/K299)</f>
        <v>3.2397678680513131E-2</v>
      </c>
      <c r="X299" s="397">
        <f t="shared" si="19"/>
        <v>0</v>
      </c>
      <c r="Y299" s="352">
        <f t="shared" si="20"/>
        <v>0</v>
      </c>
      <c r="Z299" s="353">
        <f t="shared" si="21"/>
        <v>24</v>
      </c>
      <c r="AA299" s="350">
        <f t="shared" si="22"/>
        <v>0.62401518723586302</v>
      </c>
      <c r="AB299" s="120" t="s">
        <v>471</v>
      </c>
    </row>
    <row r="300" spans="1:28" ht="12.75" customHeight="1">
      <c r="A300" s="120" t="s">
        <v>537</v>
      </c>
      <c r="B300" s="120" t="s">
        <v>1218</v>
      </c>
      <c r="C300" s="343" t="s">
        <v>1163</v>
      </c>
      <c r="D300" s="344"/>
      <c r="E300" s="345" t="str">
        <f t="shared" si="50"/>
        <v/>
      </c>
      <c r="F300" s="121" t="s">
        <v>1121</v>
      </c>
      <c r="G300" s="121"/>
      <c r="H300" s="346">
        <f t="shared" si="51"/>
        <v>428</v>
      </c>
      <c r="I300" s="121">
        <v>35</v>
      </c>
      <c r="J300" s="346">
        <v>428</v>
      </c>
      <c r="K300" s="128">
        <v>14980</v>
      </c>
      <c r="L300" s="150">
        <v>44371</v>
      </c>
      <c r="M300" s="124">
        <f t="shared" si="14"/>
        <v>586.4</v>
      </c>
      <c r="N300" s="155">
        <v>587</v>
      </c>
      <c r="O300" s="347">
        <v>20524</v>
      </c>
      <c r="P300" s="120">
        <v>44377</v>
      </c>
      <c r="Q300" s="348">
        <v>44375</v>
      </c>
      <c r="R300" s="125">
        <v>15.93</v>
      </c>
      <c r="S300" s="125"/>
      <c r="T300" s="127">
        <f t="shared" si="58"/>
        <v>5544</v>
      </c>
      <c r="U300" s="127" t="str">
        <f t="shared" si="16"/>
        <v>35 DODLA</v>
      </c>
      <c r="V300" s="127">
        <f t="shared" si="17"/>
        <v>5528.07</v>
      </c>
      <c r="W300" s="350">
        <f t="shared" si="59"/>
        <v>0.36903004005340451</v>
      </c>
      <c r="X300" s="397">
        <f t="shared" si="19"/>
        <v>0</v>
      </c>
      <c r="Y300" s="352">
        <f t="shared" si="20"/>
        <v>0</v>
      </c>
      <c r="Z300" s="353">
        <f t="shared" si="21"/>
        <v>6</v>
      </c>
      <c r="AA300" s="350">
        <f t="shared" si="22"/>
        <v>198818203.91133606</v>
      </c>
      <c r="AB300" s="120" t="s">
        <v>471</v>
      </c>
    </row>
    <row r="301" spans="1:28" ht="12.75" customHeight="1">
      <c r="A301" s="120" t="s">
        <v>624</v>
      </c>
      <c r="B301" s="120"/>
      <c r="C301" s="343"/>
      <c r="D301" s="344"/>
      <c r="E301" s="345" t="str">
        <f t="shared" si="50"/>
        <v/>
      </c>
      <c r="F301" s="121" t="s">
        <v>1121</v>
      </c>
      <c r="G301" s="121"/>
      <c r="H301" s="346">
        <f t="shared" si="51"/>
        <v>326</v>
      </c>
      <c r="I301" s="121">
        <v>46</v>
      </c>
      <c r="J301" s="346">
        <v>326</v>
      </c>
      <c r="K301" s="128">
        <v>14996</v>
      </c>
      <c r="L301" s="150">
        <v>44805</v>
      </c>
      <c r="M301" s="124">
        <f t="shared" si="14"/>
        <v>424.5652</v>
      </c>
      <c r="N301" s="155">
        <v>425</v>
      </c>
      <c r="O301" s="347">
        <v>19530</v>
      </c>
      <c r="P301" s="120">
        <v>44819</v>
      </c>
      <c r="Q301" s="348">
        <v>44817</v>
      </c>
      <c r="R301" s="125">
        <v>15.93</v>
      </c>
      <c r="S301" s="125"/>
      <c r="T301" s="127">
        <f>IF(OR(O301="",K301=""),"",O301-K301)</f>
        <v>4534</v>
      </c>
      <c r="U301" s="127" t="str">
        <f t="shared" si="16"/>
        <v>46 DREAMFOLKS</v>
      </c>
      <c r="V301" s="127">
        <f t="shared" si="17"/>
        <v>4518.07</v>
      </c>
      <c r="W301" s="350">
        <f>IF(OR(K301="",V301=""),"",V301/K301)</f>
        <v>0.30128500933582286</v>
      </c>
      <c r="X301" s="397">
        <f t="shared" si="19"/>
        <v>0</v>
      </c>
      <c r="Y301" s="352">
        <f t="shared" si="20"/>
        <v>0</v>
      </c>
      <c r="Z301" s="353">
        <f t="shared" si="21"/>
        <v>14</v>
      </c>
      <c r="AA301" s="350">
        <f t="shared" si="22"/>
        <v>958.07496707537462</v>
      </c>
      <c r="AB301" s="120" t="s">
        <v>471</v>
      </c>
    </row>
    <row r="302" spans="1:28" ht="12.75" customHeight="1">
      <c r="A302" s="120" t="s">
        <v>495</v>
      </c>
      <c r="B302" s="120" t="s">
        <v>1219</v>
      </c>
      <c r="C302" s="343" t="s">
        <v>1163</v>
      </c>
      <c r="D302" s="344">
        <v>66</v>
      </c>
      <c r="E302" s="345">
        <f t="shared" si="50"/>
        <v>0.33333333333333331</v>
      </c>
      <c r="F302" s="121" t="s">
        <v>1124</v>
      </c>
      <c r="G302" s="121" t="s">
        <v>1220</v>
      </c>
      <c r="H302" s="346">
        <f t="shared" si="51"/>
        <v>49.56</v>
      </c>
      <c r="I302" s="121">
        <v>100</v>
      </c>
      <c r="J302" s="346">
        <v>49.5</v>
      </c>
      <c r="K302" s="128">
        <v>4956</v>
      </c>
      <c r="L302" s="150">
        <v>44321</v>
      </c>
      <c r="M302" s="124">
        <f t="shared" si="14"/>
        <v>53.79</v>
      </c>
      <c r="N302" s="155">
        <v>53.85</v>
      </c>
      <c r="O302" s="347">
        <v>5379</v>
      </c>
      <c r="P302" s="120">
        <v>44328</v>
      </c>
      <c r="Q302" s="348">
        <v>44326</v>
      </c>
      <c r="R302" s="125">
        <v>15.93</v>
      </c>
      <c r="S302" s="125"/>
      <c r="T302" s="127">
        <f t="shared" ref="T302:T303" si="60">IF(O302="","",O302-K302)</f>
        <v>423</v>
      </c>
      <c r="U302" s="127" t="str">
        <f t="shared" si="16"/>
        <v>100 DWARKESH</v>
      </c>
      <c r="V302" s="127">
        <f t="shared" si="17"/>
        <v>407.07</v>
      </c>
      <c r="W302" s="350">
        <f t="shared" ref="W302:W303" si="61">IF(M302=0,"",V302/K302)</f>
        <v>8.2136803874092001E-2</v>
      </c>
      <c r="X302" s="397">
        <f t="shared" si="19"/>
        <v>0</v>
      </c>
      <c r="Y302" s="352">
        <f t="shared" si="20"/>
        <v>0</v>
      </c>
      <c r="Z302" s="353">
        <f t="shared" si="21"/>
        <v>7</v>
      </c>
      <c r="AA302" s="350">
        <f t="shared" si="22"/>
        <v>60.315486495623404</v>
      </c>
      <c r="AB302" s="120" t="s">
        <v>471</v>
      </c>
    </row>
    <row r="303" spans="1:28" ht="12.75" customHeight="1">
      <c r="A303" s="120" t="s">
        <v>546</v>
      </c>
      <c r="B303" s="120" t="s">
        <v>1221</v>
      </c>
      <c r="C303" s="343" t="s">
        <v>1127</v>
      </c>
      <c r="D303" s="344" t="s">
        <v>1222</v>
      </c>
      <c r="E303" s="345">
        <f t="shared" si="50"/>
        <v>0.45139464839146187</v>
      </c>
      <c r="F303" s="121" t="s">
        <v>1116</v>
      </c>
      <c r="G303" s="121" t="s">
        <v>1223</v>
      </c>
      <c r="H303" s="346">
        <f t="shared" si="51"/>
        <v>458.7</v>
      </c>
      <c r="I303" s="121">
        <v>10</v>
      </c>
      <c r="J303" s="346">
        <v>458.18</v>
      </c>
      <c r="K303" s="128">
        <v>4587</v>
      </c>
      <c r="L303" s="150">
        <v>44383</v>
      </c>
      <c r="M303" s="124">
        <f t="shared" si="14"/>
        <v>484.5</v>
      </c>
      <c r="N303" s="155">
        <v>485</v>
      </c>
      <c r="O303" s="347">
        <v>4845</v>
      </c>
      <c r="P303" s="120">
        <v>44414</v>
      </c>
      <c r="Q303" s="348">
        <v>44412</v>
      </c>
      <c r="R303" s="125">
        <v>15.93</v>
      </c>
      <c r="S303" s="125"/>
      <c r="T303" s="127">
        <f t="shared" si="60"/>
        <v>258</v>
      </c>
      <c r="U303" s="127" t="str">
        <f t="shared" si="16"/>
        <v>10 EASEMYTRIP</v>
      </c>
      <c r="V303" s="127">
        <f t="shared" si="17"/>
        <v>242.07</v>
      </c>
      <c r="W303" s="350">
        <f t="shared" si="61"/>
        <v>5.2773054283845648E-2</v>
      </c>
      <c r="X303" s="397">
        <f t="shared" si="19"/>
        <v>0</v>
      </c>
      <c r="Y303" s="352">
        <f t="shared" si="20"/>
        <v>1</v>
      </c>
      <c r="Z303" s="353">
        <f t="shared" si="21"/>
        <v>0</v>
      </c>
      <c r="AA303" s="350">
        <f t="shared" si="22"/>
        <v>0.83220386414144354</v>
      </c>
      <c r="AB303" s="120" t="s">
        <v>471</v>
      </c>
    </row>
    <row r="304" spans="1:28" ht="12.75" customHeight="1">
      <c r="A304" s="120" t="s">
        <v>615</v>
      </c>
      <c r="B304" s="120"/>
      <c r="C304" s="343"/>
      <c r="D304" s="344"/>
      <c r="E304" s="345" t="str">
        <f t="shared" si="50"/>
        <v/>
      </c>
      <c r="F304" s="121"/>
      <c r="G304" s="121"/>
      <c r="H304" s="346">
        <f t="shared" si="51"/>
        <v>560.70000000000005</v>
      </c>
      <c r="I304" s="121">
        <v>10</v>
      </c>
      <c r="J304" s="346">
        <v>560</v>
      </c>
      <c r="K304" s="128">
        <v>5607</v>
      </c>
      <c r="L304" s="150">
        <v>44769</v>
      </c>
      <c r="M304" s="124">
        <f t="shared" si="14"/>
        <v>564.4</v>
      </c>
      <c r="N304" s="155">
        <v>565</v>
      </c>
      <c r="O304" s="347">
        <v>5644</v>
      </c>
      <c r="P304" s="120">
        <v>44820</v>
      </c>
      <c r="Q304" s="348">
        <v>44818</v>
      </c>
      <c r="R304" s="125">
        <v>15.93</v>
      </c>
      <c r="S304" s="125"/>
      <c r="T304" s="127">
        <f>IF(OR(O304="",K304=""),"",O304-K304)</f>
        <v>37</v>
      </c>
      <c r="U304" s="127" t="str">
        <f t="shared" si="16"/>
        <v>10 EIDPARRY</v>
      </c>
      <c r="V304" s="127">
        <f t="shared" si="17"/>
        <v>21.07</v>
      </c>
      <c r="W304" s="350">
        <f>IF(OR(K304="",V304=""),"",V304/K304)</f>
        <v>3.7578027465667917E-3</v>
      </c>
      <c r="X304" s="397">
        <f t="shared" si="19"/>
        <v>0</v>
      </c>
      <c r="Y304" s="352">
        <f t="shared" si="20"/>
        <v>1</v>
      </c>
      <c r="Z304" s="353">
        <f t="shared" si="21"/>
        <v>20</v>
      </c>
      <c r="AA304" s="350">
        <f t="shared" si="22"/>
        <v>2.72072103953378E-2</v>
      </c>
      <c r="AB304" s="120" t="s">
        <v>471</v>
      </c>
    </row>
    <row r="305" spans="1:28" ht="12.75" customHeight="1">
      <c r="A305" s="120" t="s">
        <v>556</v>
      </c>
      <c r="B305" s="120" t="s">
        <v>1224</v>
      </c>
      <c r="C305" s="343" t="s">
        <v>1225</v>
      </c>
      <c r="D305" s="344" t="s">
        <v>1226</v>
      </c>
      <c r="E305" s="345">
        <f t="shared" si="50"/>
        <v>0.13333333333333333</v>
      </c>
      <c r="F305" s="121" t="s">
        <v>1124</v>
      </c>
      <c r="G305" s="121" t="s">
        <v>1227</v>
      </c>
      <c r="H305" s="346">
        <f t="shared" si="51"/>
        <v>225.3</v>
      </c>
      <c r="I305" s="121">
        <v>10</v>
      </c>
      <c r="J305" s="346">
        <v>225</v>
      </c>
      <c r="K305" s="128">
        <v>2253</v>
      </c>
      <c r="L305" s="150">
        <v>44407</v>
      </c>
      <c r="M305" s="124">
        <f t="shared" si="14"/>
        <v>226.8</v>
      </c>
      <c r="N305" s="155">
        <v>227</v>
      </c>
      <c r="O305" s="347">
        <v>2268</v>
      </c>
      <c r="P305" s="120">
        <v>44511</v>
      </c>
      <c r="Q305" s="348">
        <v>44509</v>
      </c>
      <c r="R305" s="125">
        <v>15.93</v>
      </c>
      <c r="S305" s="125"/>
      <c r="T305" s="127">
        <f t="shared" ref="T305:T306" si="62">IF(O305="","",O305-K305)</f>
        <v>15</v>
      </c>
      <c r="U305" s="127" t="str">
        <f t="shared" si="16"/>
        <v>10 ELGIEQUIP</v>
      </c>
      <c r="V305" s="127">
        <f t="shared" si="17"/>
        <v>-0.92999999999999972</v>
      </c>
      <c r="W305" s="350">
        <f t="shared" ref="W305:W306" si="63">IF(M305=0,"",V305/K305)</f>
        <v>-4.1278295605858841E-4</v>
      </c>
      <c r="X305" s="397">
        <f t="shared" si="19"/>
        <v>0</v>
      </c>
      <c r="Y305" s="352">
        <f t="shared" si="20"/>
        <v>3</v>
      </c>
      <c r="Z305" s="353">
        <f t="shared" si="21"/>
        <v>12</v>
      </c>
      <c r="AA305" s="350">
        <f t="shared" si="22"/>
        <v>-1.4479591907413658E-3</v>
      </c>
      <c r="AB305" s="120" t="s">
        <v>471</v>
      </c>
    </row>
    <row r="306" spans="1:28" ht="12.75" customHeight="1">
      <c r="A306" s="120" t="s">
        <v>609</v>
      </c>
      <c r="B306" s="120"/>
      <c r="C306" s="343"/>
      <c r="D306" s="344"/>
      <c r="E306" s="345" t="str">
        <f t="shared" si="50"/>
        <v/>
      </c>
      <c r="F306" s="121"/>
      <c r="G306" s="121"/>
      <c r="H306" s="346">
        <f t="shared" si="51"/>
        <v>1216.4000000000001</v>
      </c>
      <c r="I306" s="121">
        <v>5</v>
      </c>
      <c r="J306" s="346">
        <v>1215</v>
      </c>
      <c r="K306" s="128">
        <v>6082</v>
      </c>
      <c r="L306" s="150">
        <v>44687</v>
      </c>
      <c r="M306" s="124">
        <f t="shared" si="14"/>
        <v>1243.8</v>
      </c>
      <c r="N306" s="155">
        <v>1245.05</v>
      </c>
      <c r="O306" s="347">
        <v>6219</v>
      </c>
      <c r="P306" s="120">
        <v>44701</v>
      </c>
      <c r="Q306" s="348">
        <v>44699</v>
      </c>
      <c r="R306" s="125">
        <v>15.93</v>
      </c>
      <c r="S306" s="125"/>
      <c r="T306" s="127">
        <f t="shared" si="62"/>
        <v>137</v>
      </c>
      <c r="U306" s="127" t="str">
        <f t="shared" si="16"/>
        <v>5 ENDURANCE</v>
      </c>
      <c r="V306" s="127">
        <f t="shared" si="17"/>
        <v>121.07</v>
      </c>
      <c r="W306" s="350">
        <f t="shared" si="63"/>
        <v>1.9906280828674777E-2</v>
      </c>
      <c r="X306" s="397">
        <f t="shared" si="19"/>
        <v>0</v>
      </c>
      <c r="Y306" s="352">
        <f t="shared" si="20"/>
        <v>0</v>
      </c>
      <c r="Z306" s="353">
        <f t="shared" si="21"/>
        <v>14</v>
      </c>
      <c r="AA306" s="350">
        <f t="shared" si="22"/>
        <v>0.67177709602612867</v>
      </c>
      <c r="AB306" s="120" t="s">
        <v>471</v>
      </c>
    </row>
    <row r="307" spans="1:28" ht="12.75" customHeight="1">
      <c r="A307" s="120" t="s">
        <v>614</v>
      </c>
      <c r="B307" s="120"/>
      <c r="C307" s="343"/>
      <c r="D307" s="344"/>
      <c r="E307" s="345" t="str">
        <f t="shared" si="50"/>
        <v/>
      </c>
      <c r="F307" s="121"/>
      <c r="G307" s="121"/>
      <c r="H307" s="346">
        <f t="shared" si="51"/>
        <v>1251.4000000000001</v>
      </c>
      <c r="I307" s="121">
        <v>5</v>
      </c>
      <c r="J307" s="346">
        <v>1250</v>
      </c>
      <c r="K307" s="128">
        <v>6257</v>
      </c>
      <c r="L307" s="150">
        <v>44769</v>
      </c>
      <c r="M307" s="124">
        <f t="shared" si="14"/>
        <v>1337.6</v>
      </c>
      <c r="N307" s="155">
        <v>1339</v>
      </c>
      <c r="O307" s="347">
        <v>6688</v>
      </c>
      <c r="P307" s="120">
        <v>44798</v>
      </c>
      <c r="Q307" s="348">
        <v>44796</v>
      </c>
      <c r="R307" s="125">
        <v>15.93</v>
      </c>
      <c r="S307" s="125"/>
      <c r="T307" s="127">
        <f t="shared" ref="T307:T308" si="64">IF(OR(O307="",K307=""),"",O307-K307)</f>
        <v>431</v>
      </c>
      <c r="U307" s="127" t="str">
        <f t="shared" si="16"/>
        <v>5 EXCELINDUS</v>
      </c>
      <c r="V307" s="127">
        <f t="shared" si="17"/>
        <v>415.07</v>
      </c>
      <c r="W307" s="350">
        <f t="shared" ref="W307:W308" si="65">IF(OR(K307="",V307=""),"",V307/K307)</f>
        <v>6.6336902669010711E-2</v>
      </c>
      <c r="X307" s="397">
        <f t="shared" si="19"/>
        <v>0</v>
      </c>
      <c r="Y307" s="352">
        <f t="shared" si="20"/>
        <v>0</v>
      </c>
      <c r="Z307" s="353">
        <f t="shared" si="21"/>
        <v>29</v>
      </c>
      <c r="AA307" s="350">
        <f t="shared" si="22"/>
        <v>1.2443220764887744</v>
      </c>
      <c r="AB307" s="120" t="s">
        <v>471</v>
      </c>
    </row>
    <row r="308" spans="1:28" ht="12.75" customHeight="1">
      <c r="A308" s="120" t="s">
        <v>614</v>
      </c>
      <c r="B308" s="120"/>
      <c r="C308" s="343"/>
      <c r="D308" s="344"/>
      <c r="E308" s="345" t="str">
        <f t="shared" si="50"/>
        <v/>
      </c>
      <c r="F308" s="121"/>
      <c r="G308" s="121"/>
      <c r="H308" s="346">
        <f t="shared" si="51"/>
        <v>1301.5999999999999</v>
      </c>
      <c r="I308" s="121">
        <v>5</v>
      </c>
      <c r="J308" s="346">
        <v>1300</v>
      </c>
      <c r="K308" s="128">
        <v>6508</v>
      </c>
      <c r="L308" s="150">
        <v>44767</v>
      </c>
      <c r="M308" s="124">
        <f t="shared" si="14"/>
        <v>1396.6</v>
      </c>
      <c r="N308" s="155">
        <v>1398</v>
      </c>
      <c r="O308" s="347">
        <v>6983</v>
      </c>
      <c r="P308" s="120">
        <v>44799</v>
      </c>
      <c r="Q308" s="348">
        <v>44797</v>
      </c>
      <c r="R308" s="125">
        <v>15.93</v>
      </c>
      <c r="S308" s="125"/>
      <c r="T308" s="127">
        <f t="shared" si="64"/>
        <v>475</v>
      </c>
      <c r="U308" s="127" t="str">
        <f t="shared" si="16"/>
        <v>5 EXCELINDUS</v>
      </c>
      <c r="V308" s="127">
        <f t="shared" si="17"/>
        <v>459.07</v>
      </c>
      <c r="W308" s="350">
        <f t="shared" si="65"/>
        <v>7.0539336201598038E-2</v>
      </c>
      <c r="X308" s="397">
        <f t="shared" si="19"/>
        <v>0</v>
      </c>
      <c r="Y308" s="352">
        <f t="shared" si="20"/>
        <v>1</v>
      </c>
      <c r="Z308" s="353">
        <f t="shared" si="21"/>
        <v>1</v>
      </c>
      <c r="AA308" s="350">
        <f t="shared" si="22"/>
        <v>1.1759804830477756</v>
      </c>
      <c r="AB308" s="120" t="s">
        <v>471</v>
      </c>
    </row>
    <row r="309" spans="1:28" ht="12.75" customHeight="1">
      <c r="A309" s="120" t="s">
        <v>509</v>
      </c>
      <c r="B309" s="120" t="s">
        <v>509</v>
      </c>
      <c r="C309" s="343" t="s">
        <v>1163</v>
      </c>
      <c r="D309" s="344"/>
      <c r="E309" s="345"/>
      <c r="F309" s="121" t="s">
        <v>1107</v>
      </c>
      <c r="G309" s="121"/>
      <c r="H309" s="346">
        <f t="shared" si="51"/>
        <v>352.42</v>
      </c>
      <c r="I309" s="121">
        <v>50</v>
      </c>
      <c r="J309" s="346">
        <v>352</v>
      </c>
      <c r="K309" s="128">
        <v>17621</v>
      </c>
      <c r="L309" s="150">
        <v>44341</v>
      </c>
      <c r="M309" s="124">
        <f t="shared" si="14"/>
        <v>356.62</v>
      </c>
      <c r="N309" s="155">
        <v>357</v>
      </c>
      <c r="O309" s="347">
        <v>17831</v>
      </c>
      <c r="P309" s="120">
        <v>44363</v>
      </c>
      <c r="Q309" s="348">
        <v>44361</v>
      </c>
      <c r="R309" s="125">
        <v>15.93</v>
      </c>
      <c r="S309" s="125"/>
      <c r="T309" s="127">
        <f t="shared" ref="T309:T311" si="66">IF(O309="","",O309-K309)</f>
        <v>210</v>
      </c>
      <c r="U309" s="127" t="str">
        <f t="shared" si="16"/>
        <v>50 FDC</v>
      </c>
      <c r="V309" s="127">
        <f t="shared" si="17"/>
        <v>194.07</v>
      </c>
      <c r="W309" s="350">
        <f t="shared" ref="W309:W311" si="67">IF(M309=0,"",V309/K309)</f>
        <v>1.1013563361897735E-2</v>
      </c>
      <c r="X309" s="397">
        <f t="shared" si="19"/>
        <v>0</v>
      </c>
      <c r="Y309" s="352">
        <f t="shared" si="20"/>
        <v>0</v>
      </c>
      <c r="Z309" s="353">
        <f t="shared" si="21"/>
        <v>22</v>
      </c>
      <c r="AA309" s="350">
        <f t="shared" si="22"/>
        <v>0.19928569964440457</v>
      </c>
      <c r="AB309" s="120" t="s">
        <v>471</v>
      </c>
    </row>
    <row r="310" spans="1:28" ht="12.75" customHeight="1">
      <c r="A310" s="120" t="s">
        <v>587</v>
      </c>
      <c r="B310" s="120"/>
      <c r="C310" s="343"/>
      <c r="D310" s="344"/>
      <c r="E310" s="345" t="str">
        <f t="shared" ref="E310:E324" si="68">IFERROR(IF(D310="","",(D310-J310)/J310),"")</f>
        <v/>
      </c>
      <c r="F310" s="121"/>
      <c r="G310" s="121"/>
      <c r="H310" s="346">
        <f t="shared" si="51"/>
        <v>95.11</v>
      </c>
      <c r="I310" s="121">
        <v>100</v>
      </c>
      <c r="J310" s="346">
        <v>95</v>
      </c>
      <c r="K310" s="128">
        <v>9511</v>
      </c>
      <c r="L310" s="150">
        <v>44572</v>
      </c>
      <c r="M310" s="124">
        <f t="shared" si="14"/>
        <v>97.1</v>
      </c>
      <c r="N310" s="155">
        <v>97.2</v>
      </c>
      <c r="O310" s="347">
        <v>9710</v>
      </c>
      <c r="P310" s="120">
        <v>44616</v>
      </c>
      <c r="Q310" s="348">
        <v>44614</v>
      </c>
      <c r="R310" s="125">
        <v>15.93</v>
      </c>
      <c r="S310" s="125"/>
      <c r="T310" s="127">
        <f t="shared" si="66"/>
        <v>199</v>
      </c>
      <c r="U310" s="127" t="str">
        <f t="shared" si="16"/>
        <v>100 FEDERALBNK</v>
      </c>
      <c r="V310" s="127">
        <f t="shared" si="17"/>
        <v>183.07</v>
      </c>
      <c r="W310" s="350">
        <f t="shared" si="67"/>
        <v>1.9248238881295343E-2</v>
      </c>
      <c r="X310" s="397">
        <f t="shared" si="19"/>
        <v>0</v>
      </c>
      <c r="Y310" s="352">
        <f t="shared" si="20"/>
        <v>1</v>
      </c>
      <c r="Z310" s="353">
        <f t="shared" si="21"/>
        <v>13</v>
      </c>
      <c r="AA310" s="350">
        <f t="shared" si="22"/>
        <v>0.17134846426289219</v>
      </c>
      <c r="AB310" s="120" t="s">
        <v>471</v>
      </c>
    </row>
    <row r="311" spans="1:28" ht="12.75" customHeight="1">
      <c r="A311" s="120" t="s">
        <v>587</v>
      </c>
      <c r="B311" s="120"/>
      <c r="C311" s="343"/>
      <c r="D311" s="344"/>
      <c r="E311" s="345" t="str">
        <f t="shared" si="68"/>
        <v/>
      </c>
      <c r="F311" s="121"/>
      <c r="G311" s="121"/>
      <c r="H311" s="346">
        <f t="shared" si="51"/>
        <v>96.12</v>
      </c>
      <c r="I311" s="121">
        <v>50</v>
      </c>
      <c r="J311" s="346">
        <v>96</v>
      </c>
      <c r="K311" s="128">
        <v>4806</v>
      </c>
      <c r="L311" s="150">
        <v>44616</v>
      </c>
      <c r="M311" s="124">
        <f t="shared" si="14"/>
        <v>96.66</v>
      </c>
      <c r="N311" s="155">
        <v>96.75</v>
      </c>
      <c r="O311" s="347">
        <v>4833</v>
      </c>
      <c r="P311" s="120">
        <v>44623</v>
      </c>
      <c r="Q311" s="348">
        <v>44620</v>
      </c>
      <c r="R311" s="125">
        <v>15.93</v>
      </c>
      <c r="S311" s="125"/>
      <c r="T311" s="127">
        <f t="shared" si="66"/>
        <v>27</v>
      </c>
      <c r="U311" s="127" t="str">
        <f t="shared" si="16"/>
        <v>50 FEDERALBNK</v>
      </c>
      <c r="V311" s="127">
        <f t="shared" si="17"/>
        <v>11.07</v>
      </c>
      <c r="W311" s="350">
        <f t="shared" si="67"/>
        <v>2.3033707865168541E-3</v>
      </c>
      <c r="X311" s="397">
        <f t="shared" si="19"/>
        <v>0</v>
      </c>
      <c r="Y311" s="352">
        <f t="shared" si="20"/>
        <v>0</v>
      </c>
      <c r="Z311" s="353">
        <f t="shared" si="21"/>
        <v>7</v>
      </c>
      <c r="AA311" s="350">
        <f t="shared" si="22"/>
        <v>0.12745876932548006</v>
      </c>
      <c r="AB311" s="120" t="s">
        <v>471</v>
      </c>
    </row>
    <row r="312" spans="1:28" ht="12.75" customHeight="1">
      <c r="A312" s="120" t="s">
        <v>587</v>
      </c>
      <c r="B312" s="120"/>
      <c r="C312" s="343"/>
      <c r="D312" s="344"/>
      <c r="E312" s="345" t="str">
        <f t="shared" si="68"/>
        <v/>
      </c>
      <c r="F312" s="121"/>
      <c r="G312" s="121"/>
      <c r="H312" s="346">
        <f t="shared" si="51"/>
        <v>99.62</v>
      </c>
      <c r="I312" s="121">
        <v>50</v>
      </c>
      <c r="J312" s="346">
        <v>99.5</v>
      </c>
      <c r="K312" s="128">
        <v>4981</v>
      </c>
      <c r="L312" s="150">
        <v>44656</v>
      </c>
      <c r="M312" s="124">
        <f t="shared" si="14"/>
        <v>107.08</v>
      </c>
      <c r="N312" s="155">
        <v>107.2</v>
      </c>
      <c r="O312" s="347">
        <v>5354</v>
      </c>
      <c r="P312" s="120">
        <v>44771</v>
      </c>
      <c r="Q312" s="348">
        <v>44769</v>
      </c>
      <c r="R312" s="125">
        <v>15.93</v>
      </c>
      <c r="S312" s="125"/>
      <c r="T312" s="127">
        <f t="shared" ref="T312:T313" si="69">IF(OR(O312="",K312=""),"",O312-K312)</f>
        <v>373</v>
      </c>
      <c r="U312" s="127" t="str">
        <f t="shared" si="16"/>
        <v>50 FEDERALBNK</v>
      </c>
      <c r="V312" s="127">
        <f t="shared" si="17"/>
        <v>357.07</v>
      </c>
      <c r="W312" s="350">
        <f t="shared" ref="W312:W313" si="70">IF(OR(K312="",V312=""),"",V312/K312)</f>
        <v>7.1686408351736591E-2</v>
      </c>
      <c r="X312" s="397">
        <f t="shared" si="19"/>
        <v>0</v>
      </c>
      <c r="Y312" s="352">
        <f t="shared" si="20"/>
        <v>3</v>
      </c>
      <c r="Z312" s="353">
        <f t="shared" si="21"/>
        <v>24</v>
      </c>
      <c r="AA312" s="350">
        <f t="shared" si="22"/>
        <v>0.245754135681719</v>
      </c>
      <c r="AB312" s="120" t="s">
        <v>471</v>
      </c>
    </row>
    <row r="313" spans="1:28" ht="12.75" customHeight="1">
      <c r="A313" s="120" t="s">
        <v>587</v>
      </c>
      <c r="B313" s="120"/>
      <c r="C313" s="343"/>
      <c r="D313" s="344"/>
      <c r="E313" s="345" t="str">
        <f t="shared" si="68"/>
        <v/>
      </c>
      <c r="F313" s="121"/>
      <c r="G313" s="121"/>
      <c r="H313" s="346">
        <f t="shared" si="51"/>
        <v>99.62</v>
      </c>
      <c r="I313" s="121">
        <v>50</v>
      </c>
      <c r="J313" s="346">
        <v>99.5</v>
      </c>
      <c r="K313" s="128">
        <v>4981</v>
      </c>
      <c r="L313" s="150">
        <v>44656</v>
      </c>
      <c r="M313" s="124">
        <f t="shared" si="14"/>
        <v>107.26</v>
      </c>
      <c r="N313" s="155">
        <v>107.375</v>
      </c>
      <c r="O313" s="347">
        <v>5363</v>
      </c>
      <c r="P313" s="120">
        <v>44777</v>
      </c>
      <c r="Q313" s="348">
        <v>44775</v>
      </c>
      <c r="R313" s="125">
        <v>15.93</v>
      </c>
      <c r="S313" s="125"/>
      <c r="T313" s="127">
        <f t="shared" si="69"/>
        <v>382</v>
      </c>
      <c r="U313" s="127" t="str">
        <f t="shared" si="16"/>
        <v>50 FEDERALBNK</v>
      </c>
      <c r="V313" s="127">
        <f t="shared" si="17"/>
        <v>366.07</v>
      </c>
      <c r="W313" s="350">
        <f t="shared" si="70"/>
        <v>7.349327444288295E-2</v>
      </c>
      <c r="X313" s="397">
        <f t="shared" si="19"/>
        <v>0</v>
      </c>
      <c r="Y313" s="352">
        <f t="shared" si="20"/>
        <v>3</v>
      </c>
      <c r="Z313" s="353">
        <f t="shared" si="21"/>
        <v>30</v>
      </c>
      <c r="AA313" s="350">
        <f t="shared" si="22"/>
        <v>0.2385315194076445</v>
      </c>
      <c r="AB313" s="120" t="s">
        <v>471</v>
      </c>
    </row>
    <row r="314" spans="1:28" ht="12.75" customHeight="1">
      <c r="A314" s="120" t="s">
        <v>598</v>
      </c>
      <c r="B314" s="120"/>
      <c r="C314" s="343"/>
      <c r="D314" s="344">
        <v>190</v>
      </c>
      <c r="E314" s="345">
        <f t="shared" si="68"/>
        <v>0.22121075976663299</v>
      </c>
      <c r="F314" s="121" t="s">
        <v>1153</v>
      </c>
      <c r="G314" s="121" t="s">
        <v>1228</v>
      </c>
      <c r="H314" s="346">
        <f t="shared" si="51"/>
        <v>155.77000000000001</v>
      </c>
      <c r="I314" s="121">
        <v>300</v>
      </c>
      <c r="J314" s="346">
        <v>155.58330000000001</v>
      </c>
      <c r="K314" s="128">
        <v>46731</v>
      </c>
      <c r="L314" s="150">
        <v>44651</v>
      </c>
      <c r="M314" s="124">
        <f t="shared" si="14"/>
        <v>160.61330000000001</v>
      </c>
      <c r="N314" s="155">
        <v>160.78</v>
      </c>
      <c r="O314" s="347">
        <v>48184</v>
      </c>
      <c r="P314" s="120">
        <v>44690</v>
      </c>
      <c r="Q314" s="348">
        <v>44686</v>
      </c>
      <c r="R314" s="125">
        <v>15.93</v>
      </c>
      <c r="S314" s="125"/>
      <c r="T314" s="127">
        <f>IF(O314="","",O314-K314)</f>
        <v>1453</v>
      </c>
      <c r="U314" s="127" t="str">
        <f t="shared" si="16"/>
        <v>300 GAIL</v>
      </c>
      <c r="V314" s="127">
        <f t="shared" si="17"/>
        <v>1437.07</v>
      </c>
      <c r="W314" s="350">
        <f>IF(M314=0,"",V314/K314)</f>
        <v>3.0751963364789966E-2</v>
      </c>
      <c r="X314" s="397">
        <f t="shared" si="19"/>
        <v>0</v>
      </c>
      <c r="Y314" s="352">
        <f t="shared" si="20"/>
        <v>1</v>
      </c>
      <c r="Z314" s="353">
        <f t="shared" si="21"/>
        <v>8</v>
      </c>
      <c r="AA314" s="350">
        <f t="shared" si="22"/>
        <v>0.32772932187975656</v>
      </c>
      <c r="AB314" s="120" t="s">
        <v>471</v>
      </c>
    </row>
    <row r="315" spans="1:28" ht="12.75" customHeight="1">
      <c r="A315" s="120" t="s">
        <v>598</v>
      </c>
      <c r="B315" s="120"/>
      <c r="C315" s="343"/>
      <c r="D315" s="344"/>
      <c r="E315" s="345" t="str">
        <f t="shared" si="68"/>
        <v/>
      </c>
      <c r="F315" s="121"/>
      <c r="G315" s="121"/>
      <c r="H315" s="346">
        <f t="shared" si="51"/>
        <v>159.44739999999999</v>
      </c>
      <c r="I315" s="121">
        <v>38</v>
      </c>
      <c r="J315" s="346">
        <v>159.25</v>
      </c>
      <c r="K315" s="128">
        <v>6059</v>
      </c>
      <c r="L315" s="150">
        <v>44687</v>
      </c>
      <c r="M315" s="124">
        <f t="shared" si="14"/>
        <v>190</v>
      </c>
      <c r="N315" s="155">
        <v>190</v>
      </c>
      <c r="O315" s="347">
        <v>7220</v>
      </c>
      <c r="P315" s="120">
        <v>44729</v>
      </c>
      <c r="Q315" s="348">
        <v>44727</v>
      </c>
      <c r="R315" s="125"/>
      <c r="S315" s="125"/>
      <c r="T315" s="127">
        <f t="shared" ref="T315:T320" si="71">IF(OR(O315="",K315=""),"",O315-K315)</f>
        <v>1161</v>
      </c>
      <c r="U315" s="127" t="str">
        <f t="shared" si="16"/>
        <v>38 GAIL</v>
      </c>
      <c r="V315" s="127">
        <f t="shared" si="17"/>
        <v>1161</v>
      </c>
      <c r="W315" s="350">
        <f t="shared" ref="W315:W320" si="72">IF(OR(K315="",V315=""),"",V315/K315)</f>
        <v>0.19161577818121803</v>
      </c>
      <c r="X315" s="397">
        <f t="shared" si="19"/>
        <v>0</v>
      </c>
      <c r="Y315" s="352">
        <f t="shared" si="20"/>
        <v>1</v>
      </c>
      <c r="Z315" s="353">
        <f t="shared" si="21"/>
        <v>11</v>
      </c>
      <c r="AA315" s="350">
        <f t="shared" si="22"/>
        <v>3.5883889482989257</v>
      </c>
      <c r="AB315" s="120" t="s">
        <v>471</v>
      </c>
    </row>
    <row r="316" spans="1:28" ht="12.75" customHeight="1">
      <c r="A316" s="120" t="s">
        <v>598</v>
      </c>
      <c r="B316" s="120"/>
      <c r="C316" s="343"/>
      <c r="D316" s="344"/>
      <c r="E316" s="345" t="str">
        <f t="shared" si="68"/>
        <v/>
      </c>
      <c r="F316" s="121"/>
      <c r="G316" s="121"/>
      <c r="H316" s="346">
        <f t="shared" si="51"/>
        <v>87.911100000000005</v>
      </c>
      <c r="I316" s="121">
        <f>30*3/2</f>
        <v>45</v>
      </c>
      <c r="J316" s="346">
        <f>131.7/3*2</f>
        <v>87.8</v>
      </c>
      <c r="K316" s="128">
        <v>3956</v>
      </c>
      <c r="L316" s="150">
        <v>44796</v>
      </c>
      <c r="M316" s="124">
        <f t="shared" si="14"/>
        <v>92.911100000000005</v>
      </c>
      <c r="N316" s="155">
        <v>93</v>
      </c>
      <c r="O316" s="347">
        <v>4181</v>
      </c>
      <c r="P316" s="120">
        <v>44909</v>
      </c>
      <c r="Q316" s="348">
        <v>44907</v>
      </c>
      <c r="R316" s="125">
        <v>15.93</v>
      </c>
      <c r="S316" s="125"/>
      <c r="T316" s="127">
        <f t="shared" si="71"/>
        <v>225</v>
      </c>
      <c r="U316" s="127" t="str">
        <f t="shared" si="16"/>
        <v>45 GAIL</v>
      </c>
      <c r="V316" s="127">
        <f t="shared" si="17"/>
        <v>209.07</v>
      </c>
      <c r="W316" s="350">
        <f t="shared" si="72"/>
        <v>5.2848837209302321E-2</v>
      </c>
      <c r="X316" s="397">
        <f t="shared" si="19"/>
        <v>0</v>
      </c>
      <c r="Y316" s="352">
        <f t="shared" si="20"/>
        <v>3</v>
      </c>
      <c r="Z316" s="353">
        <f t="shared" si="21"/>
        <v>21</v>
      </c>
      <c r="AA316" s="350">
        <f t="shared" si="22"/>
        <v>0.18098458726887512</v>
      </c>
      <c r="AB316" s="120" t="s">
        <v>471</v>
      </c>
    </row>
    <row r="317" spans="1:28" ht="12.75" customHeight="1">
      <c r="A317" s="120" t="s">
        <v>598</v>
      </c>
      <c r="B317" s="120"/>
      <c r="C317" s="343"/>
      <c r="D317" s="344"/>
      <c r="E317" s="345" t="str">
        <f t="shared" si="68"/>
        <v/>
      </c>
      <c r="F317" s="121"/>
      <c r="G317" s="121"/>
      <c r="H317" s="346">
        <f t="shared" si="51"/>
        <v>96.621200000000002</v>
      </c>
      <c r="I317" s="121">
        <f>88*3/2</f>
        <v>132</v>
      </c>
      <c r="J317" s="346">
        <f>144.7557/3*2</f>
        <v>96.503799999999998</v>
      </c>
      <c r="K317" s="128">
        <v>12754</v>
      </c>
      <c r="L317" s="150">
        <v>44768</v>
      </c>
      <c r="M317" s="124">
        <f t="shared" si="14"/>
        <v>101.6439</v>
      </c>
      <c r="N317" s="155">
        <v>101.75</v>
      </c>
      <c r="O317" s="347">
        <v>13417</v>
      </c>
      <c r="P317" s="120">
        <v>44951</v>
      </c>
      <c r="Q317" s="348">
        <v>44949</v>
      </c>
      <c r="R317" s="125">
        <v>15.93</v>
      </c>
      <c r="S317" s="125"/>
      <c r="T317" s="127">
        <f t="shared" si="71"/>
        <v>663</v>
      </c>
      <c r="U317" s="127" t="str">
        <f t="shared" si="16"/>
        <v>132 GAIL</v>
      </c>
      <c r="V317" s="127">
        <f t="shared" si="17"/>
        <v>647.07000000000005</v>
      </c>
      <c r="W317" s="350">
        <f t="shared" si="72"/>
        <v>5.07346714756155E-2</v>
      </c>
      <c r="X317" s="397">
        <f t="shared" si="19"/>
        <v>0</v>
      </c>
      <c r="Y317" s="352">
        <f t="shared" si="20"/>
        <v>5</v>
      </c>
      <c r="Z317" s="353">
        <f t="shared" si="21"/>
        <v>30</v>
      </c>
      <c r="AA317" s="350">
        <f t="shared" si="22"/>
        <v>0.1037448182363867</v>
      </c>
      <c r="AB317" s="120" t="s">
        <v>471</v>
      </c>
    </row>
    <row r="318" spans="1:28" ht="12.75" customHeight="1">
      <c r="A318" s="120" t="s">
        <v>598</v>
      </c>
      <c r="B318" s="120"/>
      <c r="C318" s="343"/>
      <c r="D318" s="344"/>
      <c r="E318" s="345" t="str">
        <f t="shared" si="68"/>
        <v/>
      </c>
      <c r="F318" s="121"/>
      <c r="G318" s="121"/>
      <c r="H318" s="346">
        <f t="shared" si="51"/>
        <v>110.14</v>
      </c>
      <c r="I318" s="121">
        <v>50</v>
      </c>
      <c r="J318" s="346">
        <v>110</v>
      </c>
      <c r="K318" s="128">
        <v>5507</v>
      </c>
      <c r="L318" s="150">
        <v>44994</v>
      </c>
      <c r="M318" s="124">
        <f t="shared" si="14"/>
        <v>111.26</v>
      </c>
      <c r="N318" s="155">
        <v>111.38</v>
      </c>
      <c r="O318" s="347">
        <v>5563</v>
      </c>
      <c r="P318" s="120">
        <v>44995</v>
      </c>
      <c r="Q318" s="348">
        <v>44993</v>
      </c>
      <c r="R318" s="125">
        <v>15.93</v>
      </c>
      <c r="S318" s="125"/>
      <c r="T318" s="127">
        <f t="shared" si="71"/>
        <v>56</v>
      </c>
      <c r="U318" s="127" t="str">
        <f t="shared" si="16"/>
        <v>50 GAIL</v>
      </c>
      <c r="V318" s="127">
        <f t="shared" si="17"/>
        <v>40.07</v>
      </c>
      <c r="W318" s="350">
        <f t="shared" si="72"/>
        <v>7.276193934991829E-3</v>
      </c>
      <c r="X318" s="397">
        <f t="shared" si="19"/>
        <v>0</v>
      </c>
      <c r="Y318" s="352">
        <f t="shared" si="20"/>
        <v>0</v>
      </c>
      <c r="Z318" s="353">
        <f t="shared" si="21"/>
        <v>1</v>
      </c>
      <c r="AA318" s="350">
        <f t="shared" si="22"/>
        <v>13.10028914167644</v>
      </c>
      <c r="AB318" s="120" t="s">
        <v>471</v>
      </c>
    </row>
    <row r="319" spans="1:28" ht="12.75" customHeight="1">
      <c r="A319" s="120" t="s">
        <v>598</v>
      </c>
      <c r="B319" s="120"/>
      <c r="C319" s="343"/>
      <c r="D319" s="344"/>
      <c r="E319" s="345" t="str">
        <f t="shared" si="68"/>
        <v/>
      </c>
      <c r="F319" s="121"/>
      <c r="G319" s="121"/>
      <c r="H319" s="346">
        <f t="shared" si="51"/>
        <v>109.1395</v>
      </c>
      <c r="I319" s="121">
        <v>43</v>
      </c>
      <c r="J319" s="346">
        <v>109</v>
      </c>
      <c r="K319" s="128">
        <v>4693</v>
      </c>
      <c r="L319" s="150">
        <v>45000</v>
      </c>
      <c r="M319" s="124">
        <f t="shared" si="14"/>
        <v>108.6279</v>
      </c>
      <c r="N319" s="155">
        <v>108.73260000000001</v>
      </c>
      <c r="O319" s="347">
        <v>4671</v>
      </c>
      <c r="P319" s="120">
        <v>45001</v>
      </c>
      <c r="Q319" s="348">
        <v>44991</v>
      </c>
      <c r="R319" s="125"/>
      <c r="S319" s="125"/>
      <c r="T319" s="127">
        <f t="shared" si="71"/>
        <v>-22</v>
      </c>
      <c r="U319" s="127" t="str">
        <f t="shared" si="16"/>
        <v>43 GAIL</v>
      </c>
      <c r="V319" s="127">
        <f t="shared" si="17"/>
        <v>-22</v>
      </c>
      <c r="W319" s="350">
        <f t="shared" si="72"/>
        <v>-4.6878329426805884E-3</v>
      </c>
      <c r="X319" s="397">
        <f t="shared" si="19"/>
        <v>0</v>
      </c>
      <c r="Y319" s="352">
        <f t="shared" si="20"/>
        <v>0</v>
      </c>
      <c r="Z319" s="353">
        <f t="shared" si="21"/>
        <v>1</v>
      </c>
      <c r="AA319" s="350">
        <f t="shared" si="22"/>
        <v>-0.82005106840243336</v>
      </c>
      <c r="AB319" s="120" t="s">
        <v>471</v>
      </c>
    </row>
    <row r="320" spans="1:28" ht="12.75" customHeight="1">
      <c r="A320" s="120" t="s">
        <v>616</v>
      </c>
      <c r="B320" s="120"/>
      <c r="C320" s="343"/>
      <c r="D320" s="344"/>
      <c r="E320" s="345" t="str">
        <f t="shared" si="68"/>
        <v/>
      </c>
      <c r="F320" s="121"/>
      <c r="G320" s="121"/>
      <c r="H320" s="346">
        <f t="shared" si="51"/>
        <v>3249</v>
      </c>
      <c r="I320" s="121">
        <v>2</v>
      </c>
      <c r="J320" s="346">
        <v>3245</v>
      </c>
      <c r="K320" s="128">
        <v>6498</v>
      </c>
      <c r="L320" s="150">
        <v>44769</v>
      </c>
      <c r="M320" s="124">
        <f t="shared" si="14"/>
        <v>3341.5</v>
      </c>
      <c r="N320" s="155">
        <v>3345</v>
      </c>
      <c r="O320" s="347">
        <v>6683</v>
      </c>
      <c r="P320" s="120">
        <v>44806</v>
      </c>
      <c r="Q320" s="348">
        <v>44803</v>
      </c>
      <c r="R320" s="125">
        <v>15.93</v>
      </c>
      <c r="S320" s="125"/>
      <c r="T320" s="127">
        <f t="shared" si="71"/>
        <v>185</v>
      </c>
      <c r="U320" s="127" t="str">
        <f t="shared" si="16"/>
        <v>2 GARFIBRES</v>
      </c>
      <c r="V320" s="127">
        <f t="shared" si="17"/>
        <v>169.07</v>
      </c>
      <c r="W320" s="350">
        <f t="shared" si="72"/>
        <v>2.6018775007694676E-2</v>
      </c>
      <c r="X320" s="397">
        <f t="shared" si="19"/>
        <v>0</v>
      </c>
      <c r="Y320" s="352">
        <f t="shared" si="20"/>
        <v>1</v>
      </c>
      <c r="Z320" s="353">
        <f t="shared" si="21"/>
        <v>6</v>
      </c>
      <c r="AA320" s="350">
        <f t="shared" si="22"/>
        <v>0.28838483863971165</v>
      </c>
      <c r="AB320" s="120" t="s">
        <v>471</v>
      </c>
    </row>
    <row r="321" spans="1:28" ht="12.75" customHeight="1">
      <c r="A321" s="120" t="s">
        <v>544</v>
      </c>
      <c r="B321" s="120" t="s">
        <v>1229</v>
      </c>
      <c r="C321" s="343" t="s">
        <v>1230</v>
      </c>
      <c r="D321" s="344" t="s">
        <v>1231</v>
      </c>
      <c r="E321" s="345">
        <f t="shared" si="68"/>
        <v>8.5481682496607828E-2</v>
      </c>
      <c r="F321" s="121" t="s">
        <v>1116</v>
      </c>
      <c r="G321" s="121" t="s">
        <v>1117</v>
      </c>
      <c r="H321" s="346">
        <f t="shared" si="51"/>
        <v>73.790000000000006</v>
      </c>
      <c r="I321" s="121">
        <v>100</v>
      </c>
      <c r="J321" s="346">
        <v>73.7</v>
      </c>
      <c r="K321" s="128">
        <v>7379</v>
      </c>
      <c r="L321" s="150">
        <v>44383</v>
      </c>
      <c r="M321" s="124">
        <f t="shared" si="14"/>
        <v>77.92</v>
      </c>
      <c r="N321" s="155">
        <v>78</v>
      </c>
      <c r="O321" s="347">
        <v>7792</v>
      </c>
      <c r="P321" s="120">
        <v>44475</v>
      </c>
      <c r="Q321" s="348">
        <v>44473</v>
      </c>
      <c r="R321" s="125">
        <v>15.93</v>
      </c>
      <c r="S321" s="125">
        <v>50</v>
      </c>
      <c r="T321" s="127">
        <f t="shared" ref="T321:T336" si="73">IF(O321="","",O321-K321)</f>
        <v>413</v>
      </c>
      <c r="U321" s="127" t="str">
        <f t="shared" si="16"/>
        <v>100 GENUSPOWER</v>
      </c>
      <c r="V321" s="127">
        <f t="shared" si="17"/>
        <v>447.07</v>
      </c>
      <c r="W321" s="350">
        <f t="shared" ref="W321:W336" si="74">IF(M321=0,"",V321/K321)</f>
        <v>6.0586800379455207E-2</v>
      </c>
      <c r="X321" s="397">
        <f t="shared" si="19"/>
        <v>0</v>
      </c>
      <c r="Y321" s="352">
        <f t="shared" si="20"/>
        <v>3</v>
      </c>
      <c r="Z321" s="353">
        <f t="shared" si="21"/>
        <v>0</v>
      </c>
      <c r="AA321" s="350">
        <f t="shared" si="22"/>
        <v>0.26285021418440024</v>
      </c>
      <c r="AB321" s="120" t="s">
        <v>471</v>
      </c>
    </row>
    <row r="322" spans="1:28" ht="12.75" customHeight="1">
      <c r="A322" s="120" t="s">
        <v>483</v>
      </c>
      <c r="B322" s="120" t="s">
        <v>483</v>
      </c>
      <c r="C322" s="343" t="s">
        <v>1163</v>
      </c>
      <c r="D322" s="344">
        <v>298</v>
      </c>
      <c r="E322" s="345">
        <f t="shared" si="68"/>
        <v>0.21964695722640823</v>
      </c>
      <c r="F322" s="121" t="s">
        <v>492</v>
      </c>
      <c r="G322" s="121">
        <v>180</v>
      </c>
      <c r="H322" s="346">
        <f t="shared" si="51"/>
        <v>244.62100000000001</v>
      </c>
      <c r="I322" s="121">
        <v>100</v>
      </c>
      <c r="J322" s="346">
        <v>244.333</v>
      </c>
      <c r="K322" s="128">
        <v>24462.1</v>
      </c>
      <c r="L322" s="150">
        <v>44267</v>
      </c>
      <c r="M322" s="124">
        <f t="shared" si="14"/>
        <v>250.74</v>
      </c>
      <c r="N322" s="155">
        <v>251</v>
      </c>
      <c r="O322" s="347">
        <v>25074</v>
      </c>
      <c r="P322" s="120">
        <v>44328</v>
      </c>
      <c r="Q322" s="348">
        <v>44326</v>
      </c>
      <c r="R322" s="125">
        <v>15.93</v>
      </c>
      <c r="S322" s="125"/>
      <c r="T322" s="127">
        <f t="shared" si="73"/>
        <v>611.90000000000146</v>
      </c>
      <c r="U322" s="127" t="str">
        <f t="shared" si="16"/>
        <v>100 GHCL</v>
      </c>
      <c r="V322" s="127">
        <f t="shared" si="17"/>
        <v>595.97000000000151</v>
      </c>
      <c r="W322" s="350">
        <f t="shared" si="74"/>
        <v>2.4362994182838004E-2</v>
      </c>
      <c r="X322" s="397">
        <f t="shared" si="19"/>
        <v>0</v>
      </c>
      <c r="Y322" s="352">
        <f t="shared" si="20"/>
        <v>2</v>
      </c>
      <c r="Z322" s="353">
        <f t="shared" si="21"/>
        <v>0</v>
      </c>
      <c r="AA322" s="350">
        <f t="shared" si="22"/>
        <v>0.1549200214845039</v>
      </c>
      <c r="AB322" s="120" t="s">
        <v>471</v>
      </c>
    </row>
    <row r="323" spans="1:28" ht="12.75" customHeight="1">
      <c r="A323" s="120" t="s">
        <v>483</v>
      </c>
      <c r="B323" s="120"/>
      <c r="C323" s="343"/>
      <c r="D323" s="344"/>
      <c r="E323" s="345" t="str">
        <f t="shared" si="68"/>
        <v/>
      </c>
      <c r="F323" s="121"/>
      <c r="G323" s="121" t="s">
        <v>1232</v>
      </c>
      <c r="H323" s="346">
        <f t="shared" si="51"/>
        <v>551.15</v>
      </c>
      <c r="I323" s="121">
        <v>20</v>
      </c>
      <c r="J323" s="346">
        <v>550.5</v>
      </c>
      <c r="K323" s="128">
        <v>11023</v>
      </c>
      <c r="L323" s="150">
        <v>44657</v>
      </c>
      <c r="M323" s="124">
        <f t="shared" si="14"/>
        <v>640.35</v>
      </c>
      <c r="N323" s="155">
        <v>641</v>
      </c>
      <c r="O323" s="347">
        <v>12807</v>
      </c>
      <c r="P323" s="120">
        <v>44701</v>
      </c>
      <c r="Q323" s="348">
        <v>44699</v>
      </c>
      <c r="R323" s="125">
        <v>15.93</v>
      </c>
      <c r="S323" s="125"/>
      <c r="T323" s="127">
        <f t="shared" si="73"/>
        <v>1784</v>
      </c>
      <c r="U323" s="127" t="str">
        <f t="shared" si="16"/>
        <v>20 GHCL</v>
      </c>
      <c r="V323" s="127">
        <f t="shared" si="17"/>
        <v>1768.07</v>
      </c>
      <c r="W323" s="350">
        <f t="shared" si="74"/>
        <v>0.16039825818742628</v>
      </c>
      <c r="X323" s="397">
        <f t="shared" si="19"/>
        <v>0</v>
      </c>
      <c r="Y323" s="352">
        <f t="shared" si="20"/>
        <v>1</v>
      </c>
      <c r="Z323" s="353">
        <f t="shared" si="21"/>
        <v>14</v>
      </c>
      <c r="AA323" s="350">
        <f t="shared" si="22"/>
        <v>2.4351444003075757</v>
      </c>
      <c r="AB323" s="120" t="s">
        <v>471</v>
      </c>
    </row>
    <row r="324" spans="1:28" ht="12.75" customHeight="1">
      <c r="A324" s="120" t="s">
        <v>535</v>
      </c>
      <c r="B324" s="120" t="s">
        <v>1233</v>
      </c>
      <c r="C324" s="343" t="s">
        <v>1163</v>
      </c>
      <c r="D324" s="344" t="s">
        <v>1234</v>
      </c>
      <c r="E324" s="345">
        <f t="shared" si="68"/>
        <v>8.8435374149659865E-2</v>
      </c>
      <c r="F324" s="121" t="s">
        <v>1116</v>
      </c>
      <c r="G324" s="121" t="s">
        <v>1117</v>
      </c>
      <c r="H324" s="346">
        <f t="shared" si="51"/>
        <v>147.18</v>
      </c>
      <c r="I324" s="121">
        <v>100</v>
      </c>
      <c r="J324" s="346">
        <v>147</v>
      </c>
      <c r="K324" s="128">
        <v>14718</v>
      </c>
      <c r="L324" s="150">
        <v>44369</v>
      </c>
      <c r="M324" s="124">
        <f t="shared" si="14"/>
        <v>151.34</v>
      </c>
      <c r="N324" s="155">
        <v>151.5</v>
      </c>
      <c r="O324" s="347">
        <v>15134</v>
      </c>
      <c r="P324" s="120">
        <v>44377</v>
      </c>
      <c r="Q324" s="348">
        <v>44375</v>
      </c>
      <c r="R324" s="125">
        <v>15.93</v>
      </c>
      <c r="S324" s="125"/>
      <c r="T324" s="127">
        <f t="shared" si="73"/>
        <v>416</v>
      </c>
      <c r="U324" s="127" t="str">
        <f t="shared" si="16"/>
        <v>100 GICHSGFIN</v>
      </c>
      <c r="V324" s="127">
        <f t="shared" si="17"/>
        <v>400.07</v>
      </c>
      <c r="W324" s="350">
        <f t="shared" si="74"/>
        <v>2.7182361733931241E-2</v>
      </c>
      <c r="X324" s="397">
        <f t="shared" si="19"/>
        <v>0</v>
      </c>
      <c r="Y324" s="352">
        <f t="shared" si="20"/>
        <v>0</v>
      </c>
      <c r="Z324" s="353">
        <f t="shared" si="21"/>
        <v>8</v>
      </c>
      <c r="AA324" s="350">
        <f t="shared" si="22"/>
        <v>2.399535802028339</v>
      </c>
      <c r="AB324" s="120" t="s">
        <v>471</v>
      </c>
    </row>
    <row r="325" spans="1:28" ht="12.75" customHeight="1">
      <c r="A325" s="120" t="s">
        <v>472</v>
      </c>
      <c r="B325" s="120" t="s">
        <v>1235</v>
      </c>
      <c r="C325" s="343" t="s">
        <v>1163</v>
      </c>
      <c r="D325" s="344"/>
      <c r="E325" s="345"/>
      <c r="F325" s="121" t="s">
        <v>1121</v>
      </c>
      <c r="G325" s="121"/>
      <c r="H325" s="346">
        <v>1500</v>
      </c>
      <c r="I325" s="121">
        <v>10</v>
      </c>
      <c r="J325" s="346">
        <v>1500</v>
      </c>
      <c r="K325" s="128">
        <v>15000</v>
      </c>
      <c r="L325" s="150">
        <v>44153</v>
      </c>
      <c r="M325" s="124">
        <f t="shared" si="14"/>
        <v>1748.1410000000001</v>
      </c>
      <c r="N325" s="155">
        <v>1750</v>
      </c>
      <c r="O325" s="347">
        <v>17481.41</v>
      </c>
      <c r="P325" s="120">
        <v>44159</v>
      </c>
      <c r="Q325" s="348">
        <v>44155</v>
      </c>
      <c r="R325" s="125">
        <v>15.93</v>
      </c>
      <c r="S325" s="125"/>
      <c r="T325" s="127">
        <f t="shared" si="73"/>
        <v>2481.41</v>
      </c>
      <c r="U325" s="127" t="str">
        <f t="shared" si="16"/>
        <v>10 GLAND</v>
      </c>
      <c r="V325" s="127">
        <f t="shared" si="17"/>
        <v>2465.48</v>
      </c>
      <c r="W325" s="350">
        <f t="shared" si="74"/>
        <v>0.16436533333333334</v>
      </c>
      <c r="X325" s="397">
        <f t="shared" si="19"/>
        <v>0</v>
      </c>
      <c r="Y325" s="352">
        <f t="shared" si="20"/>
        <v>0</v>
      </c>
      <c r="Z325" s="353">
        <f t="shared" si="21"/>
        <v>6</v>
      </c>
      <c r="AA325" s="350">
        <f t="shared" si="22"/>
        <v>10480.667795198495</v>
      </c>
      <c r="AB325" s="120" t="s">
        <v>471</v>
      </c>
    </row>
    <row r="326" spans="1:28" ht="12.75" customHeight="1">
      <c r="A326" s="120" t="s">
        <v>527</v>
      </c>
      <c r="B326" s="120" t="s">
        <v>1002</v>
      </c>
      <c r="C326" s="343" t="s">
        <v>1163</v>
      </c>
      <c r="D326" s="344" t="s">
        <v>1234</v>
      </c>
      <c r="E326" s="345">
        <f t="shared" ref="E326:E329" si="75">IFERROR(IF(D326="","",(D326-J326)/J326),"")</f>
        <v>5.6105610561056105E-2</v>
      </c>
      <c r="F326" s="121" t="s">
        <v>1116</v>
      </c>
      <c r="G326" s="121" t="s">
        <v>1117</v>
      </c>
      <c r="H326" s="346">
        <f t="shared" ref="H326:H331" si="76">ROUND(K326/I326,4)</f>
        <v>151.68</v>
      </c>
      <c r="I326" s="121">
        <v>50</v>
      </c>
      <c r="J326" s="346">
        <v>151.5</v>
      </c>
      <c r="K326" s="128">
        <v>7584</v>
      </c>
      <c r="L326" s="150">
        <v>44361</v>
      </c>
      <c r="M326" s="124">
        <f t="shared" si="14"/>
        <v>160.84</v>
      </c>
      <c r="N326" s="155">
        <v>161</v>
      </c>
      <c r="O326" s="347">
        <v>8042</v>
      </c>
      <c r="P326" s="120">
        <v>44368</v>
      </c>
      <c r="Q326" s="348">
        <v>44364</v>
      </c>
      <c r="R326" s="125">
        <v>15.93</v>
      </c>
      <c r="S326" s="125"/>
      <c r="T326" s="127">
        <f t="shared" si="73"/>
        <v>458</v>
      </c>
      <c r="U326" s="127" t="str">
        <f t="shared" si="16"/>
        <v>50 GREAVESCOT</v>
      </c>
      <c r="V326" s="127">
        <f t="shared" si="17"/>
        <v>442.07</v>
      </c>
      <c r="W326" s="350">
        <f t="shared" si="74"/>
        <v>5.8289820675105485E-2</v>
      </c>
      <c r="X326" s="397">
        <f t="shared" si="19"/>
        <v>0</v>
      </c>
      <c r="Y326" s="352">
        <f t="shared" si="20"/>
        <v>0</v>
      </c>
      <c r="Z326" s="353">
        <f t="shared" si="21"/>
        <v>7</v>
      </c>
      <c r="AA326" s="350">
        <f t="shared" si="22"/>
        <v>18.184704936267874</v>
      </c>
      <c r="AB326" s="120" t="s">
        <v>471</v>
      </c>
    </row>
    <row r="327" spans="1:28" ht="12.75" customHeight="1">
      <c r="A327" s="120" t="s">
        <v>527</v>
      </c>
      <c r="B327" s="120" t="s">
        <v>1002</v>
      </c>
      <c r="C327" s="343" t="s">
        <v>1236</v>
      </c>
      <c r="D327" s="344" t="s">
        <v>1237</v>
      </c>
      <c r="E327" s="345">
        <f t="shared" si="75"/>
        <v>7.1225071225071226E-2</v>
      </c>
      <c r="F327" s="121" t="s">
        <v>1116</v>
      </c>
      <c r="G327" s="121" t="s">
        <v>1117</v>
      </c>
      <c r="H327" s="346">
        <f t="shared" si="76"/>
        <v>175.7</v>
      </c>
      <c r="I327" s="121">
        <v>50</v>
      </c>
      <c r="J327" s="346">
        <v>175.5</v>
      </c>
      <c r="K327" s="128">
        <v>8785</v>
      </c>
      <c r="L327" s="150">
        <v>44382</v>
      </c>
      <c r="M327" s="124">
        <f t="shared" si="14"/>
        <v>155.84</v>
      </c>
      <c r="N327" s="155">
        <v>156</v>
      </c>
      <c r="O327" s="347">
        <v>7792</v>
      </c>
      <c r="P327" s="120">
        <v>44566</v>
      </c>
      <c r="Q327" s="348">
        <v>44564</v>
      </c>
      <c r="R327" s="125">
        <v>15.93</v>
      </c>
      <c r="S327" s="125">
        <v>10</v>
      </c>
      <c r="T327" s="127">
        <f t="shared" si="73"/>
        <v>-993</v>
      </c>
      <c r="U327" s="127" t="str">
        <f t="shared" si="16"/>
        <v>50 GREAVESCOT</v>
      </c>
      <c r="V327" s="127">
        <f t="shared" si="17"/>
        <v>-998.93</v>
      </c>
      <c r="W327" s="350">
        <f t="shared" si="74"/>
        <v>-0.11370859419464996</v>
      </c>
      <c r="X327" s="397">
        <f t="shared" si="19"/>
        <v>0</v>
      </c>
      <c r="Y327" s="352">
        <f t="shared" si="20"/>
        <v>6</v>
      </c>
      <c r="Z327" s="353">
        <f t="shared" si="21"/>
        <v>0</v>
      </c>
      <c r="AA327" s="350">
        <f t="shared" si="22"/>
        <v>-0.21294006298179624</v>
      </c>
      <c r="AB327" s="120" t="s">
        <v>471</v>
      </c>
    </row>
    <row r="328" spans="1:28" ht="12.75" customHeight="1">
      <c r="A328" s="120" t="s">
        <v>581</v>
      </c>
      <c r="B328" s="120" t="s">
        <v>1238</v>
      </c>
      <c r="C328" s="343" t="s">
        <v>1239</v>
      </c>
      <c r="D328" s="344">
        <v>1539</v>
      </c>
      <c r="E328" s="345">
        <f t="shared" si="75"/>
        <v>0.10719424460431655</v>
      </c>
      <c r="F328" s="121" t="s">
        <v>449</v>
      </c>
      <c r="G328" s="121" t="s">
        <v>1240</v>
      </c>
      <c r="H328" s="346">
        <f t="shared" si="76"/>
        <v>1391.6</v>
      </c>
      <c r="I328" s="121">
        <v>5</v>
      </c>
      <c r="J328" s="346">
        <v>1390</v>
      </c>
      <c r="K328" s="128">
        <v>6958</v>
      </c>
      <c r="L328" s="150">
        <v>44517</v>
      </c>
      <c r="M328" s="124">
        <f t="shared" si="14"/>
        <v>1393.6</v>
      </c>
      <c r="N328" s="155">
        <v>1395</v>
      </c>
      <c r="O328" s="347">
        <v>6968</v>
      </c>
      <c r="P328" s="120">
        <v>44539</v>
      </c>
      <c r="Q328" s="348">
        <v>44537</v>
      </c>
      <c r="R328" s="125">
        <v>15.93</v>
      </c>
      <c r="S328" s="125"/>
      <c r="T328" s="127">
        <f t="shared" si="73"/>
        <v>10</v>
      </c>
      <c r="U328" s="127" t="str">
        <f t="shared" si="16"/>
        <v>5 HAVELLS</v>
      </c>
      <c r="V328" s="127">
        <f t="shared" si="17"/>
        <v>-5.93</v>
      </c>
      <c r="W328" s="350">
        <f t="shared" si="74"/>
        <v>-8.522563955159528E-4</v>
      </c>
      <c r="X328" s="397">
        <f t="shared" si="19"/>
        <v>0</v>
      </c>
      <c r="Y328" s="352">
        <f t="shared" si="20"/>
        <v>0</v>
      </c>
      <c r="Z328" s="353">
        <f t="shared" si="21"/>
        <v>22</v>
      </c>
      <c r="AA328" s="350">
        <f t="shared" si="22"/>
        <v>-1.4046156295779322E-2</v>
      </c>
      <c r="AB328" s="120" t="s">
        <v>471</v>
      </c>
    </row>
    <row r="329" spans="1:28" ht="12.75" customHeight="1">
      <c r="A329" s="120" t="s">
        <v>545</v>
      </c>
      <c r="B329" s="120" t="s">
        <v>1241</v>
      </c>
      <c r="C329" s="343" t="s">
        <v>1242</v>
      </c>
      <c r="D329" s="344" t="s">
        <v>1243</v>
      </c>
      <c r="E329" s="345">
        <f t="shared" si="75"/>
        <v>8.8929219600725931E-2</v>
      </c>
      <c r="F329" s="121" t="s">
        <v>1116</v>
      </c>
      <c r="G329" s="121" t="s">
        <v>1117</v>
      </c>
      <c r="H329" s="346">
        <f t="shared" si="76"/>
        <v>55.17</v>
      </c>
      <c r="I329" s="121">
        <v>100</v>
      </c>
      <c r="J329" s="346">
        <v>55.1</v>
      </c>
      <c r="K329" s="128">
        <v>5517</v>
      </c>
      <c r="L329" s="150">
        <v>44383</v>
      </c>
      <c r="M329" s="124">
        <f t="shared" si="14"/>
        <v>58.44</v>
      </c>
      <c r="N329" s="155">
        <v>58.5</v>
      </c>
      <c r="O329" s="347">
        <v>5844</v>
      </c>
      <c r="P329" s="120">
        <v>44489</v>
      </c>
      <c r="Q329" s="348">
        <v>44487</v>
      </c>
      <c r="R329" s="125">
        <v>15.93</v>
      </c>
      <c r="S329" s="125">
        <v>35</v>
      </c>
      <c r="T329" s="127">
        <f t="shared" si="73"/>
        <v>327</v>
      </c>
      <c r="U329" s="127" t="str">
        <f t="shared" si="16"/>
        <v>100 HBLPOWER</v>
      </c>
      <c r="V329" s="127">
        <f t="shared" si="17"/>
        <v>346.07</v>
      </c>
      <c r="W329" s="350">
        <f t="shared" si="74"/>
        <v>6.2727931847018303E-2</v>
      </c>
      <c r="X329" s="397">
        <f t="shared" si="19"/>
        <v>0</v>
      </c>
      <c r="Y329" s="352">
        <f t="shared" si="20"/>
        <v>3</v>
      </c>
      <c r="Z329" s="353">
        <f t="shared" si="21"/>
        <v>14</v>
      </c>
      <c r="AA329" s="350">
        <f t="shared" si="22"/>
        <v>0.23305299798518941</v>
      </c>
      <c r="AB329" s="120" t="s">
        <v>471</v>
      </c>
    </row>
    <row r="330" spans="1:28" ht="12.75" customHeight="1">
      <c r="A330" s="120" t="s">
        <v>492</v>
      </c>
      <c r="B330" s="120" t="s">
        <v>492</v>
      </c>
      <c r="C330" s="343" t="s">
        <v>1163</v>
      </c>
      <c r="D330" s="344"/>
      <c r="E330" s="345"/>
      <c r="F330" s="121"/>
      <c r="G330" s="121"/>
      <c r="H330" s="346">
        <f t="shared" si="76"/>
        <v>2402.8000000000002</v>
      </c>
      <c r="I330" s="121">
        <v>5</v>
      </c>
      <c r="J330" s="346">
        <v>2400</v>
      </c>
      <c r="K330" s="128">
        <v>12014</v>
      </c>
      <c r="L330" s="150">
        <v>44320</v>
      </c>
      <c r="M330" s="124">
        <f t="shared" si="14"/>
        <v>2407.4</v>
      </c>
      <c r="N330" s="155">
        <v>2410</v>
      </c>
      <c r="O330" s="347">
        <v>12037</v>
      </c>
      <c r="P330" s="120">
        <v>44326</v>
      </c>
      <c r="Q330" s="348">
        <v>44322</v>
      </c>
      <c r="R330" s="125">
        <v>15.93</v>
      </c>
      <c r="S330" s="125"/>
      <c r="T330" s="127">
        <f t="shared" si="73"/>
        <v>23</v>
      </c>
      <c r="U330" s="127" t="str">
        <f t="shared" si="16"/>
        <v>5 HDFC</v>
      </c>
      <c r="V330" s="127">
        <f t="shared" si="17"/>
        <v>7.07</v>
      </c>
      <c r="W330" s="350">
        <f t="shared" si="74"/>
        <v>5.8848010654236722E-4</v>
      </c>
      <c r="X330" s="397">
        <f t="shared" si="19"/>
        <v>0</v>
      </c>
      <c r="Y330" s="352">
        <f t="shared" si="20"/>
        <v>0</v>
      </c>
      <c r="Z330" s="353">
        <f t="shared" si="21"/>
        <v>6</v>
      </c>
      <c r="AA330" s="350">
        <f t="shared" si="22"/>
        <v>3.6436800466515651E-2</v>
      </c>
      <c r="AB330" s="120" t="s">
        <v>471</v>
      </c>
    </row>
    <row r="331" spans="1:28" ht="12.75" customHeight="1">
      <c r="A331" s="120" t="s">
        <v>499</v>
      </c>
      <c r="B331" s="120" t="s">
        <v>1244</v>
      </c>
      <c r="C331" s="343" t="s">
        <v>1163</v>
      </c>
      <c r="D331" s="344">
        <v>1525</v>
      </c>
      <c r="E331" s="345">
        <f>IFERROR(IF(D331="","",(D331-J331)/J331),"")</f>
        <v>8.9285714285714288E-2</v>
      </c>
      <c r="F331" s="121" t="s">
        <v>1116</v>
      </c>
      <c r="G331" s="121" t="s">
        <v>1185</v>
      </c>
      <c r="H331" s="346">
        <f t="shared" si="76"/>
        <v>1401.7</v>
      </c>
      <c r="I331" s="121">
        <v>10</v>
      </c>
      <c r="J331" s="346">
        <v>1400</v>
      </c>
      <c r="K331" s="128">
        <v>14017</v>
      </c>
      <c r="L331" s="150">
        <v>44327</v>
      </c>
      <c r="M331" s="124">
        <f t="shared" si="14"/>
        <v>1463.5</v>
      </c>
      <c r="N331" s="155">
        <v>1465</v>
      </c>
      <c r="O331" s="347">
        <v>14635</v>
      </c>
      <c r="P331" s="120">
        <v>44336</v>
      </c>
      <c r="Q331" s="348">
        <v>44334</v>
      </c>
      <c r="R331" s="125">
        <v>15.93</v>
      </c>
      <c r="S331" s="125"/>
      <c r="T331" s="127">
        <f t="shared" si="73"/>
        <v>618</v>
      </c>
      <c r="U331" s="127" t="str">
        <f t="shared" si="16"/>
        <v>10 HDFCBANK</v>
      </c>
      <c r="V331" s="127">
        <f t="shared" si="17"/>
        <v>602.07000000000005</v>
      </c>
      <c r="W331" s="350">
        <f t="shared" si="74"/>
        <v>4.2952842976385817E-2</v>
      </c>
      <c r="X331" s="397">
        <f t="shared" si="19"/>
        <v>0</v>
      </c>
      <c r="Y331" s="352">
        <f t="shared" si="20"/>
        <v>0</v>
      </c>
      <c r="Z331" s="353">
        <f t="shared" si="21"/>
        <v>9</v>
      </c>
      <c r="AA331" s="350">
        <f t="shared" si="22"/>
        <v>4.5047034992227442</v>
      </c>
      <c r="AB331" s="120" t="s">
        <v>471</v>
      </c>
    </row>
    <row r="332" spans="1:28" ht="12.75" customHeight="1">
      <c r="A332" s="120" t="s">
        <v>461</v>
      </c>
      <c r="B332" s="120" t="s">
        <v>1245</v>
      </c>
      <c r="C332" s="343" t="s">
        <v>1163</v>
      </c>
      <c r="D332" s="344"/>
      <c r="E332" s="345"/>
      <c r="F332" s="121"/>
      <c r="G332" s="121"/>
      <c r="H332" s="346">
        <v>1789.492</v>
      </c>
      <c r="I332" s="121">
        <v>5</v>
      </c>
      <c r="J332" s="346">
        <v>1779.45</v>
      </c>
      <c r="K332" s="128">
        <v>8947.4599999999991</v>
      </c>
      <c r="L332" s="150">
        <v>41194</v>
      </c>
      <c r="M332" s="124">
        <f t="shared" si="14"/>
        <v>1828.6780000000001</v>
      </c>
      <c r="N332" s="155">
        <v>1839</v>
      </c>
      <c r="O332" s="347">
        <v>9143.39</v>
      </c>
      <c r="P332" s="120">
        <v>41204</v>
      </c>
      <c r="Q332" s="348">
        <v>41200</v>
      </c>
      <c r="R332" s="125">
        <v>6</v>
      </c>
      <c r="S332" s="125"/>
      <c r="T332" s="127">
        <f t="shared" si="73"/>
        <v>195.93000000000029</v>
      </c>
      <c r="U332" s="127" t="str">
        <f t="shared" si="16"/>
        <v>5 HEROMOTOCO</v>
      </c>
      <c r="V332" s="127">
        <f t="shared" si="17"/>
        <v>189.93000000000029</v>
      </c>
      <c r="W332" s="350">
        <f t="shared" si="74"/>
        <v>2.1227253321054278E-2</v>
      </c>
      <c r="X332" s="397">
        <f t="shared" si="19"/>
        <v>0</v>
      </c>
      <c r="Y332" s="352">
        <f t="shared" si="20"/>
        <v>0</v>
      </c>
      <c r="Z332" s="353">
        <f t="shared" si="21"/>
        <v>10</v>
      </c>
      <c r="AA332" s="350">
        <f t="shared" si="22"/>
        <v>1.1526204532620872</v>
      </c>
      <c r="AB332" s="120" t="s">
        <v>448</v>
      </c>
    </row>
    <row r="333" spans="1:28" ht="12.75" customHeight="1">
      <c r="A333" s="120" t="s">
        <v>467</v>
      </c>
      <c r="B333" s="120" t="s">
        <v>1246</v>
      </c>
      <c r="C333" s="343" t="s">
        <v>1163</v>
      </c>
      <c r="D333" s="344"/>
      <c r="E333" s="345"/>
      <c r="F333" s="121"/>
      <c r="G333" s="121"/>
      <c r="H333" s="346">
        <v>202.81</v>
      </c>
      <c r="I333" s="121">
        <v>100</v>
      </c>
      <c r="J333" s="346">
        <v>201.8</v>
      </c>
      <c r="K333" s="128">
        <v>20281</v>
      </c>
      <c r="L333" s="150">
        <v>38855</v>
      </c>
      <c r="M333" s="124">
        <f t="shared" si="14"/>
        <v>207.14</v>
      </c>
      <c r="N333" s="155">
        <v>208.6</v>
      </c>
      <c r="O333" s="347">
        <v>20714</v>
      </c>
      <c r="P333" s="120">
        <v>42935</v>
      </c>
      <c r="Q333" s="348">
        <v>42933</v>
      </c>
      <c r="R333" s="125">
        <v>24.78</v>
      </c>
      <c r="S333" s="125">
        <f>(220+185+135)+155+140+100+100+100</f>
        <v>1135</v>
      </c>
      <c r="T333" s="127">
        <f t="shared" si="73"/>
        <v>433</v>
      </c>
      <c r="U333" s="127" t="str">
        <f t="shared" si="16"/>
        <v>100 HINDALCO</v>
      </c>
      <c r="V333" s="127">
        <f t="shared" si="17"/>
        <v>1543.22</v>
      </c>
      <c r="W333" s="350">
        <f t="shared" si="74"/>
        <v>7.6091908683003792E-2</v>
      </c>
      <c r="X333" s="397">
        <f t="shared" si="19"/>
        <v>11</v>
      </c>
      <c r="Y333" s="352">
        <f t="shared" si="20"/>
        <v>2</v>
      </c>
      <c r="Z333" s="353">
        <f t="shared" si="21"/>
        <v>1</v>
      </c>
      <c r="AA333" s="350">
        <f t="shared" si="22"/>
        <v>6.5822533385988535E-3</v>
      </c>
      <c r="AB333" s="120" t="s">
        <v>448</v>
      </c>
    </row>
    <row r="334" spans="1:28" ht="12.75" customHeight="1">
      <c r="A334" s="120" t="s">
        <v>467</v>
      </c>
      <c r="B334" s="120" t="s">
        <v>1246</v>
      </c>
      <c r="C334" s="343" t="s">
        <v>1163</v>
      </c>
      <c r="D334" s="344" t="s">
        <v>1247</v>
      </c>
      <c r="E334" s="345">
        <f t="shared" ref="E334:E340" si="77">IFERROR(IF(D334="","",(D334-J334)/J334),"")</f>
        <v>1.5789473684210527E-2</v>
      </c>
      <c r="F334" s="121" t="s">
        <v>1116</v>
      </c>
      <c r="G334" s="121" t="s">
        <v>1223</v>
      </c>
      <c r="H334" s="346">
        <f t="shared" ref="H334:H353" si="78">ROUND(K334/I334,4)</f>
        <v>380.46</v>
      </c>
      <c r="I334" s="121">
        <v>50</v>
      </c>
      <c r="J334" s="346">
        <v>380</v>
      </c>
      <c r="K334" s="128">
        <v>19023</v>
      </c>
      <c r="L334" s="150">
        <v>44375</v>
      </c>
      <c r="M334" s="124">
        <f t="shared" si="14"/>
        <v>388.6</v>
      </c>
      <c r="N334" s="155">
        <v>389</v>
      </c>
      <c r="O334" s="347">
        <v>19430</v>
      </c>
      <c r="P334" s="120">
        <v>44384</v>
      </c>
      <c r="Q334" s="348">
        <v>44382</v>
      </c>
      <c r="R334" s="125">
        <v>15.93</v>
      </c>
      <c r="S334" s="125"/>
      <c r="T334" s="127">
        <f t="shared" si="73"/>
        <v>407</v>
      </c>
      <c r="U334" s="127" t="str">
        <f t="shared" si="16"/>
        <v>50 HINDALCO</v>
      </c>
      <c r="V334" s="127">
        <f t="shared" si="17"/>
        <v>391.07</v>
      </c>
      <c r="W334" s="350">
        <f t="shared" si="74"/>
        <v>2.0557745886558378E-2</v>
      </c>
      <c r="X334" s="397">
        <f t="shared" si="19"/>
        <v>0</v>
      </c>
      <c r="Y334" s="352">
        <f t="shared" si="20"/>
        <v>0</v>
      </c>
      <c r="Z334" s="353">
        <f t="shared" si="21"/>
        <v>9</v>
      </c>
      <c r="AA334" s="350">
        <f t="shared" si="22"/>
        <v>1.2825121611392483</v>
      </c>
      <c r="AB334" s="120" t="s">
        <v>471</v>
      </c>
    </row>
    <row r="335" spans="1:28" ht="12.75" customHeight="1">
      <c r="A335" s="120" t="s">
        <v>467</v>
      </c>
      <c r="B335" s="120"/>
      <c r="C335" s="343"/>
      <c r="D335" s="344"/>
      <c r="E335" s="345" t="str">
        <f t="shared" si="77"/>
        <v/>
      </c>
      <c r="F335" s="121"/>
      <c r="G335" s="121"/>
      <c r="H335" s="346">
        <f t="shared" si="78"/>
        <v>489.78</v>
      </c>
      <c r="I335" s="121">
        <v>50</v>
      </c>
      <c r="J335" s="346">
        <v>489.2</v>
      </c>
      <c r="K335" s="128">
        <v>24489</v>
      </c>
      <c r="L335" s="150">
        <v>44572</v>
      </c>
      <c r="M335" s="124">
        <f t="shared" si="14"/>
        <v>497.98</v>
      </c>
      <c r="N335" s="155">
        <v>498.5</v>
      </c>
      <c r="O335" s="347">
        <v>24899</v>
      </c>
      <c r="P335" s="120">
        <v>44575</v>
      </c>
      <c r="Q335" s="348">
        <v>44573</v>
      </c>
      <c r="R335" s="125"/>
      <c r="S335" s="125"/>
      <c r="T335" s="127">
        <f t="shared" si="73"/>
        <v>410</v>
      </c>
      <c r="U335" s="127" t="str">
        <f t="shared" si="16"/>
        <v>50 HINDALCO</v>
      </c>
      <c r="V335" s="127">
        <f t="shared" si="17"/>
        <v>410</v>
      </c>
      <c r="W335" s="350">
        <f t="shared" si="74"/>
        <v>1.6742210788517294E-2</v>
      </c>
      <c r="X335" s="397">
        <f t="shared" si="19"/>
        <v>0</v>
      </c>
      <c r="Y335" s="352">
        <f t="shared" si="20"/>
        <v>0</v>
      </c>
      <c r="Z335" s="353">
        <f t="shared" si="21"/>
        <v>3</v>
      </c>
      <c r="AA335" s="350">
        <f t="shared" si="22"/>
        <v>6.539118466469473</v>
      </c>
      <c r="AB335" s="120" t="s">
        <v>471</v>
      </c>
    </row>
    <row r="336" spans="1:28" ht="12.75" customHeight="1">
      <c r="A336" s="120" t="s">
        <v>490</v>
      </c>
      <c r="B336" s="120" t="s">
        <v>1248</v>
      </c>
      <c r="C336" s="343" t="s">
        <v>1163</v>
      </c>
      <c r="D336" s="344">
        <v>2625</v>
      </c>
      <c r="E336" s="345">
        <f t="shared" si="77"/>
        <v>9.375E-2</v>
      </c>
      <c r="F336" s="121" t="s">
        <v>1116</v>
      </c>
      <c r="G336" s="121" t="s">
        <v>1249</v>
      </c>
      <c r="H336" s="346">
        <f t="shared" si="78"/>
        <v>2402.8000000000002</v>
      </c>
      <c r="I336" s="121">
        <v>5</v>
      </c>
      <c r="J336" s="346">
        <v>2400</v>
      </c>
      <c r="K336" s="128">
        <v>12014</v>
      </c>
      <c r="L336" s="150">
        <v>44314</v>
      </c>
      <c r="M336" s="124">
        <f t="shared" si="14"/>
        <v>2417.4</v>
      </c>
      <c r="N336" s="155">
        <v>2420</v>
      </c>
      <c r="O336" s="347">
        <v>12087</v>
      </c>
      <c r="P336" s="120">
        <v>44369</v>
      </c>
      <c r="Q336" s="348">
        <v>44365</v>
      </c>
      <c r="R336" s="125">
        <v>15.93</v>
      </c>
      <c r="S336" s="125">
        <v>85</v>
      </c>
      <c r="T336" s="127">
        <f t="shared" si="73"/>
        <v>73</v>
      </c>
      <c r="U336" s="127" t="str">
        <f t="shared" si="16"/>
        <v>5 HINDUNILVR</v>
      </c>
      <c r="V336" s="127">
        <f t="shared" si="17"/>
        <v>142.07</v>
      </c>
      <c r="W336" s="350">
        <f t="shared" si="74"/>
        <v>1.18253704011986E-2</v>
      </c>
      <c r="X336" s="397">
        <f t="shared" si="19"/>
        <v>0</v>
      </c>
      <c r="Y336" s="352">
        <f t="shared" si="20"/>
        <v>1</v>
      </c>
      <c r="Z336" s="353">
        <f t="shared" si="21"/>
        <v>25</v>
      </c>
      <c r="AA336" s="350">
        <f t="shared" si="22"/>
        <v>8.1141115269316222E-2</v>
      </c>
      <c r="AB336" s="120" t="s">
        <v>471</v>
      </c>
    </row>
    <row r="337" spans="1:28" ht="12.75" customHeight="1">
      <c r="A337" s="120" t="s">
        <v>490</v>
      </c>
      <c r="B337" s="120"/>
      <c r="C337" s="343"/>
      <c r="D337" s="344"/>
      <c r="E337" s="345" t="str">
        <f t="shared" si="77"/>
        <v/>
      </c>
      <c r="F337" s="121"/>
      <c r="G337" s="121"/>
      <c r="H337" s="346">
        <f t="shared" si="78"/>
        <v>2567.5</v>
      </c>
      <c r="I337" s="121">
        <v>2</v>
      </c>
      <c r="J337" s="346">
        <v>2564.4</v>
      </c>
      <c r="K337" s="128">
        <v>5135</v>
      </c>
      <c r="L337" s="150">
        <v>44810</v>
      </c>
      <c r="M337" s="124">
        <f t="shared" si="14"/>
        <v>2657.5</v>
      </c>
      <c r="N337" s="155">
        <v>2660</v>
      </c>
      <c r="O337" s="347">
        <v>5315</v>
      </c>
      <c r="P337" s="120">
        <v>44944</v>
      </c>
      <c r="Q337" s="348">
        <v>44943</v>
      </c>
      <c r="R337" s="125">
        <v>15.93</v>
      </c>
      <c r="S337" s="125"/>
      <c r="T337" s="127">
        <f t="shared" ref="T337:T338" si="79">IF(OR(O337="",K337=""),"",O337-K337)</f>
        <v>180</v>
      </c>
      <c r="U337" s="127" t="str">
        <f t="shared" si="16"/>
        <v>2 HINDUNILVR</v>
      </c>
      <c r="V337" s="127">
        <f t="shared" si="17"/>
        <v>164.07</v>
      </c>
      <c r="W337" s="350">
        <f t="shared" ref="W337:W338" si="80">IF(OR(K337="",V337=""),"",V337/K337)</f>
        <v>3.1951314508276533E-2</v>
      </c>
      <c r="X337" s="397">
        <f t="shared" si="19"/>
        <v>0</v>
      </c>
      <c r="Y337" s="352">
        <f t="shared" si="20"/>
        <v>4</v>
      </c>
      <c r="Z337" s="353">
        <f t="shared" si="21"/>
        <v>12</v>
      </c>
      <c r="AA337" s="350">
        <f t="shared" si="22"/>
        <v>8.9446864398252668E-2</v>
      </c>
      <c r="AB337" s="120" t="s">
        <v>471</v>
      </c>
    </row>
    <row r="338" spans="1:28" ht="12.75" customHeight="1">
      <c r="A338" s="120" t="s">
        <v>490</v>
      </c>
      <c r="B338" s="120"/>
      <c r="C338" s="343"/>
      <c r="D338" s="344"/>
      <c r="E338" s="345" t="str">
        <f t="shared" si="77"/>
        <v/>
      </c>
      <c r="F338" s="121"/>
      <c r="G338" s="121"/>
      <c r="H338" s="346">
        <f t="shared" si="78"/>
        <v>2628</v>
      </c>
      <c r="I338" s="121">
        <v>4</v>
      </c>
      <c r="J338" s="346">
        <v>2625</v>
      </c>
      <c r="K338" s="128">
        <v>10512</v>
      </c>
      <c r="L338" s="150">
        <v>44805</v>
      </c>
      <c r="M338" s="124">
        <f t="shared" si="14"/>
        <v>2657.25</v>
      </c>
      <c r="N338" s="155">
        <v>2660</v>
      </c>
      <c r="O338" s="347">
        <v>10629</v>
      </c>
      <c r="P338" s="120">
        <v>44944</v>
      </c>
      <c r="Q338" s="348">
        <v>44943</v>
      </c>
      <c r="R338" s="125">
        <v>0</v>
      </c>
      <c r="S338" s="125"/>
      <c r="T338" s="127">
        <f t="shared" si="79"/>
        <v>117</v>
      </c>
      <c r="U338" s="127" t="str">
        <f t="shared" si="16"/>
        <v>4 HINDUNILVR</v>
      </c>
      <c r="V338" s="127">
        <f t="shared" si="17"/>
        <v>117</v>
      </c>
      <c r="W338" s="350">
        <f t="shared" si="80"/>
        <v>1.1130136986301369E-2</v>
      </c>
      <c r="X338" s="397">
        <f t="shared" si="19"/>
        <v>0</v>
      </c>
      <c r="Y338" s="352">
        <f t="shared" si="20"/>
        <v>4</v>
      </c>
      <c r="Z338" s="353">
        <f t="shared" si="21"/>
        <v>17</v>
      </c>
      <c r="AA338" s="350">
        <f t="shared" si="22"/>
        <v>2.9491681635396505E-2</v>
      </c>
      <c r="AB338" s="120" t="s">
        <v>471</v>
      </c>
    </row>
    <row r="339" spans="1:28" ht="12.75" customHeight="1">
      <c r="A339" s="120" t="s">
        <v>570</v>
      </c>
      <c r="B339" s="120" t="s">
        <v>1250</v>
      </c>
      <c r="C339" s="343" t="s">
        <v>1251</v>
      </c>
      <c r="D339" s="344" t="s">
        <v>1252</v>
      </c>
      <c r="E339" s="345">
        <f t="shared" si="77"/>
        <v>0.2627857052658164</v>
      </c>
      <c r="F339" s="121" t="s">
        <v>1124</v>
      </c>
      <c r="G339" s="121" t="s">
        <v>1125</v>
      </c>
      <c r="H339" s="346">
        <f t="shared" si="78"/>
        <v>158.54</v>
      </c>
      <c r="I339" s="121">
        <v>100</v>
      </c>
      <c r="J339" s="346">
        <v>158.38</v>
      </c>
      <c r="K339" s="128">
        <v>15854</v>
      </c>
      <c r="L339" s="150">
        <v>44463</v>
      </c>
      <c r="M339" s="124">
        <f t="shared" si="14"/>
        <v>172.82</v>
      </c>
      <c r="N339" s="155">
        <v>173</v>
      </c>
      <c r="O339" s="347">
        <v>17282</v>
      </c>
      <c r="P339" s="120">
        <v>44508</v>
      </c>
      <c r="Q339" s="348">
        <v>44502</v>
      </c>
      <c r="R339" s="125">
        <v>15.93</v>
      </c>
      <c r="S339" s="125"/>
      <c r="T339" s="127">
        <f t="shared" ref="T339:T357" si="81">IF(O339="","",O339-K339)</f>
        <v>1428</v>
      </c>
      <c r="U339" s="127" t="str">
        <f t="shared" si="16"/>
        <v>100 IBREALEST</v>
      </c>
      <c r="V339" s="127">
        <f t="shared" si="17"/>
        <v>1412.07</v>
      </c>
      <c r="W339" s="350">
        <f t="shared" ref="W339:W364" si="82">IF(M339=0,"",V339/K339)</f>
        <v>8.9067112400655984E-2</v>
      </c>
      <c r="X339" s="397">
        <f t="shared" si="19"/>
        <v>0</v>
      </c>
      <c r="Y339" s="352">
        <f t="shared" si="20"/>
        <v>1</v>
      </c>
      <c r="Z339" s="353">
        <f t="shared" si="21"/>
        <v>15</v>
      </c>
      <c r="AA339" s="350">
        <f t="shared" si="22"/>
        <v>0.9978106782274716</v>
      </c>
      <c r="AB339" s="120" t="s">
        <v>471</v>
      </c>
    </row>
    <row r="340" spans="1:28" ht="12.75" customHeight="1">
      <c r="A340" s="120" t="s">
        <v>566</v>
      </c>
      <c r="B340" s="120" t="s">
        <v>1253</v>
      </c>
      <c r="C340" s="343" t="s">
        <v>1120</v>
      </c>
      <c r="D340" s="344" t="s">
        <v>1254</v>
      </c>
      <c r="E340" s="345" t="str">
        <f t="shared" si="77"/>
        <v/>
      </c>
      <c r="F340" s="121" t="s">
        <v>1255</v>
      </c>
      <c r="G340" s="121"/>
      <c r="H340" s="346">
        <f t="shared" si="78"/>
        <v>208.54</v>
      </c>
      <c r="I340" s="121">
        <v>50</v>
      </c>
      <c r="J340" s="346">
        <v>208.3</v>
      </c>
      <c r="K340" s="128">
        <v>10427</v>
      </c>
      <c r="L340" s="150">
        <v>44460</v>
      </c>
      <c r="M340" s="124">
        <f t="shared" si="14"/>
        <v>215.48</v>
      </c>
      <c r="N340" s="155">
        <v>215.7</v>
      </c>
      <c r="O340" s="347">
        <v>10774</v>
      </c>
      <c r="P340" s="120">
        <v>44463</v>
      </c>
      <c r="Q340" s="348">
        <v>44461</v>
      </c>
      <c r="R340" s="125">
        <v>15.93</v>
      </c>
      <c r="S340" s="125"/>
      <c r="T340" s="127">
        <f t="shared" si="81"/>
        <v>347</v>
      </c>
      <c r="U340" s="127" t="str">
        <f t="shared" si="16"/>
        <v>50 IBULHSGFIN</v>
      </c>
      <c r="V340" s="127">
        <f t="shared" si="17"/>
        <v>331.07</v>
      </c>
      <c r="W340" s="350">
        <f t="shared" si="82"/>
        <v>3.1751222786995298E-2</v>
      </c>
      <c r="X340" s="397">
        <f t="shared" si="19"/>
        <v>0</v>
      </c>
      <c r="Y340" s="352">
        <f t="shared" si="20"/>
        <v>0</v>
      </c>
      <c r="Z340" s="353">
        <f t="shared" si="21"/>
        <v>3</v>
      </c>
      <c r="AA340" s="350">
        <f t="shared" si="22"/>
        <v>43.83571066630978</v>
      </c>
      <c r="AB340" s="120" t="s">
        <v>471</v>
      </c>
    </row>
    <row r="341" spans="1:28" ht="12.75" customHeight="1">
      <c r="A341" s="120" t="s">
        <v>487</v>
      </c>
      <c r="B341" s="120" t="s">
        <v>993</v>
      </c>
      <c r="C341" s="343" t="s">
        <v>1256</v>
      </c>
      <c r="D341" s="344"/>
      <c r="E341" s="345"/>
      <c r="F341" s="121"/>
      <c r="G341" s="121"/>
      <c r="H341" s="346">
        <f t="shared" si="78"/>
        <v>544.48</v>
      </c>
      <c r="I341" s="121">
        <v>25</v>
      </c>
      <c r="J341" s="346">
        <v>543.81200000000001</v>
      </c>
      <c r="K341" s="128">
        <v>13612</v>
      </c>
      <c r="L341" s="150">
        <v>44299</v>
      </c>
      <c r="M341" s="124">
        <f t="shared" si="14"/>
        <v>562.91999999999996</v>
      </c>
      <c r="N341" s="155">
        <v>563.5</v>
      </c>
      <c r="O341" s="347">
        <v>14073</v>
      </c>
      <c r="P341" s="120">
        <v>44312</v>
      </c>
      <c r="Q341" s="348">
        <v>44308</v>
      </c>
      <c r="R341" s="125">
        <v>15.93</v>
      </c>
      <c r="S341" s="125"/>
      <c r="T341" s="127">
        <f t="shared" si="81"/>
        <v>461</v>
      </c>
      <c r="U341" s="127" t="str">
        <f t="shared" si="16"/>
        <v>25 ICICIBANK</v>
      </c>
      <c r="V341" s="127">
        <f t="shared" si="17"/>
        <v>445.07</v>
      </c>
      <c r="W341" s="350">
        <f t="shared" si="82"/>
        <v>3.2696885101381135E-2</v>
      </c>
      <c r="X341" s="397">
        <f t="shared" si="19"/>
        <v>0</v>
      </c>
      <c r="Y341" s="352">
        <f t="shared" si="20"/>
        <v>0</v>
      </c>
      <c r="Z341" s="353">
        <f t="shared" si="21"/>
        <v>13</v>
      </c>
      <c r="AA341" s="350">
        <f t="shared" si="22"/>
        <v>1.4678292869764729</v>
      </c>
      <c r="AB341" s="120" t="s">
        <v>471</v>
      </c>
    </row>
    <row r="342" spans="1:28" ht="12.75" customHeight="1">
      <c r="A342" s="120" t="s">
        <v>487</v>
      </c>
      <c r="B342" s="120" t="s">
        <v>993</v>
      </c>
      <c r="C342" s="343" t="s">
        <v>1256</v>
      </c>
      <c r="D342" s="344"/>
      <c r="E342" s="345"/>
      <c r="F342" s="121"/>
      <c r="G342" s="121"/>
      <c r="H342" s="346">
        <f t="shared" si="78"/>
        <v>630.76</v>
      </c>
      <c r="I342" s="121">
        <v>25</v>
      </c>
      <c r="J342" s="346">
        <v>630</v>
      </c>
      <c r="K342" s="128">
        <v>15769</v>
      </c>
      <c r="L342" s="150">
        <v>44334</v>
      </c>
      <c r="M342" s="124">
        <f t="shared" si="14"/>
        <v>658.32</v>
      </c>
      <c r="N342" s="155">
        <v>659</v>
      </c>
      <c r="O342" s="347">
        <v>16458</v>
      </c>
      <c r="P342" s="120">
        <v>44349</v>
      </c>
      <c r="Q342" s="348">
        <v>44347</v>
      </c>
      <c r="R342" s="125">
        <v>15.93</v>
      </c>
      <c r="S342" s="125"/>
      <c r="T342" s="127">
        <f t="shared" si="81"/>
        <v>689</v>
      </c>
      <c r="U342" s="127" t="str">
        <f t="shared" si="16"/>
        <v>25 ICICIBANK</v>
      </c>
      <c r="V342" s="127">
        <f t="shared" si="17"/>
        <v>673.07</v>
      </c>
      <c r="W342" s="350">
        <f t="shared" si="82"/>
        <v>4.2683112435791745E-2</v>
      </c>
      <c r="X342" s="397">
        <f t="shared" si="19"/>
        <v>0</v>
      </c>
      <c r="Y342" s="352">
        <f t="shared" si="20"/>
        <v>0</v>
      </c>
      <c r="Z342" s="353">
        <f t="shared" si="21"/>
        <v>15</v>
      </c>
      <c r="AA342" s="350">
        <f t="shared" si="22"/>
        <v>1.7650751013979247</v>
      </c>
      <c r="AB342" s="120" t="s">
        <v>471</v>
      </c>
    </row>
    <row r="343" spans="1:28" ht="12.75" customHeight="1">
      <c r="A343" s="120" t="s">
        <v>507</v>
      </c>
      <c r="B343" s="120" t="s">
        <v>1257</v>
      </c>
      <c r="C343" s="343" t="s">
        <v>1163</v>
      </c>
      <c r="D343" s="344"/>
      <c r="E343" s="345"/>
      <c r="F343" s="121" t="s">
        <v>1107</v>
      </c>
      <c r="G343" s="121"/>
      <c r="H343" s="346">
        <f t="shared" si="78"/>
        <v>8.41</v>
      </c>
      <c r="I343" s="121">
        <v>2500</v>
      </c>
      <c r="J343" s="346">
        <v>8.4</v>
      </c>
      <c r="K343" s="128">
        <v>21025</v>
      </c>
      <c r="L343" s="150">
        <v>44335</v>
      </c>
      <c r="M343" s="124">
        <f t="shared" si="14"/>
        <v>8.4911999999999992</v>
      </c>
      <c r="N343" s="155">
        <v>8.5</v>
      </c>
      <c r="O343" s="347">
        <v>21228</v>
      </c>
      <c r="P343" s="120">
        <v>44341</v>
      </c>
      <c r="Q343" s="348">
        <v>44337</v>
      </c>
      <c r="R343" s="125">
        <v>15.93</v>
      </c>
      <c r="S343" s="125"/>
      <c r="T343" s="127">
        <f t="shared" si="81"/>
        <v>203</v>
      </c>
      <c r="U343" s="127" t="str">
        <f t="shared" si="16"/>
        <v>2500 IDEA</v>
      </c>
      <c r="V343" s="127">
        <f t="shared" si="17"/>
        <v>187.07</v>
      </c>
      <c r="W343" s="350">
        <f t="shared" si="82"/>
        <v>8.8975029726516049E-3</v>
      </c>
      <c r="X343" s="397">
        <f t="shared" si="19"/>
        <v>0</v>
      </c>
      <c r="Y343" s="352">
        <f t="shared" si="20"/>
        <v>0</v>
      </c>
      <c r="Z343" s="353">
        <f t="shared" si="21"/>
        <v>6</v>
      </c>
      <c r="AA343" s="350">
        <f t="shared" si="22"/>
        <v>0.71407058415476632</v>
      </c>
      <c r="AB343" s="120" t="s">
        <v>471</v>
      </c>
    </row>
    <row r="344" spans="1:28" ht="12.75" customHeight="1">
      <c r="A344" s="120" t="s">
        <v>507</v>
      </c>
      <c r="B344" s="120" t="s">
        <v>1257</v>
      </c>
      <c r="C344" s="343" t="s">
        <v>1163</v>
      </c>
      <c r="D344" s="344"/>
      <c r="E344" s="345"/>
      <c r="F344" s="121" t="s">
        <v>1107</v>
      </c>
      <c r="G344" s="121"/>
      <c r="H344" s="346">
        <f t="shared" si="78"/>
        <v>8.51</v>
      </c>
      <c r="I344" s="121">
        <v>2500</v>
      </c>
      <c r="J344" s="346">
        <v>8.5</v>
      </c>
      <c r="K344" s="128">
        <v>21275</v>
      </c>
      <c r="L344" s="150">
        <v>44348</v>
      </c>
      <c r="M344" s="124">
        <f t="shared" si="14"/>
        <v>8.6907999999999994</v>
      </c>
      <c r="N344" s="155">
        <v>8.6999999999999993</v>
      </c>
      <c r="O344" s="347">
        <v>21727</v>
      </c>
      <c r="P344" s="120">
        <v>44354</v>
      </c>
      <c r="Q344" s="348">
        <v>44349</v>
      </c>
      <c r="R344" s="125"/>
      <c r="S344" s="125"/>
      <c r="T344" s="127">
        <f t="shared" si="81"/>
        <v>452</v>
      </c>
      <c r="U344" s="127" t="str">
        <f t="shared" si="16"/>
        <v>2500 IDEA</v>
      </c>
      <c r="V344" s="127">
        <f t="shared" si="17"/>
        <v>452</v>
      </c>
      <c r="W344" s="350">
        <f t="shared" si="82"/>
        <v>2.1245593419506464E-2</v>
      </c>
      <c r="X344" s="397">
        <f t="shared" si="19"/>
        <v>0</v>
      </c>
      <c r="Y344" s="352">
        <f t="shared" si="20"/>
        <v>0</v>
      </c>
      <c r="Z344" s="353">
        <f t="shared" si="21"/>
        <v>6</v>
      </c>
      <c r="AA344" s="350">
        <f t="shared" si="22"/>
        <v>2.5926940321901237</v>
      </c>
      <c r="AB344" s="120" t="s">
        <v>471</v>
      </c>
    </row>
    <row r="345" spans="1:28" ht="12.75" customHeight="1">
      <c r="A345" s="120" t="s">
        <v>507</v>
      </c>
      <c r="B345" s="120" t="s">
        <v>1257</v>
      </c>
      <c r="C345" s="343" t="s">
        <v>1163</v>
      </c>
      <c r="D345" s="344"/>
      <c r="E345" s="345" t="str">
        <f t="shared" ref="E345:E353" si="83">IFERROR(IF(D345="","",(D345-J345)/J345),"")</f>
        <v/>
      </c>
      <c r="F345" s="121" t="s">
        <v>1107</v>
      </c>
      <c r="G345" s="121"/>
      <c r="H345" s="346">
        <f t="shared" si="78"/>
        <v>9.7615999999999996</v>
      </c>
      <c r="I345" s="121">
        <v>2500</v>
      </c>
      <c r="J345" s="346">
        <v>9.75</v>
      </c>
      <c r="K345" s="128">
        <v>24404</v>
      </c>
      <c r="L345" s="150">
        <v>44371</v>
      </c>
      <c r="M345" s="124">
        <f t="shared" si="14"/>
        <v>9.7652000000000001</v>
      </c>
      <c r="N345" s="155">
        <v>9.7799999999999994</v>
      </c>
      <c r="O345" s="347">
        <v>24413</v>
      </c>
      <c r="P345" s="120">
        <v>44376</v>
      </c>
      <c r="Q345" s="348">
        <v>44372</v>
      </c>
      <c r="R345" s="125">
        <v>15.93</v>
      </c>
      <c r="S345" s="125"/>
      <c r="T345" s="127">
        <f t="shared" si="81"/>
        <v>9</v>
      </c>
      <c r="U345" s="127" t="str">
        <f t="shared" si="16"/>
        <v>2500 IDEA</v>
      </c>
      <c r="V345" s="127">
        <f t="shared" si="17"/>
        <v>-6.93</v>
      </c>
      <c r="W345" s="350">
        <f t="shared" si="82"/>
        <v>-2.8396984100967056E-4</v>
      </c>
      <c r="X345" s="397">
        <f t="shared" si="19"/>
        <v>0</v>
      </c>
      <c r="Y345" s="352">
        <f t="shared" si="20"/>
        <v>0</v>
      </c>
      <c r="Z345" s="353">
        <f t="shared" si="21"/>
        <v>5</v>
      </c>
      <c r="AA345" s="350">
        <f t="shared" si="22"/>
        <v>-2.0519296618406901E-2</v>
      </c>
      <c r="AB345" s="120" t="s">
        <v>471</v>
      </c>
    </row>
    <row r="346" spans="1:28" ht="12.75" customHeight="1">
      <c r="A346" s="120" t="s">
        <v>507</v>
      </c>
      <c r="B346" s="120" t="s">
        <v>1257</v>
      </c>
      <c r="C346" s="343" t="s">
        <v>1258</v>
      </c>
      <c r="D346" s="344"/>
      <c r="E346" s="345" t="str">
        <f t="shared" si="83"/>
        <v/>
      </c>
      <c r="F346" s="121" t="s">
        <v>1107</v>
      </c>
      <c r="G346" s="121"/>
      <c r="H346" s="346">
        <f t="shared" si="78"/>
        <v>10.4625</v>
      </c>
      <c r="I346" s="121">
        <v>2000</v>
      </c>
      <c r="J346" s="346">
        <v>10.45</v>
      </c>
      <c r="K346" s="128">
        <v>20925</v>
      </c>
      <c r="L346" s="150">
        <v>44375</v>
      </c>
      <c r="M346" s="124">
        <f t="shared" si="14"/>
        <v>10.689</v>
      </c>
      <c r="N346" s="155">
        <v>10.7</v>
      </c>
      <c r="O346" s="347">
        <f>42756/2</f>
        <v>21378</v>
      </c>
      <c r="P346" s="120">
        <v>44459</v>
      </c>
      <c r="Q346" s="348">
        <v>44455</v>
      </c>
      <c r="R346" s="125">
        <v>0</v>
      </c>
      <c r="S346" s="125"/>
      <c r="T346" s="127">
        <f t="shared" si="81"/>
        <v>453</v>
      </c>
      <c r="U346" s="127" t="str">
        <f t="shared" si="16"/>
        <v>2000 IDEA</v>
      </c>
      <c r="V346" s="127">
        <f t="shared" si="17"/>
        <v>453</v>
      </c>
      <c r="W346" s="350">
        <f t="shared" si="82"/>
        <v>2.1648745519713262E-2</v>
      </c>
      <c r="X346" s="397">
        <f t="shared" si="19"/>
        <v>0</v>
      </c>
      <c r="Y346" s="352">
        <f t="shared" si="20"/>
        <v>2</v>
      </c>
      <c r="Z346" s="353">
        <f t="shared" si="21"/>
        <v>23</v>
      </c>
      <c r="AA346" s="350">
        <f t="shared" si="22"/>
        <v>9.7533267396012091E-2</v>
      </c>
      <c r="AB346" s="120" t="s">
        <v>471</v>
      </c>
    </row>
    <row r="347" spans="1:28" ht="12.75" customHeight="1">
      <c r="A347" s="120" t="s">
        <v>507</v>
      </c>
      <c r="B347" s="120" t="s">
        <v>1257</v>
      </c>
      <c r="C347" s="343" t="s">
        <v>1258</v>
      </c>
      <c r="D347" s="344"/>
      <c r="E347" s="345" t="str">
        <f t="shared" si="83"/>
        <v/>
      </c>
      <c r="F347" s="121" t="s">
        <v>1107</v>
      </c>
      <c r="G347" s="121"/>
      <c r="H347" s="346">
        <f t="shared" si="78"/>
        <v>10.311999999999999</v>
      </c>
      <c r="I347" s="121">
        <v>1000</v>
      </c>
      <c r="J347" s="346">
        <v>10.3</v>
      </c>
      <c r="K347" s="128">
        <v>10312</v>
      </c>
      <c r="L347" s="150">
        <v>44376</v>
      </c>
      <c r="M347" s="124">
        <f t="shared" si="14"/>
        <v>10.689</v>
      </c>
      <c r="N347" s="155">
        <v>10.7</v>
      </c>
      <c r="O347" s="347">
        <f t="shared" ref="O347:O348" si="84">42756/4</f>
        <v>10689</v>
      </c>
      <c r="P347" s="120">
        <v>44459</v>
      </c>
      <c r="Q347" s="348">
        <v>44455</v>
      </c>
      <c r="R347" s="125">
        <v>0</v>
      </c>
      <c r="S347" s="125"/>
      <c r="T347" s="127">
        <f t="shared" si="81"/>
        <v>377</v>
      </c>
      <c r="U347" s="127" t="str">
        <f t="shared" si="16"/>
        <v>1000 IDEA</v>
      </c>
      <c r="V347" s="127">
        <f t="shared" si="17"/>
        <v>377</v>
      </c>
      <c r="W347" s="350">
        <f t="shared" si="82"/>
        <v>3.6559348332040338E-2</v>
      </c>
      <c r="X347" s="397">
        <f t="shared" si="19"/>
        <v>0</v>
      </c>
      <c r="Y347" s="352">
        <f t="shared" si="20"/>
        <v>2</v>
      </c>
      <c r="Z347" s="353">
        <f t="shared" si="21"/>
        <v>22</v>
      </c>
      <c r="AA347" s="350">
        <f t="shared" si="22"/>
        <v>0.17105362739800833</v>
      </c>
      <c r="AB347" s="120" t="s">
        <v>471</v>
      </c>
    </row>
    <row r="348" spans="1:28" ht="12.75" customHeight="1">
      <c r="A348" s="120" t="s">
        <v>507</v>
      </c>
      <c r="B348" s="120" t="s">
        <v>1257</v>
      </c>
      <c r="C348" s="343" t="s">
        <v>1258</v>
      </c>
      <c r="D348" s="344"/>
      <c r="E348" s="345" t="str">
        <f t="shared" si="83"/>
        <v/>
      </c>
      <c r="F348" s="121" t="s">
        <v>1107</v>
      </c>
      <c r="G348" s="121"/>
      <c r="H348" s="346">
        <f t="shared" si="78"/>
        <v>8.81</v>
      </c>
      <c r="I348" s="121">
        <v>1000</v>
      </c>
      <c r="J348" s="346">
        <v>8.8000000000000007</v>
      </c>
      <c r="K348" s="128">
        <v>8810</v>
      </c>
      <c r="L348" s="150">
        <v>44379</v>
      </c>
      <c r="M348" s="124">
        <f t="shared" si="14"/>
        <v>10.689</v>
      </c>
      <c r="N348" s="155">
        <v>10.7</v>
      </c>
      <c r="O348" s="347">
        <f t="shared" si="84"/>
        <v>10689</v>
      </c>
      <c r="P348" s="120">
        <v>44459</v>
      </c>
      <c r="Q348" s="348">
        <v>44455</v>
      </c>
      <c r="R348" s="125">
        <v>15.93</v>
      </c>
      <c r="S348" s="125"/>
      <c r="T348" s="127">
        <f t="shared" si="81"/>
        <v>1879</v>
      </c>
      <c r="U348" s="127" t="str">
        <f t="shared" si="16"/>
        <v>1000 IDEA</v>
      </c>
      <c r="V348" s="127">
        <f t="shared" si="17"/>
        <v>1863.07</v>
      </c>
      <c r="W348" s="350">
        <f t="shared" si="82"/>
        <v>0.21147219069239501</v>
      </c>
      <c r="X348" s="397">
        <f t="shared" si="19"/>
        <v>0</v>
      </c>
      <c r="Y348" s="352">
        <f t="shared" si="20"/>
        <v>2</v>
      </c>
      <c r="Z348" s="353">
        <f t="shared" si="21"/>
        <v>18</v>
      </c>
      <c r="AA348" s="350">
        <f t="shared" si="22"/>
        <v>1.3994826430410408</v>
      </c>
      <c r="AB348" s="120" t="s">
        <v>471</v>
      </c>
    </row>
    <row r="349" spans="1:28" ht="12.75" customHeight="1">
      <c r="A349" s="120" t="s">
        <v>507</v>
      </c>
      <c r="B349" s="120" t="s">
        <v>1257</v>
      </c>
      <c r="C349" s="343" t="s">
        <v>1258</v>
      </c>
      <c r="D349" s="344"/>
      <c r="E349" s="345" t="str">
        <f t="shared" si="83"/>
        <v/>
      </c>
      <c r="F349" s="121"/>
      <c r="G349" s="121"/>
      <c r="H349" s="346">
        <f t="shared" si="78"/>
        <v>12.805199999999999</v>
      </c>
      <c r="I349" s="121">
        <v>5000</v>
      </c>
      <c r="J349" s="346">
        <v>12.795999999999999</v>
      </c>
      <c r="K349" s="128">
        <v>64026</v>
      </c>
      <c r="L349" s="150">
        <v>44572</v>
      </c>
      <c r="M349" s="124">
        <f t="shared" si="14"/>
        <v>12.6868</v>
      </c>
      <c r="N349" s="155">
        <v>12.7</v>
      </c>
      <c r="O349" s="347">
        <v>63434</v>
      </c>
      <c r="P349" s="120">
        <v>44575</v>
      </c>
      <c r="Q349" s="348">
        <v>44573</v>
      </c>
      <c r="R349" s="125"/>
      <c r="S349" s="125"/>
      <c r="T349" s="127">
        <f t="shared" si="81"/>
        <v>-592</v>
      </c>
      <c r="U349" s="127" t="str">
        <f t="shared" si="16"/>
        <v>5000 IDEA</v>
      </c>
      <c r="V349" s="127">
        <f t="shared" si="17"/>
        <v>-592</v>
      </c>
      <c r="W349" s="350">
        <f t="shared" si="82"/>
        <v>-9.2462437134913939E-3</v>
      </c>
      <c r="X349" s="397">
        <f t="shared" si="19"/>
        <v>0</v>
      </c>
      <c r="Y349" s="352">
        <f t="shared" si="20"/>
        <v>0</v>
      </c>
      <c r="Z349" s="353">
        <f t="shared" si="21"/>
        <v>3</v>
      </c>
      <c r="AA349" s="350">
        <f t="shared" si="22"/>
        <v>-0.67702900549002143</v>
      </c>
      <c r="AB349" s="120" t="s">
        <v>471</v>
      </c>
    </row>
    <row r="350" spans="1:28" ht="12.75" customHeight="1">
      <c r="A350" s="120" t="s">
        <v>493</v>
      </c>
      <c r="B350" s="120" t="s">
        <v>493</v>
      </c>
      <c r="C350" s="343" t="s">
        <v>1163</v>
      </c>
      <c r="D350" s="344">
        <v>64</v>
      </c>
      <c r="E350" s="345">
        <f t="shared" si="83"/>
        <v>0.19402985074626863</v>
      </c>
      <c r="F350" s="121" t="s">
        <v>1116</v>
      </c>
      <c r="G350" s="121" t="s">
        <v>1185</v>
      </c>
      <c r="H350" s="346">
        <f t="shared" si="78"/>
        <v>53.67</v>
      </c>
      <c r="I350" s="121">
        <v>100</v>
      </c>
      <c r="J350" s="346">
        <v>53.6</v>
      </c>
      <c r="K350" s="128">
        <v>5367</v>
      </c>
      <c r="L350" s="150">
        <v>44320</v>
      </c>
      <c r="M350" s="124">
        <f t="shared" si="14"/>
        <v>56.09</v>
      </c>
      <c r="N350" s="155">
        <v>56.15</v>
      </c>
      <c r="O350" s="347">
        <v>5609</v>
      </c>
      <c r="P350" s="120">
        <v>44343</v>
      </c>
      <c r="Q350" s="348">
        <v>44340</v>
      </c>
      <c r="R350" s="125">
        <v>15.93</v>
      </c>
      <c r="S350" s="125"/>
      <c r="T350" s="127">
        <f t="shared" si="81"/>
        <v>242</v>
      </c>
      <c r="U350" s="127" t="str">
        <f t="shared" si="16"/>
        <v>100 IDFC</v>
      </c>
      <c r="V350" s="127">
        <f t="shared" si="17"/>
        <v>226.07</v>
      </c>
      <c r="W350" s="350">
        <f t="shared" si="82"/>
        <v>4.2122228433016579E-2</v>
      </c>
      <c r="X350" s="397">
        <f t="shared" si="19"/>
        <v>0</v>
      </c>
      <c r="Y350" s="352">
        <f t="shared" si="20"/>
        <v>0</v>
      </c>
      <c r="Z350" s="353">
        <f t="shared" si="21"/>
        <v>23</v>
      </c>
      <c r="AA350" s="350">
        <f t="shared" si="22"/>
        <v>0.92469241702475791</v>
      </c>
      <c r="AB350" s="120" t="s">
        <v>471</v>
      </c>
    </row>
    <row r="351" spans="1:28" ht="12.75" customHeight="1">
      <c r="A351" s="120" t="s">
        <v>571</v>
      </c>
      <c r="B351" s="120" t="s">
        <v>1259</v>
      </c>
      <c r="C351" s="343" t="s">
        <v>1127</v>
      </c>
      <c r="D351" s="344" t="s">
        <v>1197</v>
      </c>
      <c r="E351" s="345">
        <f t="shared" si="83"/>
        <v>3.875968992248062E-2</v>
      </c>
      <c r="F351" s="121" t="s">
        <v>1116</v>
      </c>
      <c r="G351" s="121" t="s">
        <v>1260</v>
      </c>
      <c r="H351" s="346">
        <f t="shared" si="78"/>
        <v>645.79999999999995</v>
      </c>
      <c r="I351" s="121">
        <v>10</v>
      </c>
      <c r="J351" s="346">
        <v>645</v>
      </c>
      <c r="K351" s="128">
        <v>6458</v>
      </c>
      <c r="L351" s="150">
        <v>44469</v>
      </c>
      <c r="M351" s="124">
        <f t="shared" si="14"/>
        <v>689.3</v>
      </c>
      <c r="N351" s="155">
        <v>690</v>
      </c>
      <c r="O351" s="347">
        <v>6893</v>
      </c>
      <c r="P351" s="120">
        <v>44481</v>
      </c>
      <c r="Q351" s="348">
        <v>44477</v>
      </c>
      <c r="R351" s="125">
        <v>15.93</v>
      </c>
      <c r="S351" s="125"/>
      <c r="T351" s="127">
        <f t="shared" si="81"/>
        <v>435</v>
      </c>
      <c r="U351" s="127" t="str">
        <f t="shared" si="16"/>
        <v>10 IEX</v>
      </c>
      <c r="V351" s="127">
        <f t="shared" si="17"/>
        <v>419.07</v>
      </c>
      <c r="W351" s="350">
        <f t="shared" si="82"/>
        <v>6.4891607308764324E-2</v>
      </c>
      <c r="X351" s="397">
        <f t="shared" si="19"/>
        <v>0</v>
      </c>
      <c r="Y351" s="352">
        <f t="shared" si="20"/>
        <v>0</v>
      </c>
      <c r="Z351" s="353">
        <f t="shared" si="21"/>
        <v>12</v>
      </c>
      <c r="AA351" s="350">
        <f t="shared" si="22"/>
        <v>5.769231700173747</v>
      </c>
      <c r="AB351" s="120" t="s">
        <v>471</v>
      </c>
    </row>
    <row r="352" spans="1:28" ht="12.75" customHeight="1">
      <c r="A352" s="120" t="s">
        <v>571</v>
      </c>
      <c r="B352" s="120" t="s">
        <v>1259</v>
      </c>
      <c r="C352" s="343" t="s">
        <v>1127</v>
      </c>
      <c r="D352" s="344"/>
      <c r="E352" s="345" t="str">
        <f t="shared" si="83"/>
        <v/>
      </c>
      <c r="F352" s="121"/>
      <c r="G352" s="121"/>
      <c r="H352" s="346">
        <f t="shared" si="78"/>
        <v>765.9</v>
      </c>
      <c r="I352" s="121">
        <v>10</v>
      </c>
      <c r="J352" s="346">
        <v>765</v>
      </c>
      <c r="K352" s="128">
        <v>7659</v>
      </c>
      <c r="L352" s="150">
        <v>44490</v>
      </c>
      <c r="M352" s="124">
        <f t="shared" si="14"/>
        <v>785.2</v>
      </c>
      <c r="N352" s="155">
        <v>786</v>
      </c>
      <c r="O352" s="347">
        <v>7852</v>
      </c>
      <c r="P352" s="120">
        <v>44511</v>
      </c>
      <c r="Q352" s="348">
        <v>44509</v>
      </c>
      <c r="R352" s="125">
        <v>15.93</v>
      </c>
      <c r="S352" s="125"/>
      <c r="T352" s="127">
        <f t="shared" si="81"/>
        <v>193</v>
      </c>
      <c r="U352" s="127" t="str">
        <f t="shared" si="16"/>
        <v>10 IEX</v>
      </c>
      <c r="V352" s="127">
        <f t="shared" si="17"/>
        <v>177.07</v>
      </c>
      <c r="W352" s="350">
        <f t="shared" si="82"/>
        <v>2.3119206162684421E-2</v>
      </c>
      <c r="X352" s="397">
        <f t="shared" si="19"/>
        <v>0</v>
      </c>
      <c r="Y352" s="352">
        <f t="shared" si="20"/>
        <v>0</v>
      </c>
      <c r="Z352" s="353">
        <f t="shared" si="21"/>
        <v>21</v>
      </c>
      <c r="AA352" s="350">
        <f t="shared" si="22"/>
        <v>0.48774143743479215</v>
      </c>
      <c r="AB352" s="120" t="s">
        <v>471</v>
      </c>
    </row>
    <row r="353" spans="1:28" ht="12.75" customHeight="1">
      <c r="A353" s="120" t="s">
        <v>583</v>
      </c>
      <c r="B353" s="120" t="s">
        <v>1261</v>
      </c>
      <c r="C353" s="343" t="s">
        <v>1262</v>
      </c>
      <c r="D353" s="344">
        <v>237</v>
      </c>
      <c r="E353" s="345">
        <f t="shared" si="83"/>
        <v>0.24736842105263157</v>
      </c>
      <c r="F353" s="121" t="s">
        <v>1263</v>
      </c>
      <c r="G353" s="121" t="s">
        <v>1264</v>
      </c>
      <c r="H353" s="346">
        <f t="shared" si="78"/>
        <v>190.22499999999999</v>
      </c>
      <c r="I353" s="121">
        <v>40</v>
      </c>
      <c r="J353" s="346">
        <v>190</v>
      </c>
      <c r="K353" s="128">
        <v>7609</v>
      </c>
      <c r="L353" s="150">
        <v>44536</v>
      </c>
      <c r="M353" s="124">
        <f t="shared" si="14"/>
        <v>193.55</v>
      </c>
      <c r="N353" s="155">
        <v>193.75</v>
      </c>
      <c r="O353" s="347">
        <v>7742</v>
      </c>
      <c r="P353" s="120">
        <v>44539</v>
      </c>
      <c r="Q353" s="348">
        <v>44537</v>
      </c>
      <c r="R353" s="125">
        <v>15.93</v>
      </c>
      <c r="S353" s="125"/>
      <c r="T353" s="127">
        <f t="shared" si="81"/>
        <v>133</v>
      </c>
      <c r="U353" s="127" t="str">
        <f t="shared" si="16"/>
        <v>40 INDHOTEL</v>
      </c>
      <c r="V353" s="127">
        <f t="shared" si="17"/>
        <v>117.07</v>
      </c>
      <c r="W353" s="350">
        <f t="shared" si="82"/>
        <v>1.5385727428045734E-2</v>
      </c>
      <c r="X353" s="397">
        <f t="shared" si="19"/>
        <v>0</v>
      </c>
      <c r="Y353" s="352">
        <f t="shared" si="20"/>
        <v>0</v>
      </c>
      <c r="Z353" s="353">
        <f t="shared" si="21"/>
        <v>3</v>
      </c>
      <c r="AA353" s="350">
        <f t="shared" si="22"/>
        <v>5.4088233615659238</v>
      </c>
      <c r="AB353" s="120" t="s">
        <v>471</v>
      </c>
    </row>
    <row r="354" spans="1:28" ht="12.75" customHeight="1">
      <c r="A354" s="120" t="s">
        <v>462</v>
      </c>
      <c r="B354" s="120" t="s">
        <v>1265</v>
      </c>
      <c r="C354" s="343" t="s">
        <v>1163</v>
      </c>
      <c r="D354" s="344"/>
      <c r="E354" s="345"/>
      <c r="F354" s="121"/>
      <c r="G354" s="121"/>
      <c r="H354" s="346">
        <v>226.63</v>
      </c>
      <c r="I354" s="121">
        <v>50</v>
      </c>
      <c r="J354" s="346">
        <v>225.5</v>
      </c>
      <c r="K354" s="128">
        <v>11331.5</v>
      </c>
      <c r="L354" s="150">
        <v>38847</v>
      </c>
      <c r="M354" s="124">
        <f t="shared" si="14"/>
        <v>101.4254</v>
      </c>
      <c r="N354" s="155">
        <v>102</v>
      </c>
      <c r="O354" s="347">
        <v>5071.2700000000004</v>
      </c>
      <c r="P354" s="120">
        <v>41204</v>
      </c>
      <c r="Q354" s="348">
        <v>41200</v>
      </c>
      <c r="R354" s="125">
        <v>6</v>
      </c>
      <c r="S354" s="125">
        <f>100+50+100+100+75</f>
        <v>425</v>
      </c>
      <c r="T354" s="127">
        <f t="shared" si="81"/>
        <v>-6260.23</v>
      </c>
      <c r="U354" s="127" t="str">
        <f t="shared" si="16"/>
        <v>50 INDIACEM</v>
      </c>
      <c r="V354" s="127">
        <f t="shared" si="17"/>
        <v>-5841.23</v>
      </c>
      <c r="W354" s="350">
        <f t="shared" si="82"/>
        <v>-0.51548603450558173</v>
      </c>
      <c r="X354" s="397">
        <f t="shared" si="19"/>
        <v>6</v>
      </c>
      <c r="Y354" s="352">
        <f t="shared" si="20"/>
        <v>5</v>
      </c>
      <c r="Z354" s="353">
        <f t="shared" si="21"/>
        <v>12</v>
      </c>
      <c r="AA354" s="350">
        <f t="shared" si="22"/>
        <v>-0.10614473249926148</v>
      </c>
      <c r="AB354" s="120" t="s">
        <v>448</v>
      </c>
    </row>
    <row r="355" spans="1:28" ht="12.75" customHeight="1">
      <c r="A355" s="120" t="s">
        <v>565</v>
      </c>
      <c r="B355" s="120" t="s">
        <v>1266</v>
      </c>
      <c r="C355" s="343" t="s">
        <v>1267</v>
      </c>
      <c r="D355" s="344"/>
      <c r="E355" s="345" t="str">
        <f t="shared" ref="E355:E356" si="85">IFERROR(IF(D355="","",(D355-J355)/J355),"")</f>
        <v/>
      </c>
      <c r="F355" s="121"/>
      <c r="G355" s="121"/>
      <c r="H355" s="346">
        <f t="shared" ref="H355:H356" si="86">ROUND(K355/I355,4)</f>
        <v>2162.6</v>
      </c>
      <c r="I355" s="121">
        <v>5</v>
      </c>
      <c r="J355" s="346">
        <v>2160</v>
      </c>
      <c r="K355" s="128">
        <v>10813</v>
      </c>
      <c r="L355" s="150">
        <v>44459</v>
      </c>
      <c r="M355" s="124">
        <f t="shared" si="14"/>
        <v>2231.6</v>
      </c>
      <c r="N355" s="155">
        <v>2234</v>
      </c>
      <c r="O355" s="347">
        <v>11158</v>
      </c>
      <c r="P355" s="120">
        <v>44466</v>
      </c>
      <c r="Q355" s="348">
        <v>44462</v>
      </c>
      <c r="R355" s="125">
        <v>15.93</v>
      </c>
      <c r="S355" s="125"/>
      <c r="T355" s="127">
        <f t="shared" si="81"/>
        <v>345</v>
      </c>
      <c r="U355" s="127" t="str">
        <f t="shared" si="16"/>
        <v>5 INDIGO</v>
      </c>
      <c r="V355" s="127">
        <f t="shared" si="17"/>
        <v>329.07</v>
      </c>
      <c r="W355" s="350">
        <f t="shared" si="82"/>
        <v>3.043281235549801E-2</v>
      </c>
      <c r="X355" s="397">
        <f t="shared" si="19"/>
        <v>0</v>
      </c>
      <c r="Y355" s="352">
        <f t="shared" si="20"/>
        <v>0</v>
      </c>
      <c r="Z355" s="353">
        <f t="shared" si="21"/>
        <v>7</v>
      </c>
      <c r="AA355" s="350">
        <f t="shared" si="22"/>
        <v>3.774009656685835</v>
      </c>
      <c r="AB355" s="120" t="s">
        <v>471</v>
      </c>
    </row>
    <row r="356" spans="1:28" ht="12.75" customHeight="1">
      <c r="A356" s="120" t="s">
        <v>565</v>
      </c>
      <c r="B356" s="120" t="s">
        <v>1266</v>
      </c>
      <c r="C356" s="343" t="s">
        <v>1267</v>
      </c>
      <c r="D356" s="344"/>
      <c r="E356" s="345" t="str">
        <f t="shared" si="85"/>
        <v/>
      </c>
      <c r="F356" s="121"/>
      <c r="G356" s="121"/>
      <c r="H356" s="346">
        <f t="shared" si="86"/>
        <v>2202.6</v>
      </c>
      <c r="I356" s="121">
        <v>5</v>
      </c>
      <c r="J356" s="346">
        <v>2200</v>
      </c>
      <c r="K356" s="128">
        <v>11013</v>
      </c>
      <c r="L356" s="150">
        <v>44461</v>
      </c>
      <c r="M356" s="124">
        <f t="shared" si="14"/>
        <v>2221.6</v>
      </c>
      <c r="N356" s="155">
        <v>2224</v>
      </c>
      <c r="O356" s="347">
        <v>11108</v>
      </c>
      <c r="P356" s="120">
        <v>44516</v>
      </c>
      <c r="Q356" s="348">
        <v>44512</v>
      </c>
      <c r="R356" s="125">
        <v>15.93</v>
      </c>
      <c r="S356" s="125"/>
      <c r="T356" s="127">
        <f t="shared" si="81"/>
        <v>95</v>
      </c>
      <c r="U356" s="127" t="str">
        <f t="shared" si="16"/>
        <v>5 INDIGO</v>
      </c>
      <c r="V356" s="127">
        <f t="shared" si="17"/>
        <v>79.069999999999993</v>
      </c>
      <c r="W356" s="350">
        <f t="shared" si="82"/>
        <v>7.1796967220557513E-3</v>
      </c>
      <c r="X356" s="397">
        <f t="shared" si="19"/>
        <v>0</v>
      </c>
      <c r="Y356" s="352">
        <f t="shared" si="20"/>
        <v>1</v>
      </c>
      <c r="Z356" s="353">
        <f t="shared" si="21"/>
        <v>25</v>
      </c>
      <c r="AA356" s="350">
        <f t="shared" si="22"/>
        <v>4.862192186808012E-2</v>
      </c>
      <c r="AB356" s="120" t="s">
        <v>471</v>
      </c>
    </row>
    <row r="357" spans="1:28" ht="12.75" customHeight="1">
      <c r="A357" s="120" t="s">
        <v>475</v>
      </c>
      <c r="B357" s="120" t="s">
        <v>1268</v>
      </c>
      <c r="C357" s="343" t="s">
        <v>1163</v>
      </c>
      <c r="D357" s="344"/>
      <c r="E357" s="345"/>
      <c r="F357" s="121" t="s">
        <v>1121</v>
      </c>
      <c r="G357" s="121"/>
      <c r="H357" s="346">
        <v>1490</v>
      </c>
      <c r="I357" s="121">
        <v>10</v>
      </c>
      <c r="J357" s="346">
        <v>1490</v>
      </c>
      <c r="K357" s="128">
        <v>14900</v>
      </c>
      <c r="L357" s="150">
        <v>44225</v>
      </c>
      <c r="M357" s="124">
        <f t="shared" si="14"/>
        <v>2550.223</v>
      </c>
      <c r="N357" s="155">
        <v>2552.9300000000003</v>
      </c>
      <c r="O357" s="347">
        <v>25502.23</v>
      </c>
      <c r="P357" s="120">
        <v>44231</v>
      </c>
      <c r="Q357" s="348">
        <v>44229</v>
      </c>
      <c r="R357" s="125">
        <v>15.93</v>
      </c>
      <c r="S357" s="125"/>
      <c r="T357" s="127">
        <f t="shared" si="81"/>
        <v>10602.23</v>
      </c>
      <c r="U357" s="127" t="str">
        <f t="shared" si="16"/>
        <v>10 INDIGOPNTS</v>
      </c>
      <c r="V357" s="127">
        <f t="shared" si="17"/>
        <v>10586.3</v>
      </c>
      <c r="W357" s="350">
        <f t="shared" si="82"/>
        <v>0.71048993288590601</v>
      </c>
      <c r="X357" s="397">
        <f t="shared" si="19"/>
        <v>0</v>
      </c>
      <c r="Y357" s="352">
        <f t="shared" si="20"/>
        <v>0</v>
      </c>
      <c r="Z357" s="353">
        <f t="shared" si="21"/>
        <v>6</v>
      </c>
      <c r="AA357" s="350">
        <f t="shared" si="22"/>
        <v>151879252488295.37</v>
      </c>
      <c r="AB357" s="120" t="s">
        <v>471</v>
      </c>
    </row>
    <row r="358" spans="1:28" ht="12.75" customHeight="1">
      <c r="A358" s="120" t="s">
        <v>559</v>
      </c>
      <c r="B358" s="120" t="s">
        <v>1269</v>
      </c>
      <c r="C358" s="343" t="s">
        <v>1106</v>
      </c>
      <c r="D358" s="344" t="s">
        <v>1270</v>
      </c>
      <c r="E358" s="345">
        <f t="shared" ref="E358:E370" si="87">IFERROR(IF(D358="","",(D358-J358)/J358),"")</f>
        <v>0.35458167330677293</v>
      </c>
      <c r="F358" s="121" t="s">
        <v>1124</v>
      </c>
      <c r="G358" s="121" t="s">
        <v>1264</v>
      </c>
      <c r="H358" s="346">
        <f t="shared" ref="H358:H370" si="88">ROUND(K358/I358,4)</f>
        <v>62.9</v>
      </c>
      <c r="I358" s="121">
        <v>50</v>
      </c>
      <c r="J358" s="346">
        <v>62.75</v>
      </c>
      <c r="K358" s="128">
        <v>3145</v>
      </c>
      <c r="L358" s="150">
        <v>44411</v>
      </c>
      <c r="M358" s="124">
        <f t="shared" si="14"/>
        <v>48.3</v>
      </c>
      <c r="N358" s="155">
        <v>48.4</v>
      </c>
      <c r="O358" s="347">
        <v>2415</v>
      </c>
      <c r="P358" s="120">
        <v>44567</v>
      </c>
      <c r="Q358" s="348">
        <v>44565</v>
      </c>
      <c r="R358" s="125">
        <v>15.93</v>
      </c>
      <c r="S358" s="125"/>
      <c r="T358" s="127">
        <f>IF(O358="","",O358-K358)+3</f>
        <v>-727</v>
      </c>
      <c r="U358" s="127" t="str">
        <f t="shared" si="16"/>
        <v>50 INDSUCR</v>
      </c>
      <c r="V358" s="127">
        <f t="shared" si="17"/>
        <v>-742.93</v>
      </c>
      <c r="W358" s="350">
        <f t="shared" si="82"/>
        <v>-0.23622575516693162</v>
      </c>
      <c r="X358" s="397">
        <f t="shared" si="19"/>
        <v>0</v>
      </c>
      <c r="Y358" s="352">
        <f t="shared" si="20"/>
        <v>5</v>
      </c>
      <c r="Z358" s="353">
        <f t="shared" si="21"/>
        <v>3</v>
      </c>
      <c r="AA358" s="350">
        <f t="shared" si="22"/>
        <v>-0.46923990834550489</v>
      </c>
      <c r="AB358" s="120" t="s">
        <v>471</v>
      </c>
    </row>
    <row r="359" spans="1:28" ht="12.75" customHeight="1">
      <c r="A359" s="120" t="s">
        <v>307</v>
      </c>
      <c r="B359" s="120"/>
      <c r="C359" s="343"/>
      <c r="D359" s="344"/>
      <c r="E359" s="345" t="str">
        <f t="shared" si="87"/>
        <v/>
      </c>
      <c r="F359" s="121"/>
      <c r="G359" s="121"/>
      <c r="H359" s="346">
        <f t="shared" si="88"/>
        <v>800.83330000000001</v>
      </c>
      <c r="I359" s="121">
        <v>30</v>
      </c>
      <c r="J359" s="346">
        <v>800</v>
      </c>
      <c r="K359" s="128">
        <v>24025</v>
      </c>
      <c r="L359" s="150">
        <v>44671</v>
      </c>
      <c r="M359" s="124">
        <f t="shared" si="14"/>
        <v>869.1</v>
      </c>
      <c r="N359" s="155">
        <v>870</v>
      </c>
      <c r="O359" s="347">
        <v>26073</v>
      </c>
      <c r="P359" s="120">
        <v>44680</v>
      </c>
      <c r="Q359" s="348">
        <v>44678</v>
      </c>
      <c r="R359" s="125">
        <v>15.93</v>
      </c>
      <c r="S359" s="125"/>
      <c r="T359" s="127">
        <f t="shared" ref="T359:T364" si="89">IF(O359="","",O359-K359)</f>
        <v>2048</v>
      </c>
      <c r="U359" s="127" t="str">
        <f t="shared" si="16"/>
        <v>30 INEOSSTYRO</v>
      </c>
      <c r="V359" s="127">
        <f t="shared" si="17"/>
        <v>2032.07</v>
      </c>
      <c r="W359" s="350">
        <f t="shared" si="82"/>
        <v>8.4581477627471383E-2</v>
      </c>
      <c r="X359" s="397">
        <f t="shared" si="19"/>
        <v>0</v>
      </c>
      <c r="Y359" s="352">
        <f t="shared" si="20"/>
        <v>0</v>
      </c>
      <c r="Z359" s="353">
        <f t="shared" si="21"/>
        <v>9</v>
      </c>
      <c r="AA359" s="350">
        <f t="shared" si="22"/>
        <v>25.920147484013619</v>
      </c>
      <c r="AB359" s="120" t="s">
        <v>471</v>
      </c>
    </row>
    <row r="360" spans="1:28" ht="12.75" customHeight="1">
      <c r="A360" s="120" t="s">
        <v>307</v>
      </c>
      <c r="B360" s="120"/>
      <c r="C360" s="343"/>
      <c r="D360" s="344"/>
      <c r="E360" s="345" t="str">
        <f t="shared" si="87"/>
        <v/>
      </c>
      <c r="F360" s="121"/>
      <c r="G360" s="121"/>
      <c r="H360" s="346">
        <f t="shared" si="88"/>
        <v>800.82</v>
      </c>
      <c r="I360" s="121">
        <v>50</v>
      </c>
      <c r="J360" s="346">
        <v>800</v>
      </c>
      <c r="K360" s="128">
        <v>40041</v>
      </c>
      <c r="L360" s="150">
        <v>44671</v>
      </c>
      <c r="M360" s="124">
        <f t="shared" si="14"/>
        <v>843.12</v>
      </c>
      <c r="N360" s="155">
        <v>844</v>
      </c>
      <c r="O360" s="347">
        <v>42156</v>
      </c>
      <c r="P360" s="120">
        <v>44686</v>
      </c>
      <c r="Q360" s="348">
        <v>44683</v>
      </c>
      <c r="R360" s="125">
        <v>15.93</v>
      </c>
      <c r="S360" s="125"/>
      <c r="T360" s="127">
        <f t="shared" si="89"/>
        <v>2115</v>
      </c>
      <c r="U360" s="127" t="str">
        <f t="shared" si="16"/>
        <v>50 INEOSSTYRO</v>
      </c>
      <c r="V360" s="127">
        <f t="shared" si="17"/>
        <v>2099.0700000000002</v>
      </c>
      <c r="W360" s="350">
        <f t="shared" si="82"/>
        <v>5.2423016408181616E-2</v>
      </c>
      <c r="X360" s="397">
        <f t="shared" si="19"/>
        <v>0</v>
      </c>
      <c r="Y360" s="352">
        <f t="shared" si="20"/>
        <v>0</v>
      </c>
      <c r="Z360" s="353">
        <f t="shared" si="21"/>
        <v>15</v>
      </c>
      <c r="AA360" s="350">
        <f t="shared" si="22"/>
        <v>2.4670881149376269</v>
      </c>
      <c r="AB360" s="120" t="s">
        <v>471</v>
      </c>
    </row>
    <row r="361" spans="1:28" ht="12.75" customHeight="1">
      <c r="A361" s="120" t="s">
        <v>307</v>
      </c>
      <c r="B361" s="120"/>
      <c r="C361" s="343"/>
      <c r="D361" s="344"/>
      <c r="E361" s="345" t="str">
        <f t="shared" si="87"/>
        <v/>
      </c>
      <c r="F361" s="121"/>
      <c r="G361" s="121"/>
      <c r="H361" s="346">
        <f t="shared" si="88"/>
        <v>800.82</v>
      </c>
      <c r="I361" s="121">
        <v>50</v>
      </c>
      <c r="J361" s="346">
        <v>800</v>
      </c>
      <c r="K361" s="128">
        <v>40041</v>
      </c>
      <c r="L361" s="150">
        <v>44671</v>
      </c>
      <c r="M361" s="124">
        <f t="shared" si="14"/>
        <v>872.14</v>
      </c>
      <c r="N361" s="155">
        <v>872.5</v>
      </c>
      <c r="O361" s="347">
        <v>43607</v>
      </c>
      <c r="P361" s="120">
        <v>44712</v>
      </c>
      <c r="Q361" s="348">
        <v>44708</v>
      </c>
      <c r="R361" s="125">
        <v>15.93</v>
      </c>
      <c r="S361" s="125"/>
      <c r="T361" s="127">
        <f t="shared" si="89"/>
        <v>3566</v>
      </c>
      <c r="U361" s="127" t="str">
        <f t="shared" si="16"/>
        <v>50 INEOSSTYRO</v>
      </c>
      <c r="V361" s="127">
        <f t="shared" si="17"/>
        <v>3550.07</v>
      </c>
      <c r="W361" s="350">
        <f t="shared" si="82"/>
        <v>8.8660872605579283E-2</v>
      </c>
      <c r="X361" s="397">
        <f t="shared" si="19"/>
        <v>0</v>
      </c>
      <c r="Y361" s="352">
        <f t="shared" si="20"/>
        <v>1</v>
      </c>
      <c r="Z361" s="353">
        <f t="shared" si="21"/>
        <v>11</v>
      </c>
      <c r="AA361" s="350">
        <f t="shared" si="22"/>
        <v>1.1302680271326997</v>
      </c>
      <c r="AB361" s="120" t="s">
        <v>471</v>
      </c>
    </row>
    <row r="362" spans="1:28" ht="12.75" customHeight="1">
      <c r="A362" s="120" t="s">
        <v>307</v>
      </c>
      <c r="B362" s="120"/>
      <c r="C362" s="343"/>
      <c r="D362" s="344"/>
      <c r="E362" s="345" t="str">
        <f t="shared" si="87"/>
        <v/>
      </c>
      <c r="F362" s="121"/>
      <c r="G362" s="121"/>
      <c r="H362" s="346">
        <f t="shared" si="88"/>
        <v>903.6</v>
      </c>
      <c r="I362" s="121">
        <v>25</v>
      </c>
      <c r="J362" s="346">
        <v>903</v>
      </c>
      <c r="K362" s="128">
        <v>22590</v>
      </c>
      <c r="L362" s="150">
        <v>44708</v>
      </c>
      <c r="M362" s="124">
        <f t="shared" si="14"/>
        <v>921.04</v>
      </c>
      <c r="N362" s="155">
        <v>922</v>
      </c>
      <c r="O362" s="347">
        <v>23026</v>
      </c>
      <c r="P362" s="120">
        <v>44713</v>
      </c>
      <c r="Q362" s="348">
        <v>44711</v>
      </c>
      <c r="R362" s="125">
        <v>15.93</v>
      </c>
      <c r="S362" s="125"/>
      <c r="T362" s="127">
        <f t="shared" si="89"/>
        <v>436</v>
      </c>
      <c r="U362" s="127" t="str">
        <f t="shared" si="16"/>
        <v>25 INEOSSTYRO</v>
      </c>
      <c r="V362" s="127">
        <f t="shared" si="17"/>
        <v>420.07</v>
      </c>
      <c r="W362" s="350">
        <f t="shared" si="82"/>
        <v>1.8595396193005754E-2</v>
      </c>
      <c r="X362" s="397">
        <f t="shared" si="19"/>
        <v>0</v>
      </c>
      <c r="Y362" s="352">
        <f t="shared" si="20"/>
        <v>0</v>
      </c>
      <c r="Z362" s="353">
        <f t="shared" si="21"/>
        <v>5</v>
      </c>
      <c r="AA362" s="350">
        <f t="shared" si="22"/>
        <v>2.8381748243128961</v>
      </c>
      <c r="AB362" s="120" t="s">
        <v>471</v>
      </c>
    </row>
    <row r="363" spans="1:28" ht="12.75" customHeight="1">
      <c r="A363" s="120" t="s">
        <v>307</v>
      </c>
      <c r="B363" s="120"/>
      <c r="C363" s="343"/>
      <c r="D363" s="344"/>
      <c r="E363" s="345" t="str">
        <f t="shared" si="87"/>
        <v/>
      </c>
      <c r="F363" s="121"/>
      <c r="G363" s="121"/>
      <c r="H363" s="346">
        <f t="shared" si="88"/>
        <v>800.84</v>
      </c>
      <c r="I363" s="121">
        <v>25</v>
      </c>
      <c r="J363" s="346">
        <v>800</v>
      </c>
      <c r="K363" s="128">
        <v>20021</v>
      </c>
      <c r="L363" s="150">
        <v>44671</v>
      </c>
      <c r="M363" s="124">
        <f t="shared" si="14"/>
        <v>907.08</v>
      </c>
      <c r="N363" s="155">
        <v>908</v>
      </c>
      <c r="O363" s="347">
        <v>22677</v>
      </c>
      <c r="P363" s="120">
        <v>44714</v>
      </c>
      <c r="Q363" s="348">
        <v>44712</v>
      </c>
      <c r="R363" s="125">
        <v>15.93</v>
      </c>
      <c r="S363" s="125"/>
      <c r="T363" s="127">
        <f t="shared" si="89"/>
        <v>2656</v>
      </c>
      <c r="U363" s="127" t="str">
        <f t="shared" si="16"/>
        <v>25 INEOSSTYRO</v>
      </c>
      <c r="V363" s="127">
        <f t="shared" si="17"/>
        <v>2640.07</v>
      </c>
      <c r="W363" s="350">
        <f t="shared" si="82"/>
        <v>0.1318650417062085</v>
      </c>
      <c r="X363" s="397">
        <f t="shared" si="19"/>
        <v>0</v>
      </c>
      <c r="Y363" s="352">
        <f t="shared" si="20"/>
        <v>1</v>
      </c>
      <c r="Z363" s="353">
        <f t="shared" si="21"/>
        <v>13</v>
      </c>
      <c r="AA363" s="350">
        <f t="shared" si="22"/>
        <v>1.8617321182101914</v>
      </c>
      <c r="AB363" s="120" t="s">
        <v>471</v>
      </c>
    </row>
    <row r="364" spans="1:28" ht="12.75" customHeight="1">
      <c r="A364" s="120" t="s">
        <v>307</v>
      </c>
      <c r="B364" s="120"/>
      <c r="C364" s="343"/>
      <c r="D364" s="344"/>
      <c r="E364" s="345" t="str">
        <f t="shared" si="87"/>
        <v/>
      </c>
      <c r="F364" s="121"/>
      <c r="G364" s="121"/>
      <c r="H364" s="346">
        <f t="shared" si="88"/>
        <v>800.84</v>
      </c>
      <c r="I364" s="121">
        <v>25</v>
      </c>
      <c r="J364" s="346">
        <v>800</v>
      </c>
      <c r="K364" s="128">
        <v>20021</v>
      </c>
      <c r="L364" s="150">
        <v>44671</v>
      </c>
      <c r="M364" s="124">
        <f t="shared" si="14"/>
        <v>926.04</v>
      </c>
      <c r="N364" s="155">
        <v>927</v>
      </c>
      <c r="O364" s="347">
        <v>23151</v>
      </c>
      <c r="P364" s="120">
        <v>44718</v>
      </c>
      <c r="Q364" s="348">
        <v>44714</v>
      </c>
      <c r="R364" s="125">
        <v>15.93</v>
      </c>
      <c r="S364" s="125"/>
      <c r="T364" s="127">
        <f t="shared" si="89"/>
        <v>3130</v>
      </c>
      <c r="U364" s="127" t="str">
        <f t="shared" si="16"/>
        <v>25 INEOSSTYRO</v>
      </c>
      <c r="V364" s="127">
        <f t="shared" si="17"/>
        <v>3114.07</v>
      </c>
      <c r="W364" s="350">
        <f t="shared" si="82"/>
        <v>0.15554018280805154</v>
      </c>
      <c r="X364" s="397">
        <f t="shared" si="19"/>
        <v>0</v>
      </c>
      <c r="Y364" s="352">
        <f t="shared" si="20"/>
        <v>1</v>
      </c>
      <c r="Z364" s="353">
        <f t="shared" si="21"/>
        <v>17</v>
      </c>
      <c r="AA364" s="350">
        <f t="shared" si="22"/>
        <v>2.0731661725203834</v>
      </c>
      <c r="AB364" s="120" t="s">
        <v>471</v>
      </c>
    </row>
    <row r="365" spans="1:28" ht="12.75" customHeight="1">
      <c r="A365" s="120" t="s">
        <v>307</v>
      </c>
      <c r="B365" s="120"/>
      <c r="C365" s="343"/>
      <c r="D365" s="344"/>
      <c r="E365" s="345" t="str">
        <f t="shared" si="87"/>
        <v/>
      </c>
      <c r="F365" s="121"/>
      <c r="G365" s="121"/>
      <c r="H365" s="346">
        <f t="shared" si="88"/>
        <v>800.85</v>
      </c>
      <c r="I365" s="121">
        <v>20</v>
      </c>
      <c r="J365" s="346">
        <v>800</v>
      </c>
      <c r="K365" s="128">
        <v>16017</v>
      </c>
      <c r="L365" s="150">
        <v>44671</v>
      </c>
      <c r="M365" s="124">
        <f t="shared" si="14"/>
        <v>808.2</v>
      </c>
      <c r="N365" s="155">
        <v>809.04</v>
      </c>
      <c r="O365" s="347">
        <v>16164</v>
      </c>
      <c r="P365" s="120">
        <v>44753</v>
      </c>
      <c r="Q365" s="348">
        <v>44749</v>
      </c>
      <c r="R365" s="125">
        <v>15.93</v>
      </c>
      <c r="S365" s="125"/>
      <c r="T365" s="127">
        <f t="shared" ref="T365:T370" si="90">IF(OR(O365="",K365=""),"",O365-K365)</f>
        <v>147</v>
      </c>
      <c r="U365" s="127" t="str">
        <f t="shared" si="16"/>
        <v>20 INEOSSTYRO</v>
      </c>
      <c r="V365" s="127">
        <f t="shared" si="17"/>
        <v>131.07</v>
      </c>
      <c r="W365" s="350">
        <f t="shared" ref="W365:W370" si="91">IF(OR(K365="",V365=""),"",V365/K365)</f>
        <v>8.1831803708559657E-3</v>
      </c>
      <c r="X365" s="397">
        <f t="shared" si="19"/>
        <v>0</v>
      </c>
      <c r="Y365" s="352">
        <f t="shared" si="20"/>
        <v>2</v>
      </c>
      <c r="Z365" s="353">
        <f t="shared" si="21"/>
        <v>21</v>
      </c>
      <c r="AA365" s="350">
        <f t="shared" si="22"/>
        <v>3.6942939901632332E-2</v>
      </c>
      <c r="AB365" s="120" t="s">
        <v>471</v>
      </c>
    </row>
    <row r="366" spans="1:28" ht="12.75" customHeight="1">
      <c r="A366" s="120" t="s">
        <v>307</v>
      </c>
      <c r="B366" s="120"/>
      <c r="C366" s="343"/>
      <c r="D366" s="344"/>
      <c r="E366" s="345" t="str">
        <f t="shared" si="87"/>
        <v/>
      </c>
      <c r="F366" s="121"/>
      <c r="G366" s="121"/>
      <c r="H366" s="346">
        <f t="shared" si="88"/>
        <v>800.8</v>
      </c>
      <c r="I366" s="121">
        <v>20</v>
      </c>
      <c r="J366" s="346">
        <v>800</v>
      </c>
      <c r="K366" s="128">
        <v>16016</v>
      </c>
      <c r="L366" s="150">
        <v>44671</v>
      </c>
      <c r="M366" s="124">
        <f t="shared" si="14"/>
        <v>819.15</v>
      </c>
      <c r="N366" s="155">
        <v>820</v>
      </c>
      <c r="O366" s="347">
        <v>16383</v>
      </c>
      <c r="P366" s="120">
        <v>44754</v>
      </c>
      <c r="Q366" s="348">
        <v>44750</v>
      </c>
      <c r="R366" s="125">
        <v>15.93</v>
      </c>
      <c r="S366" s="125"/>
      <c r="T366" s="127">
        <f t="shared" si="90"/>
        <v>367</v>
      </c>
      <c r="U366" s="127" t="str">
        <f t="shared" si="16"/>
        <v>20 INEOSSTYRO</v>
      </c>
      <c r="V366" s="127">
        <f t="shared" si="17"/>
        <v>351.07</v>
      </c>
      <c r="W366" s="350">
        <f t="shared" si="91"/>
        <v>2.1919955044955045E-2</v>
      </c>
      <c r="X366" s="397">
        <f t="shared" si="19"/>
        <v>0</v>
      </c>
      <c r="Y366" s="352">
        <f t="shared" si="20"/>
        <v>2</v>
      </c>
      <c r="Z366" s="353">
        <f t="shared" si="21"/>
        <v>22</v>
      </c>
      <c r="AA366" s="350">
        <f t="shared" si="22"/>
        <v>0.10004785730940036</v>
      </c>
      <c r="AB366" s="120" t="s">
        <v>471</v>
      </c>
    </row>
    <row r="367" spans="1:28" ht="12.75" customHeight="1">
      <c r="A367" s="120" t="s">
        <v>307</v>
      </c>
      <c r="B367" s="120"/>
      <c r="C367" s="343"/>
      <c r="D367" s="344"/>
      <c r="E367" s="345" t="str">
        <f t="shared" si="87"/>
        <v/>
      </c>
      <c r="F367" s="121"/>
      <c r="G367" s="121"/>
      <c r="H367" s="346">
        <f t="shared" si="88"/>
        <v>800.82929999999999</v>
      </c>
      <c r="I367" s="121">
        <v>41</v>
      </c>
      <c r="J367" s="346">
        <v>800</v>
      </c>
      <c r="K367" s="128">
        <v>32834</v>
      </c>
      <c r="L367" s="150">
        <v>44671</v>
      </c>
      <c r="M367" s="124">
        <f t="shared" si="14"/>
        <v>857.17070000000001</v>
      </c>
      <c r="N367" s="155">
        <v>858.04878048780483</v>
      </c>
      <c r="O367" s="347">
        <v>35144</v>
      </c>
      <c r="P367" s="120">
        <v>44755</v>
      </c>
      <c r="Q367" s="348">
        <v>44753</v>
      </c>
      <c r="R367" s="125">
        <v>15.93</v>
      </c>
      <c r="S367" s="125"/>
      <c r="T367" s="127">
        <f t="shared" si="90"/>
        <v>2310</v>
      </c>
      <c r="U367" s="127" t="str">
        <f t="shared" si="16"/>
        <v>41 INEOSSTYRO</v>
      </c>
      <c r="V367" s="127">
        <f t="shared" si="17"/>
        <v>2294.0700000000002</v>
      </c>
      <c r="W367" s="350">
        <f t="shared" si="91"/>
        <v>6.9868733629774013E-2</v>
      </c>
      <c r="X367" s="397">
        <f t="shared" si="19"/>
        <v>0</v>
      </c>
      <c r="Y367" s="352">
        <f t="shared" si="20"/>
        <v>2</v>
      </c>
      <c r="Z367" s="353">
        <f t="shared" si="21"/>
        <v>23</v>
      </c>
      <c r="AA367" s="350">
        <f t="shared" si="22"/>
        <v>0.34105931508940346</v>
      </c>
      <c r="AB367" s="120" t="s">
        <v>471</v>
      </c>
    </row>
    <row r="368" spans="1:28" ht="12.75" customHeight="1">
      <c r="A368" s="120" t="s">
        <v>307</v>
      </c>
      <c r="B368" s="120"/>
      <c r="C368" s="343"/>
      <c r="D368" s="344"/>
      <c r="E368" s="345" t="str">
        <f t="shared" si="87"/>
        <v/>
      </c>
      <c r="F368" s="121"/>
      <c r="G368" s="121"/>
      <c r="H368" s="346">
        <f t="shared" si="88"/>
        <v>800.8</v>
      </c>
      <c r="I368" s="121">
        <v>10</v>
      </c>
      <c r="J368" s="346">
        <v>800</v>
      </c>
      <c r="K368" s="128">
        <v>8008</v>
      </c>
      <c r="L368" s="150">
        <v>44671</v>
      </c>
      <c r="M368" s="124">
        <f t="shared" si="14"/>
        <v>869.1</v>
      </c>
      <c r="N368" s="155">
        <v>870</v>
      </c>
      <c r="O368" s="347">
        <v>8691</v>
      </c>
      <c r="P368" s="120">
        <v>44767</v>
      </c>
      <c r="Q368" s="348">
        <v>44763</v>
      </c>
      <c r="R368" s="125">
        <v>15.93</v>
      </c>
      <c r="S368" s="125"/>
      <c r="T368" s="127">
        <f t="shared" si="90"/>
        <v>683</v>
      </c>
      <c r="U368" s="127" t="str">
        <f t="shared" si="16"/>
        <v>10 INEOSSTYRO</v>
      </c>
      <c r="V368" s="127">
        <f t="shared" si="17"/>
        <v>667.07</v>
      </c>
      <c r="W368" s="350">
        <f t="shared" si="91"/>
        <v>8.330044955044956E-2</v>
      </c>
      <c r="X368" s="397">
        <f t="shared" si="19"/>
        <v>0</v>
      </c>
      <c r="Y368" s="352">
        <f t="shared" si="20"/>
        <v>3</v>
      </c>
      <c r="Z368" s="353">
        <f t="shared" si="21"/>
        <v>5</v>
      </c>
      <c r="AA368" s="350">
        <f t="shared" si="22"/>
        <v>0.35555861805113786</v>
      </c>
      <c r="AB368" s="120" t="s">
        <v>471</v>
      </c>
    </row>
    <row r="369" spans="1:28" ht="12.75" customHeight="1">
      <c r="A369" s="120" t="s">
        <v>307</v>
      </c>
      <c r="B369" s="120"/>
      <c r="C369" s="343"/>
      <c r="D369" s="344"/>
      <c r="E369" s="345" t="str">
        <f t="shared" si="87"/>
        <v/>
      </c>
      <c r="F369" s="121"/>
      <c r="G369" s="121"/>
      <c r="H369" s="346">
        <f t="shared" si="88"/>
        <v>800.88890000000004</v>
      </c>
      <c r="I369" s="121">
        <v>9</v>
      </c>
      <c r="J369" s="346">
        <v>800</v>
      </c>
      <c r="K369" s="128">
        <v>7208</v>
      </c>
      <c r="L369" s="150">
        <v>44671</v>
      </c>
      <c r="M369" s="124">
        <f t="shared" si="14"/>
        <v>879.11109999999996</v>
      </c>
      <c r="N369" s="155">
        <v>880</v>
      </c>
      <c r="O369" s="347">
        <v>7912</v>
      </c>
      <c r="P369" s="120">
        <v>44768</v>
      </c>
      <c r="Q369" s="348">
        <v>44764</v>
      </c>
      <c r="R369" s="125">
        <v>15.93</v>
      </c>
      <c r="S369" s="125"/>
      <c r="T369" s="127">
        <f t="shared" si="90"/>
        <v>704</v>
      </c>
      <c r="U369" s="127" t="str">
        <f t="shared" si="16"/>
        <v>9 INEOSSTYRO</v>
      </c>
      <c r="V369" s="127">
        <f t="shared" si="17"/>
        <v>688.07</v>
      </c>
      <c r="W369" s="350">
        <f t="shared" si="91"/>
        <v>9.5459211986681475E-2</v>
      </c>
      <c r="X369" s="397">
        <f t="shared" si="19"/>
        <v>0</v>
      </c>
      <c r="Y369" s="352">
        <f t="shared" si="20"/>
        <v>3</v>
      </c>
      <c r="Z369" s="353">
        <f t="shared" si="21"/>
        <v>6</v>
      </c>
      <c r="AA369" s="350">
        <f t="shared" si="22"/>
        <v>0.40927599601233156</v>
      </c>
      <c r="AB369" s="120" t="s">
        <v>471</v>
      </c>
    </row>
    <row r="370" spans="1:28" ht="12.75" customHeight="1">
      <c r="A370" s="120" t="s">
        <v>307</v>
      </c>
      <c r="B370" s="120"/>
      <c r="C370" s="343"/>
      <c r="D370" s="344"/>
      <c r="E370" s="345" t="str">
        <f t="shared" si="87"/>
        <v/>
      </c>
      <c r="F370" s="121"/>
      <c r="G370" s="121"/>
      <c r="H370" s="346">
        <f t="shared" si="88"/>
        <v>840.6</v>
      </c>
      <c r="I370" s="121">
        <v>5</v>
      </c>
      <c r="J370" s="346">
        <v>839.6</v>
      </c>
      <c r="K370" s="128">
        <v>4203</v>
      </c>
      <c r="L370" s="150">
        <v>44770</v>
      </c>
      <c r="M370" s="124">
        <f t="shared" si="14"/>
        <v>828.2</v>
      </c>
      <c r="N370" s="155">
        <v>829</v>
      </c>
      <c r="O370" s="347">
        <v>4141</v>
      </c>
      <c r="P370" s="120">
        <v>44790</v>
      </c>
      <c r="Q370" s="348">
        <v>44785</v>
      </c>
      <c r="R370" s="125">
        <v>15.93</v>
      </c>
      <c r="S370" s="125"/>
      <c r="T370" s="127">
        <f t="shared" si="90"/>
        <v>-62</v>
      </c>
      <c r="U370" s="127" t="str">
        <f t="shared" si="16"/>
        <v>5 INEOSSTYRO</v>
      </c>
      <c r="V370" s="127">
        <f t="shared" si="17"/>
        <v>-77.930000000000007</v>
      </c>
      <c r="W370" s="350">
        <f t="shared" si="91"/>
        <v>-1.8541517963359507E-2</v>
      </c>
      <c r="X370" s="397">
        <f t="shared" si="19"/>
        <v>0</v>
      </c>
      <c r="Y370" s="352">
        <f t="shared" si="20"/>
        <v>0</v>
      </c>
      <c r="Z370" s="353">
        <f t="shared" si="21"/>
        <v>20</v>
      </c>
      <c r="AA370" s="350">
        <f t="shared" si="22"/>
        <v>-0.28933852800811521</v>
      </c>
      <c r="AB370" s="120" t="s">
        <v>471</v>
      </c>
    </row>
    <row r="371" spans="1:28" ht="12.75" customHeight="1">
      <c r="A371" s="120" t="s">
        <v>458</v>
      </c>
      <c r="B371" s="120" t="s">
        <v>1271</v>
      </c>
      <c r="C371" s="343" t="s">
        <v>1163</v>
      </c>
      <c r="D371" s="344"/>
      <c r="E371" s="345"/>
      <c r="F371" s="121"/>
      <c r="G371" s="121"/>
      <c r="H371" s="346">
        <v>2103.6799999999998</v>
      </c>
      <c r="I371" s="121">
        <v>2</v>
      </c>
      <c r="J371" s="346">
        <v>2093.21</v>
      </c>
      <c r="K371" s="128">
        <v>4207.3599999999997</v>
      </c>
      <c r="L371" s="150">
        <v>39143</v>
      </c>
      <c r="M371" s="124">
        <f t="shared" si="14"/>
        <v>2427.69</v>
      </c>
      <c r="N371" s="155">
        <v>2442</v>
      </c>
      <c r="O371" s="347">
        <v>4855.38</v>
      </c>
      <c r="P371" s="120">
        <v>41032</v>
      </c>
      <c r="Q371" s="348">
        <v>41030</v>
      </c>
      <c r="R371" s="125">
        <v>6</v>
      </c>
      <c r="S371" s="125">
        <f>77+13+12+55+20+27+20+30+80+28</f>
        <v>362</v>
      </c>
      <c r="T371" s="127">
        <f>IF(O371="","",O371-K371)</f>
        <v>648.02000000000044</v>
      </c>
      <c r="U371" s="127" t="str">
        <f t="shared" si="16"/>
        <v>2 INFY</v>
      </c>
      <c r="V371" s="127">
        <f t="shared" si="17"/>
        <v>1004.0200000000004</v>
      </c>
      <c r="W371" s="350">
        <f>IF(M371=0,"",V371/K371)</f>
        <v>0.23863420292059642</v>
      </c>
      <c r="X371" s="397">
        <f t="shared" si="19"/>
        <v>5</v>
      </c>
      <c r="Y371" s="352">
        <f t="shared" si="20"/>
        <v>2</v>
      </c>
      <c r="Z371" s="353">
        <f t="shared" si="21"/>
        <v>1</v>
      </c>
      <c r="AA371" s="350">
        <f t="shared" si="22"/>
        <v>4.2218612386734078E-2</v>
      </c>
      <c r="AB371" s="120" t="s">
        <v>448</v>
      </c>
    </row>
    <row r="372" spans="1:28" ht="12.75" customHeight="1">
      <c r="A372" s="120" t="s">
        <v>458</v>
      </c>
      <c r="B372" s="120"/>
      <c r="C372" s="343"/>
      <c r="D372" s="344"/>
      <c r="E372" s="345" t="str">
        <f t="shared" ref="E372:E374" si="92">IFERROR(IF(D372="","",(D372-J372)/J372),"")</f>
        <v/>
      </c>
      <c r="F372" s="121"/>
      <c r="G372" s="121"/>
      <c r="H372" s="346">
        <f t="shared" ref="H372:H374" si="93">ROUND(K372/I372,4)</f>
        <v>1487.8</v>
      </c>
      <c r="I372" s="121">
        <v>5</v>
      </c>
      <c r="J372" s="346">
        <v>1486</v>
      </c>
      <c r="K372" s="128">
        <v>7439</v>
      </c>
      <c r="L372" s="150">
        <v>44818</v>
      </c>
      <c r="M372" s="124">
        <f t="shared" si="14"/>
        <v>1618.2</v>
      </c>
      <c r="N372" s="155">
        <v>1620</v>
      </c>
      <c r="O372" s="347">
        <v>8091</v>
      </c>
      <c r="P372" s="120">
        <v>44893</v>
      </c>
      <c r="Q372" s="348">
        <v>44889</v>
      </c>
      <c r="R372" s="125">
        <v>0</v>
      </c>
      <c r="S372" s="125"/>
      <c r="T372" s="127">
        <f t="shared" ref="T372:T374" si="94">IF(OR(O372="",K372=""),"",O372-K372)</f>
        <v>652</v>
      </c>
      <c r="U372" s="127" t="str">
        <f t="shared" si="16"/>
        <v>5 INFY</v>
      </c>
      <c r="V372" s="127">
        <f t="shared" si="17"/>
        <v>652</v>
      </c>
      <c r="W372" s="350">
        <f t="shared" ref="W372:W374" si="95">IF(OR(K372="",V372=""),"",V372/K372)</f>
        <v>8.7646189003898367E-2</v>
      </c>
      <c r="X372" s="397">
        <f t="shared" si="19"/>
        <v>0</v>
      </c>
      <c r="Y372" s="352">
        <f t="shared" si="20"/>
        <v>2</v>
      </c>
      <c r="Z372" s="353">
        <f t="shared" si="21"/>
        <v>14</v>
      </c>
      <c r="AA372" s="350">
        <f t="shared" si="22"/>
        <v>0.50512716231938515</v>
      </c>
      <c r="AB372" s="120" t="s">
        <v>471</v>
      </c>
    </row>
    <row r="373" spans="1:28" ht="12.75" customHeight="1">
      <c r="A373" s="120" t="s">
        <v>458</v>
      </c>
      <c r="B373" s="120"/>
      <c r="C373" s="343"/>
      <c r="D373" s="344"/>
      <c r="E373" s="345" t="str">
        <f t="shared" si="92"/>
        <v/>
      </c>
      <c r="F373" s="121"/>
      <c r="G373" s="121"/>
      <c r="H373" s="346">
        <f t="shared" si="93"/>
        <v>1456.5</v>
      </c>
      <c r="I373" s="121">
        <v>2</v>
      </c>
      <c r="J373" s="346">
        <v>1455</v>
      </c>
      <c r="K373" s="128">
        <v>2913</v>
      </c>
      <c r="L373" s="150">
        <v>44810</v>
      </c>
      <c r="M373" s="124">
        <f t="shared" si="14"/>
        <v>1618.5</v>
      </c>
      <c r="N373" s="155">
        <v>1620</v>
      </c>
      <c r="O373" s="347">
        <v>3237</v>
      </c>
      <c r="P373" s="120">
        <v>44893</v>
      </c>
      <c r="Q373" s="348">
        <v>44889</v>
      </c>
      <c r="R373" s="125">
        <v>15.93</v>
      </c>
      <c r="S373" s="125"/>
      <c r="T373" s="127">
        <f t="shared" si="94"/>
        <v>324</v>
      </c>
      <c r="U373" s="127" t="str">
        <f t="shared" si="16"/>
        <v>2 INFY</v>
      </c>
      <c r="V373" s="127">
        <f t="shared" si="17"/>
        <v>308.07</v>
      </c>
      <c r="W373" s="350">
        <f t="shared" si="95"/>
        <v>0.10575695159629248</v>
      </c>
      <c r="X373" s="397">
        <f t="shared" si="19"/>
        <v>0</v>
      </c>
      <c r="Y373" s="352">
        <f t="shared" si="20"/>
        <v>2</v>
      </c>
      <c r="Z373" s="353">
        <f t="shared" si="21"/>
        <v>22</v>
      </c>
      <c r="AA373" s="350">
        <f t="shared" si="22"/>
        <v>0.55595624722416148</v>
      </c>
      <c r="AB373" s="120" t="s">
        <v>471</v>
      </c>
    </row>
    <row r="374" spans="1:28" ht="12.75" customHeight="1">
      <c r="A374" s="120" t="s">
        <v>558</v>
      </c>
      <c r="B374" s="120" t="s">
        <v>1272</v>
      </c>
      <c r="C374" s="343" t="s">
        <v>1273</v>
      </c>
      <c r="D374" s="344" t="s">
        <v>1274</v>
      </c>
      <c r="E374" s="345">
        <f t="shared" si="92"/>
        <v>4.9382716049382713E-2</v>
      </c>
      <c r="F374" s="121" t="s">
        <v>1124</v>
      </c>
      <c r="G374" s="121" t="s">
        <v>1275</v>
      </c>
      <c r="H374" s="346">
        <f t="shared" si="93"/>
        <v>811</v>
      </c>
      <c r="I374" s="121">
        <v>4</v>
      </c>
      <c r="J374" s="346">
        <v>810</v>
      </c>
      <c r="K374" s="128">
        <v>3244</v>
      </c>
      <c r="L374" s="150">
        <v>44410</v>
      </c>
      <c r="M374" s="124">
        <f t="shared" si="14"/>
        <v>821.25</v>
      </c>
      <c r="N374" s="155">
        <v>822</v>
      </c>
      <c r="O374" s="347">
        <v>3285</v>
      </c>
      <c r="P374" s="120">
        <v>44728</v>
      </c>
      <c r="Q374" s="348">
        <v>44726</v>
      </c>
      <c r="R374" s="125">
        <v>15.93</v>
      </c>
      <c r="S374" s="125"/>
      <c r="T374" s="127">
        <f t="shared" si="94"/>
        <v>41</v>
      </c>
      <c r="U374" s="127" t="str">
        <f t="shared" si="16"/>
        <v>4 INSECTICID</v>
      </c>
      <c r="V374" s="127">
        <f t="shared" si="17"/>
        <v>25.07</v>
      </c>
      <c r="W374" s="350">
        <f t="shared" si="95"/>
        <v>7.7281134401972875E-3</v>
      </c>
      <c r="X374" s="397">
        <f t="shared" si="19"/>
        <v>0</v>
      </c>
      <c r="Y374" s="352">
        <f t="shared" si="20"/>
        <v>10</v>
      </c>
      <c r="Z374" s="353">
        <f t="shared" si="21"/>
        <v>14</v>
      </c>
      <c r="AA374" s="350">
        <f t="shared" si="22"/>
        <v>8.8753736675479811E-3</v>
      </c>
      <c r="AB374" s="120" t="s">
        <v>471</v>
      </c>
    </row>
    <row r="375" spans="1:28" ht="12.75" customHeight="1">
      <c r="A375" s="120" t="s">
        <v>476</v>
      </c>
      <c r="B375" s="120" t="s">
        <v>1276</v>
      </c>
      <c r="C375" s="343" t="s">
        <v>1163</v>
      </c>
      <c r="D375" s="344"/>
      <c r="E375" s="345"/>
      <c r="F375" s="121"/>
      <c r="G375" s="121"/>
      <c r="H375" s="346">
        <v>15.5</v>
      </c>
      <c r="I375" s="121">
        <v>10000</v>
      </c>
      <c r="J375" s="346">
        <v>15.5</v>
      </c>
      <c r="K375" s="128">
        <v>155000</v>
      </c>
      <c r="L375" s="150">
        <v>44243</v>
      </c>
      <c r="M375" s="124">
        <f t="shared" si="14"/>
        <v>12.561999999999999</v>
      </c>
      <c r="N375" s="155">
        <v>12.58</v>
      </c>
      <c r="O375" s="347">
        <v>125620</v>
      </c>
      <c r="P375" s="120">
        <v>44245</v>
      </c>
      <c r="Q375" s="348">
        <v>44245</v>
      </c>
      <c r="R375" s="125"/>
      <c r="S375" s="125"/>
      <c r="T375" s="127">
        <f t="shared" ref="T375:T381" si="96">IF(O375="","",O375-K375)</f>
        <v>-29380</v>
      </c>
      <c r="U375" s="127" t="str">
        <f t="shared" si="16"/>
        <v>10000 IOB</v>
      </c>
      <c r="V375" s="127">
        <f t="shared" si="17"/>
        <v>-29380</v>
      </c>
      <c r="W375" s="350">
        <f>IF(M375=0,"",(M375-H375)/H375)</f>
        <v>-0.18954838709677424</v>
      </c>
      <c r="X375" s="397">
        <f t="shared" si="19"/>
        <v>0</v>
      </c>
      <c r="Y375" s="352">
        <f t="shared" si="20"/>
        <v>0</v>
      </c>
      <c r="Z375" s="353">
        <f t="shared" si="21"/>
        <v>2</v>
      </c>
      <c r="AA375" s="350">
        <f>IFERROR((O375/K375)^(1/((P375-L375)/365))-1,"")</f>
        <v>-1</v>
      </c>
      <c r="AB375" s="120" t="s">
        <v>471</v>
      </c>
    </row>
    <row r="376" spans="1:28" ht="12.75" customHeight="1">
      <c r="A376" s="120" t="s">
        <v>503</v>
      </c>
      <c r="B376" s="120" t="s">
        <v>1277</v>
      </c>
      <c r="C376" s="343" t="s">
        <v>1163</v>
      </c>
      <c r="D376" s="344" t="s">
        <v>1278</v>
      </c>
      <c r="E376" s="345">
        <f>IFERROR(IF(D376="","",(D376-J376)/J376),"")</f>
        <v>0.14832535885167464</v>
      </c>
      <c r="F376" s="121" t="s">
        <v>1124</v>
      </c>
      <c r="G376" s="121" t="s">
        <v>1125</v>
      </c>
      <c r="H376" s="346">
        <f t="shared" ref="H376:H405" si="97">ROUND(K376/I376,4)</f>
        <v>104.62</v>
      </c>
      <c r="I376" s="121">
        <v>100</v>
      </c>
      <c r="J376" s="346">
        <v>104.5</v>
      </c>
      <c r="K376" s="128">
        <v>10462</v>
      </c>
      <c r="L376" s="150">
        <v>44328</v>
      </c>
      <c r="M376" s="124">
        <f t="shared" si="14"/>
        <v>106.64</v>
      </c>
      <c r="N376" s="155">
        <v>106.75</v>
      </c>
      <c r="O376" s="347">
        <v>10664</v>
      </c>
      <c r="P376" s="120">
        <v>44343</v>
      </c>
      <c r="Q376" s="348">
        <v>44340</v>
      </c>
      <c r="R376" s="125">
        <v>15.93</v>
      </c>
      <c r="S376" s="125"/>
      <c r="T376" s="127">
        <f t="shared" si="96"/>
        <v>202</v>
      </c>
      <c r="U376" s="127" t="str">
        <f t="shared" si="16"/>
        <v>100 IOC</v>
      </c>
      <c r="V376" s="127">
        <f t="shared" si="17"/>
        <v>186.07</v>
      </c>
      <c r="W376" s="350">
        <f t="shared" ref="W376:W381" si="98">IF(M376=0,"",V376/K376)</f>
        <v>1.7785318294781111E-2</v>
      </c>
      <c r="X376" s="397">
        <f t="shared" si="19"/>
        <v>0</v>
      </c>
      <c r="Y376" s="352">
        <f t="shared" si="20"/>
        <v>0</v>
      </c>
      <c r="Z376" s="353">
        <f t="shared" si="21"/>
        <v>15</v>
      </c>
      <c r="AA376" s="350">
        <f t="shared" ref="AA376:AA405" si="99">IF(O376="","",IFERROR(((O376+S376-R376)/K376)^(1/((P376-L376)/365))-1,""))</f>
        <v>0.53567892514158433</v>
      </c>
      <c r="AB376" s="120" t="s">
        <v>471</v>
      </c>
    </row>
    <row r="377" spans="1:28" ht="12.75" customHeight="1">
      <c r="A377" s="120" t="s">
        <v>498</v>
      </c>
      <c r="B377" s="120" t="s">
        <v>1279</v>
      </c>
      <c r="C377" s="343" t="s">
        <v>1163</v>
      </c>
      <c r="D377" s="344"/>
      <c r="E377" s="345"/>
      <c r="F377" s="121" t="s">
        <v>1121</v>
      </c>
      <c r="G377" s="121"/>
      <c r="H377" s="346">
        <f t="shared" si="97"/>
        <v>26</v>
      </c>
      <c r="I377" s="121">
        <f>575+500</f>
        <v>1075</v>
      </c>
      <c r="J377" s="346">
        <v>26</v>
      </c>
      <c r="K377" s="128">
        <f>14950+13000</f>
        <v>27950</v>
      </c>
      <c r="L377" s="150">
        <v>44223</v>
      </c>
      <c r="M377" s="124">
        <f t="shared" si="14"/>
        <v>21.177700000000002</v>
      </c>
      <c r="N377" s="155">
        <v>21.2</v>
      </c>
      <c r="O377" s="347">
        <v>22766</v>
      </c>
      <c r="P377" s="120">
        <v>44328</v>
      </c>
      <c r="Q377" s="348">
        <v>44326</v>
      </c>
      <c r="R377" s="125">
        <f>35.4+35.4+29.5</f>
        <v>100.3</v>
      </c>
      <c r="S377" s="125">
        <v>603.75</v>
      </c>
      <c r="T377" s="127">
        <f t="shared" si="96"/>
        <v>-5184</v>
      </c>
      <c r="U377" s="127" t="str">
        <f t="shared" si="16"/>
        <v>1075 IRFC</v>
      </c>
      <c r="V377" s="127">
        <f t="shared" si="17"/>
        <v>-4680.55</v>
      </c>
      <c r="W377" s="350">
        <f t="shared" si="98"/>
        <v>-0.16746153846153847</v>
      </c>
      <c r="X377" s="397">
        <f t="shared" si="19"/>
        <v>0</v>
      </c>
      <c r="Y377" s="352">
        <f t="shared" si="20"/>
        <v>3</v>
      </c>
      <c r="Z377" s="353">
        <f t="shared" si="21"/>
        <v>15</v>
      </c>
      <c r="AA377" s="350">
        <f t="shared" si="99"/>
        <v>-0.47117715649245828</v>
      </c>
      <c r="AB377" s="120" t="s">
        <v>471</v>
      </c>
    </row>
    <row r="378" spans="1:28" ht="12.75" customHeight="1">
      <c r="A378" s="120" t="s">
        <v>498</v>
      </c>
      <c r="B378" s="120" t="s">
        <v>1279</v>
      </c>
      <c r="C378" s="343" t="s">
        <v>1120</v>
      </c>
      <c r="D378" s="344"/>
      <c r="E378" s="345" t="str">
        <f t="shared" ref="E378:E405" si="100">IFERROR(IF(D378="","",(D378-J378)/J378),"")</f>
        <v/>
      </c>
      <c r="F378" s="121" t="s">
        <v>1107</v>
      </c>
      <c r="G378" s="121"/>
      <c r="H378" s="346">
        <f t="shared" si="97"/>
        <v>26</v>
      </c>
      <c r="I378" s="121">
        <f>575-500</f>
        <v>75</v>
      </c>
      <c r="J378" s="346">
        <v>26</v>
      </c>
      <c r="K378" s="128">
        <v>1950</v>
      </c>
      <c r="L378" s="150">
        <v>44216</v>
      </c>
      <c r="M378" s="124">
        <f t="shared" si="14"/>
        <v>24.224299999999999</v>
      </c>
      <c r="N378" s="155">
        <v>24.25</v>
      </c>
      <c r="O378" s="347">
        <f>13929/575*75</f>
        <v>1816.8260869565215</v>
      </c>
      <c r="P378" s="120">
        <v>44489</v>
      </c>
      <c r="Q378" s="348">
        <v>44487</v>
      </c>
      <c r="R378" s="125">
        <v>15.93</v>
      </c>
      <c r="S378" s="125"/>
      <c r="T378" s="127">
        <f t="shared" si="96"/>
        <v>-133.17391304347848</v>
      </c>
      <c r="U378" s="127" t="str">
        <f t="shared" si="16"/>
        <v>75 IRFC</v>
      </c>
      <c r="V378" s="127">
        <f t="shared" si="17"/>
        <v>-149.10391304347849</v>
      </c>
      <c r="W378" s="350">
        <f t="shared" si="98"/>
        <v>-7.6463545150501785E-2</v>
      </c>
      <c r="X378" s="397">
        <f t="shared" si="19"/>
        <v>0</v>
      </c>
      <c r="Y378" s="352">
        <f t="shared" si="20"/>
        <v>9</v>
      </c>
      <c r="Z378" s="353">
        <f t="shared" si="21"/>
        <v>0</v>
      </c>
      <c r="AA378" s="350">
        <f t="shared" si="99"/>
        <v>-0.10089133707234543</v>
      </c>
      <c r="AB378" s="120" t="s">
        <v>448</v>
      </c>
    </row>
    <row r="379" spans="1:28" ht="12.75" customHeight="1">
      <c r="A379" s="120" t="s">
        <v>498</v>
      </c>
      <c r="B379" s="120" t="s">
        <v>1279</v>
      </c>
      <c r="C379" s="343" t="s">
        <v>1120</v>
      </c>
      <c r="D379" s="344"/>
      <c r="E379" s="345" t="str">
        <f t="shared" si="100"/>
        <v/>
      </c>
      <c r="F379" s="121" t="s">
        <v>1107</v>
      </c>
      <c r="G379" s="121"/>
      <c r="H379" s="346">
        <f t="shared" si="97"/>
        <v>25.03</v>
      </c>
      <c r="I379" s="121">
        <v>500</v>
      </c>
      <c r="J379" s="346">
        <v>25</v>
      </c>
      <c r="K379" s="128">
        <v>12515</v>
      </c>
      <c r="L379" s="150">
        <v>44377</v>
      </c>
      <c r="M379" s="124">
        <f t="shared" si="14"/>
        <v>24.224299999999999</v>
      </c>
      <c r="N379" s="155">
        <v>24.25</v>
      </c>
      <c r="O379" s="347">
        <f>13929/575*500</f>
        <v>12112.173913043478</v>
      </c>
      <c r="P379" s="120">
        <v>44489</v>
      </c>
      <c r="Q379" s="348">
        <v>44487</v>
      </c>
      <c r="R379" s="125">
        <v>35.4</v>
      </c>
      <c r="S379" s="125">
        <v>603.75</v>
      </c>
      <c r="T379" s="127">
        <f t="shared" si="96"/>
        <v>-402.82608695652198</v>
      </c>
      <c r="U379" s="127" t="str">
        <f t="shared" si="16"/>
        <v>500 IRFC</v>
      </c>
      <c r="V379" s="127">
        <f t="shared" si="17"/>
        <v>165.52391304347802</v>
      </c>
      <c r="W379" s="350">
        <f t="shared" si="98"/>
        <v>1.3226041793326249E-2</v>
      </c>
      <c r="X379" s="397">
        <f t="shared" si="19"/>
        <v>0</v>
      </c>
      <c r="Y379" s="352">
        <f t="shared" si="20"/>
        <v>3</v>
      </c>
      <c r="Z379" s="353">
        <f t="shared" si="21"/>
        <v>20</v>
      </c>
      <c r="AA379" s="350">
        <f t="shared" si="99"/>
        <v>4.3750185478476311E-2</v>
      </c>
      <c r="AB379" s="120" t="s">
        <v>448</v>
      </c>
    </row>
    <row r="380" spans="1:28" ht="12.75" customHeight="1">
      <c r="A380" s="120" t="s">
        <v>576</v>
      </c>
      <c r="B380" s="120" t="s">
        <v>576</v>
      </c>
      <c r="C380" s="343" t="s">
        <v>1280</v>
      </c>
      <c r="D380" s="344">
        <v>290</v>
      </c>
      <c r="E380" s="345">
        <f t="shared" si="100"/>
        <v>0.26545436138845657</v>
      </c>
      <c r="F380" s="121" t="s">
        <v>1263</v>
      </c>
      <c r="G380" s="121" t="s">
        <v>1281</v>
      </c>
      <c r="H380" s="346">
        <f t="shared" si="97"/>
        <v>229.4333</v>
      </c>
      <c r="I380" s="121">
        <v>60</v>
      </c>
      <c r="J380" s="346">
        <v>229.16669999999999</v>
      </c>
      <c r="K380" s="128">
        <v>13766</v>
      </c>
      <c r="L380" s="150">
        <v>44497</v>
      </c>
      <c r="M380" s="124">
        <f t="shared" si="14"/>
        <v>237.75</v>
      </c>
      <c r="N380" s="155">
        <v>238</v>
      </c>
      <c r="O380" s="347">
        <v>14265</v>
      </c>
      <c r="P380" s="120">
        <v>44519</v>
      </c>
      <c r="Q380" s="348">
        <v>44517</v>
      </c>
      <c r="R380" s="125">
        <v>15.93</v>
      </c>
      <c r="S380" s="125"/>
      <c r="T380" s="127">
        <f t="shared" si="96"/>
        <v>499</v>
      </c>
      <c r="U380" s="127" t="str">
        <f t="shared" si="16"/>
        <v>60 ITC</v>
      </c>
      <c r="V380" s="127">
        <f t="shared" si="17"/>
        <v>483.07</v>
      </c>
      <c r="W380" s="350">
        <f t="shared" si="98"/>
        <v>3.5091529856167369E-2</v>
      </c>
      <c r="X380" s="397">
        <f t="shared" si="19"/>
        <v>0</v>
      </c>
      <c r="Y380" s="352">
        <f t="shared" si="20"/>
        <v>0</v>
      </c>
      <c r="Z380" s="353">
        <f t="shared" si="21"/>
        <v>22</v>
      </c>
      <c r="AA380" s="350">
        <f t="shared" si="99"/>
        <v>0.77219357914417697</v>
      </c>
      <c r="AB380" s="120" t="s">
        <v>471</v>
      </c>
    </row>
    <row r="381" spans="1:28" ht="12.75" customHeight="1">
      <c r="A381" s="120" t="s">
        <v>576</v>
      </c>
      <c r="B381" s="120"/>
      <c r="C381" s="343"/>
      <c r="D381" s="344"/>
      <c r="E381" s="345" t="str">
        <f t="shared" si="100"/>
        <v/>
      </c>
      <c r="F381" s="121"/>
      <c r="G381" s="121"/>
      <c r="H381" s="346">
        <f t="shared" si="97"/>
        <v>251.8</v>
      </c>
      <c r="I381" s="121">
        <v>50</v>
      </c>
      <c r="J381" s="346">
        <v>251.5</v>
      </c>
      <c r="K381" s="128">
        <v>12590</v>
      </c>
      <c r="L381" s="150">
        <v>44650</v>
      </c>
      <c r="M381" s="124">
        <f t="shared" si="14"/>
        <v>252.24</v>
      </c>
      <c r="N381" s="155">
        <v>252.5</v>
      </c>
      <c r="O381" s="347">
        <v>12612</v>
      </c>
      <c r="P381" s="120">
        <v>44655</v>
      </c>
      <c r="Q381" s="348">
        <v>44651</v>
      </c>
      <c r="R381" s="125">
        <v>15.93</v>
      </c>
      <c r="S381" s="125"/>
      <c r="T381" s="127">
        <f t="shared" si="96"/>
        <v>22</v>
      </c>
      <c r="U381" s="127" t="str">
        <f t="shared" si="16"/>
        <v>50 ITC</v>
      </c>
      <c r="V381" s="127">
        <f t="shared" si="17"/>
        <v>6.07</v>
      </c>
      <c r="W381" s="350">
        <f t="shared" si="98"/>
        <v>4.821286735504369E-4</v>
      </c>
      <c r="X381" s="397">
        <f t="shared" si="19"/>
        <v>0</v>
      </c>
      <c r="Y381" s="352">
        <f t="shared" si="20"/>
        <v>0</v>
      </c>
      <c r="Z381" s="353">
        <f t="shared" si="21"/>
        <v>5</v>
      </c>
      <c r="AA381" s="350">
        <f t="shared" si="99"/>
        <v>3.5813296166696373E-2</v>
      </c>
      <c r="AB381" s="120" t="s">
        <v>471</v>
      </c>
    </row>
    <row r="382" spans="1:28" ht="12.75" customHeight="1">
      <c r="A382" s="120" t="s">
        <v>576</v>
      </c>
      <c r="B382" s="120"/>
      <c r="C382" s="343"/>
      <c r="D382" s="344"/>
      <c r="E382" s="345" t="str">
        <f t="shared" si="100"/>
        <v/>
      </c>
      <c r="F382" s="121"/>
      <c r="G382" s="121"/>
      <c r="H382" s="346">
        <f t="shared" si="97"/>
        <v>315.2</v>
      </c>
      <c r="I382" s="121">
        <v>5</v>
      </c>
      <c r="J382" s="346">
        <v>314.75</v>
      </c>
      <c r="K382" s="128">
        <v>1576</v>
      </c>
      <c r="L382" s="150">
        <v>44796</v>
      </c>
      <c r="M382" s="124">
        <f t="shared" si="14"/>
        <v>340.6</v>
      </c>
      <c r="N382" s="155">
        <v>341</v>
      </c>
      <c r="O382" s="347">
        <v>1703</v>
      </c>
      <c r="P382" s="120">
        <v>44894</v>
      </c>
      <c r="Q382" s="348">
        <v>44890</v>
      </c>
      <c r="R382" s="125">
        <v>15.93</v>
      </c>
      <c r="S382" s="125"/>
      <c r="T382" s="127">
        <f t="shared" ref="T382:T383" si="101">IF(OR(O382="",K382=""),"",O382-K382)</f>
        <v>127</v>
      </c>
      <c r="U382" s="127" t="str">
        <f t="shared" si="16"/>
        <v>5 ITC</v>
      </c>
      <c r="V382" s="127">
        <f t="shared" si="17"/>
        <v>111.07</v>
      </c>
      <c r="W382" s="350">
        <f t="shared" ref="W382:W383" si="102">IF(OR(K382="",V382=""),"",V382/K382)</f>
        <v>7.0475888324873087E-2</v>
      </c>
      <c r="X382" s="397">
        <f t="shared" si="19"/>
        <v>0</v>
      </c>
      <c r="Y382" s="352">
        <f t="shared" si="20"/>
        <v>3</v>
      </c>
      <c r="Z382" s="353">
        <f t="shared" si="21"/>
        <v>6</v>
      </c>
      <c r="AA382" s="350">
        <f t="shared" si="99"/>
        <v>0.28872075647147732</v>
      </c>
      <c r="AB382" s="120" t="s">
        <v>471</v>
      </c>
    </row>
    <row r="383" spans="1:28" ht="12.75" customHeight="1">
      <c r="A383" s="120" t="s">
        <v>576</v>
      </c>
      <c r="B383" s="120"/>
      <c r="C383" s="343"/>
      <c r="D383" s="344"/>
      <c r="E383" s="345" t="str">
        <f t="shared" si="100"/>
        <v/>
      </c>
      <c r="F383" s="121"/>
      <c r="G383" s="121"/>
      <c r="H383" s="346">
        <f t="shared" si="97"/>
        <v>333.4</v>
      </c>
      <c r="I383" s="121">
        <v>50</v>
      </c>
      <c r="J383" s="346">
        <v>333</v>
      </c>
      <c r="K383" s="128">
        <v>16670</v>
      </c>
      <c r="L383" s="150">
        <v>44943</v>
      </c>
      <c r="M383" s="124">
        <f t="shared" si="14"/>
        <v>339.64</v>
      </c>
      <c r="N383" s="155">
        <v>340</v>
      </c>
      <c r="O383" s="347">
        <v>16982</v>
      </c>
      <c r="P383" s="120">
        <v>44953</v>
      </c>
      <c r="Q383" s="348">
        <v>44950</v>
      </c>
      <c r="R383" s="125">
        <v>15.93</v>
      </c>
      <c r="S383" s="125"/>
      <c r="T383" s="127">
        <f t="shared" si="101"/>
        <v>312</v>
      </c>
      <c r="U383" s="127" t="str">
        <f t="shared" si="16"/>
        <v>50 ITC</v>
      </c>
      <c r="V383" s="127">
        <f t="shared" si="17"/>
        <v>296.07</v>
      </c>
      <c r="W383" s="350">
        <f t="shared" si="102"/>
        <v>1.7760647870425913E-2</v>
      </c>
      <c r="X383" s="397">
        <f t="shared" si="19"/>
        <v>0</v>
      </c>
      <c r="Y383" s="352">
        <f t="shared" si="20"/>
        <v>0</v>
      </c>
      <c r="Z383" s="353">
        <f t="shared" si="21"/>
        <v>10</v>
      </c>
      <c r="AA383" s="350">
        <f t="shared" si="99"/>
        <v>0.90136894428522951</v>
      </c>
      <c r="AB383" s="120" t="s">
        <v>471</v>
      </c>
    </row>
    <row r="384" spans="1:28" ht="12.75" customHeight="1">
      <c r="A384" s="120" t="s">
        <v>526</v>
      </c>
      <c r="B384" s="120" t="s">
        <v>1282</v>
      </c>
      <c r="C384" s="343" t="s">
        <v>1188</v>
      </c>
      <c r="D384" s="344" t="s">
        <v>1283</v>
      </c>
      <c r="E384" s="345">
        <f t="shared" si="100"/>
        <v>0.24293785310734464</v>
      </c>
      <c r="F384" s="121" t="s">
        <v>1124</v>
      </c>
      <c r="G384" s="121" t="s">
        <v>1125</v>
      </c>
      <c r="H384" s="346">
        <f t="shared" si="97"/>
        <v>88.6</v>
      </c>
      <c r="I384" s="121">
        <v>50</v>
      </c>
      <c r="J384" s="346">
        <v>88.5</v>
      </c>
      <c r="K384" s="128">
        <v>4430</v>
      </c>
      <c r="L384" s="150">
        <v>44358</v>
      </c>
      <c r="M384" s="124">
        <f t="shared" si="14"/>
        <v>95.9</v>
      </c>
      <c r="N384" s="155">
        <v>96</v>
      </c>
      <c r="O384" s="347">
        <v>4795</v>
      </c>
      <c r="P384" s="120">
        <v>44489</v>
      </c>
      <c r="Q384" s="348">
        <v>44487</v>
      </c>
      <c r="R384" s="125">
        <v>15.93</v>
      </c>
      <c r="S384" s="125">
        <v>6</v>
      </c>
      <c r="T384" s="127">
        <f>IF(O384="","",O384-K384)</f>
        <v>365</v>
      </c>
      <c r="U384" s="127" t="str">
        <f t="shared" si="16"/>
        <v>50 ITDCEM</v>
      </c>
      <c r="V384" s="127">
        <f t="shared" si="17"/>
        <v>355.07</v>
      </c>
      <c r="W384" s="350">
        <f>IF(M384=0,"",V384/K384)</f>
        <v>8.0151241534988718E-2</v>
      </c>
      <c r="X384" s="397">
        <f t="shared" si="19"/>
        <v>0</v>
      </c>
      <c r="Y384" s="352">
        <f t="shared" si="20"/>
        <v>4</v>
      </c>
      <c r="Z384" s="353">
        <f t="shared" si="21"/>
        <v>9</v>
      </c>
      <c r="AA384" s="350">
        <f t="shared" si="99"/>
        <v>0.23964319395520062</v>
      </c>
      <c r="AB384" s="120" t="s">
        <v>471</v>
      </c>
    </row>
    <row r="385" spans="1:28" ht="12.75" customHeight="1">
      <c r="A385" s="120" t="s">
        <v>612</v>
      </c>
      <c r="B385" s="120"/>
      <c r="C385" s="343"/>
      <c r="D385" s="344"/>
      <c r="E385" s="345" t="str">
        <f t="shared" si="100"/>
        <v/>
      </c>
      <c r="F385" s="121"/>
      <c r="G385" s="121"/>
      <c r="H385" s="346">
        <f t="shared" si="97"/>
        <v>110.14</v>
      </c>
      <c r="I385" s="121">
        <v>50</v>
      </c>
      <c r="J385" s="346">
        <v>110</v>
      </c>
      <c r="K385" s="128">
        <v>5507</v>
      </c>
      <c r="L385" s="150">
        <v>44756</v>
      </c>
      <c r="M385" s="124">
        <f t="shared" si="14"/>
        <v>113.74</v>
      </c>
      <c r="N385" s="155">
        <v>113.85</v>
      </c>
      <c r="O385" s="347">
        <v>5687</v>
      </c>
      <c r="P385" s="120">
        <v>44798</v>
      </c>
      <c r="Q385" s="348">
        <v>44796</v>
      </c>
      <c r="R385" s="125">
        <v>15.93</v>
      </c>
      <c r="S385" s="125"/>
      <c r="T385" s="127">
        <f>IF(OR(O385="",K385=""),"",O385-K385)</f>
        <v>180</v>
      </c>
      <c r="U385" s="127" t="str">
        <f t="shared" si="16"/>
        <v>50 ITI</v>
      </c>
      <c r="V385" s="127">
        <f t="shared" si="17"/>
        <v>164.07</v>
      </c>
      <c r="W385" s="350">
        <f>IF(OR(K385="",V385=""),"",V385/K385)</f>
        <v>2.9792990739059378E-2</v>
      </c>
      <c r="X385" s="397">
        <f t="shared" si="19"/>
        <v>0</v>
      </c>
      <c r="Y385" s="352">
        <f t="shared" si="20"/>
        <v>1</v>
      </c>
      <c r="Z385" s="353">
        <f t="shared" si="21"/>
        <v>11</v>
      </c>
      <c r="AA385" s="350">
        <f t="shared" si="99"/>
        <v>0.29063362612763211</v>
      </c>
      <c r="AB385" s="120" t="s">
        <v>471</v>
      </c>
    </row>
    <row r="386" spans="1:28" ht="12.75" customHeight="1">
      <c r="A386" s="120" t="s">
        <v>528</v>
      </c>
      <c r="B386" s="120" t="s">
        <v>1284</v>
      </c>
      <c r="C386" s="343" t="s">
        <v>1163</v>
      </c>
      <c r="D386" s="344" t="s">
        <v>1285</v>
      </c>
      <c r="E386" s="345">
        <f t="shared" si="100"/>
        <v>0.48148148148148145</v>
      </c>
      <c r="F386" s="121" t="s">
        <v>1124</v>
      </c>
      <c r="G386" s="121" t="s">
        <v>1125</v>
      </c>
      <c r="H386" s="346">
        <f t="shared" si="97"/>
        <v>13.516</v>
      </c>
      <c r="I386" s="121">
        <v>1000</v>
      </c>
      <c r="J386" s="346">
        <v>13.5</v>
      </c>
      <c r="K386" s="128">
        <v>13516</v>
      </c>
      <c r="L386" s="150">
        <v>44361</v>
      </c>
      <c r="M386" s="124">
        <f t="shared" si="14"/>
        <v>13.736000000000001</v>
      </c>
      <c r="N386" s="155">
        <v>13.75</v>
      </c>
      <c r="O386" s="347">
        <v>13736</v>
      </c>
      <c r="P386" s="120">
        <v>44376</v>
      </c>
      <c r="Q386" s="348">
        <v>44372</v>
      </c>
      <c r="R386" s="125">
        <v>15.93</v>
      </c>
      <c r="S386" s="125"/>
      <c r="T386" s="127">
        <f t="shared" ref="T386:T400" si="103">IF(O386="","",O386-K386)</f>
        <v>220</v>
      </c>
      <c r="U386" s="127" t="str">
        <f t="shared" si="16"/>
        <v>1000 JPASSOCIAT</v>
      </c>
      <c r="V386" s="127">
        <f t="shared" si="17"/>
        <v>204.07</v>
      </c>
      <c r="W386" s="350">
        <f t="shared" ref="W386:W400" si="104">IF(M386=0,"",V386/K386)</f>
        <v>1.5098401894051493E-2</v>
      </c>
      <c r="X386" s="397">
        <f t="shared" si="19"/>
        <v>0</v>
      </c>
      <c r="Y386" s="352">
        <f t="shared" si="20"/>
        <v>0</v>
      </c>
      <c r="Z386" s="353">
        <f t="shared" si="21"/>
        <v>15</v>
      </c>
      <c r="AA386" s="350">
        <f t="shared" si="99"/>
        <v>0.44000778024574783</v>
      </c>
      <c r="AB386" s="120" t="s">
        <v>471</v>
      </c>
    </row>
    <row r="387" spans="1:28" ht="12.75" customHeight="1">
      <c r="A387" s="120" t="s">
        <v>528</v>
      </c>
      <c r="B387" s="120" t="s">
        <v>1284</v>
      </c>
      <c r="C387" s="343" t="s">
        <v>1163</v>
      </c>
      <c r="D387" s="344" t="s">
        <v>1285</v>
      </c>
      <c r="E387" s="345">
        <f t="shared" si="100"/>
        <v>0.46520146520146516</v>
      </c>
      <c r="F387" s="121" t="s">
        <v>1124</v>
      </c>
      <c r="G387" s="121" t="s">
        <v>1125</v>
      </c>
      <c r="H387" s="346">
        <f t="shared" si="97"/>
        <v>13.666</v>
      </c>
      <c r="I387" s="121">
        <v>1000</v>
      </c>
      <c r="J387" s="346">
        <v>13.65</v>
      </c>
      <c r="K387" s="128">
        <v>13666</v>
      </c>
      <c r="L387" s="150">
        <v>44372</v>
      </c>
      <c r="M387" s="124">
        <f t="shared" si="14"/>
        <v>11.928000000000001</v>
      </c>
      <c r="N387" s="155">
        <v>11.94</v>
      </c>
      <c r="O387" s="347">
        <v>11928</v>
      </c>
      <c r="P387" s="120">
        <v>44382</v>
      </c>
      <c r="Q387" s="348">
        <v>44378</v>
      </c>
      <c r="R387" s="125">
        <v>15.93</v>
      </c>
      <c r="S387" s="125"/>
      <c r="T387" s="127">
        <f t="shared" si="103"/>
        <v>-1738</v>
      </c>
      <c r="U387" s="127" t="str">
        <f t="shared" si="16"/>
        <v>1000 JPASSOCIAT</v>
      </c>
      <c r="V387" s="127">
        <f t="shared" si="17"/>
        <v>-1753.93</v>
      </c>
      <c r="W387" s="350">
        <f t="shared" si="104"/>
        <v>-0.12834260207815015</v>
      </c>
      <c r="X387" s="397">
        <f t="shared" si="19"/>
        <v>0</v>
      </c>
      <c r="Y387" s="352">
        <f t="shared" si="20"/>
        <v>0</v>
      </c>
      <c r="Z387" s="353">
        <f t="shared" si="21"/>
        <v>10</v>
      </c>
      <c r="AA387" s="350">
        <f t="shared" si="99"/>
        <v>-0.99335304947192982</v>
      </c>
      <c r="AB387" s="120" t="s">
        <v>471</v>
      </c>
    </row>
    <row r="388" spans="1:28" ht="12.75" customHeight="1">
      <c r="A388" s="120" t="s">
        <v>528</v>
      </c>
      <c r="B388" s="120" t="s">
        <v>1284</v>
      </c>
      <c r="C388" s="343" t="s">
        <v>1163</v>
      </c>
      <c r="D388" s="344" t="s">
        <v>1285</v>
      </c>
      <c r="E388" s="345">
        <f t="shared" si="100"/>
        <v>0.60642570281124508</v>
      </c>
      <c r="F388" s="121" t="s">
        <v>1124</v>
      </c>
      <c r="G388" s="121" t="s">
        <v>1125</v>
      </c>
      <c r="H388" s="346">
        <f t="shared" si="97"/>
        <v>12.465</v>
      </c>
      <c r="I388" s="121">
        <v>1000</v>
      </c>
      <c r="J388" s="346">
        <v>12.45</v>
      </c>
      <c r="K388" s="128">
        <v>12465</v>
      </c>
      <c r="L388" s="150">
        <v>44378</v>
      </c>
      <c r="M388" s="124">
        <f t="shared" si="14"/>
        <v>13.086</v>
      </c>
      <c r="N388" s="155">
        <v>13.1</v>
      </c>
      <c r="O388" s="347">
        <v>13086</v>
      </c>
      <c r="P388" s="120">
        <v>44390</v>
      </c>
      <c r="Q388" s="348">
        <v>44386</v>
      </c>
      <c r="R388" s="125">
        <v>15.93</v>
      </c>
      <c r="S388" s="125"/>
      <c r="T388" s="127">
        <f t="shared" si="103"/>
        <v>621</v>
      </c>
      <c r="U388" s="127" t="str">
        <f t="shared" si="16"/>
        <v>1000 JPASSOCIAT</v>
      </c>
      <c r="V388" s="127">
        <f t="shared" si="17"/>
        <v>605.07000000000005</v>
      </c>
      <c r="W388" s="350">
        <f t="shared" si="104"/>
        <v>4.8541516245487366E-2</v>
      </c>
      <c r="X388" s="397">
        <f t="shared" si="19"/>
        <v>0</v>
      </c>
      <c r="Y388" s="352">
        <f t="shared" si="20"/>
        <v>0</v>
      </c>
      <c r="Z388" s="353">
        <f t="shared" si="21"/>
        <v>12</v>
      </c>
      <c r="AA388" s="350">
        <f t="shared" si="99"/>
        <v>3.2281099041471455</v>
      </c>
      <c r="AB388" s="120" t="s">
        <v>471</v>
      </c>
    </row>
    <row r="389" spans="1:28" ht="12.75" customHeight="1">
      <c r="A389" s="120" t="s">
        <v>528</v>
      </c>
      <c r="B389" s="120" t="s">
        <v>1284</v>
      </c>
      <c r="C389" s="343" t="s">
        <v>1188</v>
      </c>
      <c r="D389" s="344" t="s">
        <v>1285</v>
      </c>
      <c r="E389" s="345">
        <f t="shared" si="100"/>
        <v>0.55038759689922478</v>
      </c>
      <c r="F389" s="121" t="s">
        <v>1124</v>
      </c>
      <c r="G389" s="121" t="s">
        <v>1125</v>
      </c>
      <c r="H389" s="346">
        <f t="shared" si="97"/>
        <v>12.916</v>
      </c>
      <c r="I389" s="121">
        <v>500</v>
      </c>
      <c r="J389" s="346">
        <v>12.9</v>
      </c>
      <c r="K389" s="128">
        <v>6458</v>
      </c>
      <c r="L389" s="150">
        <v>44391</v>
      </c>
      <c r="M389" s="124">
        <f t="shared" si="14"/>
        <v>7.8220000000000001</v>
      </c>
      <c r="N389" s="155">
        <v>7.83</v>
      </c>
      <c r="O389" s="347">
        <v>3911</v>
      </c>
      <c r="P389" s="120">
        <v>44442</v>
      </c>
      <c r="Q389" s="348">
        <v>44440</v>
      </c>
      <c r="R389" s="125">
        <v>15.93</v>
      </c>
      <c r="S389" s="125"/>
      <c r="T389" s="127">
        <f t="shared" si="103"/>
        <v>-2547</v>
      </c>
      <c r="U389" s="127" t="str">
        <f t="shared" si="16"/>
        <v>500 JPASSOCIAT</v>
      </c>
      <c r="V389" s="127">
        <f t="shared" si="17"/>
        <v>-2562.9299999999998</v>
      </c>
      <c r="W389" s="350">
        <f t="shared" si="104"/>
        <v>-0.39686125735521832</v>
      </c>
      <c r="X389" s="397">
        <f t="shared" si="19"/>
        <v>0</v>
      </c>
      <c r="Y389" s="352">
        <f t="shared" si="20"/>
        <v>1</v>
      </c>
      <c r="Z389" s="353">
        <f t="shared" si="21"/>
        <v>20</v>
      </c>
      <c r="AA389" s="350">
        <f t="shared" si="99"/>
        <v>-0.97317892210849433</v>
      </c>
      <c r="AB389" s="120" t="s">
        <v>471</v>
      </c>
    </row>
    <row r="390" spans="1:28" ht="12.75" customHeight="1">
      <c r="A390" s="120" t="s">
        <v>525</v>
      </c>
      <c r="B390" s="120" t="s">
        <v>1286</v>
      </c>
      <c r="C390" s="343" t="s">
        <v>1163</v>
      </c>
      <c r="D390" s="344" t="s">
        <v>1214</v>
      </c>
      <c r="E390" s="345">
        <f t="shared" si="100"/>
        <v>0.23456790123456794</v>
      </c>
      <c r="F390" s="121" t="s">
        <v>1124</v>
      </c>
      <c r="G390" s="121" t="s">
        <v>1125</v>
      </c>
      <c r="H390" s="346">
        <f t="shared" si="97"/>
        <v>105.425</v>
      </c>
      <c r="I390" s="121">
        <v>200</v>
      </c>
      <c r="J390" s="346">
        <v>105.3</v>
      </c>
      <c r="K390" s="128">
        <v>21085</v>
      </c>
      <c r="L390" s="150">
        <v>44358</v>
      </c>
      <c r="M390" s="124">
        <f t="shared" si="14"/>
        <v>108.58499999999999</v>
      </c>
      <c r="N390" s="155">
        <v>108.7</v>
      </c>
      <c r="O390" s="347">
        <v>21717</v>
      </c>
      <c r="P390" s="120">
        <v>44379</v>
      </c>
      <c r="Q390" s="348">
        <v>44377</v>
      </c>
      <c r="R390" s="125">
        <v>15.93</v>
      </c>
      <c r="S390" s="125"/>
      <c r="T390" s="127">
        <f t="shared" si="103"/>
        <v>632</v>
      </c>
      <c r="U390" s="127" t="str">
        <f t="shared" si="16"/>
        <v>200 JSL</v>
      </c>
      <c r="V390" s="127">
        <f t="shared" si="17"/>
        <v>616.07000000000005</v>
      </c>
      <c r="W390" s="350">
        <f t="shared" si="104"/>
        <v>2.9218401707374914E-2</v>
      </c>
      <c r="X390" s="397">
        <f t="shared" si="19"/>
        <v>0</v>
      </c>
      <c r="Y390" s="352">
        <f t="shared" si="20"/>
        <v>0</v>
      </c>
      <c r="Z390" s="353">
        <f t="shared" si="21"/>
        <v>21</v>
      </c>
      <c r="AA390" s="350">
        <f t="shared" si="99"/>
        <v>0.64965451658575391</v>
      </c>
      <c r="AB390" s="120" t="s">
        <v>471</v>
      </c>
    </row>
    <row r="391" spans="1:28" ht="12.75" customHeight="1">
      <c r="A391" s="120" t="s">
        <v>508</v>
      </c>
      <c r="B391" s="120" t="s">
        <v>1287</v>
      </c>
      <c r="C391" s="343" t="s">
        <v>1163</v>
      </c>
      <c r="D391" s="344">
        <v>655</v>
      </c>
      <c r="E391" s="345">
        <f t="shared" si="100"/>
        <v>7.3770491803278687E-2</v>
      </c>
      <c r="F391" s="121" t="s">
        <v>1116</v>
      </c>
      <c r="G391" s="121" t="s">
        <v>1117</v>
      </c>
      <c r="H391" s="346">
        <f t="shared" si="97"/>
        <v>610.72730000000001</v>
      </c>
      <c r="I391" s="121">
        <v>11</v>
      </c>
      <c r="J391" s="346">
        <v>610</v>
      </c>
      <c r="K391" s="128">
        <v>6718</v>
      </c>
      <c r="L391" s="150">
        <v>44337</v>
      </c>
      <c r="M391" s="124">
        <f t="shared" si="14"/>
        <v>627.36360000000002</v>
      </c>
      <c r="N391" s="155">
        <v>628</v>
      </c>
      <c r="O391" s="347">
        <v>6901</v>
      </c>
      <c r="P391" s="120">
        <v>44343</v>
      </c>
      <c r="Q391" s="348">
        <v>44340</v>
      </c>
      <c r="R391" s="125"/>
      <c r="S391" s="125"/>
      <c r="T391" s="127">
        <f t="shared" si="103"/>
        <v>183</v>
      </c>
      <c r="U391" s="127" t="str">
        <f t="shared" si="16"/>
        <v>11 KEI</v>
      </c>
      <c r="V391" s="127">
        <f t="shared" si="17"/>
        <v>183</v>
      </c>
      <c r="W391" s="350">
        <f t="shared" si="104"/>
        <v>2.7240250074426913E-2</v>
      </c>
      <c r="X391" s="397">
        <f t="shared" si="19"/>
        <v>0</v>
      </c>
      <c r="Y391" s="352">
        <f t="shared" si="20"/>
        <v>0</v>
      </c>
      <c r="Z391" s="353">
        <f t="shared" si="21"/>
        <v>6</v>
      </c>
      <c r="AA391" s="350">
        <f t="shared" si="99"/>
        <v>4.1291850048363434</v>
      </c>
      <c r="AB391" s="120" t="s">
        <v>471</v>
      </c>
    </row>
    <row r="392" spans="1:28" ht="12.75" customHeight="1">
      <c r="A392" s="120" t="s">
        <v>508</v>
      </c>
      <c r="B392" s="120" t="s">
        <v>1287</v>
      </c>
      <c r="C392" s="343" t="s">
        <v>1163</v>
      </c>
      <c r="D392" s="344">
        <v>655</v>
      </c>
      <c r="E392" s="345">
        <f t="shared" si="100"/>
        <v>7.3770491803278687E-2</v>
      </c>
      <c r="F392" s="121" t="s">
        <v>1116</v>
      </c>
      <c r="G392" s="121" t="s">
        <v>1117</v>
      </c>
      <c r="H392" s="346">
        <f t="shared" si="97"/>
        <v>610.73680000000002</v>
      </c>
      <c r="I392" s="121">
        <v>19</v>
      </c>
      <c r="J392" s="346">
        <v>610</v>
      </c>
      <c r="K392" s="128">
        <v>11604</v>
      </c>
      <c r="L392" s="150">
        <v>44337</v>
      </c>
      <c r="M392" s="124">
        <f t="shared" si="14"/>
        <v>635.31579999999997</v>
      </c>
      <c r="N392" s="155">
        <v>636</v>
      </c>
      <c r="O392" s="347">
        <v>12071</v>
      </c>
      <c r="P392" s="120">
        <v>44354</v>
      </c>
      <c r="Q392" s="348">
        <v>44349</v>
      </c>
      <c r="R392" s="125">
        <v>15.93</v>
      </c>
      <c r="S392" s="125"/>
      <c r="T392" s="127">
        <f t="shared" si="103"/>
        <v>467</v>
      </c>
      <c r="U392" s="127" t="str">
        <f t="shared" si="16"/>
        <v>19 KEI</v>
      </c>
      <c r="V392" s="127">
        <f t="shared" si="17"/>
        <v>451.07</v>
      </c>
      <c r="W392" s="350">
        <f t="shared" si="104"/>
        <v>3.8871940710099966E-2</v>
      </c>
      <c r="X392" s="397">
        <f t="shared" si="19"/>
        <v>0</v>
      </c>
      <c r="Y392" s="352">
        <f t="shared" si="20"/>
        <v>0</v>
      </c>
      <c r="Z392" s="353">
        <f t="shared" si="21"/>
        <v>17</v>
      </c>
      <c r="AA392" s="350">
        <f t="shared" si="99"/>
        <v>1.2677555291998077</v>
      </c>
      <c r="AB392" s="120" t="s">
        <v>471</v>
      </c>
    </row>
    <row r="393" spans="1:28" ht="12.75" customHeight="1">
      <c r="A393" s="120" t="s">
        <v>521</v>
      </c>
      <c r="B393" s="120" t="s">
        <v>1288</v>
      </c>
      <c r="C393" s="343" t="s">
        <v>1163</v>
      </c>
      <c r="D393" s="344" t="s">
        <v>1289</v>
      </c>
      <c r="E393" s="345">
        <f t="shared" si="100"/>
        <v>5.2401746724890827E-2</v>
      </c>
      <c r="F393" s="121" t="s">
        <v>1116</v>
      </c>
      <c r="G393" s="121" t="s">
        <v>1117</v>
      </c>
      <c r="H393" s="346">
        <f t="shared" si="97"/>
        <v>229.28</v>
      </c>
      <c r="I393" s="121">
        <v>50</v>
      </c>
      <c r="J393" s="346">
        <v>229</v>
      </c>
      <c r="K393" s="128">
        <v>11464</v>
      </c>
      <c r="L393" s="150">
        <v>44350</v>
      </c>
      <c r="M393" s="124">
        <f t="shared" si="14"/>
        <v>234.1</v>
      </c>
      <c r="N393" s="155">
        <v>234.35</v>
      </c>
      <c r="O393" s="347">
        <v>11705</v>
      </c>
      <c r="P393" s="120">
        <v>44379</v>
      </c>
      <c r="Q393" s="348">
        <v>44377</v>
      </c>
      <c r="R393" s="125">
        <v>15.93</v>
      </c>
      <c r="S393" s="125"/>
      <c r="T393" s="127">
        <f t="shared" si="103"/>
        <v>241</v>
      </c>
      <c r="U393" s="127" t="str">
        <f t="shared" si="16"/>
        <v>50 KNRCON</v>
      </c>
      <c r="V393" s="127">
        <f t="shared" si="17"/>
        <v>225.07</v>
      </c>
      <c r="W393" s="350">
        <f t="shared" si="104"/>
        <v>1.9632763433356595E-2</v>
      </c>
      <c r="X393" s="397">
        <f t="shared" si="19"/>
        <v>0</v>
      </c>
      <c r="Y393" s="352">
        <f t="shared" si="20"/>
        <v>0</v>
      </c>
      <c r="Z393" s="353">
        <f t="shared" si="21"/>
        <v>29</v>
      </c>
      <c r="AA393" s="350">
        <f t="shared" si="99"/>
        <v>0.27724787130866058</v>
      </c>
      <c r="AB393" s="120" t="s">
        <v>471</v>
      </c>
    </row>
    <row r="394" spans="1:28" ht="12.75" customHeight="1">
      <c r="A394" s="120" t="s">
        <v>564</v>
      </c>
      <c r="B394" s="120" t="s">
        <v>969</v>
      </c>
      <c r="C394" s="343" t="s">
        <v>1290</v>
      </c>
      <c r="D394" s="344" t="s">
        <v>1152</v>
      </c>
      <c r="E394" s="345">
        <f t="shared" si="100"/>
        <v>0.22448979591836735</v>
      </c>
      <c r="F394" s="121" t="s">
        <v>1124</v>
      </c>
      <c r="G394" s="121" t="s">
        <v>1125</v>
      </c>
      <c r="H394" s="346">
        <f t="shared" si="97"/>
        <v>73.59</v>
      </c>
      <c r="I394" s="121">
        <v>100</v>
      </c>
      <c r="J394" s="346">
        <v>73.5</v>
      </c>
      <c r="K394" s="128">
        <v>7359</v>
      </c>
      <c r="L394" s="150">
        <v>44454</v>
      </c>
      <c r="M394" s="124">
        <f t="shared" si="14"/>
        <v>74.42</v>
      </c>
      <c r="N394" s="155">
        <v>74.5</v>
      </c>
      <c r="O394" s="347">
        <v>7442</v>
      </c>
      <c r="P394" s="120">
        <v>44511</v>
      </c>
      <c r="Q394" s="348">
        <v>44509</v>
      </c>
      <c r="R394" s="125">
        <v>15.93</v>
      </c>
      <c r="S394" s="125"/>
      <c r="T394" s="127">
        <f t="shared" si="103"/>
        <v>83</v>
      </c>
      <c r="U394" s="127" t="str">
        <f t="shared" si="16"/>
        <v>100 KTKBANK</v>
      </c>
      <c r="V394" s="127">
        <f t="shared" si="17"/>
        <v>67.069999999999993</v>
      </c>
      <c r="W394" s="350">
        <f t="shared" si="104"/>
        <v>9.1140100557140901E-3</v>
      </c>
      <c r="X394" s="397">
        <f t="shared" si="19"/>
        <v>0</v>
      </c>
      <c r="Y394" s="352">
        <f t="shared" si="20"/>
        <v>1</v>
      </c>
      <c r="Z394" s="353">
        <f t="shared" si="21"/>
        <v>27</v>
      </c>
      <c r="AA394" s="350">
        <f t="shared" si="99"/>
        <v>5.9818104648992065E-2</v>
      </c>
      <c r="AB394" s="120" t="s">
        <v>471</v>
      </c>
    </row>
    <row r="395" spans="1:28" ht="12.75" customHeight="1">
      <c r="A395" s="120" t="s">
        <v>554</v>
      </c>
      <c r="B395" s="120" t="s">
        <v>1291</v>
      </c>
      <c r="C395" s="343" t="s">
        <v>1292</v>
      </c>
      <c r="D395" s="344" t="s">
        <v>1293</v>
      </c>
      <c r="E395" s="345">
        <f t="shared" si="100"/>
        <v>0.1377245508982036</v>
      </c>
      <c r="F395" s="121" t="s">
        <v>1124</v>
      </c>
      <c r="G395" s="121" t="s">
        <v>1294</v>
      </c>
      <c r="H395" s="346">
        <f t="shared" si="97"/>
        <v>83.6</v>
      </c>
      <c r="I395" s="121">
        <v>25</v>
      </c>
      <c r="J395" s="346">
        <v>83.5</v>
      </c>
      <c r="K395" s="128">
        <v>2090</v>
      </c>
      <c r="L395" s="150">
        <v>44400</v>
      </c>
      <c r="M395" s="124">
        <f t="shared" si="14"/>
        <v>94.92</v>
      </c>
      <c r="N395" s="155">
        <v>95</v>
      </c>
      <c r="O395" s="347">
        <v>2373</v>
      </c>
      <c r="P395" s="120">
        <v>44407</v>
      </c>
      <c r="Q395" s="348">
        <v>44405</v>
      </c>
      <c r="R395" s="125">
        <v>15.93</v>
      </c>
      <c r="S395" s="125"/>
      <c r="T395" s="127">
        <f t="shared" si="103"/>
        <v>283</v>
      </c>
      <c r="U395" s="127" t="str">
        <f t="shared" si="16"/>
        <v>25 KUANTUM</v>
      </c>
      <c r="V395" s="127">
        <f t="shared" si="17"/>
        <v>267.07</v>
      </c>
      <c r="W395" s="350">
        <f t="shared" si="104"/>
        <v>0.12778468899521531</v>
      </c>
      <c r="X395" s="397">
        <f t="shared" si="19"/>
        <v>0</v>
      </c>
      <c r="Y395" s="352">
        <f t="shared" si="20"/>
        <v>0</v>
      </c>
      <c r="Z395" s="353">
        <f t="shared" si="21"/>
        <v>7</v>
      </c>
      <c r="AA395" s="350">
        <f t="shared" si="99"/>
        <v>527.71664743616623</v>
      </c>
      <c r="AB395" s="120" t="s">
        <v>471</v>
      </c>
    </row>
    <row r="396" spans="1:28" ht="12.75" customHeight="1">
      <c r="A396" s="120" t="s">
        <v>549</v>
      </c>
      <c r="B396" s="120" t="s">
        <v>1295</v>
      </c>
      <c r="C396" s="343" t="s">
        <v>1120</v>
      </c>
      <c r="D396" s="344" t="s">
        <v>1296</v>
      </c>
      <c r="E396" s="345">
        <f t="shared" si="100"/>
        <v>0.15261472785485589</v>
      </c>
      <c r="F396" s="121" t="s">
        <v>1124</v>
      </c>
      <c r="G396" s="121" t="s">
        <v>1125</v>
      </c>
      <c r="H396" s="346">
        <f t="shared" si="97"/>
        <v>93.82</v>
      </c>
      <c r="I396" s="121">
        <v>50</v>
      </c>
      <c r="J396" s="346">
        <v>93.7</v>
      </c>
      <c r="K396" s="128">
        <v>4691</v>
      </c>
      <c r="L396" s="150">
        <v>44389</v>
      </c>
      <c r="M396" s="124">
        <f t="shared" si="14"/>
        <v>95.2</v>
      </c>
      <c r="N396" s="155">
        <v>95.3</v>
      </c>
      <c r="O396" s="347">
        <v>4760</v>
      </c>
      <c r="P396" s="120">
        <v>44489</v>
      </c>
      <c r="Q396" s="348">
        <v>44487</v>
      </c>
      <c r="R396" s="125">
        <v>15.93</v>
      </c>
      <c r="S396" s="125"/>
      <c r="T396" s="127">
        <f t="shared" si="103"/>
        <v>69</v>
      </c>
      <c r="U396" s="127" t="str">
        <f t="shared" si="16"/>
        <v>50 L&amp;TFH</v>
      </c>
      <c r="V396" s="127">
        <f t="shared" si="17"/>
        <v>53.07</v>
      </c>
      <c r="W396" s="350">
        <f t="shared" si="104"/>
        <v>1.131315284587508E-2</v>
      </c>
      <c r="X396" s="397">
        <f t="shared" si="19"/>
        <v>0</v>
      </c>
      <c r="Y396" s="352">
        <f t="shared" si="20"/>
        <v>3</v>
      </c>
      <c r="Z396" s="353">
        <f t="shared" si="21"/>
        <v>8</v>
      </c>
      <c r="AA396" s="350">
        <f t="shared" si="99"/>
        <v>4.1915845591060208E-2</v>
      </c>
      <c r="AB396" s="120" t="s">
        <v>471</v>
      </c>
    </row>
    <row r="397" spans="1:28" ht="12.75" customHeight="1">
      <c r="A397" s="120" t="s">
        <v>510</v>
      </c>
      <c r="B397" s="120" t="s">
        <v>1297</v>
      </c>
      <c r="C397" s="343" t="s">
        <v>1163</v>
      </c>
      <c r="D397" s="344">
        <v>44</v>
      </c>
      <c r="E397" s="345">
        <f t="shared" si="100"/>
        <v>4.7619047619047616E-2</v>
      </c>
      <c r="F397" s="121" t="s">
        <v>1116</v>
      </c>
      <c r="G397" s="121" t="s">
        <v>1223</v>
      </c>
      <c r="H397" s="346">
        <f t="shared" si="97"/>
        <v>42.05</v>
      </c>
      <c r="I397" s="121">
        <v>200</v>
      </c>
      <c r="J397" s="346">
        <v>42</v>
      </c>
      <c r="K397" s="128">
        <v>8410</v>
      </c>
      <c r="L397" s="150">
        <v>44341</v>
      </c>
      <c r="M397" s="124">
        <f t="shared" si="14"/>
        <v>42.555</v>
      </c>
      <c r="N397" s="155">
        <v>42.6</v>
      </c>
      <c r="O397" s="347">
        <v>8511</v>
      </c>
      <c r="P397" s="120">
        <v>44345</v>
      </c>
      <c r="Q397" s="348">
        <v>44342</v>
      </c>
      <c r="R397" s="125"/>
      <c r="S397" s="125"/>
      <c r="T397" s="127">
        <f t="shared" si="103"/>
        <v>101</v>
      </c>
      <c r="U397" s="127" t="str">
        <f t="shared" si="16"/>
        <v>200 LEMONTREE</v>
      </c>
      <c r="V397" s="127">
        <f t="shared" si="17"/>
        <v>101</v>
      </c>
      <c r="W397" s="350">
        <f t="shared" si="104"/>
        <v>1.2009512485136742E-2</v>
      </c>
      <c r="X397" s="397">
        <f t="shared" si="19"/>
        <v>0</v>
      </c>
      <c r="Y397" s="352">
        <f t="shared" si="20"/>
        <v>0</v>
      </c>
      <c r="Z397" s="353">
        <f t="shared" si="21"/>
        <v>4</v>
      </c>
      <c r="AA397" s="350">
        <f t="shared" si="99"/>
        <v>1.9723111317206787</v>
      </c>
      <c r="AB397" s="120" t="s">
        <v>471</v>
      </c>
    </row>
    <row r="398" spans="1:28" ht="12.75" customHeight="1">
      <c r="A398" s="120" t="s">
        <v>591</v>
      </c>
      <c r="B398" s="120"/>
      <c r="C398" s="343"/>
      <c r="D398" s="344"/>
      <c r="E398" s="345" t="str">
        <f t="shared" si="100"/>
        <v/>
      </c>
      <c r="F398" s="121"/>
      <c r="G398" s="121"/>
      <c r="H398" s="346">
        <f t="shared" si="97"/>
        <v>365.44</v>
      </c>
      <c r="I398" s="121">
        <v>50</v>
      </c>
      <c r="J398" s="346">
        <v>365</v>
      </c>
      <c r="K398" s="128">
        <v>18272</v>
      </c>
      <c r="L398" s="150">
        <v>44581</v>
      </c>
      <c r="M398" s="124">
        <f t="shared" si="14"/>
        <v>366.62</v>
      </c>
      <c r="N398" s="155">
        <v>367</v>
      </c>
      <c r="O398" s="347">
        <v>18331</v>
      </c>
      <c r="P398" s="120">
        <v>44616</v>
      </c>
      <c r="Q398" s="348">
        <v>44614</v>
      </c>
      <c r="R398" s="125">
        <v>15.93</v>
      </c>
      <c r="S398" s="125"/>
      <c r="T398" s="127">
        <f t="shared" si="103"/>
        <v>59</v>
      </c>
      <c r="U398" s="127" t="str">
        <f t="shared" si="16"/>
        <v>50 LICHSGFIN</v>
      </c>
      <c r="V398" s="127">
        <f t="shared" si="17"/>
        <v>43.07</v>
      </c>
      <c r="W398" s="350">
        <f t="shared" si="104"/>
        <v>2.3571584938704027E-3</v>
      </c>
      <c r="X398" s="397">
        <f t="shared" si="19"/>
        <v>0</v>
      </c>
      <c r="Y398" s="352">
        <f t="shared" si="20"/>
        <v>1</v>
      </c>
      <c r="Z398" s="353">
        <f t="shared" si="21"/>
        <v>4</v>
      </c>
      <c r="AA398" s="350">
        <f t="shared" si="99"/>
        <v>2.4856773416176203E-2</v>
      </c>
      <c r="AB398" s="120" t="s">
        <v>471</v>
      </c>
    </row>
    <row r="399" spans="1:28" ht="12.75" customHeight="1">
      <c r="A399" s="120" t="s">
        <v>591</v>
      </c>
      <c r="B399" s="120"/>
      <c r="C399" s="343"/>
      <c r="D399" s="344"/>
      <c r="E399" s="345" t="str">
        <f t="shared" si="100"/>
        <v/>
      </c>
      <c r="F399" s="121"/>
      <c r="G399" s="121"/>
      <c r="H399" s="346">
        <f t="shared" si="97"/>
        <v>343.4</v>
      </c>
      <c r="I399" s="121">
        <v>25</v>
      </c>
      <c r="J399" s="346">
        <v>343</v>
      </c>
      <c r="K399" s="128">
        <v>8585</v>
      </c>
      <c r="L399" s="150">
        <v>44616</v>
      </c>
      <c r="M399" s="124">
        <f t="shared" si="14"/>
        <v>345.64</v>
      </c>
      <c r="N399" s="155">
        <v>346</v>
      </c>
      <c r="O399" s="347">
        <v>8641</v>
      </c>
      <c r="P399" s="120">
        <v>44624</v>
      </c>
      <c r="Q399" s="348">
        <v>44622</v>
      </c>
      <c r="R399" s="125">
        <v>15.93</v>
      </c>
      <c r="S399" s="125"/>
      <c r="T399" s="127">
        <f t="shared" si="103"/>
        <v>56</v>
      </c>
      <c r="U399" s="127" t="str">
        <f t="shared" si="16"/>
        <v>25 LICHSGFIN</v>
      </c>
      <c r="V399" s="127">
        <f t="shared" si="17"/>
        <v>40.07</v>
      </c>
      <c r="W399" s="350">
        <f t="shared" si="104"/>
        <v>4.6674432149097266E-3</v>
      </c>
      <c r="X399" s="397">
        <f t="shared" si="19"/>
        <v>0</v>
      </c>
      <c r="Y399" s="352">
        <f t="shared" si="20"/>
        <v>0</v>
      </c>
      <c r="Z399" s="353">
        <f t="shared" si="21"/>
        <v>8</v>
      </c>
      <c r="AA399" s="350">
        <f t="shared" si="99"/>
        <v>0.23671252165197187</v>
      </c>
      <c r="AB399" s="120" t="s">
        <v>471</v>
      </c>
    </row>
    <row r="400" spans="1:28" ht="12.75" customHeight="1">
      <c r="A400" s="120" t="s">
        <v>591</v>
      </c>
      <c r="B400" s="120"/>
      <c r="C400" s="343"/>
      <c r="D400" s="344"/>
      <c r="E400" s="345" t="str">
        <f t="shared" si="100"/>
        <v/>
      </c>
      <c r="F400" s="121"/>
      <c r="G400" s="121"/>
      <c r="H400" s="346">
        <f t="shared" si="97"/>
        <v>365.44</v>
      </c>
      <c r="I400" s="121">
        <v>50</v>
      </c>
      <c r="J400" s="346">
        <v>365</v>
      </c>
      <c r="K400" s="128">
        <v>18272</v>
      </c>
      <c r="L400" s="150">
        <v>44615</v>
      </c>
      <c r="M400" s="124">
        <f t="shared" si="14"/>
        <v>371.62</v>
      </c>
      <c r="N400" s="155">
        <v>372</v>
      </c>
      <c r="O400" s="347">
        <v>18581</v>
      </c>
      <c r="P400" s="120">
        <v>44656</v>
      </c>
      <c r="Q400" s="348">
        <v>44652</v>
      </c>
      <c r="R400" s="125">
        <v>15.93</v>
      </c>
      <c r="S400" s="125"/>
      <c r="T400" s="127">
        <f t="shared" si="103"/>
        <v>309</v>
      </c>
      <c r="U400" s="127" t="str">
        <f t="shared" si="16"/>
        <v>50 LICHSGFIN</v>
      </c>
      <c r="V400" s="127">
        <f t="shared" si="17"/>
        <v>293.07</v>
      </c>
      <c r="W400" s="350">
        <f t="shared" si="104"/>
        <v>1.603929509632224E-2</v>
      </c>
      <c r="X400" s="397">
        <f t="shared" si="19"/>
        <v>0</v>
      </c>
      <c r="Y400" s="352">
        <f t="shared" si="20"/>
        <v>1</v>
      </c>
      <c r="Z400" s="353">
        <f t="shared" si="21"/>
        <v>13</v>
      </c>
      <c r="AA400" s="350">
        <f t="shared" si="99"/>
        <v>0.15218003391850199</v>
      </c>
      <c r="AB400" s="120" t="s">
        <v>471</v>
      </c>
    </row>
    <row r="401" spans="1:28" ht="12.75" customHeight="1">
      <c r="A401" s="120" t="s">
        <v>618</v>
      </c>
      <c r="B401" s="120"/>
      <c r="C401" s="343"/>
      <c r="D401" s="344"/>
      <c r="E401" s="345" t="str">
        <f t="shared" si="100"/>
        <v/>
      </c>
      <c r="F401" s="121"/>
      <c r="G401" s="121"/>
      <c r="H401" s="346">
        <f t="shared" si="97"/>
        <v>1792.1</v>
      </c>
      <c r="I401" s="121">
        <v>10</v>
      </c>
      <c r="J401" s="346">
        <v>1790</v>
      </c>
      <c r="K401" s="128">
        <v>17921</v>
      </c>
      <c r="L401" s="150">
        <v>44775</v>
      </c>
      <c r="M401" s="124">
        <f t="shared" si="14"/>
        <v>1908</v>
      </c>
      <c r="N401" s="155">
        <v>1910</v>
      </c>
      <c r="O401" s="347">
        <v>19080</v>
      </c>
      <c r="P401" s="120">
        <v>44795</v>
      </c>
      <c r="Q401" s="348">
        <v>44792</v>
      </c>
      <c r="R401" s="125">
        <v>15.93</v>
      </c>
      <c r="S401" s="125"/>
      <c r="T401" s="127">
        <f t="shared" ref="T401:T403" si="105">IF(OR(O401="",K401=""),"",O401-K401)</f>
        <v>1159</v>
      </c>
      <c r="U401" s="127" t="str">
        <f t="shared" si="16"/>
        <v>10 LT</v>
      </c>
      <c r="V401" s="127">
        <f t="shared" si="17"/>
        <v>1143.07</v>
      </c>
      <c r="W401" s="350">
        <f t="shared" ref="W401:W403" si="106">IF(OR(K401="",V401=""),"",V401/K401)</f>
        <v>6.3783829027398015E-2</v>
      </c>
      <c r="X401" s="397">
        <f t="shared" si="19"/>
        <v>0</v>
      </c>
      <c r="Y401" s="352">
        <f t="shared" si="20"/>
        <v>0</v>
      </c>
      <c r="Z401" s="353">
        <f t="shared" si="21"/>
        <v>20</v>
      </c>
      <c r="AA401" s="350">
        <f t="shared" si="99"/>
        <v>2.0908238941780084</v>
      </c>
      <c r="AB401" s="120" t="s">
        <v>471</v>
      </c>
    </row>
    <row r="402" spans="1:28" ht="12.75" customHeight="1">
      <c r="A402" s="120" t="s">
        <v>618</v>
      </c>
      <c r="B402" s="120"/>
      <c r="C402" s="343"/>
      <c r="D402" s="344"/>
      <c r="E402" s="345" t="str">
        <f t="shared" si="100"/>
        <v/>
      </c>
      <c r="F402" s="121"/>
      <c r="G402" s="121"/>
      <c r="H402" s="346">
        <f t="shared" si="97"/>
        <v>1902.2</v>
      </c>
      <c r="I402" s="121">
        <v>5</v>
      </c>
      <c r="J402" s="346">
        <v>1900</v>
      </c>
      <c r="K402" s="128">
        <v>9511</v>
      </c>
      <c r="L402" s="150">
        <v>44805</v>
      </c>
      <c r="M402" s="124">
        <f t="shared" si="14"/>
        <v>1978</v>
      </c>
      <c r="N402" s="155">
        <v>1980</v>
      </c>
      <c r="O402" s="347">
        <v>9890</v>
      </c>
      <c r="P402" s="120">
        <v>44819</v>
      </c>
      <c r="Q402" s="348">
        <v>44817</v>
      </c>
      <c r="R402" s="125">
        <v>15.93</v>
      </c>
      <c r="S402" s="125"/>
      <c r="T402" s="127">
        <f t="shared" si="105"/>
        <v>379</v>
      </c>
      <c r="U402" s="127" t="str">
        <f t="shared" si="16"/>
        <v>5 LT</v>
      </c>
      <c r="V402" s="127">
        <f t="shared" si="17"/>
        <v>363.07</v>
      </c>
      <c r="W402" s="350">
        <f t="shared" si="106"/>
        <v>3.8173693617916095E-2</v>
      </c>
      <c r="X402" s="397">
        <f t="shared" si="19"/>
        <v>0</v>
      </c>
      <c r="Y402" s="352">
        <f t="shared" si="20"/>
        <v>0</v>
      </c>
      <c r="Z402" s="353">
        <f t="shared" si="21"/>
        <v>14</v>
      </c>
      <c r="AA402" s="350">
        <f t="shared" si="99"/>
        <v>1.6557223325289141</v>
      </c>
      <c r="AB402" s="120" t="s">
        <v>471</v>
      </c>
    </row>
    <row r="403" spans="1:28" ht="12.75" customHeight="1">
      <c r="A403" s="120" t="s">
        <v>618</v>
      </c>
      <c r="B403" s="120"/>
      <c r="C403" s="343"/>
      <c r="D403" s="344"/>
      <c r="E403" s="345" t="str">
        <f t="shared" si="100"/>
        <v/>
      </c>
      <c r="F403" s="121"/>
      <c r="G403" s="121"/>
      <c r="H403" s="346">
        <f t="shared" si="97"/>
        <v>1906.75</v>
      </c>
      <c r="I403" s="121">
        <v>20</v>
      </c>
      <c r="J403" s="346">
        <v>1904.5</v>
      </c>
      <c r="K403" s="128">
        <v>38135</v>
      </c>
      <c r="L403" s="150">
        <v>44795</v>
      </c>
      <c r="M403" s="124">
        <f t="shared" si="14"/>
        <v>1997.95</v>
      </c>
      <c r="N403" s="155">
        <v>2000</v>
      </c>
      <c r="O403" s="347">
        <v>39959</v>
      </c>
      <c r="P403" s="120">
        <v>44867</v>
      </c>
      <c r="Q403" s="348">
        <v>44865</v>
      </c>
      <c r="R403" s="125">
        <v>15.93</v>
      </c>
      <c r="S403" s="125"/>
      <c r="T403" s="127">
        <f t="shared" si="105"/>
        <v>1824</v>
      </c>
      <c r="U403" s="127" t="str">
        <f t="shared" si="16"/>
        <v>20 LT</v>
      </c>
      <c r="V403" s="127">
        <f t="shared" si="17"/>
        <v>1808.07</v>
      </c>
      <c r="W403" s="350">
        <f t="shared" si="106"/>
        <v>4.7412350858791134E-2</v>
      </c>
      <c r="X403" s="397">
        <f t="shared" si="19"/>
        <v>0</v>
      </c>
      <c r="Y403" s="352">
        <f t="shared" si="20"/>
        <v>2</v>
      </c>
      <c r="Z403" s="353">
        <f t="shared" si="21"/>
        <v>11</v>
      </c>
      <c r="AA403" s="350">
        <f t="shared" si="99"/>
        <v>0.26469416655059663</v>
      </c>
      <c r="AB403" s="120" t="s">
        <v>471</v>
      </c>
    </row>
    <row r="404" spans="1:28" ht="12.75" customHeight="1">
      <c r="A404" s="120" t="s">
        <v>561</v>
      </c>
      <c r="B404" s="120" t="s">
        <v>1298</v>
      </c>
      <c r="C404" s="343" t="s">
        <v>1115</v>
      </c>
      <c r="D404" s="344" t="s">
        <v>1299</v>
      </c>
      <c r="E404" s="345">
        <f t="shared" si="100"/>
        <v>0.61453077699293646</v>
      </c>
      <c r="F404" s="121" t="s">
        <v>1124</v>
      </c>
      <c r="G404" s="121" t="s">
        <v>1300</v>
      </c>
      <c r="H404" s="346">
        <f t="shared" si="97"/>
        <v>496.1</v>
      </c>
      <c r="I404" s="121">
        <v>20</v>
      </c>
      <c r="J404" s="346">
        <v>495.5</v>
      </c>
      <c r="K404" s="128">
        <v>9922</v>
      </c>
      <c r="L404" s="150">
        <v>44441</v>
      </c>
      <c r="M404" s="124">
        <f t="shared" si="14"/>
        <v>527.45000000000005</v>
      </c>
      <c r="N404" s="155">
        <v>528</v>
      </c>
      <c r="O404" s="347">
        <v>10549</v>
      </c>
      <c r="P404" s="120">
        <v>44461</v>
      </c>
      <c r="Q404" s="348">
        <v>44459</v>
      </c>
      <c r="R404" s="125">
        <v>15.93</v>
      </c>
      <c r="S404" s="125"/>
      <c r="T404" s="127">
        <f t="shared" ref="T404:T406" si="107">IF(O404="","",O404-K404)</f>
        <v>627</v>
      </c>
      <c r="U404" s="127" t="str">
        <f t="shared" si="16"/>
        <v>20 LXCHEM</v>
      </c>
      <c r="V404" s="127">
        <f t="shared" si="17"/>
        <v>611.07000000000005</v>
      </c>
      <c r="W404" s="350">
        <f t="shared" ref="W404:W405" si="108">IF(M404=0,"",V404/K404)</f>
        <v>6.1587381576295105E-2</v>
      </c>
      <c r="X404" s="397">
        <f t="shared" si="19"/>
        <v>0</v>
      </c>
      <c r="Y404" s="352">
        <f t="shared" si="20"/>
        <v>0</v>
      </c>
      <c r="Z404" s="353">
        <f t="shared" si="21"/>
        <v>20</v>
      </c>
      <c r="AA404" s="350">
        <f t="shared" si="99"/>
        <v>1.9764075365325686</v>
      </c>
      <c r="AB404" s="120" t="s">
        <v>471</v>
      </c>
    </row>
    <row r="405" spans="1:28" ht="12.75" customHeight="1">
      <c r="A405" s="120" t="s">
        <v>515</v>
      </c>
      <c r="B405" s="120" t="s">
        <v>1301</v>
      </c>
      <c r="C405" s="343" t="s">
        <v>1302</v>
      </c>
      <c r="D405" s="344">
        <v>863</v>
      </c>
      <c r="E405" s="345">
        <f t="shared" si="100"/>
        <v>2.9832935560859187E-2</v>
      </c>
      <c r="F405" s="121" t="s">
        <v>1116</v>
      </c>
      <c r="G405" s="121" t="s">
        <v>1223</v>
      </c>
      <c r="H405" s="346">
        <f t="shared" si="97"/>
        <v>839</v>
      </c>
      <c r="I405" s="121">
        <v>15</v>
      </c>
      <c r="J405" s="346">
        <v>838</v>
      </c>
      <c r="K405" s="128">
        <v>12585</v>
      </c>
      <c r="L405" s="150">
        <v>44344</v>
      </c>
      <c r="M405" s="124">
        <f t="shared" si="14"/>
        <v>841.6</v>
      </c>
      <c r="N405" s="155">
        <v>842.5</v>
      </c>
      <c r="O405" s="347">
        <v>12624</v>
      </c>
      <c r="P405" s="120">
        <v>44476</v>
      </c>
      <c r="Q405" s="348">
        <v>44474</v>
      </c>
      <c r="R405" s="125">
        <v>15.93</v>
      </c>
      <c r="S405" s="125">
        <v>131.25</v>
      </c>
      <c r="T405" s="127">
        <f t="shared" si="107"/>
        <v>39</v>
      </c>
      <c r="U405" s="127" t="str">
        <f t="shared" si="16"/>
        <v>15 M&amp;M</v>
      </c>
      <c r="V405" s="127">
        <f t="shared" si="17"/>
        <v>154.32</v>
      </c>
      <c r="W405" s="350">
        <f t="shared" si="108"/>
        <v>1.2262216924910608E-2</v>
      </c>
      <c r="X405" s="397">
        <f t="shared" si="19"/>
        <v>0</v>
      </c>
      <c r="Y405" s="352">
        <f t="shared" si="20"/>
        <v>4</v>
      </c>
      <c r="Z405" s="353">
        <f t="shared" si="21"/>
        <v>9</v>
      </c>
      <c r="AA405" s="350">
        <f t="shared" si="99"/>
        <v>3.4274986232013749E-2</v>
      </c>
      <c r="AB405" s="120" t="s">
        <v>471</v>
      </c>
    </row>
    <row r="406" spans="1:28" ht="12.75" customHeight="1">
      <c r="A406" s="120" t="s">
        <v>478</v>
      </c>
      <c r="B406" s="120" t="s">
        <v>1303</v>
      </c>
      <c r="C406" s="343" t="s">
        <v>1163</v>
      </c>
      <c r="D406" s="344"/>
      <c r="E406" s="345"/>
      <c r="F406" s="121"/>
      <c r="G406" s="121"/>
      <c r="H406" s="346">
        <v>22.72</v>
      </c>
      <c r="I406" s="121">
        <v>1000</v>
      </c>
      <c r="J406" s="346">
        <v>22.72</v>
      </c>
      <c r="K406" s="128">
        <v>22720</v>
      </c>
      <c r="L406" s="150">
        <v>44243</v>
      </c>
      <c r="M406" s="124">
        <f t="shared" si="14"/>
        <v>19.030200000000001</v>
      </c>
      <c r="N406" s="155">
        <v>19.05</v>
      </c>
      <c r="O406" s="347">
        <v>19030.2</v>
      </c>
      <c r="P406" s="120">
        <v>44245</v>
      </c>
      <c r="Q406" s="348">
        <v>44245</v>
      </c>
      <c r="R406" s="125"/>
      <c r="S406" s="125"/>
      <c r="T406" s="127">
        <f t="shared" si="107"/>
        <v>-3689.7999999999993</v>
      </c>
      <c r="U406" s="127" t="str">
        <f t="shared" si="16"/>
        <v>1000 MAHABANK</v>
      </c>
      <c r="V406" s="127">
        <f t="shared" si="17"/>
        <v>-3689.7999999999993</v>
      </c>
      <c r="W406" s="350">
        <f>IF(M406=0,"",(M406-H406)/H406)</f>
        <v>-0.16240316901408444</v>
      </c>
      <c r="X406" s="397">
        <f t="shared" si="19"/>
        <v>0</v>
      </c>
      <c r="Y406" s="352">
        <f t="shared" si="20"/>
        <v>0</v>
      </c>
      <c r="Z406" s="353">
        <f t="shared" si="21"/>
        <v>2</v>
      </c>
      <c r="AA406" s="350">
        <f>IFERROR((O406/K406)^(1/((P406-L406)/365))-1,"")</f>
        <v>-0.99999999999999101</v>
      </c>
      <c r="AB406" s="120" t="s">
        <v>471</v>
      </c>
    </row>
    <row r="407" spans="1:28" ht="12.75" customHeight="1">
      <c r="A407" s="120" t="s">
        <v>611</v>
      </c>
      <c r="B407" s="120"/>
      <c r="C407" s="343"/>
      <c r="D407" s="344">
        <v>1150</v>
      </c>
      <c r="E407" s="345">
        <f>IFERROR(IF(D407="","",(D407-J407)/J407),"")</f>
        <v>0.40243902439024393</v>
      </c>
      <c r="F407" s="121" t="s">
        <v>1141</v>
      </c>
      <c r="G407" s="121"/>
      <c r="H407" s="346">
        <f t="shared" ref="H407:H416" si="109">ROUND(K407/I407,4)</f>
        <v>821</v>
      </c>
      <c r="I407" s="121">
        <v>4</v>
      </c>
      <c r="J407" s="346">
        <v>820</v>
      </c>
      <c r="K407" s="128">
        <v>3284</v>
      </c>
      <c r="L407" s="150">
        <v>44740</v>
      </c>
      <c r="M407" s="124">
        <f t="shared" si="14"/>
        <v>1150</v>
      </c>
      <c r="N407" s="155">
        <v>1150</v>
      </c>
      <c r="O407" s="347">
        <v>4600</v>
      </c>
      <c r="P407" s="120">
        <v>44792</v>
      </c>
      <c r="Q407" s="348">
        <v>44792</v>
      </c>
      <c r="R407" s="125"/>
      <c r="S407" s="125"/>
      <c r="T407" s="127">
        <f>IF(OR(O407="",K407=""),"",O407-K407)</f>
        <v>1316</v>
      </c>
      <c r="U407" s="127" t="str">
        <f t="shared" si="16"/>
        <v>4 MATRIMONY</v>
      </c>
      <c r="V407" s="127">
        <f t="shared" si="17"/>
        <v>1316</v>
      </c>
      <c r="W407" s="350">
        <f>IF(OR(K407="",V407=""),"",V407/K407)</f>
        <v>0.40073081607795369</v>
      </c>
      <c r="X407" s="397">
        <f t="shared" si="19"/>
        <v>0</v>
      </c>
      <c r="Y407" s="352">
        <f t="shared" si="20"/>
        <v>1</v>
      </c>
      <c r="Z407" s="353">
        <f t="shared" si="21"/>
        <v>22</v>
      </c>
      <c r="AA407" s="350">
        <f t="shared" ref="AA407:AA558" si="110">IF(O407="","",IFERROR(((O407+S407-R407)/K407)^(1/((P407-L407)/365))-1,""))</f>
        <v>9.6487172546897106</v>
      </c>
      <c r="AB407" s="120" t="s">
        <v>471</v>
      </c>
    </row>
    <row r="408" spans="1:28" ht="12.75" customHeight="1">
      <c r="A408" s="120" t="s">
        <v>489</v>
      </c>
      <c r="B408" s="120" t="s">
        <v>1304</v>
      </c>
      <c r="C408" s="343" t="s">
        <v>1106</v>
      </c>
      <c r="D408" s="344"/>
      <c r="E408" s="345"/>
      <c r="F408" s="121"/>
      <c r="G408" s="121"/>
      <c r="H408" s="346">
        <f t="shared" si="109"/>
        <v>0</v>
      </c>
      <c r="I408" s="121">
        <v>100</v>
      </c>
      <c r="J408" s="346">
        <v>0</v>
      </c>
      <c r="K408" s="128">
        <v>0</v>
      </c>
      <c r="L408" s="150"/>
      <c r="M408" s="124">
        <f t="shared" si="14"/>
        <v>40.1586</v>
      </c>
      <c r="N408" s="155">
        <v>40.200000000000003</v>
      </c>
      <c r="O408" s="347">
        <v>4015.86</v>
      </c>
      <c r="P408" s="120">
        <v>44313</v>
      </c>
      <c r="Q408" s="348">
        <v>44309</v>
      </c>
      <c r="R408" s="125">
        <f>47.2+35.4+15.93</f>
        <v>98.53</v>
      </c>
      <c r="S408" s="125"/>
      <c r="T408" s="127">
        <f t="shared" ref="T408:T410" si="111">IF(O408="","",O408-K408)</f>
        <v>4015.86</v>
      </c>
      <c r="U408" s="127" t="str">
        <f t="shared" si="16"/>
        <v>100 MAWANASUG</v>
      </c>
      <c r="V408" s="127">
        <f t="shared" si="17"/>
        <v>3917.33</v>
      </c>
      <c r="W408" s="350" t="e">
        <f t="shared" ref="W408:W410" si="112">IF(M408=0,"",V408/K408)</f>
        <v>#DIV/0!</v>
      </c>
      <c r="X408" s="397">
        <f t="shared" si="19"/>
        <v>121</v>
      </c>
      <c r="Y408" s="352">
        <f t="shared" si="20"/>
        <v>3</v>
      </c>
      <c r="Z408" s="353">
        <f t="shared" si="21"/>
        <v>27</v>
      </c>
      <c r="AA408" s="350" t="str">
        <f t="shared" si="110"/>
        <v/>
      </c>
      <c r="AB408" s="120" t="s">
        <v>448</v>
      </c>
    </row>
    <row r="409" spans="1:28" ht="12.75" customHeight="1">
      <c r="A409" s="120" t="s">
        <v>489</v>
      </c>
      <c r="B409" s="120" t="s">
        <v>1304</v>
      </c>
      <c r="C409" s="343" t="s">
        <v>1106</v>
      </c>
      <c r="D409" s="344"/>
      <c r="E409" s="345"/>
      <c r="F409" s="121" t="s">
        <v>1107</v>
      </c>
      <c r="G409" s="121"/>
      <c r="H409" s="346">
        <f t="shared" si="109"/>
        <v>101.6</v>
      </c>
      <c r="I409" s="121">
        <v>20</v>
      </c>
      <c r="J409" s="346">
        <v>101.5</v>
      </c>
      <c r="K409" s="128">
        <v>2032</v>
      </c>
      <c r="L409" s="150">
        <v>44385</v>
      </c>
      <c r="M409" s="124">
        <f t="shared" si="14"/>
        <v>109.5</v>
      </c>
      <c r="N409" s="155">
        <v>109.6</v>
      </c>
      <c r="O409" s="347">
        <v>2190</v>
      </c>
      <c r="P409" s="120">
        <v>44396</v>
      </c>
      <c r="Q409" s="348">
        <v>44392</v>
      </c>
      <c r="R409" s="125">
        <v>15.93</v>
      </c>
      <c r="S409" s="125"/>
      <c r="T409" s="127">
        <f t="shared" si="111"/>
        <v>158</v>
      </c>
      <c r="U409" s="127" t="str">
        <f t="shared" si="16"/>
        <v>20 MAWANASUG</v>
      </c>
      <c r="V409" s="127">
        <f t="shared" si="17"/>
        <v>142.07</v>
      </c>
      <c r="W409" s="350">
        <f t="shared" si="112"/>
        <v>6.9916338582677165E-2</v>
      </c>
      <c r="X409" s="397">
        <f t="shared" si="19"/>
        <v>0</v>
      </c>
      <c r="Y409" s="352">
        <f t="shared" si="20"/>
        <v>0</v>
      </c>
      <c r="Z409" s="353">
        <f t="shared" si="21"/>
        <v>11</v>
      </c>
      <c r="AA409" s="350">
        <f t="shared" si="110"/>
        <v>8.4163020015338752</v>
      </c>
      <c r="AB409" s="120" t="s">
        <v>471</v>
      </c>
    </row>
    <row r="410" spans="1:28" ht="12.75" customHeight="1">
      <c r="A410" s="120" t="s">
        <v>489</v>
      </c>
      <c r="B410" s="120" t="s">
        <v>1304</v>
      </c>
      <c r="C410" s="343" t="s">
        <v>1106</v>
      </c>
      <c r="D410" s="344"/>
      <c r="E410" s="345" t="str">
        <f t="shared" ref="E410:E415" si="113">IFERROR(IF(D410="","",(D410-J410)/J410),"")</f>
        <v/>
      </c>
      <c r="F410" s="121" t="s">
        <v>1107</v>
      </c>
      <c r="G410" s="121"/>
      <c r="H410" s="346">
        <f t="shared" si="109"/>
        <v>0</v>
      </c>
      <c r="I410" s="121">
        <v>4</v>
      </c>
      <c r="J410" s="346">
        <v>0</v>
      </c>
      <c r="K410" s="128">
        <v>0</v>
      </c>
      <c r="L410" s="150"/>
      <c r="M410" s="124">
        <f t="shared" si="14"/>
        <v>90</v>
      </c>
      <c r="N410" s="155">
        <v>90.013499999999993</v>
      </c>
      <c r="O410" s="347">
        <v>360</v>
      </c>
      <c r="P410" s="120">
        <v>44494</v>
      </c>
      <c r="Q410" s="348">
        <v>44490</v>
      </c>
      <c r="R410" s="125">
        <v>15.93</v>
      </c>
      <c r="S410" s="125">
        <v>12</v>
      </c>
      <c r="T410" s="127">
        <f t="shared" si="111"/>
        <v>360</v>
      </c>
      <c r="U410" s="127" t="str">
        <f t="shared" si="16"/>
        <v>4 MAWANASUG</v>
      </c>
      <c r="V410" s="127">
        <f t="shared" si="17"/>
        <v>356.07</v>
      </c>
      <c r="W410" s="350" t="e">
        <f t="shared" si="112"/>
        <v>#DIV/0!</v>
      </c>
      <c r="X410" s="397">
        <f t="shared" si="19"/>
        <v>121</v>
      </c>
      <c r="Y410" s="352">
        <f t="shared" si="20"/>
        <v>9</v>
      </c>
      <c r="Z410" s="353">
        <f t="shared" si="21"/>
        <v>25</v>
      </c>
      <c r="AA410" s="350" t="str">
        <f t="shared" si="110"/>
        <v/>
      </c>
      <c r="AB410" s="120" t="s">
        <v>448</v>
      </c>
    </row>
    <row r="411" spans="1:28" ht="12.75" customHeight="1">
      <c r="A411" s="120" t="s">
        <v>592</v>
      </c>
      <c r="B411" s="120"/>
      <c r="C411" s="343"/>
      <c r="D411" s="344"/>
      <c r="E411" s="345" t="str">
        <f t="shared" si="113"/>
        <v/>
      </c>
      <c r="F411" s="121" t="s">
        <v>1116</v>
      </c>
      <c r="G411" s="121"/>
      <c r="H411" s="346">
        <f t="shared" si="109"/>
        <v>32.8733</v>
      </c>
      <c r="I411" s="121">
        <v>300</v>
      </c>
      <c r="J411" s="346">
        <v>32.833333333333336</v>
      </c>
      <c r="K411" s="128">
        <v>9862</v>
      </c>
      <c r="L411" s="150">
        <v>44582</v>
      </c>
      <c r="M411" s="124">
        <f t="shared" si="14"/>
        <v>34.213299999999997</v>
      </c>
      <c r="N411" s="155">
        <v>34.25</v>
      </c>
      <c r="O411" s="347">
        <v>10264</v>
      </c>
      <c r="P411" s="120">
        <v>44825</v>
      </c>
      <c r="Q411" s="348">
        <v>44823</v>
      </c>
      <c r="R411" s="125">
        <v>15.93</v>
      </c>
      <c r="S411" s="125"/>
      <c r="T411" s="127">
        <f t="shared" ref="T411:T415" si="114">IF(OR(O411="",K411=""),"",O411-K411)</f>
        <v>402</v>
      </c>
      <c r="U411" s="127" t="str">
        <f t="shared" si="16"/>
        <v>300 MCLEODRUSS</v>
      </c>
      <c r="V411" s="127">
        <f t="shared" si="17"/>
        <v>386.07</v>
      </c>
      <c r="W411" s="350">
        <f t="shared" ref="W411:W415" si="115">IF(OR(K411="",V411=""),"",V411/K411)</f>
        <v>3.9147231798823769E-2</v>
      </c>
      <c r="X411" s="397">
        <f t="shared" si="19"/>
        <v>0</v>
      </c>
      <c r="Y411" s="352">
        <f t="shared" si="20"/>
        <v>8</v>
      </c>
      <c r="Z411" s="353">
        <f t="shared" si="21"/>
        <v>0</v>
      </c>
      <c r="AA411" s="350">
        <f t="shared" si="110"/>
        <v>5.9375543091493954E-2</v>
      </c>
      <c r="AB411" s="120" t="s">
        <v>471</v>
      </c>
    </row>
    <row r="412" spans="1:28" ht="12.75" customHeight="1">
      <c r="A412" s="120" t="s">
        <v>592</v>
      </c>
      <c r="B412" s="120"/>
      <c r="C412" s="343"/>
      <c r="D412" s="344"/>
      <c r="E412" s="345" t="str">
        <f t="shared" si="113"/>
        <v/>
      </c>
      <c r="F412" s="121" t="s">
        <v>1116</v>
      </c>
      <c r="G412" s="121"/>
      <c r="H412" s="346">
        <f t="shared" si="109"/>
        <v>21.02</v>
      </c>
      <c r="I412" s="121">
        <v>50</v>
      </c>
      <c r="J412" s="346">
        <v>21</v>
      </c>
      <c r="K412" s="128">
        <v>1051</v>
      </c>
      <c r="L412" s="150">
        <v>44768</v>
      </c>
      <c r="M412" s="124">
        <f t="shared" si="14"/>
        <v>34.22</v>
      </c>
      <c r="N412" s="155">
        <v>34.25</v>
      </c>
      <c r="O412" s="347">
        <v>1711</v>
      </c>
      <c r="P412" s="120">
        <v>44825</v>
      </c>
      <c r="Q412" s="348">
        <v>44823</v>
      </c>
      <c r="R412" s="125">
        <v>0</v>
      </c>
      <c r="S412" s="125"/>
      <c r="T412" s="127">
        <f t="shared" si="114"/>
        <v>660</v>
      </c>
      <c r="U412" s="127" t="str">
        <f t="shared" si="16"/>
        <v>50 MCLEODRUSS</v>
      </c>
      <c r="V412" s="127">
        <f t="shared" si="17"/>
        <v>660</v>
      </c>
      <c r="W412" s="350">
        <f t="shared" si="115"/>
        <v>0.62797335870599424</v>
      </c>
      <c r="X412" s="397">
        <f t="shared" si="19"/>
        <v>0</v>
      </c>
      <c r="Y412" s="352">
        <f t="shared" si="20"/>
        <v>1</v>
      </c>
      <c r="Z412" s="353">
        <f t="shared" si="21"/>
        <v>26</v>
      </c>
      <c r="AA412" s="350">
        <f t="shared" si="110"/>
        <v>21.661325064896435</v>
      </c>
      <c r="AB412" s="120" t="s">
        <v>471</v>
      </c>
    </row>
    <row r="413" spans="1:28" ht="12.75" customHeight="1">
      <c r="A413" s="120" t="s">
        <v>589</v>
      </c>
      <c r="B413" s="120"/>
      <c r="C413" s="343"/>
      <c r="D413" s="344"/>
      <c r="E413" s="345" t="str">
        <f t="shared" si="113"/>
        <v/>
      </c>
      <c r="F413" s="121" t="s">
        <v>1116</v>
      </c>
      <c r="G413" s="121"/>
      <c r="H413" s="346">
        <f t="shared" si="109"/>
        <v>1638.8</v>
      </c>
      <c r="I413" s="121">
        <v>10</v>
      </c>
      <c r="J413" s="346">
        <v>1636.875</v>
      </c>
      <c r="K413" s="128">
        <v>16388</v>
      </c>
      <c r="L413" s="150">
        <v>44575</v>
      </c>
      <c r="M413" s="124">
        <f t="shared" si="14"/>
        <v>1653.3</v>
      </c>
      <c r="N413" s="155">
        <v>1655</v>
      </c>
      <c r="O413" s="347">
        <v>16533</v>
      </c>
      <c r="P413" s="120">
        <v>44911</v>
      </c>
      <c r="Q413" s="348">
        <v>44909</v>
      </c>
      <c r="R413" s="125">
        <v>15.93</v>
      </c>
      <c r="S413" s="125"/>
      <c r="T413" s="127">
        <f t="shared" si="114"/>
        <v>145</v>
      </c>
      <c r="U413" s="127" t="str">
        <f t="shared" si="16"/>
        <v>10 MCX</v>
      </c>
      <c r="V413" s="127">
        <f t="shared" si="17"/>
        <v>129.07</v>
      </c>
      <c r="W413" s="350">
        <f t="shared" si="115"/>
        <v>7.8758847937515242E-3</v>
      </c>
      <c r="X413" s="397">
        <f t="shared" si="19"/>
        <v>0</v>
      </c>
      <c r="Y413" s="352">
        <f t="shared" si="20"/>
        <v>11</v>
      </c>
      <c r="Z413" s="353">
        <f t="shared" si="21"/>
        <v>2</v>
      </c>
      <c r="AA413" s="350">
        <f t="shared" si="110"/>
        <v>8.5585496212217116E-3</v>
      </c>
      <c r="AB413" s="120" t="s">
        <v>471</v>
      </c>
    </row>
    <row r="414" spans="1:28" ht="12.75" customHeight="1">
      <c r="A414" s="120" t="s">
        <v>589</v>
      </c>
      <c r="B414" s="120"/>
      <c r="C414" s="343"/>
      <c r="D414" s="344"/>
      <c r="E414" s="345" t="str">
        <f t="shared" si="113"/>
        <v/>
      </c>
      <c r="F414" s="121"/>
      <c r="G414" s="121"/>
      <c r="H414" s="346">
        <f t="shared" si="109"/>
        <v>1474.1429000000001</v>
      </c>
      <c r="I414" s="121">
        <v>7</v>
      </c>
      <c r="J414" s="346">
        <v>1472.3929000000001</v>
      </c>
      <c r="K414" s="128">
        <v>10319</v>
      </c>
      <c r="L414" s="150">
        <v>44928</v>
      </c>
      <c r="M414" s="124">
        <f t="shared" si="14"/>
        <v>1551</v>
      </c>
      <c r="N414" s="155">
        <v>1552.65</v>
      </c>
      <c r="O414" s="347">
        <v>10857</v>
      </c>
      <c r="P414" s="120">
        <v>44943</v>
      </c>
      <c r="Q414" s="348">
        <v>44939</v>
      </c>
      <c r="R414" s="125">
        <v>15.93</v>
      </c>
      <c r="S414" s="125"/>
      <c r="T414" s="127">
        <f t="shared" si="114"/>
        <v>538</v>
      </c>
      <c r="U414" s="127" t="str">
        <f t="shared" si="16"/>
        <v>7 MCX</v>
      </c>
      <c r="V414" s="127">
        <f t="shared" si="17"/>
        <v>522.07000000000005</v>
      </c>
      <c r="W414" s="350">
        <f t="shared" si="115"/>
        <v>5.0593080724876449E-2</v>
      </c>
      <c r="X414" s="397">
        <f t="shared" si="19"/>
        <v>0</v>
      </c>
      <c r="Y414" s="352">
        <f t="shared" si="20"/>
        <v>0</v>
      </c>
      <c r="Z414" s="353">
        <f t="shared" si="21"/>
        <v>15</v>
      </c>
      <c r="AA414" s="350">
        <f t="shared" si="110"/>
        <v>2.3233318811690489</v>
      </c>
      <c r="AB414" s="120" t="s">
        <v>471</v>
      </c>
    </row>
    <row r="415" spans="1:28" ht="12.75" customHeight="1">
      <c r="A415" s="120" t="s">
        <v>589</v>
      </c>
      <c r="B415" s="120"/>
      <c r="C415" s="343"/>
      <c r="D415" s="344"/>
      <c r="E415" s="345" t="str">
        <f t="shared" si="113"/>
        <v/>
      </c>
      <c r="F415" s="121"/>
      <c r="G415" s="121"/>
      <c r="H415" s="346">
        <f t="shared" si="109"/>
        <v>1556.8333</v>
      </c>
      <c r="I415" s="121">
        <v>30</v>
      </c>
      <c r="J415" s="346">
        <v>1555</v>
      </c>
      <c r="K415" s="128">
        <v>46705</v>
      </c>
      <c r="L415" s="150">
        <v>44950</v>
      </c>
      <c r="M415" s="124">
        <f t="shared" si="14"/>
        <v>1570.0667000000001</v>
      </c>
      <c r="N415" s="155">
        <v>1571.6667</v>
      </c>
      <c r="O415" s="347">
        <v>47102</v>
      </c>
      <c r="P415" s="120">
        <v>44943</v>
      </c>
      <c r="Q415" s="348">
        <v>44939</v>
      </c>
      <c r="R415" s="125">
        <v>0</v>
      </c>
      <c r="S415" s="125"/>
      <c r="T415" s="127">
        <f t="shared" si="114"/>
        <v>397</v>
      </c>
      <c r="U415" s="127" t="str">
        <f t="shared" si="16"/>
        <v>30 MCX</v>
      </c>
      <c r="V415" s="127">
        <f t="shared" si="17"/>
        <v>397</v>
      </c>
      <c r="W415" s="350">
        <f t="shared" si="115"/>
        <v>8.5001605823787595E-3</v>
      </c>
      <c r="X415" s="397" t="e">
        <f t="shared" si="19"/>
        <v>#NUM!</v>
      </c>
      <c r="Y415" s="352" t="e">
        <f t="shared" si="20"/>
        <v>#NUM!</v>
      </c>
      <c r="Z415" s="353" t="e">
        <f t="shared" si="21"/>
        <v>#NUM!</v>
      </c>
      <c r="AA415" s="350">
        <f t="shared" si="110"/>
        <v>-0.35683214184531098</v>
      </c>
      <c r="AB415" s="120" t="s">
        <v>471</v>
      </c>
    </row>
    <row r="416" spans="1:28" ht="12.75" customHeight="1">
      <c r="A416" s="120" t="s">
        <v>497</v>
      </c>
      <c r="B416" s="120" t="s">
        <v>497</v>
      </c>
      <c r="C416" s="343" t="s">
        <v>1163</v>
      </c>
      <c r="D416" s="344" t="s">
        <v>1305</v>
      </c>
      <c r="E416" s="345">
        <f>(55-J416)/J416</f>
        <v>0.19305856832971796</v>
      </c>
      <c r="F416" s="121" t="s">
        <v>1124</v>
      </c>
      <c r="G416" s="121" t="s">
        <v>1125</v>
      </c>
      <c r="H416" s="346">
        <f t="shared" si="109"/>
        <v>46.16</v>
      </c>
      <c r="I416" s="121">
        <v>100</v>
      </c>
      <c r="J416" s="346">
        <v>46.1</v>
      </c>
      <c r="K416" s="128">
        <v>4616</v>
      </c>
      <c r="L416" s="150">
        <v>44323</v>
      </c>
      <c r="M416" s="124">
        <f t="shared" si="14"/>
        <v>57.44</v>
      </c>
      <c r="N416" s="155">
        <v>57.5</v>
      </c>
      <c r="O416" s="347">
        <v>5744</v>
      </c>
      <c r="P416" s="120">
        <v>44333</v>
      </c>
      <c r="Q416" s="348">
        <v>44328</v>
      </c>
      <c r="R416" s="125">
        <v>15.93</v>
      </c>
      <c r="S416" s="125"/>
      <c r="T416" s="127">
        <f>IF(O416="","",O416-K416)</f>
        <v>1128</v>
      </c>
      <c r="U416" s="127" t="str">
        <f t="shared" si="16"/>
        <v>100 MMTC</v>
      </c>
      <c r="V416" s="127">
        <f t="shared" si="17"/>
        <v>1112.07</v>
      </c>
      <c r="W416" s="350">
        <f>IF(M416=0,"",V416/K416)</f>
        <v>0.24091637781629116</v>
      </c>
      <c r="X416" s="397">
        <f t="shared" si="19"/>
        <v>0</v>
      </c>
      <c r="Y416" s="352">
        <f t="shared" si="20"/>
        <v>0</v>
      </c>
      <c r="Z416" s="353">
        <f t="shared" si="21"/>
        <v>10</v>
      </c>
      <c r="AA416" s="350">
        <f t="shared" si="110"/>
        <v>2638.987386430415</v>
      </c>
      <c r="AB416" s="120" t="s">
        <v>471</v>
      </c>
    </row>
    <row r="417" spans="1:28" ht="12.75" customHeight="1">
      <c r="A417" s="120" t="s">
        <v>617</v>
      </c>
      <c r="B417" s="120"/>
      <c r="C417" s="343"/>
      <c r="D417" s="344"/>
      <c r="E417" s="345"/>
      <c r="F417" s="121"/>
      <c r="G417" s="121"/>
      <c r="H417" s="346"/>
      <c r="I417" s="121">
        <v>50</v>
      </c>
      <c r="J417" s="346">
        <v>121.35</v>
      </c>
      <c r="K417" s="128">
        <v>6075</v>
      </c>
      <c r="L417" s="150">
        <v>44802</v>
      </c>
      <c r="M417" s="124">
        <f t="shared" si="14"/>
        <v>128.36000000000001</v>
      </c>
      <c r="N417" s="155">
        <v>128.5</v>
      </c>
      <c r="O417" s="347">
        <v>6418</v>
      </c>
      <c r="P417" s="120">
        <v>44819</v>
      </c>
      <c r="Q417" s="348">
        <v>44817</v>
      </c>
      <c r="R417" s="125">
        <v>15.93</v>
      </c>
      <c r="S417" s="125"/>
      <c r="T417" s="127">
        <f>IF(OR(O417="",K417=""),"",O417-K417)</f>
        <v>343</v>
      </c>
      <c r="U417" s="127" t="str">
        <f t="shared" si="16"/>
        <v>50 MOTHERSON</v>
      </c>
      <c r="V417" s="127">
        <f t="shared" si="17"/>
        <v>327.07</v>
      </c>
      <c r="W417" s="350">
        <f>IF(OR(K417="",V417=""),"",V417/K417)</f>
        <v>5.3838683127572014E-2</v>
      </c>
      <c r="X417" s="397">
        <f t="shared" si="19"/>
        <v>0</v>
      </c>
      <c r="Y417" s="352">
        <f t="shared" si="20"/>
        <v>0</v>
      </c>
      <c r="Z417" s="353">
        <f t="shared" si="21"/>
        <v>17</v>
      </c>
      <c r="AA417" s="350">
        <f t="shared" si="110"/>
        <v>2.0830040776022525</v>
      </c>
      <c r="AB417" s="120" t="s">
        <v>471</v>
      </c>
    </row>
    <row r="418" spans="1:28" ht="12.75" customHeight="1">
      <c r="A418" s="120" t="s">
        <v>502</v>
      </c>
      <c r="B418" s="120" t="s">
        <v>1306</v>
      </c>
      <c r="C418" s="343" t="s">
        <v>1163</v>
      </c>
      <c r="D418" s="344"/>
      <c r="E418" s="345"/>
      <c r="F418" s="121"/>
      <c r="G418" s="121"/>
      <c r="H418" s="346">
        <f t="shared" ref="H418:H441" si="116">ROUND(K418/I418,4)</f>
        <v>220.85</v>
      </c>
      <c r="I418" s="121">
        <v>50</v>
      </c>
      <c r="J418" s="346">
        <v>220.8</v>
      </c>
      <c r="K418" s="128">
        <v>11042.5</v>
      </c>
      <c r="L418" s="150">
        <v>38847</v>
      </c>
      <c r="M418" s="124">
        <f t="shared" si="14"/>
        <v>18.96</v>
      </c>
      <c r="N418" s="155">
        <v>18.600000000000001</v>
      </c>
      <c r="O418" s="347">
        <v>948</v>
      </c>
      <c r="P418" s="120">
        <v>44333</v>
      </c>
      <c r="Q418" s="348">
        <v>44328</v>
      </c>
      <c r="R418" s="125">
        <f>35.4+29.5+15.93</f>
        <v>80.830000000000013</v>
      </c>
      <c r="S418" s="125">
        <f>50+150+150+50</f>
        <v>400</v>
      </c>
      <c r="T418" s="127">
        <f t="shared" ref="T418:T428" si="117">IF(O418="","",O418-K418)</f>
        <v>-10094.5</v>
      </c>
      <c r="U418" s="127" t="str">
        <f t="shared" si="16"/>
        <v>50 MTNL</v>
      </c>
      <c r="V418" s="127">
        <f t="shared" si="17"/>
        <v>-9775.33</v>
      </c>
      <c r="W418" s="350">
        <f t="shared" ref="W418:W428" si="118">IF(M418=0,"",V418/K418)</f>
        <v>-0.88524609463436721</v>
      </c>
      <c r="X418" s="397">
        <f t="shared" si="19"/>
        <v>15</v>
      </c>
      <c r="Y418" s="352">
        <f t="shared" si="20"/>
        <v>0</v>
      </c>
      <c r="Z418" s="353">
        <f t="shared" si="21"/>
        <v>7</v>
      </c>
      <c r="AA418" s="350">
        <f t="shared" si="110"/>
        <v>-0.13414829615623658</v>
      </c>
      <c r="AB418" s="120" t="s">
        <v>448</v>
      </c>
    </row>
    <row r="419" spans="1:28" ht="12.75" customHeight="1">
      <c r="A419" s="120" t="s">
        <v>567</v>
      </c>
      <c r="B419" s="120" t="s">
        <v>1307</v>
      </c>
      <c r="C419" s="343" t="s">
        <v>1120</v>
      </c>
      <c r="D419" s="344" t="s">
        <v>1308</v>
      </c>
      <c r="E419" s="345">
        <f t="shared" ref="E419:E420" si="119">IFERROR(IF(D419="","",(D419-J419)/J419),"")</f>
        <v>1.2329656067488644E-2</v>
      </c>
      <c r="F419" s="121" t="s">
        <v>1309</v>
      </c>
      <c r="G419" s="121" t="s">
        <v>1223</v>
      </c>
      <c r="H419" s="346">
        <f t="shared" si="116"/>
        <v>1542.8</v>
      </c>
      <c r="I419" s="121">
        <v>5</v>
      </c>
      <c r="J419" s="346">
        <v>1541</v>
      </c>
      <c r="K419" s="128">
        <v>7714</v>
      </c>
      <c r="L419" s="150">
        <v>44462</v>
      </c>
      <c r="M419" s="124">
        <f t="shared" si="14"/>
        <v>1573.4</v>
      </c>
      <c r="N419" s="155">
        <v>1575</v>
      </c>
      <c r="O419" s="347">
        <v>7867</v>
      </c>
      <c r="P419" s="120">
        <v>44480</v>
      </c>
      <c r="Q419" s="348">
        <v>44476</v>
      </c>
      <c r="R419" s="125">
        <v>15.93</v>
      </c>
      <c r="S419" s="125"/>
      <c r="T419" s="127">
        <f t="shared" si="117"/>
        <v>153</v>
      </c>
      <c r="U419" s="127" t="str">
        <f t="shared" si="16"/>
        <v>5 MUTHOOTFIN</v>
      </c>
      <c r="V419" s="127">
        <f t="shared" si="17"/>
        <v>137.07</v>
      </c>
      <c r="W419" s="350">
        <f t="shared" si="118"/>
        <v>1.7768991444127559E-2</v>
      </c>
      <c r="X419" s="397">
        <f t="shared" si="19"/>
        <v>0</v>
      </c>
      <c r="Y419" s="352">
        <f t="shared" si="20"/>
        <v>0</v>
      </c>
      <c r="Z419" s="353">
        <f t="shared" si="21"/>
        <v>18</v>
      </c>
      <c r="AA419" s="350">
        <f t="shared" si="110"/>
        <v>0.42925290011465922</v>
      </c>
      <c r="AB419" s="120" t="s">
        <v>471</v>
      </c>
    </row>
    <row r="420" spans="1:28" ht="12.75" customHeight="1">
      <c r="A420" s="120" t="s">
        <v>511</v>
      </c>
      <c r="B420" s="120" t="s">
        <v>1310</v>
      </c>
      <c r="C420" s="343" t="s">
        <v>1163</v>
      </c>
      <c r="D420" s="344">
        <v>1193</v>
      </c>
      <c r="E420" s="345">
        <f t="shared" si="119"/>
        <v>9.9539170506912439E-2</v>
      </c>
      <c r="F420" s="121" t="s">
        <v>1116</v>
      </c>
      <c r="G420" s="121" t="s">
        <v>1185</v>
      </c>
      <c r="H420" s="346">
        <f t="shared" si="116"/>
        <v>1086.3</v>
      </c>
      <c r="I420" s="121">
        <v>10</v>
      </c>
      <c r="J420" s="346">
        <v>1085</v>
      </c>
      <c r="K420" s="128">
        <v>10863</v>
      </c>
      <c r="L420" s="150">
        <v>44342</v>
      </c>
      <c r="M420" s="124">
        <f t="shared" si="14"/>
        <v>1094.9000000000001</v>
      </c>
      <c r="N420" s="155">
        <v>1096</v>
      </c>
      <c r="O420" s="347">
        <v>10949</v>
      </c>
      <c r="P420" s="120">
        <v>44362</v>
      </c>
      <c r="Q420" s="348">
        <v>44358</v>
      </c>
      <c r="R420" s="125">
        <v>15.93</v>
      </c>
      <c r="S420" s="125"/>
      <c r="T420" s="127">
        <f t="shared" si="117"/>
        <v>86</v>
      </c>
      <c r="U420" s="127" t="str">
        <f t="shared" si="16"/>
        <v>10 NATCOPHARM</v>
      </c>
      <c r="V420" s="127">
        <f t="shared" si="17"/>
        <v>70.069999999999993</v>
      </c>
      <c r="W420" s="350">
        <f t="shared" si="118"/>
        <v>6.4503360029457783E-3</v>
      </c>
      <c r="X420" s="397">
        <f t="shared" si="19"/>
        <v>0</v>
      </c>
      <c r="Y420" s="352">
        <f t="shared" si="20"/>
        <v>0</v>
      </c>
      <c r="Z420" s="353">
        <f t="shared" si="21"/>
        <v>20</v>
      </c>
      <c r="AA420" s="350">
        <f t="shared" si="110"/>
        <v>0.12450236375403256</v>
      </c>
      <c r="AB420" s="120" t="s">
        <v>471</v>
      </c>
    </row>
    <row r="421" spans="1:28" ht="12.75" customHeight="1">
      <c r="A421" s="120" t="s">
        <v>482</v>
      </c>
      <c r="B421" s="120" t="s">
        <v>1311</v>
      </c>
      <c r="C421" s="343" t="s">
        <v>1163</v>
      </c>
      <c r="D421" s="344"/>
      <c r="E421" s="345"/>
      <c r="F421" s="121"/>
      <c r="G421" s="121"/>
      <c r="H421" s="346">
        <f t="shared" si="116"/>
        <v>63.632100000000001</v>
      </c>
      <c r="I421" s="121">
        <v>100</v>
      </c>
      <c r="J421" s="346">
        <v>63.55</v>
      </c>
      <c r="K421" s="128">
        <v>6363.21</v>
      </c>
      <c r="L421" s="150">
        <v>44258</v>
      </c>
      <c r="M421" s="124">
        <f t="shared" si="14"/>
        <v>63.43</v>
      </c>
      <c r="N421" s="155">
        <v>63.5</v>
      </c>
      <c r="O421" s="347">
        <v>6343</v>
      </c>
      <c r="P421" s="120">
        <v>44319</v>
      </c>
      <c r="Q421" s="348">
        <v>44315</v>
      </c>
      <c r="R421" s="125">
        <v>0</v>
      </c>
      <c r="S421" s="125">
        <v>200</v>
      </c>
      <c r="T421" s="127">
        <f t="shared" si="117"/>
        <v>-20.210000000000036</v>
      </c>
      <c r="U421" s="127" t="str">
        <f t="shared" si="16"/>
        <v>100 NATIONALUM</v>
      </c>
      <c r="V421" s="127">
        <f t="shared" si="17"/>
        <v>179.78999999999996</v>
      </c>
      <c r="W421" s="350">
        <f t="shared" si="118"/>
        <v>2.8254607344406355E-2</v>
      </c>
      <c r="X421" s="397">
        <f t="shared" si="19"/>
        <v>0</v>
      </c>
      <c r="Y421" s="352">
        <f t="shared" si="20"/>
        <v>2</v>
      </c>
      <c r="Z421" s="353">
        <f t="shared" si="21"/>
        <v>0</v>
      </c>
      <c r="AA421" s="350">
        <f t="shared" si="110"/>
        <v>0.18142352195255129</v>
      </c>
      <c r="AB421" s="120" t="s">
        <v>471</v>
      </c>
    </row>
    <row r="422" spans="1:28" ht="12.75" customHeight="1">
      <c r="A422" s="120" t="s">
        <v>482</v>
      </c>
      <c r="B422" s="120" t="s">
        <v>1311</v>
      </c>
      <c r="C422" s="343" t="s">
        <v>1163</v>
      </c>
      <c r="D422" s="344">
        <v>64</v>
      </c>
      <c r="E422" s="345">
        <f t="shared" ref="E422:E433" si="120">IFERROR(IF(D422="","",(D422-J422)/J422),"")</f>
        <v>8.4745762711864403E-2</v>
      </c>
      <c r="F422" s="121" t="s">
        <v>1116</v>
      </c>
      <c r="G422" s="121" t="s">
        <v>1260</v>
      </c>
      <c r="H422" s="346">
        <f t="shared" si="116"/>
        <v>59.06</v>
      </c>
      <c r="I422" s="121">
        <v>50</v>
      </c>
      <c r="J422" s="346">
        <v>59</v>
      </c>
      <c r="K422" s="128">
        <v>2953</v>
      </c>
      <c r="L422" s="150">
        <v>44302</v>
      </c>
      <c r="M422" s="124">
        <f t="shared" si="14"/>
        <v>63.44</v>
      </c>
      <c r="N422" s="155">
        <v>63.5</v>
      </c>
      <c r="O422" s="347">
        <v>3172</v>
      </c>
      <c r="P422" s="120">
        <v>44319</v>
      </c>
      <c r="Q422" s="348">
        <v>44315</v>
      </c>
      <c r="R422" s="125">
        <v>15.93</v>
      </c>
      <c r="S422" s="125"/>
      <c r="T422" s="127">
        <f t="shared" si="117"/>
        <v>219</v>
      </c>
      <c r="U422" s="127" t="str">
        <f t="shared" si="16"/>
        <v>50 NATIONALUM</v>
      </c>
      <c r="V422" s="127">
        <f t="shared" si="17"/>
        <v>203.07</v>
      </c>
      <c r="W422" s="350">
        <f t="shared" si="118"/>
        <v>6.8767355231967489E-2</v>
      </c>
      <c r="X422" s="397">
        <f t="shared" si="19"/>
        <v>0</v>
      </c>
      <c r="Y422" s="352">
        <f t="shared" si="20"/>
        <v>0</v>
      </c>
      <c r="Z422" s="353">
        <f t="shared" si="21"/>
        <v>17</v>
      </c>
      <c r="AA422" s="350">
        <f t="shared" si="110"/>
        <v>3.1700270003856739</v>
      </c>
      <c r="AB422" s="120" t="s">
        <v>471</v>
      </c>
    </row>
    <row r="423" spans="1:28" ht="12.75" customHeight="1">
      <c r="A423" s="120" t="s">
        <v>482</v>
      </c>
      <c r="B423" s="120" t="s">
        <v>1312</v>
      </c>
      <c r="C423" s="343" t="s">
        <v>1313</v>
      </c>
      <c r="D423" s="344"/>
      <c r="E423" s="345" t="str">
        <f t="shared" si="120"/>
        <v/>
      </c>
      <c r="F423" s="121" t="s">
        <v>1107</v>
      </c>
      <c r="G423" s="121"/>
      <c r="H423" s="346">
        <f t="shared" si="116"/>
        <v>85</v>
      </c>
      <c r="I423" s="121">
        <v>100</v>
      </c>
      <c r="J423" s="346">
        <v>84.9</v>
      </c>
      <c r="K423" s="128">
        <v>8500</v>
      </c>
      <c r="L423" s="150">
        <v>44417</v>
      </c>
      <c r="M423" s="124">
        <f t="shared" si="14"/>
        <v>89.91</v>
      </c>
      <c r="N423" s="155">
        <v>90</v>
      </c>
      <c r="O423" s="347">
        <v>8991</v>
      </c>
      <c r="P423" s="120">
        <v>44441</v>
      </c>
      <c r="Q423" s="348">
        <v>44439</v>
      </c>
      <c r="R423" s="125">
        <v>15.93</v>
      </c>
      <c r="S423" s="125"/>
      <c r="T423" s="127">
        <f t="shared" si="117"/>
        <v>491</v>
      </c>
      <c r="U423" s="127" t="str">
        <f t="shared" si="16"/>
        <v>100 NATIONALUM</v>
      </c>
      <c r="V423" s="127">
        <f t="shared" si="17"/>
        <v>475.07</v>
      </c>
      <c r="W423" s="350">
        <f t="shared" si="118"/>
        <v>5.5890588235294116E-2</v>
      </c>
      <c r="X423" s="397">
        <f t="shared" si="19"/>
        <v>0</v>
      </c>
      <c r="Y423" s="352">
        <f t="shared" si="20"/>
        <v>0</v>
      </c>
      <c r="Z423" s="353">
        <f t="shared" si="21"/>
        <v>24</v>
      </c>
      <c r="AA423" s="350">
        <f t="shared" si="110"/>
        <v>1.2866747159742125</v>
      </c>
      <c r="AB423" s="120" t="s">
        <v>471</v>
      </c>
    </row>
    <row r="424" spans="1:28" ht="12.75" customHeight="1">
      <c r="A424" s="120" t="s">
        <v>482</v>
      </c>
      <c r="B424" s="120" t="s">
        <v>1312</v>
      </c>
      <c r="C424" s="343" t="s">
        <v>1313</v>
      </c>
      <c r="D424" s="344"/>
      <c r="E424" s="345" t="str">
        <f t="shared" si="120"/>
        <v/>
      </c>
      <c r="F424" s="121" t="s">
        <v>1107</v>
      </c>
      <c r="G424" s="121"/>
      <c r="H424" s="346">
        <f t="shared" si="116"/>
        <v>91.222200000000001</v>
      </c>
      <c r="I424" s="121">
        <v>9</v>
      </c>
      <c r="J424" s="346">
        <v>91.15</v>
      </c>
      <c r="K424" s="128">
        <v>821</v>
      </c>
      <c r="L424" s="150">
        <v>44470</v>
      </c>
      <c r="M424" s="124">
        <f t="shared" si="14"/>
        <v>104.11109999999999</v>
      </c>
      <c r="N424" s="155">
        <v>104.2</v>
      </c>
      <c r="O424" s="347">
        <v>937</v>
      </c>
      <c r="P424" s="120">
        <v>44475</v>
      </c>
      <c r="Q424" s="348">
        <v>44473</v>
      </c>
      <c r="R424" s="125"/>
      <c r="S424" s="125"/>
      <c r="T424" s="127">
        <f t="shared" si="117"/>
        <v>116</v>
      </c>
      <c r="U424" s="127" t="str">
        <f t="shared" si="16"/>
        <v>9 NATIONALUM</v>
      </c>
      <c r="V424" s="127">
        <f t="shared" si="17"/>
        <v>116</v>
      </c>
      <c r="W424" s="350">
        <f t="shared" si="118"/>
        <v>0.14129110840438489</v>
      </c>
      <c r="X424" s="397">
        <f t="shared" si="19"/>
        <v>0</v>
      </c>
      <c r="Y424" s="352">
        <f t="shared" si="20"/>
        <v>0</v>
      </c>
      <c r="Z424" s="353">
        <f t="shared" si="21"/>
        <v>5</v>
      </c>
      <c r="AA424" s="350">
        <f t="shared" si="110"/>
        <v>15485.014625463602</v>
      </c>
      <c r="AB424" s="120" t="s">
        <v>471</v>
      </c>
    </row>
    <row r="425" spans="1:28" ht="12.75" customHeight="1">
      <c r="A425" s="120" t="s">
        <v>482</v>
      </c>
      <c r="B425" s="120" t="s">
        <v>1312</v>
      </c>
      <c r="C425" s="343" t="s">
        <v>1313</v>
      </c>
      <c r="D425" s="344">
        <v>135</v>
      </c>
      <c r="E425" s="345">
        <f t="shared" si="120"/>
        <v>0.38817480719794345</v>
      </c>
      <c r="F425" s="121" t="s">
        <v>1314</v>
      </c>
      <c r="G425" s="121"/>
      <c r="H425" s="346">
        <f t="shared" si="116"/>
        <v>97.36</v>
      </c>
      <c r="I425" s="121">
        <v>50</v>
      </c>
      <c r="J425" s="346">
        <v>97.25</v>
      </c>
      <c r="K425" s="128">
        <v>4868</v>
      </c>
      <c r="L425" s="150">
        <v>44518</v>
      </c>
      <c r="M425" s="124">
        <f t="shared" si="14"/>
        <v>101.14</v>
      </c>
      <c r="N425" s="155">
        <v>101.25</v>
      </c>
      <c r="O425" s="347">
        <v>5057</v>
      </c>
      <c r="P425" s="120">
        <v>44565</v>
      </c>
      <c r="Q425" s="348">
        <v>44561</v>
      </c>
      <c r="R425" s="125">
        <v>15.93</v>
      </c>
      <c r="S425" s="125"/>
      <c r="T425" s="127">
        <f t="shared" si="117"/>
        <v>189</v>
      </c>
      <c r="U425" s="127" t="str">
        <f t="shared" si="16"/>
        <v>50 NATIONALUM</v>
      </c>
      <c r="V425" s="127">
        <f t="shared" si="17"/>
        <v>173.07</v>
      </c>
      <c r="W425" s="350">
        <f t="shared" si="118"/>
        <v>3.5552588331963841E-2</v>
      </c>
      <c r="X425" s="397">
        <f t="shared" si="19"/>
        <v>0</v>
      </c>
      <c r="Y425" s="352">
        <f t="shared" si="20"/>
        <v>1</v>
      </c>
      <c r="Z425" s="353">
        <f t="shared" si="21"/>
        <v>17</v>
      </c>
      <c r="AA425" s="350">
        <f t="shared" si="110"/>
        <v>0.31167529059930388</v>
      </c>
      <c r="AB425" s="120" t="s">
        <v>471</v>
      </c>
    </row>
    <row r="426" spans="1:28" ht="12.75" customHeight="1">
      <c r="A426" s="120" t="s">
        <v>482</v>
      </c>
      <c r="B426" s="120" t="s">
        <v>1312</v>
      </c>
      <c r="C426" s="343" t="s">
        <v>1313</v>
      </c>
      <c r="D426" s="344">
        <v>135</v>
      </c>
      <c r="E426" s="345">
        <f t="shared" si="120"/>
        <v>0.2317518248175183</v>
      </c>
      <c r="F426" s="121" t="s">
        <v>1314</v>
      </c>
      <c r="G426" s="121"/>
      <c r="H426" s="346">
        <f t="shared" si="116"/>
        <v>109.72</v>
      </c>
      <c r="I426" s="121">
        <v>50</v>
      </c>
      <c r="J426" s="346">
        <v>109.6</v>
      </c>
      <c r="K426" s="128">
        <v>5486</v>
      </c>
      <c r="L426" s="150">
        <v>44489</v>
      </c>
      <c r="M426" s="124">
        <f t="shared" si="14"/>
        <v>109.48</v>
      </c>
      <c r="N426" s="155">
        <v>109.6</v>
      </c>
      <c r="O426" s="347">
        <v>5474</v>
      </c>
      <c r="P426" s="120">
        <v>44572</v>
      </c>
      <c r="Q426" s="348">
        <v>44568</v>
      </c>
      <c r="R426" s="125">
        <v>15.93</v>
      </c>
      <c r="S426" s="125">
        <v>200</v>
      </c>
      <c r="T426" s="127">
        <f t="shared" si="117"/>
        <v>-12</v>
      </c>
      <c r="U426" s="127" t="str">
        <f t="shared" si="16"/>
        <v>50 NATIONALUM</v>
      </c>
      <c r="V426" s="127">
        <f t="shared" si="17"/>
        <v>172.07</v>
      </c>
      <c r="W426" s="350">
        <f t="shared" si="118"/>
        <v>3.1365293474298214E-2</v>
      </c>
      <c r="X426" s="397">
        <f t="shared" si="19"/>
        <v>0</v>
      </c>
      <c r="Y426" s="352">
        <f t="shared" si="20"/>
        <v>2</v>
      </c>
      <c r="Z426" s="353">
        <f t="shared" si="21"/>
        <v>22</v>
      </c>
      <c r="AA426" s="350">
        <f t="shared" si="110"/>
        <v>0.14546740937672387</v>
      </c>
      <c r="AB426" s="120" t="s">
        <v>471</v>
      </c>
    </row>
    <row r="427" spans="1:28" ht="12.75" customHeight="1">
      <c r="A427" s="120" t="s">
        <v>529</v>
      </c>
      <c r="B427" s="120" t="s">
        <v>1315</v>
      </c>
      <c r="C427" s="343" t="s">
        <v>1163</v>
      </c>
      <c r="D427" s="344" t="s">
        <v>1316</v>
      </c>
      <c r="E427" s="345">
        <f t="shared" si="120"/>
        <v>0.18613138686131392</v>
      </c>
      <c r="F427" s="121" t="s">
        <v>1124</v>
      </c>
      <c r="G427" s="121" t="s">
        <v>1125</v>
      </c>
      <c r="H427" s="346">
        <f t="shared" si="116"/>
        <v>54.866</v>
      </c>
      <c r="I427" s="121">
        <v>500</v>
      </c>
      <c r="J427" s="346">
        <v>54.8</v>
      </c>
      <c r="K427" s="128">
        <v>27433</v>
      </c>
      <c r="L427" s="150">
        <v>44361</v>
      </c>
      <c r="M427" s="124">
        <f t="shared" si="14"/>
        <v>55.442</v>
      </c>
      <c r="N427" s="155">
        <v>55.5</v>
      </c>
      <c r="O427" s="347">
        <v>27721</v>
      </c>
      <c r="P427" s="120">
        <v>44368</v>
      </c>
      <c r="Q427" s="348">
        <v>44364</v>
      </c>
      <c r="R427" s="125">
        <v>15.93</v>
      </c>
      <c r="S427" s="125"/>
      <c r="T427" s="127">
        <f t="shared" si="117"/>
        <v>288</v>
      </c>
      <c r="U427" s="127" t="str">
        <f t="shared" si="16"/>
        <v>500 NBCC</v>
      </c>
      <c r="V427" s="127">
        <f t="shared" si="17"/>
        <v>272.07</v>
      </c>
      <c r="W427" s="350">
        <f t="shared" si="118"/>
        <v>9.9176174680129774E-3</v>
      </c>
      <c r="X427" s="397">
        <f t="shared" si="19"/>
        <v>0</v>
      </c>
      <c r="Y427" s="352">
        <f t="shared" si="20"/>
        <v>0</v>
      </c>
      <c r="Z427" s="353">
        <f t="shared" si="21"/>
        <v>7</v>
      </c>
      <c r="AA427" s="350">
        <f t="shared" si="110"/>
        <v>0.67294471734133809</v>
      </c>
      <c r="AB427" s="120" t="s">
        <v>471</v>
      </c>
    </row>
    <row r="428" spans="1:28" ht="12.75" customHeight="1">
      <c r="A428" s="120" t="s">
        <v>533</v>
      </c>
      <c r="B428" s="120" t="s">
        <v>533</v>
      </c>
      <c r="C428" s="343" t="s">
        <v>1163</v>
      </c>
      <c r="D428" s="344" t="s">
        <v>1317</v>
      </c>
      <c r="E428" s="345">
        <f t="shared" si="120"/>
        <v>1.201834862385321</v>
      </c>
      <c r="F428" s="121" t="s">
        <v>1124</v>
      </c>
      <c r="G428" s="121" t="s">
        <v>1318</v>
      </c>
      <c r="H428" s="346">
        <f t="shared" si="116"/>
        <v>81.844999999999999</v>
      </c>
      <c r="I428" s="121">
        <v>200</v>
      </c>
      <c r="J428" s="346">
        <v>81.75</v>
      </c>
      <c r="K428" s="128">
        <v>16369</v>
      </c>
      <c r="L428" s="150">
        <v>44365</v>
      </c>
      <c r="M428" s="124">
        <f t="shared" si="14"/>
        <v>85.51</v>
      </c>
      <c r="N428" s="155">
        <v>85.6</v>
      </c>
      <c r="O428" s="347">
        <v>17102</v>
      </c>
      <c r="P428" s="120">
        <v>44378</v>
      </c>
      <c r="Q428" s="348">
        <v>44376</v>
      </c>
      <c r="R428" s="125">
        <v>15.93</v>
      </c>
      <c r="S428" s="125"/>
      <c r="T428" s="127">
        <f t="shared" si="117"/>
        <v>733</v>
      </c>
      <c r="U428" s="127" t="str">
        <f t="shared" si="16"/>
        <v>200 NCC</v>
      </c>
      <c r="V428" s="127">
        <f t="shared" si="17"/>
        <v>717.07</v>
      </c>
      <c r="W428" s="350">
        <f t="shared" si="118"/>
        <v>4.3806585619158171E-2</v>
      </c>
      <c r="X428" s="397">
        <f t="shared" si="19"/>
        <v>0</v>
      </c>
      <c r="Y428" s="352">
        <f t="shared" si="20"/>
        <v>0</v>
      </c>
      <c r="Z428" s="353">
        <f t="shared" si="21"/>
        <v>13</v>
      </c>
      <c r="AA428" s="350">
        <f t="shared" si="110"/>
        <v>2.3326769887453063</v>
      </c>
      <c r="AB428" s="120" t="s">
        <v>471</v>
      </c>
    </row>
    <row r="429" spans="1:28" ht="12.75" customHeight="1">
      <c r="A429" s="120" t="s">
        <v>533</v>
      </c>
      <c r="B429" s="120" t="s">
        <v>533</v>
      </c>
      <c r="C429" s="343" t="s">
        <v>1188</v>
      </c>
      <c r="D429" s="344" t="s">
        <v>1317</v>
      </c>
      <c r="E429" s="345">
        <f t="shared" si="120"/>
        <v>0.88481675392670156</v>
      </c>
      <c r="F429" s="121" t="s">
        <v>1124</v>
      </c>
      <c r="G429" s="121" t="s">
        <v>1318</v>
      </c>
      <c r="H429" s="346">
        <f t="shared" si="116"/>
        <v>95.62</v>
      </c>
      <c r="I429" s="121">
        <v>50</v>
      </c>
      <c r="J429" s="346">
        <v>95.5</v>
      </c>
      <c r="K429" s="128">
        <v>4781</v>
      </c>
      <c r="L429" s="150">
        <v>44389</v>
      </c>
      <c r="M429" s="124">
        <f t="shared" si="14"/>
        <v>84.92</v>
      </c>
      <c r="N429" s="155">
        <v>85</v>
      </c>
      <c r="O429" s="347">
        <v>4246</v>
      </c>
      <c r="P429" s="120">
        <v>44909</v>
      </c>
      <c r="Q429" s="348">
        <v>44907</v>
      </c>
      <c r="R429" s="125">
        <v>15.93</v>
      </c>
      <c r="S429" s="125">
        <v>40</v>
      </c>
      <c r="T429" s="127">
        <f t="shared" ref="T429:T435" si="121">IF(OR(O429="",K429=""),"",O429-K429)</f>
        <v>-535</v>
      </c>
      <c r="U429" s="127" t="str">
        <f t="shared" si="16"/>
        <v>50 NCC</v>
      </c>
      <c r="V429" s="127">
        <f t="shared" si="17"/>
        <v>-510.93</v>
      </c>
      <c r="W429" s="350">
        <f t="shared" ref="W429:W435" si="122">IF(OR(K429="",V429=""),"",V429/K429)</f>
        <v>-0.10686676427525622</v>
      </c>
      <c r="X429" s="397">
        <f t="shared" si="19"/>
        <v>1</v>
      </c>
      <c r="Y429" s="352">
        <f t="shared" si="20"/>
        <v>5</v>
      </c>
      <c r="Z429" s="353">
        <f t="shared" si="21"/>
        <v>2</v>
      </c>
      <c r="AA429" s="350">
        <f t="shared" si="110"/>
        <v>-7.6265883612317897E-2</v>
      </c>
      <c r="AB429" s="120" t="s">
        <v>471</v>
      </c>
    </row>
    <row r="430" spans="1:28" ht="12.75" customHeight="1">
      <c r="A430" s="120" t="s">
        <v>533</v>
      </c>
      <c r="B430" s="120"/>
      <c r="C430" s="343"/>
      <c r="D430" s="344"/>
      <c r="E430" s="345" t="str">
        <f t="shared" si="120"/>
        <v/>
      </c>
      <c r="F430" s="121"/>
      <c r="G430" s="121"/>
      <c r="H430" s="346">
        <f t="shared" si="116"/>
        <v>69.58</v>
      </c>
      <c r="I430" s="121">
        <v>50</v>
      </c>
      <c r="J430" s="346">
        <v>69.5</v>
      </c>
      <c r="K430" s="128">
        <v>3479</v>
      </c>
      <c r="L430" s="150">
        <v>44799</v>
      </c>
      <c r="M430" s="124">
        <f t="shared" si="14"/>
        <v>84.9</v>
      </c>
      <c r="N430" s="155">
        <v>85</v>
      </c>
      <c r="O430" s="347">
        <v>4245</v>
      </c>
      <c r="P430" s="120">
        <v>44909</v>
      </c>
      <c r="Q430" s="348">
        <v>44907</v>
      </c>
      <c r="R430" s="125">
        <v>15.93</v>
      </c>
      <c r="S430" s="125"/>
      <c r="T430" s="127">
        <f t="shared" si="121"/>
        <v>766</v>
      </c>
      <c r="U430" s="127" t="str">
        <f t="shared" si="16"/>
        <v>50 NCC</v>
      </c>
      <c r="V430" s="127">
        <f t="shared" si="17"/>
        <v>750.07</v>
      </c>
      <c r="W430" s="350">
        <f t="shared" si="122"/>
        <v>0.21559931014659386</v>
      </c>
      <c r="X430" s="397">
        <f t="shared" si="19"/>
        <v>0</v>
      </c>
      <c r="Y430" s="352">
        <f t="shared" si="20"/>
        <v>3</v>
      </c>
      <c r="Z430" s="353">
        <f t="shared" si="21"/>
        <v>18</v>
      </c>
      <c r="AA430" s="350">
        <f t="shared" si="110"/>
        <v>0.91139353515062815</v>
      </c>
      <c r="AB430" s="120" t="s">
        <v>471</v>
      </c>
    </row>
    <row r="431" spans="1:28" ht="12.75" customHeight="1">
      <c r="A431" s="120" t="s">
        <v>605</v>
      </c>
      <c r="B431" s="120"/>
      <c r="C431" s="343"/>
      <c r="D431" s="344">
        <v>95</v>
      </c>
      <c r="E431" s="345">
        <f t="shared" si="120"/>
        <v>0.1875</v>
      </c>
      <c r="F431" s="121" t="s">
        <v>1124</v>
      </c>
      <c r="G431" s="121" t="s">
        <v>1319</v>
      </c>
      <c r="H431" s="346">
        <f t="shared" si="116"/>
        <v>80.19</v>
      </c>
      <c r="I431" s="121">
        <v>100</v>
      </c>
      <c r="J431" s="346">
        <v>80</v>
      </c>
      <c r="K431" s="128">
        <v>8019</v>
      </c>
      <c r="L431" s="150">
        <v>44676</v>
      </c>
      <c r="M431" s="124">
        <f t="shared" si="14"/>
        <v>77.180000000000007</v>
      </c>
      <c r="N431" s="155">
        <v>77.349999999999994</v>
      </c>
      <c r="O431" s="347">
        <v>7718.0000000000009</v>
      </c>
      <c r="P431" s="120">
        <v>44799</v>
      </c>
      <c r="Q431" s="348">
        <v>44797</v>
      </c>
      <c r="R431" s="125">
        <v>0</v>
      </c>
      <c r="S431" s="125"/>
      <c r="T431" s="127">
        <f t="shared" si="121"/>
        <v>-300.99999999999909</v>
      </c>
      <c r="U431" s="127" t="str">
        <f t="shared" si="16"/>
        <v>100 NGIND</v>
      </c>
      <c r="V431" s="127">
        <f t="shared" si="17"/>
        <v>-300.99999999999909</v>
      </c>
      <c r="W431" s="350">
        <f t="shared" si="122"/>
        <v>-3.7535852350667052E-2</v>
      </c>
      <c r="X431" s="397">
        <f t="shared" si="19"/>
        <v>0</v>
      </c>
      <c r="Y431" s="352">
        <f t="shared" si="20"/>
        <v>4</v>
      </c>
      <c r="Z431" s="353">
        <f t="shared" si="21"/>
        <v>1</v>
      </c>
      <c r="AA431" s="350">
        <f t="shared" si="110"/>
        <v>-0.10732366487987832</v>
      </c>
      <c r="AB431" s="120" t="s">
        <v>471</v>
      </c>
    </row>
    <row r="432" spans="1:28" ht="12.75" customHeight="1">
      <c r="A432" s="120" t="s">
        <v>605</v>
      </c>
      <c r="B432" s="120"/>
      <c r="C432" s="343"/>
      <c r="D432" s="344">
        <v>95</v>
      </c>
      <c r="E432" s="345">
        <f t="shared" si="120"/>
        <v>0.35714285714285715</v>
      </c>
      <c r="F432" s="121" t="s">
        <v>1124</v>
      </c>
      <c r="G432" s="121" t="s">
        <v>1319</v>
      </c>
      <c r="H432" s="346">
        <f t="shared" si="116"/>
        <v>70.180000000000007</v>
      </c>
      <c r="I432" s="121">
        <v>50</v>
      </c>
      <c r="J432" s="346">
        <v>70</v>
      </c>
      <c r="K432" s="128">
        <v>3509</v>
      </c>
      <c r="L432" s="150">
        <v>44678</v>
      </c>
      <c r="M432" s="124">
        <f t="shared" si="14"/>
        <v>77.180000000000007</v>
      </c>
      <c r="N432" s="155">
        <v>77.349999999999994</v>
      </c>
      <c r="O432" s="347">
        <v>3859.0000000000005</v>
      </c>
      <c r="P432" s="120">
        <v>44799</v>
      </c>
      <c r="Q432" s="348">
        <v>44797</v>
      </c>
      <c r="R432" s="125">
        <v>15.93</v>
      </c>
      <c r="S432" s="125"/>
      <c r="T432" s="127">
        <f t="shared" si="121"/>
        <v>350.00000000000045</v>
      </c>
      <c r="U432" s="127" t="str">
        <f t="shared" si="16"/>
        <v>50 NGIND</v>
      </c>
      <c r="V432" s="127">
        <f t="shared" si="17"/>
        <v>334.07000000000045</v>
      </c>
      <c r="W432" s="350">
        <f t="shared" si="122"/>
        <v>9.5203761755486019E-2</v>
      </c>
      <c r="X432" s="397">
        <f t="shared" si="19"/>
        <v>0</v>
      </c>
      <c r="Y432" s="352">
        <f t="shared" si="20"/>
        <v>3</v>
      </c>
      <c r="Z432" s="353">
        <f t="shared" si="21"/>
        <v>30</v>
      </c>
      <c r="AA432" s="350">
        <f t="shared" si="110"/>
        <v>0.31564157561979522</v>
      </c>
      <c r="AB432" s="120" t="s">
        <v>471</v>
      </c>
    </row>
    <row r="433" spans="1:28" ht="12.75" customHeight="1">
      <c r="A433" s="120" t="s">
        <v>613</v>
      </c>
      <c r="B433" s="120"/>
      <c r="C433" s="343"/>
      <c r="D433" s="344"/>
      <c r="E433" s="345" t="str">
        <f t="shared" si="120"/>
        <v/>
      </c>
      <c r="F433" s="121"/>
      <c r="G433" s="121"/>
      <c r="H433" s="346">
        <f t="shared" si="116"/>
        <v>34.04</v>
      </c>
      <c r="I433" s="121">
        <v>100</v>
      </c>
      <c r="J433" s="346">
        <v>34</v>
      </c>
      <c r="K433" s="128">
        <v>3404</v>
      </c>
      <c r="L433" s="150">
        <v>44756</v>
      </c>
      <c r="M433" s="124">
        <f t="shared" si="14"/>
        <v>35.26</v>
      </c>
      <c r="N433" s="155">
        <v>35.299999999999997</v>
      </c>
      <c r="O433" s="347">
        <v>3526</v>
      </c>
      <c r="P433" s="120">
        <v>44802</v>
      </c>
      <c r="Q433" s="348">
        <v>44798</v>
      </c>
      <c r="R433" s="125">
        <v>15.93</v>
      </c>
      <c r="S433" s="125"/>
      <c r="T433" s="127">
        <f t="shared" si="121"/>
        <v>122</v>
      </c>
      <c r="U433" s="127" t="str">
        <f t="shared" si="16"/>
        <v>100 NHPC</v>
      </c>
      <c r="V433" s="127">
        <f t="shared" si="17"/>
        <v>106.07</v>
      </c>
      <c r="W433" s="350">
        <f t="shared" si="122"/>
        <v>3.1160399529964744E-2</v>
      </c>
      <c r="X433" s="397">
        <f t="shared" si="19"/>
        <v>0</v>
      </c>
      <c r="Y433" s="352">
        <f t="shared" si="20"/>
        <v>1</v>
      </c>
      <c r="Z433" s="353">
        <f t="shared" si="21"/>
        <v>15</v>
      </c>
      <c r="AA433" s="350">
        <f t="shared" si="110"/>
        <v>0.27567694641418949</v>
      </c>
      <c r="AB433" s="120" t="s">
        <v>471</v>
      </c>
    </row>
    <row r="434" spans="1:28" ht="12.75" customHeight="1">
      <c r="A434" s="120" t="s">
        <v>539</v>
      </c>
      <c r="B434" s="120" t="s">
        <v>539</v>
      </c>
      <c r="C434" s="343" t="s">
        <v>1142</v>
      </c>
      <c r="D434" s="344"/>
      <c r="E434" s="345"/>
      <c r="F434" s="121" t="s">
        <v>1124</v>
      </c>
      <c r="G434" s="121" t="s">
        <v>1125</v>
      </c>
      <c r="H434" s="346">
        <f t="shared" si="116"/>
        <v>121.14</v>
      </c>
      <c r="I434" s="121">
        <v>50</v>
      </c>
      <c r="J434" s="346">
        <v>121</v>
      </c>
      <c r="K434" s="128">
        <v>6057</v>
      </c>
      <c r="L434" s="150">
        <v>44904</v>
      </c>
      <c r="M434" s="124">
        <f t="shared" si="14"/>
        <v>123.12</v>
      </c>
      <c r="N434" s="155">
        <v>123.25</v>
      </c>
      <c r="O434" s="347">
        <v>6156</v>
      </c>
      <c r="P434" s="120">
        <v>44907</v>
      </c>
      <c r="Q434" s="348">
        <v>44903</v>
      </c>
      <c r="R434" s="125">
        <v>15.93</v>
      </c>
      <c r="S434" s="125"/>
      <c r="T434" s="127">
        <f t="shared" si="121"/>
        <v>99</v>
      </c>
      <c r="U434" s="127" t="str">
        <f t="shared" si="16"/>
        <v>50 NMDC</v>
      </c>
      <c r="V434" s="127">
        <f t="shared" si="17"/>
        <v>83.07</v>
      </c>
      <c r="W434" s="350">
        <f t="shared" si="122"/>
        <v>1.3714710252600296E-2</v>
      </c>
      <c r="X434" s="397">
        <f t="shared" si="19"/>
        <v>0</v>
      </c>
      <c r="Y434" s="352">
        <f t="shared" si="20"/>
        <v>0</v>
      </c>
      <c r="Z434" s="353">
        <f t="shared" si="21"/>
        <v>3</v>
      </c>
      <c r="AA434" s="350">
        <f t="shared" si="110"/>
        <v>4.2450474797171402</v>
      </c>
      <c r="AB434" s="120" t="s">
        <v>471</v>
      </c>
    </row>
    <row r="435" spans="1:28" ht="12.75" customHeight="1">
      <c r="A435" s="120" t="s">
        <v>539</v>
      </c>
      <c r="B435" s="120" t="s">
        <v>539</v>
      </c>
      <c r="C435" s="343" t="s">
        <v>1142</v>
      </c>
      <c r="D435" s="344" t="s">
        <v>1143</v>
      </c>
      <c r="E435" s="345">
        <f t="shared" ref="E435:E441" si="123">IFERROR(IF(D435="","",(D435-J435)/J435),"")</f>
        <v>0.85950413223140498</v>
      </c>
      <c r="F435" s="121" t="s">
        <v>1124</v>
      </c>
      <c r="G435" s="121" t="s">
        <v>1125</v>
      </c>
      <c r="H435" s="346">
        <f t="shared" si="116"/>
        <v>121.14</v>
      </c>
      <c r="I435" s="121">
        <v>50</v>
      </c>
      <c r="J435" s="346">
        <v>121</v>
      </c>
      <c r="K435" s="128">
        <v>6057</v>
      </c>
      <c r="L435" s="150">
        <v>44953</v>
      </c>
      <c r="M435" s="124">
        <f t="shared" si="14"/>
        <v>122.38</v>
      </c>
      <c r="N435" s="155">
        <v>122.5</v>
      </c>
      <c r="O435" s="347">
        <v>6119</v>
      </c>
      <c r="P435" s="120">
        <v>44929</v>
      </c>
      <c r="Q435" s="348">
        <v>44925</v>
      </c>
      <c r="R435" s="125">
        <v>15.93</v>
      </c>
      <c r="S435" s="125"/>
      <c r="T435" s="127">
        <f t="shared" si="121"/>
        <v>62</v>
      </c>
      <c r="U435" s="127" t="str">
        <f t="shared" si="16"/>
        <v>50 NMDC</v>
      </c>
      <c r="V435" s="127">
        <f t="shared" si="17"/>
        <v>46.07</v>
      </c>
      <c r="W435" s="350">
        <f t="shared" si="122"/>
        <v>7.6060756149909196E-3</v>
      </c>
      <c r="X435" s="397" t="e">
        <f t="shared" si="19"/>
        <v>#NUM!</v>
      </c>
      <c r="Y435" s="352" t="e">
        <f t="shared" si="20"/>
        <v>#NUM!</v>
      </c>
      <c r="Z435" s="353" t="e">
        <f t="shared" si="21"/>
        <v>#NUM!</v>
      </c>
      <c r="AA435" s="350">
        <f t="shared" si="110"/>
        <v>-0.10884600467092775</v>
      </c>
      <c r="AB435" s="120" t="s">
        <v>471</v>
      </c>
    </row>
    <row r="436" spans="1:28" ht="12.75" customHeight="1">
      <c r="A436" s="120" t="s">
        <v>552</v>
      </c>
      <c r="B436" s="120" t="s">
        <v>552</v>
      </c>
      <c r="C436" s="343" t="s">
        <v>1115</v>
      </c>
      <c r="D436" s="344" t="s">
        <v>1320</v>
      </c>
      <c r="E436" s="345">
        <f t="shared" si="123"/>
        <v>0.12781954887218044</v>
      </c>
      <c r="F436" s="121" t="s">
        <v>1124</v>
      </c>
      <c r="G436" s="121" t="s">
        <v>1125</v>
      </c>
      <c r="H436" s="346">
        <f t="shared" si="116"/>
        <v>266.32</v>
      </c>
      <c r="I436" s="121">
        <v>50</v>
      </c>
      <c r="J436" s="346">
        <v>266</v>
      </c>
      <c r="K436" s="128">
        <v>13316</v>
      </c>
      <c r="L436" s="150">
        <v>44393</v>
      </c>
      <c r="M436" s="124">
        <f t="shared" si="14"/>
        <v>268.22000000000003</v>
      </c>
      <c r="N436" s="155">
        <v>268.5</v>
      </c>
      <c r="O436" s="347">
        <v>13411</v>
      </c>
      <c r="P436" s="120">
        <v>44412</v>
      </c>
      <c r="Q436" s="348">
        <v>44410</v>
      </c>
      <c r="R436" s="125">
        <v>15.93</v>
      </c>
      <c r="S436" s="125">
        <v>100</v>
      </c>
      <c r="T436" s="127">
        <f t="shared" ref="T436:T437" si="124">IF(O436="","",O436-K436)</f>
        <v>95</v>
      </c>
      <c r="U436" s="127" t="str">
        <f t="shared" si="16"/>
        <v>50 NOCIL</v>
      </c>
      <c r="V436" s="127">
        <f t="shared" si="17"/>
        <v>179.07</v>
      </c>
      <c r="W436" s="350">
        <f t="shared" ref="W436:W437" si="125">IF(M436=0,"",V436/K436)</f>
        <v>1.3447732051667168E-2</v>
      </c>
      <c r="X436" s="397">
        <f t="shared" si="19"/>
        <v>0</v>
      </c>
      <c r="Y436" s="352">
        <f t="shared" si="20"/>
        <v>0</v>
      </c>
      <c r="Z436" s="353">
        <f t="shared" si="21"/>
        <v>19</v>
      </c>
      <c r="AA436" s="350">
        <f t="shared" si="110"/>
        <v>0.29254920672918328</v>
      </c>
      <c r="AB436" s="120" t="s">
        <v>471</v>
      </c>
    </row>
    <row r="437" spans="1:28" ht="12.75" customHeight="1">
      <c r="A437" s="120" t="s">
        <v>552</v>
      </c>
      <c r="B437" s="120" t="s">
        <v>552</v>
      </c>
      <c r="C437" s="343" t="s">
        <v>1115</v>
      </c>
      <c r="D437" s="344" t="s">
        <v>1145</v>
      </c>
      <c r="E437" s="345">
        <f t="shared" si="123"/>
        <v>0.11945392491467577</v>
      </c>
      <c r="F437" s="121" t="s">
        <v>1146</v>
      </c>
      <c r="G437" s="121" t="s">
        <v>1133</v>
      </c>
      <c r="H437" s="346">
        <f t="shared" si="116"/>
        <v>293.33999999999997</v>
      </c>
      <c r="I437" s="121">
        <v>50</v>
      </c>
      <c r="J437" s="346">
        <v>293</v>
      </c>
      <c r="K437" s="128">
        <v>14667</v>
      </c>
      <c r="L437" s="150">
        <v>44459</v>
      </c>
      <c r="M437" s="124">
        <f t="shared" si="14"/>
        <v>302.68</v>
      </c>
      <c r="N437" s="155">
        <v>303</v>
      </c>
      <c r="O437" s="347">
        <v>15134</v>
      </c>
      <c r="P437" s="120">
        <v>44476</v>
      </c>
      <c r="Q437" s="348">
        <v>44474</v>
      </c>
      <c r="R437" s="125">
        <v>15.93</v>
      </c>
      <c r="S437" s="125">
        <v>100</v>
      </c>
      <c r="T437" s="127">
        <f t="shared" si="124"/>
        <v>467</v>
      </c>
      <c r="U437" s="127" t="str">
        <f t="shared" si="16"/>
        <v>50 NOCIL</v>
      </c>
      <c r="V437" s="127">
        <f t="shared" si="17"/>
        <v>551.07000000000005</v>
      </c>
      <c r="W437" s="350">
        <f t="shared" si="125"/>
        <v>3.7572100634076504E-2</v>
      </c>
      <c r="X437" s="397">
        <f t="shared" si="19"/>
        <v>0</v>
      </c>
      <c r="Y437" s="352">
        <f t="shared" si="20"/>
        <v>0</v>
      </c>
      <c r="Z437" s="353">
        <f t="shared" si="21"/>
        <v>17</v>
      </c>
      <c r="AA437" s="350">
        <f t="shared" si="110"/>
        <v>1.2076082640767187</v>
      </c>
      <c r="AB437" s="120" t="s">
        <v>471</v>
      </c>
    </row>
    <row r="438" spans="1:28" ht="12.75" customHeight="1">
      <c r="A438" s="120" t="s">
        <v>626</v>
      </c>
      <c r="B438" s="120"/>
      <c r="C438" s="343"/>
      <c r="D438" s="344"/>
      <c r="E438" s="345" t="str">
        <f t="shared" si="123"/>
        <v/>
      </c>
      <c r="F438" s="121"/>
      <c r="G438" s="121"/>
      <c r="H438" s="346">
        <f t="shared" si="116"/>
        <v>170.2</v>
      </c>
      <c r="I438" s="121">
        <v>20</v>
      </c>
      <c r="J438" s="346">
        <v>170</v>
      </c>
      <c r="K438" s="128">
        <v>3404</v>
      </c>
      <c r="L438" s="150">
        <v>44818</v>
      </c>
      <c r="M438" s="124">
        <f t="shared" si="14"/>
        <v>173.3</v>
      </c>
      <c r="N438" s="155">
        <v>173.5</v>
      </c>
      <c r="O438" s="347">
        <v>3466</v>
      </c>
      <c r="P438" s="120">
        <v>44882</v>
      </c>
      <c r="Q438" s="348">
        <v>44880</v>
      </c>
      <c r="R438" s="125">
        <v>15.93</v>
      </c>
      <c r="S438" s="125"/>
      <c r="T438" s="127">
        <f>IF(OR(O438="",K438=""),"",O438-K438)</f>
        <v>62</v>
      </c>
      <c r="U438" s="127" t="str">
        <f t="shared" si="16"/>
        <v>20 NTPC</v>
      </c>
      <c r="V438" s="127">
        <f t="shared" si="17"/>
        <v>46.07</v>
      </c>
      <c r="W438" s="350">
        <f>IF(OR(K438="",V438=""),"",V438/K438)</f>
        <v>1.3534077555816686E-2</v>
      </c>
      <c r="X438" s="397">
        <f t="shared" si="19"/>
        <v>0</v>
      </c>
      <c r="Y438" s="352">
        <f t="shared" si="20"/>
        <v>2</v>
      </c>
      <c r="Z438" s="353">
        <f t="shared" si="21"/>
        <v>3</v>
      </c>
      <c r="AA438" s="350">
        <f t="shared" si="110"/>
        <v>7.9684509079297916E-2</v>
      </c>
      <c r="AB438" s="120" t="s">
        <v>471</v>
      </c>
    </row>
    <row r="439" spans="1:28" ht="12.75" customHeight="1">
      <c r="A439" s="120" t="s">
        <v>296</v>
      </c>
      <c r="B439" s="120"/>
      <c r="C439" s="343"/>
      <c r="D439" s="344"/>
      <c r="E439" s="345" t="str">
        <f t="shared" si="123"/>
        <v/>
      </c>
      <c r="F439" s="121"/>
      <c r="G439" s="121"/>
      <c r="H439" s="346">
        <f t="shared" si="116"/>
        <v>159.97</v>
      </c>
      <c r="I439" s="121">
        <v>100</v>
      </c>
      <c r="J439" s="346">
        <v>159.80000000000001</v>
      </c>
      <c r="K439" s="128">
        <v>15997</v>
      </c>
      <c r="L439" s="150">
        <v>44651</v>
      </c>
      <c r="M439" s="124">
        <f t="shared" si="14"/>
        <v>167.33</v>
      </c>
      <c r="N439" s="155">
        <v>167.5</v>
      </c>
      <c r="O439" s="347">
        <v>16733</v>
      </c>
      <c r="P439" s="120">
        <v>44657</v>
      </c>
      <c r="Q439" s="348">
        <v>44655</v>
      </c>
      <c r="R439" s="125"/>
      <c r="S439" s="125"/>
      <c r="T439" s="127">
        <f>IF(O439="","",O439-K439)</f>
        <v>736</v>
      </c>
      <c r="U439" s="127" t="str">
        <f t="shared" si="16"/>
        <v>100 ONGC</v>
      </c>
      <c r="V439" s="127">
        <f t="shared" si="17"/>
        <v>736</v>
      </c>
      <c r="W439" s="350">
        <f>IF(M439=0,"",V439/K439)</f>
        <v>4.6008626617490778E-2</v>
      </c>
      <c r="X439" s="397">
        <f t="shared" si="19"/>
        <v>0</v>
      </c>
      <c r="Y439" s="352">
        <f t="shared" si="20"/>
        <v>0</v>
      </c>
      <c r="Z439" s="353">
        <f t="shared" si="21"/>
        <v>6</v>
      </c>
      <c r="AA439" s="350">
        <f t="shared" si="110"/>
        <v>14.431045914500967</v>
      </c>
      <c r="AB439" s="120" t="s">
        <v>471</v>
      </c>
    </row>
    <row r="440" spans="1:28" ht="12.75" customHeight="1">
      <c r="A440" s="120" t="s">
        <v>603</v>
      </c>
      <c r="B440" s="120"/>
      <c r="C440" s="343"/>
      <c r="D440" s="344">
        <v>18</v>
      </c>
      <c r="E440" s="345">
        <f t="shared" si="123"/>
        <v>0.36882129277566539</v>
      </c>
      <c r="F440" s="121" t="s">
        <v>1124</v>
      </c>
      <c r="G440" s="121" t="s">
        <v>1319</v>
      </c>
      <c r="H440" s="346">
        <f t="shared" si="116"/>
        <v>13.166</v>
      </c>
      <c r="I440" s="121">
        <v>1000</v>
      </c>
      <c r="J440" s="346">
        <v>13.15</v>
      </c>
      <c r="K440" s="128">
        <v>13166</v>
      </c>
      <c r="L440" s="150">
        <v>44672</v>
      </c>
      <c r="M440" s="124">
        <f t="shared" si="14"/>
        <v>13.786</v>
      </c>
      <c r="N440" s="155">
        <v>13.8</v>
      </c>
      <c r="O440" s="347">
        <v>13786</v>
      </c>
      <c r="P440" s="120">
        <v>44790</v>
      </c>
      <c r="Q440" s="348">
        <v>44785</v>
      </c>
      <c r="R440" s="125">
        <v>15.93</v>
      </c>
      <c r="S440" s="125"/>
      <c r="T440" s="127">
        <f t="shared" ref="T440:T441" si="126">IF(OR(O440="",K440=""),"",O440-K440)</f>
        <v>620</v>
      </c>
      <c r="U440" s="127" t="str">
        <f t="shared" si="16"/>
        <v>1000 PARACABLES</v>
      </c>
      <c r="V440" s="127">
        <f t="shared" si="17"/>
        <v>604.07000000000005</v>
      </c>
      <c r="W440" s="350">
        <f t="shared" ref="W440:W441" si="127">IF(OR(K440="",V440=""),"",V440/K440)</f>
        <v>4.5881057268722471E-2</v>
      </c>
      <c r="X440" s="397">
        <f t="shared" si="19"/>
        <v>0</v>
      </c>
      <c r="Y440" s="352">
        <f t="shared" si="20"/>
        <v>3</v>
      </c>
      <c r="Z440" s="353">
        <f t="shared" si="21"/>
        <v>27</v>
      </c>
      <c r="AA440" s="350">
        <f t="shared" si="110"/>
        <v>0.14884923149693563</v>
      </c>
      <c r="AB440" s="120" t="s">
        <v>471</v>
      </c>
    </row>
    <row r="441" spans="1:28" ht="12.75" customHeight="1">
      <c r="A441" s="120" t="s">
        <v>633</v>
      </c>
      <c r="B441" s="120"/>
      <c r="C441" s="343"/>
      <c r="D441" s="344"/>
      <c r="E441" s="345" t="str">
        <f t="shared" si="123"/>
        <v/>
      </c>
      <c r="F441" s="121"/>
      <c r="G441" s="121"/>
      <c r="H441" s="346">
        <f t="shared" si="116"/>
        <v>1143.2</v>
      </c>
      <c r="I441" s="121">
        <v>5</v>
      </c>
      <c r="J441" s="346">
        <v>1142</v>
      </c>
      <c r="K441" s="128">
        <v>5716</v>
      </c>
      <c r="L441" s="150">
        <v>44943</v>
      </c>
      <c r="M441" s="124">
        <f t="shared" si="14"/>
        <v>1200.8</v>
      </c>
      <c r="N441" s="155">
        <v>1202</v>
      </c>
      <c r="O441" s="347">
        <v>6004</v>
      </c>
      <c r="P441" s="120">
        <v>44950</v>
      </c>
      <c r="Q441" s="348">
        <v>44946</v>
      </c>
      <c r="R441" s="125">
        <v>15.93</v>
      </c>
      <c r="S441" s="125"/>
      <c r="T441" s="127">
        <f t="shared" si="126"/>
        <v>288</v>
      </c>
      <c r="U441" s="127" t="str">
        <f t="shared" si="16"/>
        <v>5 PATANJALI</v>
      </c>
      <c r="V441" s="127">
        <f t="shared" si="17"/>
        <v>272.07</v>
      </c>
      <c r="W441" s="350">
        <f t="shared" si="127"/>
        <v>4.7597970608817354E-2</v>
      </c>
      <c r="X441" s="397">
        <f t="shared" si="19"/>
        <v>0</v>
      </c>
      <c r="Y441" s="352">
        <f t="shared" si="20"/>
        <v>0</v>
      </c>
      <c r="Z441" s="353">
        <f t="shared" si="21"/>
        <v>7</v>
      </c>
      <c r="AA441" s="350">
        <f t="shared" si="110"/>
        <v>10.298132636988811</v>
      </c>
      <c r="AB441" s="120" t="s">
        <v>471</v>
      </c>
    </row>
    <row r="442" spans="1:28" ht="12.75" customHeight="1">
      <c r="A442" s="120" t="s">
        <v>452</v>
      </c>
      <c r="B442" s="120" t="s">
        <v>1321</v>
      </c>
      <c r="C442" s="343" t="s">
        <v>1163</v>
      </c>
      <c r="D442" s="344"/>
      <c r="E442" s="345"/>
      <c r="F442" s="121"/>
      <c r="G442" s="121"/>
      <c r="H442" s="346">
        <v>106.9376</v>
      </c>
      <c r="I442" s="121">
        <v>100</v>
      </c>
      <c r="J442" s="346">
        <v>106.35</v>
      </c>
      <c r="K442" s="128">
        <v>10693.76</v>
      </c>
      <c r="L442" s="150">
        <v>40995</v>
      </c>
      <c r="M442" s="124">
        <f t="shared" si="14"/>
        <v>116.3061</v>
      </c>
      <c r="N442" s="155">
        <v>117</v>
      </c>
      <c r="O442" s="347">
        <v>11630.61</v>
      </c>
      <c r="P442" s="120">
        <v>41016</v>
      </c>
      <c r="Q442" s="348">
        <v>41012</v>
      </c>
      <c r="R442" s="125">
        <v>5</v>
      </c>
      <c r="S442" s="125"/>
      <c r="T442" s="127">
        <f t="shared" ref="T442:T446" si="128">IF(O442="","",O442-K442)</f>
        <v>936.85000000000036</v>
      </c>
      <c r="U442" s="127" t="str">
        <f t="shared" si="16"/>
        <v>100 PATELENG</v>
      </c>
      <c r="V442" s="127">
        <f t="shared" si="17"/>
        <v>931.85000000000036</v>
      </c>
      <c r="W442" s="350">
        <f t="shared" ref="W442:W446" si="129">IF(M442=0,"",V442/K442)</f>
        <v>8.7139602908612154E-2</v>
      </c>
      <c r="X442" s="397">
        <f t="shared" si="19"/>
        <v>0</v>
      </c>
      <c r="Y442" s="352">
        <f t="shared" si="20"/>
        <v>0</v>
      </c>
      <c r="Z442" s="353">
        <f t="shared" si="21"/>
        <v>21</v>
      </c>
      <c r="AA442" s="350">
        <f t="shared" si="110"/>
        <v>3.2724143242778458</v>
      </c>
      <c r="AB442" s="120" t="s">
        <v>448</v>
      </c>
    </row>
    <row r="443" spans="1:28" ht="12.75" customHeight="1">
      <c r="A443" s="120" t="s">
        <v>500</v>
      </c>
      <c r="B443" s="120" t="s">
        <v>1322</v>
      </c>
      <c r="C443" s="343" t="s">
        <v>1163</v>
      </c>
      <c r="D443" s="344">
        <v>124</v>
      </c>
      <c r="E443" s="345">
        <f t="shared" ref="E443:E449" si="130">IFERROR(IF(D443="","",(D443-J443)/J443),"")</f>
        <v>6.0735671514114575E-2</v>
      </c>
      <c r="F443" s="121" t="s">
        <v>1116</v>
      </c>
      <c r="G443" s="121" t="s">
        <v>1260</v>
      </c>
      <c r="H443" s="346">
        <f t="shared" ref="H443:H449" si="131">ROUND(K443/I443,4)</f>
        <v>117.04</v>
      </c>
      <c r="I443" s="121">
        <v>50</v>
      </c>
      <c r="J443" s="346">
        <v>116.9</v>
      </c>
      <c r="K443" s="128">
        <v>5852</v>
      </c>
      <c r="L443" s="150">
        <v>44327</v>
      </c>
      <c r="M443" s="124">
        <f t="shared" si="14"/>
        <v>118.38</v>
      </c>
      <c r="N443" s="155">
        <v>118.5</v>
      </c>
      <c r="O443" s="347">
        <v>5919</v>
      </c>
      <c r="P443" s="120">
        <v>44341</v>
      </c>
      <c r="Q443" s="348">
        <v>44337</v>
      </c>
      <c r="R443" s="125">
        <v>15.93</v>
      </c>
      <c r="S443" s="125"/>
      <c r="T443" s="127">
        <f t="shared" si="128"/>
        <v>67</v>
      </c>
      <c r="U443" s="127" t="str">
        <f t="shared" si="16"/>
        <v>50 PFC</v>
      </c>
      <c r="V443" s="127">
        <f t="shared" si="17"/>
        <v>51.07</v>
      </c>
      <c r="W443" s="350">
        <f t="shared" si="129"/>
        <v>8.7269309637730691E-3</v>
      </c>
      <c r="X443" s="397">
        <f t="shared" si="19"/>
        <v>0</v>
      </c>
      <c r="Y443" s="352">
        <f t="shared" si="20"/>
        <v>0</v>
      </c>
      <c r="Z443" s="353">
        <f t="shared" si="21"/>
        <v>14</v>
      </c>
      <c r="AA443" s="350">
        <f t="shared" si="110"/>
        <v>0.25424839477353434</v>
      </c>
      <c r="AB443" s="120" t="s">
        <v>471</v>
      </c>
    </row>
    <row r="444" spans="1:28" ht="12.75" customHeight="1">
      <c r="A444" s="120" t="s">
        <v>519</v>
      </c>
      <c r="B444" s="120" t="s">
        <v>1323</v>
      </c>
      <c r="C444" s="343" t="s">
        <v>1256</v>
      </c>
      <c r="D444" s="344" t="s">
        <v>1324</v>
      </c>
      <c r="E444" s="345">
        <f t="shared" si="130"/>
        <v>4.5454545454545456E-2</v>
      </c>
      <c r="F444" s="121" t="s">
        <v>1116</v>
      </c>
      <c r="G444" s="121" t="s">
        <v>1223</v>
      </c>
      <c r="H444" s="346">
        <f t="shared" si="131"/>
        <v>44.05</v>
      </c>
      <c r="I444" s="121">
        <v>200</v>
      </c>
      <c r="J444" s="346">
        <v>44</v>
      </c>
      <c r="K444" s="128">
        <v>8810</v>
      </c>
      <c r="L444" s="150">
        <v>44349</v>
      </c>
      <c r="M444" s="124">
        <f t="shared" si="14"/>
        <v>44.704999999999998</v>
      </c>
      <c r="N444" s="155">
        <v>44.75</v>
      </c>
      <c r="O444" s="347">
        <v>8941</v>
      </c>
      <c r="P444" s="120">
        <v>44489</v>
      </c>
      <c r="Q444" s="348">
        <v>44487</v>
      </c>
      <c r="R444" s="125">
        <v>15.93</v>
      </c>
      <c r="S444" s="125"/>
      <c r="T444" s="127">
        <f t="shared" si="128"/>
        <v>131</v>
      </c>
      <c r="U444" s="127" t="str">
        <f t="shared" si="16"/>
        <v>200 PNB</v>
      </c>
      <c r="V444" s="127">
        <f t="shared" si="17"/>
        <v>115.07</v>
      </c>
      <c r="W444" s="350">
        <f t="shared" si="129"/>
        <v>1.3061293984108966E-2</v>
      </c>
      <c r="X444" s="397">
        <f t="shared" si="19"/>
        <v>0</v>
      </c>
      <c r="Y444" s="352">
        <f t="shared" si="20"/>
        <v>4</v>
      </c>
      <c r="Z444" s="353">
        <f t="shared" si="21"/>
        <v>18</v>
      </c>
      <c r="AA444" s="350">
        <f t="shared" si="110"/>
        <v>3.4411008765716122E-2</v>
      </c>
      <c r="AB444" s="120" t="s">
        <v>471</v>
      </c>
    </row>
    <row r="445" spans="1:28" ht="12.75" customHeight="1">
      <c r="A445" s="120" t="s">
        <v>550</v>
      </c>
      <c r="B445" s="120" t="s">
        <v>1325</v>
      </c>
      <c r="C445" s="343" t="s">
        <v>1188</v>
      </c>
      <c r="D445" s="344" t="s">
        <v>1326</v>
      </c>
      <c r="E445" s="345">
        <f t="shared" si="130"/>
        <v>8.0645161290322578E-2</v>
      </c>
      <c r="F445" s="121" t="s">
        <v>1116</v>
      </c>
      <c r="G445" s="121" t="s">
        <v>1185</v>
      </c>
      <c r="H445" s="346">
        <f t="shared" si="131"/>
        <v>310.36</v>
      </c>
      <c r="I445" s="121">
        <v>25</v>
      </c>
      <c r="J445" s="346">
        <v>310</v>
      </c>
      <c r="K445" s="128">
        <v>7759</v>
      </c>
      <c r="L445" s="150">
        <v>44389</v>
      </c>
      <c r="M445" s="124">
        <f t="shared" si="14"/>
        <v>322.72000000000003</v>
      </c>
      <c r="N445" s="155">
        <v>323.05</v>
      </c>
      <c r="O445" s="347">
        <v>8068</v>
      </c>
      <c r="P445" s="120">
        <v>44442</v>
      </c>
      <c r="Q445" s="348">
        <v>44440</v>
      </c>
      <c r="R445" s="125">
        <v>15.93</v>
      </c>
      <c r="S445" s="125"/>
      <c r="T445" s="127">
        <f t="shared" si="128"/>
        <v>309</v>
      </c>
      <c r="U445" s="127" t="str">
        <f t="shared" si="16"/>
        <v>25 PNCINFRA</v>
      </c>
      <c r="V445" s="127">
        <f t="shared" si="17"/>
        <v>293.07</v>
      </c>
      <c r="W445" s="350">
        <f t="shared" si="129"/>
        <v>3.7771620054130685E-2</v>
      </c>
      <c r="X445" s="397">
        <f t="shared" si="19"/>
        <v>0</v>
      </c>
      <c r="Y445" s="352">
        <f t="shared" si="20"/>
        <v>1</v>
      </c>
      <c r="Z445" s="353">
        <f t="shared" si="21"/>
        <v>22</v>
      </c>
      <c r="AA445" s="350">
        <f t="shared" si="110"/>
        <v>0.29089133289657143</v>
      </c>
      <c r="AB445" s="120" t="s">
        <v>471</v>
      </c>
    </row>
    <row r="446" spans="1:28" ht="12.75" customHeight="1">
      <c r="A446" s="120" t="s">
        <v>596</v>
      </c>
      <c r="B446" s="120" t="s">
        <v>1327</v>
      </c>
      <c r="C446" s="343" t="s">
        <v>1328</v>
      </c>
      <c r="D446" s="344">
        <v>3000</v>
      </c>
      <c r="E446" s="345">
        <f t="shared" si="130"/>
        <v>0.31868131868131866</v>
      </c>
      <c r="F446" s="121" t="s">
        <v>1167</v>
      </c>
      <c r="G446" s="121" t="s">
        <v>1125</v>
      </c>
      <c r="H446" s="346">
        <f t="shared" si="131"/>
        <v>2277.6</v>
      </c>
      <c r="I446" s="121">
        <v>5</v>
      </c>
      <c r="J446" s="346">
        <v>2275</v>
      </c>
      <c r="K446" s="128">
        <v>11388</v>
      </c>
      <c r="L446" s="150">
        <v>44648</v>
      </c>
      <c r="M446" s="124">
        <f t="shared" si="14"/>
        <v>2382.6</v>
      </c>
      <c r="N446" s="155">
        <v>2385</v>
      </c>
      <c r="O446" s="347">
        <v>11913</v>
      </c>
      <c r="P446" s="120">
        <v>44652</v>
      </c>
      <c r="Q446" s="348">
        <v>44650</v>
      </c>
      <c r="R446" s="125">
        <v>15.93</v>
      </c>
      <c r="S446" s="125"/>
      <c r="T446" s="127">
        <f t="shared" si="128"/>
        <v>525</v>
      </c>
      <c r="U446" s="127" t="str">
        <f t="shared" si="16"/>
        <v>5 POLYPLEX</v>
      </c>
      <c r="V446" s="127">
        <f t="shared" si="17"/>
        <v>509.07</v>
      </c>
      <c r="W446" s="350">
        <f t="shared" si="129"/>
        <v>4.4702318229715488E-2</v>
      </c>
      <c r="X446" s="397">
        <f t="shared" si="19"/>
        <v>0</v>
      </c>
      <c r="Y446" s="352">
        <f t="shared" si="20"/>
        <v>0</v>
      </c>
      <c r="Z446" s="353">
        <f t="shared" si="21"/>
        <v>4</v>
      </c>
      <c r="AA446" s="350">
        <f t="shared" si="110"/>
        <v>53.084267968217816</v>
      </c>
      <c r="AB446" s="120" t="s">
        <v>471</v>
      </c>
    </row>
    <row r="447" spans="1:28" ht="12.75" customHeight="1">
      <c r="A447" s="120" t="s">
        <v>596</v>
      </c>
      <c r="B447" s="120"/>
      <c r="C447" s="343"/>
      <c r="D447" s="344"/>
      <c r="E447" s="345" t="str">
        <f t="shared" si="130"/>
        <v/>
      </c>
      <c r="F447" s="121"/>
      <c r="G447" s="121"/>
      <c r="H447" s="346">
        <f t="shared" si="131"/>
        <v>1553.8</v>
      </c>
      <c r="I447" s="121">
        <v>10</v>
      </c>
      <c r="J447" s="346">
        <v>1552</v>
      </c>
      <c r="K447" s="128">
        <v>15538</v>
      </c>
      <c r="L447" s="150">
        <v>44949</v>
      </c>
      <c r="M447" s="124">
        <f t="shared" si="14"/>
        <v>1577.4</v>
      </c>
      <c r="N447" s="155">
        <v>1579</v>
      </c>
      <c r="O447" s="347">
        <v>15774</v>
      </c>
      <c r="P447" s="120">
        <v>44950</v>
      </c>
      <c r="Q447" s="348">
        <v>44944</v>
      </c>
      <c r="R447" s="125">
        <v>15.93</v>
      </c>
      <c r="S447" s="125"/>
      <c r="T447" s="127">
        <f>IF(OR(O447="",K447=""),"",O447-K447)</f>
        <v>236</v>
      </c>
      <c r="U447" s="127" t="str">
        <f t="shared" si="16"/>
        <v>10 POLYPLEX</v>
      </c>
      <c r="V447" s="127">
        <f t="shared" si="17"/>
        <v>220.07</v>
      </c>
      <c r="W447" s="350">
        <f>IF(OR(K447="",V447=""),"",V447/K447)</f>
        <v>1.4163341485390654E-2</v>
      </c>
      <c r="X447" s="397">
        <f t="shared" si="19"/>
        <v>0</v>
      </c>
      <c r="Y447" s="352">
        <f t="shared" si="20"/>
        <v>0</v>
      </c>
      <c r="Z447" s="353">
        <f t="shared" si="21"/>
        <v>1</v>
      </c>
      <c r="AA447" s="350">
        <f t="shared" si="110"/>
        <v>168.58463823754158</v>
      </c>
      <c r="AB447" s="120" t="s">
        <v>471</v>
      </c>
    </row>
    <row r="448" spans="1:28" ht="12.75" customHeight="1">
      <c r="A448" s="120" t="s">
        <v>501</v>
      </c>
      <c r="B448" s="120" t="s">
        <v>1329</v>
      </c>
      <c r="C448" s="343" t="s">
        <v>1163</v>
      </c>
      <c r="D448" s="344" t="s">
        <v>1330</v>
      </c>
      <c r="E448" s="345" t="str">
        <f t="shared" si="130"/>
        <v/>
      </c>
      <c r="F448" s="121" t="s">
        <v>1124</v>
      </c>
      <c r="G448" s="121" t="s">
        <v>1125</v>
      </c>
      <c r="H448" s="346">
        <f t="shared" si="131"/>
        <v>515.6</v>
      </c>
      <c r="I448" s="121">
        <v>20</v>
      </c>
      <c r="J448" s="346">
        <v>515</v>
      </c>
      <c r="K448" s="128">
        <v>10312</v>
      </c>
      <c r="L448" s="150">
        <v>44327</v>
      </c>
      <c r="M448" s="124">
        <f t="shared" si="14"/>
        <v>559.4</v>
      </c>
      <c r="N448" s="155">
        <v>560</v>
      </c>
      <c r="O448" s="347">
        <v>11188</v>
      </c>
      <c r="P448" s="120">
        <v>44336</v>
      </c>
      <c r="Q448" s="348">
        <v>44334</v>
      </c>
      <c r="R448" s="125">
        <v>15.93</v>
      </c>
      <c r="S448" s="125"/>
      <c r="T448" s="127">
        <f>IF(O448="","",O448-K448)</f>
        <v>876</v>
      </c>
      <c r="U448" s="127" t="str">
        <f t="shared" si="16"/>
        <v>20 RAMCOSYS</v>
      </c>
      <c r="V448" s="127">
        <f t="shared" si="17"/>
        <v>860.07</v>
      </c>
      <c r="W448" s="350">
        <f>IF(M448=0,"",V448/K448)</f>
        <v>8.3404771140418929E-2</v>
      </c>
      <c r="X448" s="397">
        <f t="shared" si="19"/>
        <v>0</v>
      </c>
      <c r="Y448" s="352">
        <f t="shared" si="20"/>
        <v>0</v>
      </c>
      <c r="Z448" s="353">
        <f t="shared" si="21"/>
        <v>9</v>
      </c>
      <c r="AA448" s="350">
        <f t="shared" si="110"/>
        <v>24.760716830444082</v>
      </c>
      <c r="AB448" s="120" t="s">
        <v>471</v>
      </c>
    </row>
    <row r="449" spans="1:28" ht="12.75" customHeight="1">
      <c r="A449" s="120" t="s">
        <v>602</v>
      </c>
      <c r="B449" s="120"/>
      <c r="C449" s="343"/>
      <c r="D449" s="344"/>
      <c r="E449" s="345" t="str">
        <f t="shared" si="130"/>
        <v/>
      </c>
      <c r="F449" s="121"/>
      <c r="G449" s="121"/>
      <c r="H449" s="346">
        <f t="shared" si="131"/>
        <v>101.12</v>
      </c>
      <c r="I449" s="121">
        <v>100</v>
      </c>
      <c r="J449" s="346">
        <v>101</v>
      </c>
      <c r="K449" s="128">
        <v>10112</v>
      </c>
      <c r="L449" s="150">
        <v>44663</v>
      </c>
      <c r="M449" s="124">
        <f t="shared" si="14"/>
        <v>105.89</v>
      </c>
      <c r="N449" s="155">
        <v>106</v>
      </c>
      <c r="O449" s="347">
        <v>10589</v>
      </c>
      <c r="P449" s="120">
        <v>44825</v>
      </c>
      <c r="Q449" s="348">
        <v>44823</v>
      </c>
      <c r="R449" s="125">
        <v>15.93</v>
      </c>
      <c r="S449" s="125"/>
      <c r="T449" s="127">
        <f>IF(OR(O449="",K449=""),"",O449-K449)</f>
        <v>477</v>
      </c>
      <c r="U449" s="127" t="str">
        <f t="shared" si="16"/>
        <v>100 RCF</v>
      </c>
      <c r="V449" s="127">
        <f t="shared" si="17"/>
        <v>461.07</v>
      </c>
      <c r="W449" s="350">
        <f>IF(OR(K449="",V449=""),"",V449/K449)</f>
        <v>4.5596321202531646E-2</v>
      </c>
      <c r="X449" s="397">
        <f t="shared" si="19"/>
        <v>0</v>
      </c>
      <c r="Y449" s="352">
        <f t="shared" si="20"/>
        <v>5</v>
      </c>
      <c r="Z449" s="353">
        <f t="shared" si="21"/>
        <v>9</v>
      </c>
      <c r="AA449" s="350">
        <f t="shared" si="110"/>
        <v>0.10567851415899199</v>
      </c>
      <c r="AB449" s="120" t="s">
        <v>471</v>
      </c>
    </row>
    <row r="450" spans="1:28" ht="12.75" customHeight="1">
      <c r="A450" s="120" t="s">
        <v>1331</v>
      </c>
      <c r="B450" s="120" t="s">
        <v>1332</v>
      </c>
      <c r="C450" s="343" t="s">
        <v>1163</v>
      </c>
      <c r="D450" s="344"/>
      <c r="E450" s="345"/>
      <c r="F450" s="121" t="s">
        <v>1121</v>
      </c>
      <c r="G450" s="121"/>
      <c r="H450" s="346">
        <v>105</v>
      </c>
      <c r="I450" s="121">
        <v>50</v>
      </c>
      <c r="J450" s="346">
        <v>105</v>
      </c>
      <c r="K450" s="128">
        <v>5250</v>
      </c>
      <c r="L450" s="150">
        <v>39512</v>
      </c>
      <c r="M450" s="124">
        <f t="shared" si="14"/>
        <v>225.68539999999999</v>
      </c>
      <c r="N450" s="155">
        <v>227</v>
      </c>
      <c r="O450" s="347">
        <v>11284.27</v>
      </c>
      <c r="P450" s="120">
        <v>40983</v>
      </c>
      <c r="Q450" s="348">
        <v>40981</v>
      </c>
      <c r="R450" s="125">
        <v>7</v>
      </c>
      <c r="S450" s="125">
        <f>150+100+125+150+175+200+250</f>
        <v>1150</v>
      </c>
      <c r="T450" s="127">
        <f t="shared" ref="T450:T475" si="132">IF(O450="","",O450-K450)</f>
        <v>6034.27</v>
      </c>
      <c r="U450" s="127" t="str">
        <f t="shared" si="16"/>
        <v>50 RECLTD</v>
      </c>
      <c r="V450" s="127">
        <f t="shared" si="17"/>
        <v>7177.27</v>
      </c>
      <c r="W450" s="350">
        <f t="shared" ref="W450:W475" si="133">IF(M450=0,"",V450/K450)</f>
        <v>1.3670990476190477</v>
      </c>
      <c r="X450" s="397">
        <f t="shared" si="19"/>
        <v>4</v>
      </c>
      <c r="Y450" s="352">
        <f t="shared" si="20"/>
        <v>0</v>
      </c>
      <c r="Z450" s="353">
        <f t="shared" si="21"/>
        <v>10</v>
      </c>
      <c r="AA450" s="350">
        <f t="shared" si="110"/>
        <v>0.23838168051970565</v>
      </c>
      <c r="AB450" s="120" t="s">
        <v>448</v>
      </c>
    </row>
    <row r="451" spans="1:28" ht="12.75" customHeight="1">
      <c r="A451" s="120" t="s">
        <v>1331</v>
      </c>
      <c r="B451" s="120" t="s">
        <v>1332</v>
      </c>
      <c r="C451" s="343" t="s">
        <v>1163</v>
      </c>
      <c r="D451" s="344"/>
      <c r="E451" s="345"/>
      <c r="F451" s="121" t="s">
        <v>1121</v>
      </c>
      <c r="G451" s="121"/>
      <c r="H451" s="346">
        <v>105</v>
      </c>
      <c r="I451" s="121">
        <v>47</v>
      </c>
      <c r="J451" s="346">
        <v>105</v>
      </c>
      <c r="K451" s="128">
        <v>4935</v>
      </c>
      <c r="L451" s="150">
        <v>39512</v>
      </c>
      <c r="M451" s="124">
        <f t="shared" si="14"/>
        <v>223.68129999999999</v>
      </c>
      <c r="N451" s="155">
        <v>225</v>
      </c>
      <c r="O451" s="347">
        <v>10513.02</v>
      </c>
      <c r="P451" s="120">
        <v>41009</v>
      </c>
      <c r="Q451" s="348">
        <v>41005</v>
      </c>
      <c r="R451" s="125">
        <v>6</v>
      </c>
      <c r="S451" s="125">
        <f>141+94+118+141+165+188+235</f>
        <v>1082</v>
      </c>
      <c r="T451" s="127">
        <f t="shared" si="132"/>
        <v>5578.02</v>
      </c>
      <c r="U451" s="127" t="str">
        <f t="shared" si="16"/>
        <v>47 RECLTD</v>
      </c>
      <c r="V451" s="127">
        <f t="shared" si="17"/>
        <v>6654.02</v>
      </c>
      <c r="W451" s="350">
        <f t="shared" si="133"/>
        <v>1.3483323201621076</v>
      </c>
      <c r="X451" s="397">
        <f t="shared" si="19"/>
        <v>4</v>
      </c>
      <c r="Y451" s="352">
        <f t="shared" si="20"/>
        <v>1</v>
      </c>
      <c r="Z451" s="353">
        <f t="shared" si="21"/>
        <v>5</v>
      </c>
      <c r="AA451" s="350">
        <f t="shared" si="110"/>
        <v>0.23139945312570687</v>
      </c>
      <c r="AB451" s="120" t="s">
        <v>448</v>
      </c>
    </row>
    <row r="452" spans="1:28" ht="12.75" customHeight="1">
      <c r="A452" s="120" t="s">
        <v>460</v>
      </c>
      <c r="B452" s="120" t="s">
        <v>975</v>
      </c>
      <c r="C452" s="343" t="s">
        <v>1333</v>
      </c>
      <c r="D452" s="344"/>
      <c r="E452" s="345"/>
      <c r="F452" s="121" t="s">
        <v>1121</v>
      </c>
      <c r="G452" s="121"/>
      <c r="H452" s="346">
        <v>600</v>
      </c>
      <c r="I452" s="121">
        <v>4</v>
      </c>
      <c r="J452" s="346">
        <v>600</v>
      </c>
      <c r="K452" s="128">
        <v>2400</v>
      </c>
      <c r="L452" s="150">
        <v>39356</v>
      </c>
      <c r="M452" s="124">
        <f t="shared" si="14"/>
        <v>840.53750000000002</v>
      </c>
      <c r="N452" s="155">
        <v>845.2</v>
      </c>
      <c r="O452" s="347">
        <v>3362.15</v>
      </c>
      <c r="P452" s="120">
        <v>41187</v>
      </c>
      <c r="Q452" s="348">
        <v>41185</v>
      </c>
      <c r="R452" s="125">
        <v>6</v>
      </c>
      <c r="S452" s="125">
        <f>26+26+34</f>
        <v>86</v>
      </c>
      <c r="T452" s="127">
        <f t="shared" si="132"/>
        <v>962.15000000000009</v>
      </c>
      <c r="U452" s="127" t="str">
        <f t="shared" si="16"/>
        <v>4 RELIANCE</v>
      </c>
      <c r="V452" s="127">
        <f t="shared" si="17"/>
        <v>1042.1500000000001</v>
      </c>
      <c r="W452" s="350">
        <f t="shared" si="133"/>
        <v>0.43422916666666672</v>
      </c>
      <c r="X452" s="397">
        <f t="shared" si="19"/>
        <v>5</v>
      </c>
      <c r="Y452" s="352">
        <f t="shared" si="20"/>
        <v>0</v>
      </c>
      <c r="Z452" s="353">
        <f t="shared" si="21"/>
        <v>4</v>
      </c>
      <c r="AA452" s="350">
        <f t="shared" si="110"/>
        <v>7.4536235691745611E-2</v>
      </c>
      <c r="AB452" s="120" t="s">
        <v>448</v>
      </c>
    </row>
    <row r="453" spans="1:28" ht="12.75" customHeight="1">
      <c r="A453" s="120" t="s">
        <v>460</v>
      </c>
      <c r="B453" s="120" t="s">
        <v>975</v>
      </c>
      <c r="C453" s="343" t="s">
        <v>1333</v>
      </c>
      <c r="D453" s="344">
        <v>2180</v>
      </c>
      <c r="E453" s="345">
        <f t="shared" ref="E453:E454" si="134">IFERROR(IF(D453="","",(D453-J453)/J453),"")</f>
        <v>0.09</v>
      </c>
      <c r="F453" s="121" t="s">
        <v>1116</v>
      </c>
      <c r="G453" s="121" t="s">
        <v>1117</v>
      </c>
      <c r="H453" s="346">
        <f t="shared" ref="H453:H457" si="135">ROUND(K453/I453,4)</f>
        <v>2002.4</v>
      </c>
      <c r="I453" s="121">
        <v>10</v>
      </c>
      <c r="J453" s="346">
        <v>2000</v>
      </c>
      <c r="K453" s="128">
        <v>20024</v>
      </c>
      <c r="L453" s="150">
        <v>44335</v>
      </c>
      <c r="M453" s="124">
        <f t="shared" si="14"/>
        <v>2047.9</v>
      </c>
      <c r="N453" s="155">
        <v>2050</v>
      </c>
      <c r="O453" s="347">
        <v>20479</v>
      </c>
      <c r="P453" s="120">
        <v>44348</v>
      </c>
      <c r="Q453" s="348">
        <v>44344</v>
      </c>
      <c r="R453" s="125">
        <v>15.93</v>
      </c>
      <c r="S453" s="125"/>
      <c r="T453" s="127">
        <f t="shared" si="132"/>
        <v>455</v>
      </c>
      <c r="U453" s="127" t="str">
        <f t="shared" si="16"/>
        <v>10 RELIANCE</v>
      </c>
      <c r="V453" s="127">
        <f t="shared" si="17"/>
        <v>439.07</v>
      </c>
      <c r="W453" s="350">
        <f t="shared" si="133"/>
        <v>2.1927187375149818E-2</v>
      </c>
      <c r="X453" s="397">
        <f t="shared" si="19"/>
        <v>0</v>
      </c>
      <c r="Y453" s="352">
        <f t="shared" si="20"/>
        <v>0</v>
      </c>
      <c r="Z453" s="353">
        <f t="shared" si="21"/>
        <v>13</v>
      </c>
      <c r="AA453" s="350">
        <f t="shared" si="110"/>
        <v>0.83858326926399962</v>
      </c>
      <c r="AB453" s="120" t="s">
        <v>471</v>
      </c>
    </row>
    <row r="454" spans="1:28" ht="12.75" customHeight="1">
      <c r="A454" s="120" t="s">
        <v>460</v>
      </c>
      <c r="B454" s="120" t="s">
        <v>975</v>
      </c>
      <c r="C454" s="343" t="s">
        <v>1333</v>
      </c>
      <c r="D454" s="344"/>
      <c r="E454" s="345" t="str">
        <f t="shared" si="134"/>
        <v/>
      </c>
      <c r="F454" s="121" t="s">
        <v>1107</v>
      </c>
      <c r="G454" s="121"/>
      <c r="H454" s="346">
        <f t="shared" si="135"/>
        <v>2277.8000000000002</v>
      </c>
      <c r="I454" s="121">
        <v>5</v>
      </c>
      <c r="J454" s="346">
        <v>2275</v>
      </c>
      <c r="K454" s="128">
        <v>11389</v>
      </c>
      <c r="L454" s="150">
        <v>44441</v>
      </c>
      <c r="M454" s="124">
        <f t="shared" si="14"/>
        <v>2387</v>
      </c>
      <c r="N454" s="155">
        <v>2389.5</v>
      </c>
      <c r="O454" s="347">
        <v>11935</v>
      </c>
      <c r="P454" s="120">
        <v>44446</v>
      </c>
      <c r="Q454" s="348">
        <v>44442</v>
      </c>
      <c r="R454" s="125"/>
      <c r="S454" s="125"/>
      <c r="T454" s="127">
        <f t="shared" si="132"/>
        <v>546</v>
      </c>
      <c r="U454" s="127" t="str">
        <f t="shared" si="16"/>
        <v>5 RELIANCE</v>
      </c>
      <c r="V454" s="127">
        <f t="shared" si="17"/>
        <v>546</v>
      </c>
      <c r="W454" s="350">
        <f t="shared" si="133"/>
        <v>4.7940995697602948E-2</v>
      </c>
      <c r="X454" s="397">
        <f t="shared" si="19"/>
        <v>0</v>
      </c>
      <c r="Y454" s="352">
        <f t="shared" si="20"/>
        <v>0</v>
      </c>
      <c r="Z454" s="353">
        <f t="shared" si="21"/>
        <v>5</v>
      </c>
      <c r="AA454" s="350">
        <f t="shared" si="110"/>
        <v>29.520287377063696</v>
      </c>
      <c r="AB454" s="120" t="s">
        <v>471</v>
      </c>
    </row>
    <row r="455" spans="1:28" ht="12.75" customHeight="1">
      <c r="A455" s="120" t="s">
        <v>460</v>
      </c>
      <c r="B455" s="120" t="s">
        <v>975</v>
      </c>
      <c r="C455" s="343" t="s">
        <v>1333</v>
      </c>
      <c r="D455" s="344"/>
      <c r="E455" s="345" t="s">
        <v>131</v>
      </c>
      <c r="F455" s="121" t="s">
        <v>1107</v>
      </c>
      <c r="G455" s="121"/>
      <c r="H455" s="346">
        <f t="shared" si="135"/>
        <v>2379</v>
      </c>
      <c r="I455" s="121">
        <v>2</v>
      </c>
      <c r="J455" s="346">
        <v>2376</v>
      </c>
      <c r="K455" s="128">
        <v>4758</v>
      </c>
      <c r="L455" s="150">
        <v>44452</v>
      </c>
      <c r="M455" s="124">
        <f t="shared" si="14"/>
        <v>2607.5</v>
      </c>
      <c r="N455" s="155">
        <v>2610</v>
      </c>
      <c r="O455" s="347">
        <v>5215</v>
      </c>
      <c r="P455" s="120">
        <v>44481</v>
      </c>
      <c r="Q455" s="348">
        <v>44477</v>
      </c>
      <c r="R455" s="125">
        <v>15.93</v>
      </c>
      <c r="S455" s="125"/>
      <c r="T455" s="127">
        <f t="shared" si="132"/>
        <v>457</v>
      </c>
      <c r="U455" s="127" t="str">
        <f t="shared" si="16"/>
        <v>2 RELIANCE</v>
      </c>
      <c r="V455" s="127">
        <f t="shared" si="17"/>
        <v>441.07</v>
      </c>
      <c r="W455" s="350">
        <f t="shared" si="133"/>
        <v>9.2700714585960492E-2</v>
      </c>
      <c r="X455" s="397">
        <f t="shared" si="19"/>
        <v>0</v>
      </c>
      <c r="Y455" s="352">
        <f t="shared" si="20"/>
        <v>0</v>
      </c>
      <c r="Z455" s="353">
        <f t="shared" si="21"/>
        <v>29</v>
      </c>
      <c r="AA455" s="350">
        <f t="shared" si="110"/>
        <v>2.0519991611616391</v>
      </c>
      <c r="AB455" s="120" t="s">
        <v>471</v>
      </c>
    </row>
    <row r="456" spans="1:28" ht="12.75" customHeight="1">
      <c r="A456" s="120" t="s">
        <v>460</v>
      </c>
      <c r="B456" s="120" t="s">
        <v>975</v>
      </c>
      <c r="C456" s="343" t="s">
        <v>1333</v>
      </c>
      <c r="D456" s="344"/>
      <c r="E456" s="345" t="s">
        <v>131</v>
      </c>
      <c r="F456" s="121" t="s">
        <v>1107</v>
      </c>
      <c r="G456" s="121"/>
      <c r="H456" s="346">
        <f t="shared" si="135"/>
        <v>2678.2</v>
      </c>
      <c r="I456" s="121">
        <v>5</v>
      </c>
      <c r="J456" s="346">
        <v>2675</v>
      </c>
      <c r="K456" s="128">
        <v>13391</v>
      </c>
      <c r="L456" s="150">
        <v>44480</v>
      </c>
      <c r="M456" s="124">
        <f t="shared" si="14"/>
        <v>2681.2</v>
      </c>
      <c r="N456" s="155">
        <v>2684</v>
      </c>
      <c r="O456" s="347">
        <v>13406</v>
      </c>
      <c r="P456" s="120">
        <v>44652</v>
      </c>
      <c r="Q456" s="348">
        <v>44650</v>
      </c>
      <c r="R456" s="125">
        <v>0</v>
      </c>
      <c r="S456" s="125"/>
      <c r="T456" s="127">
        <f t="shared" si="132"/>
        <v>15</v>
      </c>
      <c r="U456" s="127" t="str">
        <f t="shared" si="16"/>
        <v>5 RELIANCE</v>
      </c>
      <c r="V456" s="127">
        <f t="shared" si="17"/>
        <v>15</v>
      </c>
      <c r="W456" s="350">
        <f t="shared" si="133"/>
        <v>1.1201553282055112E-3</v>
      </c>
      <c r="X456" s="397">
        <f t="shared" si="19"/>
        <v>0</v>
      </c>
      <c r="Y456" s="352">
        <f t="shared" si="20"/>
        <v>5</v>
      </c>
      <c r="Z456" s="353">
        <f t="shared" si="21"/>
        <v>21</v>
      </c>
      <c r="AA456" s="350">
        <f t="shared" si="110"/>
        <v>2.3785677690306706E-3</v>
      </c>
      <c r="AB456" s="120" t="s">
        <v>471</v>
      </c>
    </row>
    <row r="457" spans="1:28" ht="12.75" customHeight="1">
      <c r="A457" s="120" t="s">
        <v>460</v>
      </c>
      <c r="B457" s="120" t="s">
        <v>975</v>
      </c>
      <c r="C457" s="343" t="s">
        <v>1333</v>
      </c>
      <c r="D457" s="344"/>
      <c r="E457" s="345" t="str">
        <f>IFERROR(IF(D457="","",(D457-J457)/J457),"")</f>
        <v/>
      </c>
      <c r="F457" s="121" t="s">
        <v>1107</v>
      </c>
      <c r="G457" s="121"/>
      <c r="H457" s="346">
        <f t="shared" si="135"/>
        <v>2503</v>
      </c>
      <c r="I457" s="121">
        <v>2</v>
      </c>
      <c r="J457" s="346">
        <v>2500</v>
      </c>
      <c r="K457" s="128">
        <v>5006</v>
      </c>
      <c r="L457" s="150">
        <v>44508</v>
      </c>
      <c r="M457" s="124">
        <f t="shared" si="14"/>
        <v>2681.5</v>
      </c>
      <c r="N457" s="155">
        <v>2684</v>
      </c>
      <c r="O457" s="347">
        <v>5363</v>
      </c>
      <c r="P457" s="120">
        <v>44652</v>
      </c>
      <c r="Q457" s="348">
        <v>44650</v>
      </c>
      <c r="R457" s="125">
        <v>15.93</v>
      </c>
      <c r="S457" s="125"/>
      <c r="T457" s="127">
        <f t="shared" si="132"/>
        <v>357</v>
      </c>
      <c r="U457" s="127" t="str">
        <f t="shared" si="16"/>
        <v>2 RELIANCE</v>
      </c>
      <c r="V457" s="127">
        <f t="shared" si="17"/>
        <v>341.07</v>
      </c>
      <c r="W457" s="350">
        <f t="shared" si="133"/>
        <v>6.8132241310427485E-2</v>
      </c>
      <c r="X457" s="397">
        <f t="shared" si="19"/>
        <v>0</v>
      </c>
      <c r="Y457" s="352">
        <f t="shared" si="20"/>
        <v>4</v>
      </c>
      <c r="Z457" s="353">
        <f t="shared" si="21"/>
        <v>24</v>
      </c>
      <c r="AA457" s="350">
        <f t="shared" si="110"/>
        <v>0.18183401448747238</v>
      </c>
      <c r="AB457" s="120" t="s">
        <v>471</v>
      </c>
    </row>
    <row r="458" spans="1:28" ht="12.75" customHeight="1">
      <c r="A458" s="120" t="s">
        <v>1334</v>
      </c>
      <c r="B458" s="120" t="s">
        <v>1335</v>
      </c>
      <c r="C458" s="343" t="s">
        <v>1333</v>
      </c>
      <c r="D458" s="344"/>
      <c r="E458" s="345"/>
      <c r="F458" s="121"/>
      <c r="G458" s="121"/>
      <c r="H458" s="346">
        <v>1001.5085</v>
      </c>
      <c r="I458" s="121">
        <v>9</v>
      </c>
      <c r="J458" s="346">
        <v>1000.36</v>
      </c>
      <c r="K458" s="128">
        <v>9013.58</v>
      </c>
      <c r="L458" s="150">
        <v>44225</v>
      </c>
      <c r="M458" s="124">
        <f t="shared" si="14"/>
        <v>1042.05</v>
      </c>
      <c r="N458" s="155">
        <v>1043.0999999999999</v>
      </c>
      <c r="O458" s="347">
        <v>9378.4500000000007</v>
      </c>
      <c r="P458" s="120">
        <v>44231</v>
      </c>
      <c r="Q458" s="348">
        <v>44229</v>
      </c>
      <c r="R458" s="125">
        <v>15.93</v>
      </c>
      <c r="S458" s="125"/>
      <c r="T458" s="127">
        <f t="shared" si="132"/>
        <v>364.8700000000008</v>
      </c>
      <c r="U458" s="127" t="str">
        <f t="shared" si="16"/>
        <v>9 RELIANCEPP</v>
      </c>
      <c r="V458" s="127">
        <f t="shared" si="17"/>
        <v>348.94000000000079</v>
      </c>
      <c r="W458" s="350">
        <f t="shared" si="133"/>
        <v>3.8712697951313553E-2</v>
      </c>
      <c r="X458" s="397">
        <f t="shared" si="19"/>
        <v>0</v>
      </c>
      <c r="Y458" s="352">
        <f t="shared" si="20"/>
        <v>0</v>
      </c>
      <c r="Z458" s="353">
        <f t="shared" si="21"/>
        <v>6</v>
      </c>
      <c r="AA458" s="350">
        <f t="shared" si="110"/>
        <v>9.0802811919517268</v>
      </c>
      <c r="AB458" s="120" t="s">
        <v>471</v>
      </c>
    </row>
    <row r="459" spans="1:28" ht="12.75" customHeight="1">
      <c r="A459" s="120" t="s">
        <v>547</v>
      </c>
      <c r="B459" s="120" t="s">
        <v>1336</v>
      </c>
      <c r="C459" s="343" t="s">
        <v>1106</v>
      </c>
      <c r="D459" s="344"/>
      <c r="E459" s="345" t="str">
        <f t="shared" ref="E459:E462" si="136">IFERROR(IF(D459="","",(D459-J459)/J459),"")</f>
        <v/>
      </c>
      <c r="F459" s="121" t="s">
        <v>1107</v>
      </c>
      <c r="G459" s="121"/>
      <c r="H459" s="346">
        <f t="shared" ref="H459:H463" si="137">ROUND(K459/I459,4)</f>
        <v>47.81</v>
      </c>
      <c r="I459" s="121">
        <v>100</v>
      </c>
      <c r="J459" s="346">
        <v>47.75</v>
      </c>
      <c r="K459" s="128">
        <v>4781</v>
      </c>
      <c r="L459" s="150">
        <v>44383</v>
      </c>
      <c r="M459" s="124">
        <f t="shared" si="14"/>
        <v>30.47</v>
      </c>
      <c r="N459" s="155">
        <v>30.5</v>
      </c>
      <c r="O459" s="347">
        <v>3047</v>
      </c>
      <c r="P459" s="120">
        <v>44543</v>
      </c>
      <c r="Q459" s="348">
        <v>44539</v>
      </c>
      <c r="R459" s="125">
        <v>0</v>
      </c>
      <c r="S459" s="125"/>
      <c r="T459" s="127">
        <f t="shared" si="132"/>
        <v>-1734</v>
      </c>
      <c r="U459" s="127" t="str">
        <f t="shared" si="16"/>
        <v>100 RENUKA</v>
      </c>
      <c r="V459" s="127">
        <f t="shared" si="17"/>
        <v>-1734</v>
      </c>
      <c r="W459" s="350">
        <f t="shared" si="133"/>
        <v>-0.36268563062120895</v>
      </c>
      <c r="X459" s="397">
        <f t="shared" si="19"/>
        <v>0</v>
      </c>
      <c r="Y459" s="352">
        <f t="shared" si="20"/>
        <v>5</v>
      </c>
      <c r="Z459" s="353">
        <f t="shared" si="21"/>
        <v>7</v>
      </c>
      <c r="AA459" s="350">
        <f t="shared" si="110"/>
        <v>-0.64216575366654038</v>
      </c>
      <c r="AB459" s="120" t="s">
        <v>471</v>
      </c>
    </row>
    <row r="460" spans="1:28" ht="12.75" customHeight="1">
      <c r="A460" s="120" t="s">
        <v>547</v>
      </c>
      <c r="B460" s="120" t="s">
        <v>1336</v>
      </c>
      <c r="C460" s="343" t="s">
        <v>1106</v>
      </c>
      <c r="D460" s="344"/>
      <c r="E460" s="345" t="str">
        <f t="shared" si="136"/>
        <v/>
      </c>
      <c r="F460" s="121" t="s">
        <v>1107</v>
      </c>
      <c r="G460" s="121"/>
      <c r="H460" s="346">
        <f t="shared" si="137"/>
        <v>47.06</v>
      </c>
      <c r="I460" s="121">
        <v>100</v>
      </c>
      <c r="J460" s="346">
        <v>47</v>
      </c>
      <c r="K460" s="128">
        <v>4706</v>
      </c>
      <c r="L460" s="150">
        <v>44383</v>
      </c>
      <c r="M460" s="124">
        <f t="shared" si="14"/>
        <v>30.47</v>
      </c>
      <c r="N460" s="155">
        <v>30.5</v>
      </c>
      <c r="O460" s="347">
        <v>3047</v>
      </c>
      <c r="P460" s="120">
        <v>44543</v>
      </c>
      <c r="Q460" s="348">
        <v>44539</v>
      </c>
      <c r="R460" s="125">
        <v>0</v>
      </c>
      <c r="S460" s="125"/>
      <c r="T460" s="127">
        <f t="shared" si="132"/>
        <v>-1659</v>
      </c>
      <c r="U460" s="127" t="str">
        <f t="shared" si="16"/>
        <v>100 RENUKA</v>
      </c>
      <c r="V460" s="127">
        <f t="shared" si="17"/>
        <v>-1659</v>
      </c>
      <c r="W460" s="350">
        <f t="shared" si="133"/>
        <v>-0.35252868678283045</v>
      </c>
      <c r="X460" s="397">
        <f t="shared" si="19"/>
        <v>0</v>
      </c>
      <c r="Y460" s="352">
        <f t="shared" si="20"/>
        <v>5</v>
      </c>
      <c r="Z460" s="353">
        <f t="shared" si="21"/>
        <v>7</v>
      </c>
      <c r="AA460" s="350">
        <f t="shared" si="110"/>
        <v>-0.6290231261209962</v>
      </c>
      <c r="AB460" s="120" t="s">
        <v>471</v>
      </c>
    </row>
    <row r="461" spans="1:28" ht="12.75" customHeight="1">
      <c r="A461" s="120" t="s">
        <v>547</v>
      </c>
      <c r="B461" s="120" t="s">
        <v>1336</v>
      </c>
      <c r="C461" s="343" t="s">
        <v>1106</v>
      </c>
      <c r="D461" s="344"/>
      <c r="E461" s="345" t="str">
        <f t="shared" si="136"/>
        <v/>
      </c>
      <c r="F461" s="121" t="s">
        <v>1107</v>
      </c>
      <c r="G461" s="121"/>
      <c r="H461" s="346">
        <f t="shared" si="137"/>
        <v>46.05</v>
      </c>
      <c r="I461" s="121">
        <v>100</v>
      </c>
      <c r="J461" s="346">
        <v>46</v>
      </c>
      <c r="K461" s="128">
        <v>4605</v>
      </c>
      <c r="L461" s="150">
        <v>44383</v>
      </c>
      <c r="M461" s="124">
        <f t="shared" si="14"/>
        <v>30.47</v>
      </c>
      <c r="N461" s="155">
        <v>30.5</v>
      </c>
      <c r="O461" s="347">
        <v>3047</v>
      </c>
      <c r="P461" s="120">
        <v>44543</v>
      </c>
      <c r="Q461" s="348">
        <v>44539</v>
      </c>
      <c r="R461" s="125">
        <v>15.93</v>
      </c>
      <c r="S461" s="125"/>
      <c r="T461" s="127">
        <f t="shared" si="132"/>
        <v>-1558</v>
      </c>
      <c r="U461" s="127" t="str">
        <f t="shared" si="16"/>
        <v>100 RENUKA</v>
      </c>
      <c r="V461" s="127">
        <f t="shared" si="17"/>
        <v>-1573.93</v>
      </c>
      <c r="W461" s="350">
        <f t="shared" si="133"/>
        <v>-0.34178718783930512</v>
      </c>
      <c r="X461" s="397">
        <f t="shared" si="19"/>
        <v>0</v>
      </c>
      <c r="Y461" s="352">
        <f t="shared" si="20"/>
        <v>5</v>
      </c>
      <c r="Z461" s="353">
        <f t="shared" si="21"/>
        <v>7</v>
      </c>
      <c r="AA461" s="350">
        <f t="shared" si="110"/>
        <v>-0.61483377774786718</v>
      </c>
      <c r="AB461" s="120" t="s">
        <v>471</v>
      </c>
    </row>
    <row r="462" spans="1:28" ht="12.75" customHeight="1">
      <c r="A462" s="120" t="s">
        <v>547</v>
      </c>
      <c r="B462" s="120" t="s">
        <v>1336</v>
      </c>
      <c r="C462" s="343" t="s">
        <v>1106</v>
      </c>
      <c r="D462" s="344"/>
      <c r="E462" s="345" t="str">
        <f t="shared" si="136"/>
        <v/>
      </c>
      <c r="F462" s="121" t="s">
        <v>1107</v>
      </c>
      <c r="G462" s="121"/>
      <c r="H462" s="346">
        <f t="shared" si="137"/>
        <v>34.24</v>
      </c>
      <c r="I462" s="121">
        <v>100</v>
      </c>
      <c r="J462" s="346">
        <v>34.200000000000003</v>
      </c>
      <c r="K462" s="128">
        <v>3424</v>
      </c>
      <c r="L462" s="150">
        <v>44568</v>
      </c>
      <c r="M462" s="124">
        <f t="shared" si="14"/>
        <v>34.46</v>
      </c>
      <c r="N462" s="155">
        <v>34.5</v>
      </c>
      <c r="O462" s="347">
        <v>3446</v>
      </c>
      <c r="P462" s="120">
        <v>44580</v>
      </c>
      <c r="Q462" s="348">
        <v>44578</v>
      </c>
      <c r="R462" s="125">
        <v>15.93</v>
      </c>
      <c r="S462" s="125"/>
      <c r="T462" s="127">
        <f t="shared" si="132"/>
        <v>22</v>
      </c>
      <c r="U462" s="127" t="str">
        <f t="shared" si="16"/>
        <v>100 RENUKA</v>
      </c>
      <c r="V462" s="127">
        <f t="shared" si="17"/>
        <v>6.07</v>
      </c>
      <c r="W462" s="350">
        <f t="shared" si="133"/>
        <v>1.7727803738317757E-3</v>
      </c>
      <c r="X462" s="397">
        <f t="shared" si="19"/>
        <v>0</v>
      </c>
      <c r="Y462" s="352">
        <f t="shared" si="20"/>
        <v>0</v>
      </c>
      <c r="Z462" s="353">
        <f t="shared" si="21"/>
        <v>12</v>
      </c>
      <c r="AA462" s="350">
        <f t="shared" si="110"/>
        <v>5.5351967869696317E-2</v>
      </c>
      <c r="AB462" s="120" t="s">
        <v>471</v>
      </c>
    </row>
    <row r="463" spans="1:28" ht="12.75" customHeight="1">
      <c r="A463" s="120" t="s">
        <v>455</v>
      </c>
      <c r="B463" s="120" t="s">
        <v>999</v>
      </c>
      <c r="C463" s="343" t="s">
        <v>1163</v>
      </c>
      <c r="D463" s="344"/>
      <c r="E463" s="345"/>
      <c r="F463" s="121"/>
      <c r="G463" s="121"/>
      <c r="H463" s="346">
        <f t="shared" si="137"/>
        <v>94.048500000000004</v>
      </c>
      <c r="I463" s="121">
        <v>100</v>
      </c>
      <c r="J463" s="346">
        <v>93.5</v>
      </c>
      <c r="K463" s="128">
        <v>9404.85</v>
      </c>
      <c r="L463" s="150">
        <v>41009</v>
      </c>
      <c r="M463" s="124">
        <f t="shared" si="14"/>
        <v>5.03</v>
      </c>
      <c r="N463" s="155">
        <v>5.04</v>
      </c>
      <c r="O463" s="347">
        <v>503</v>
      </c>
      <c r="P463" s="120">
        <v>44333</v>
      </c>
      <c r="Q463" s="348">
        <v>44328</v>
      </c>
      <c r="R463" s="125">
        <f>35.4+29.5+15.93</f>
        <v>80.830000000000013</v>
      </c>
      <c r="S463" s="125">
        <f>300+300+225+300</f>
        <v>1125</v>
      </c>
      <c r="T463" s="127">
        <f t="shared" si="132"/>
        <v>-8901.85</v>
      </c>
      <c r="U463" s="127" t="str">
        <f t="shared" si="16"/>
        <v>100 ROLTA</v>
      </c>
      <c r="V463" s="127">
        <f t="shared" si="17"/>
        <v>-7857.68</v>
      </c>
      <c r="W463" s="350">
        <f t="shared" si="133"/>
        <v>-0.83549232576808774</v>
      </c>
      <c r="X463" s="397">
        <f t="shared" si="19"/>
        <v>9</v>
      </c>
      <c r="Y463" s="352">
        <f t="shared" si="20"/>
        <v>1</v>
      </c>
      <c r="Z463" s="353">
        <f t="shared" si="21"/>
        <v>7</v>
      </c>
      <c r="AA463" s="350">
        <f t="shared" si="110"/>
        <v>-0.17977803978998785</v>
      </c>
      <c r="AB463" s="120" t="s">
        <v>448</v>
      </c>
    </row>
    <row r="464" spans="1:28" ht="12.75" customHeight="1">
      <c r="A464" s="120" t="s">
        <v>450</v>
      </c>
      <c r="B464" s="120" t="s">
        <v>1337</v>
      </c>
      <c r="C464" s="343" t="s">
        <v>1163</v>
      </c>
      <c r="D464" s="344"/>
      <c r="E464" s="345"/>
      <c r="F464" s="121"/>
      <c r="G464" s="121"/>
      <c r="H464" s="346">
        <v>137.6</v>
      </c>
      <c r="I464" s="121">
        <v>50</v>
      </c>
      <c r="J464" s="346" t="s">
        <v>1338</v>
      </c>
      <c r="K464" s="128">
        <v>6800.42</v>
      </c>
      <c r="L464" s="150">
        <v>39479</v>
      </c>
      <c r="M464" s="124">
        <f t="shared" si="14"/>
        <v>137.19460000000001</v>
      </c>
      <c r="N464" s="155">
        <v>138</v>
      </c>
      <c r="O464" s="347">
        <v>6859.73</v>
      </c>
      <c r="P464" s="120">
        <v>40983</v>
      </c>
      <c r="Q464" s="348">
        <v>40981</v>
      </c>
      <c r="R464" s="125">
        <v>7</v>
      </c>
      <c r="S464" s="125"/>
      <c r="T464" s="127">
        <f t="shared" si="132"/>
        <v>59.309999999999491</v>
      </c>
      <c r="U464" s="127" t="str">
        <f t="shared" si="16"/>
        <v>50 RPOWER</v>
      </c>
      <c r="V464" s="127">
        <f t="shared" si="17"/>
        <v>52.309999999999491</v>
      </c>
      <c r="W464" s="350">
        <f t="shared" si="133"/>
        <v>7.6921719540851141E-3</v>
      </c>
      <c r="X464" s="397">
        <f t="shared" si="19"/>
        <v>4</v>
      </c>
      <c r="Y464" s="352">
        <f t="shared" si="20"/>
        <v>1</v>
      </c>
      <c r="Z464" s="353">
        <f t="shared" si="21"/>
        <v>14</v>
      </c>
      <c r="AA464" s="350">
        <f t="shared" si="110"/>
        <v>1.8613707529611112E-3</v>
      </c>
      <c r="AB464" s="120" t="s">
        <v>448</v>
      </c>
    </row>
    <row r="465" spans="1:28" ht="12.75" customHeight="1">
      <c r="A465" s="120" t="s">
        <v>601</v>
      </c>
      <c r="B465" s="120"/>
      <c r="C465" s="343"/>
      <c r="D465" s="344"/>
      <c r="E465" s="345" t="str">
        <f t="shared" ref="E465:E468" si="138">IFERROR(IF(D465="","",(D465-J465)/J465),"")</f>
        <v/>
      </c>
      <c r="F465" s="121"/>
      <c r="G465" s="121"/>
      <c r="H465" s="346">
        <f t="shared" ref="H465:H468" si="139">ROUND(K465/I465,4)</f>
        <v>650</v>
      </c>
      <c r="I465" s="121">
        <v>42</v>
      </c>
      <c r="J465" s="346">
        <v>650</v>
      </c>
      <c r="K465" s="128">
        <v>27300</v>
      </c>
      <c r="L465" s="150">
        <v>44656</v>
      </c>
      <c r="M465" s="124">
        <f t="shared" si="14"/>
        <v>879.09519999999998</v>
      </c>
      <c r="N465" s="155">
        <v>880</v>
      </c>
      <c r="O465" s="347">
        <v>36922</v>
      </c>
      <c r="P465" s="120">
        <v>44663</v>
      </c>
      <c r="Q465" s="348">
        <v>44659</v>
      </c>
      <c r="R465" s="125">
        <v>15.93</v>
      </c>
      <c r="S465" s="125"/>
      <c r="T465" s="127">
        <f t="shared" si="132"/>
        <v>9622</v>
      </c>
      <c r="U465" s="127" t="str">
        <f t="shared" si="16"/>
        <v>42 RUCHI</v>
      </c>
      <c r="V465" s="127">
        <f t="shared" si="17"/>
        <v>9606.07</v>
      </c>
      <c r="W465" s="350">
        <f t="shared" si="133"/>
        <v>0.35187069597069598</v>
      </c>
      <c r="X465" s="397">
        <f t="shared" si="19"/>
        <v>0</v>
      </c>
      <c r="Y465" s="352">
        <f t="shared" si="20"/>
        <v>0</v>
      </c>
      <c r="Z465" s="353">
        <f t="shared" si="21"/>
        <v>7</v>
      </c>
      <c r="AA465" s="350">
        <f t="shared" si="110"/>
        <v>6719438.2992337514</v>
      </c>
      <c r="AB465" s="120" t="s">
        <v>471</v>
      </c>
    </row>
    <row r="466" spans="1:28" ht="12.75" customHeight="1">
      <c r="A466" s="120" t="s">
        <v>601</v>
      </c>
      <c r="B466" s="120"/>
      <c r="C466" s="343"/>
      <c r="D466" s="344"/>
      <c r="E466" s="345" t="str">
        <f t="shared" si="138"/>
        <v/>
      </c>
      <c r="F466" s="121"/>
      <c r="G466" s="121"/>
      <c r="H466" s="346">
        <f t="shared" si="139"/>
        <v>951.12</v>
      </c>
      <c r="I466" s="121">
        <v>25</v>
      </c>
      <c r="J466" s="346">
        <v>950</v>
      </c>
      <c r="K466" s="128">
        <v>23778</v>
      </c>
      <c r="L466" s="150">
        <v>44662</v>
      </c>
      <c r="M466" s="124">
        <f t="shared" si="14"/>
        <v>1010.96</v>
      </c>
      <c r="N466" s="155">
        <v>1012</v>
      </c>
      <c r="O466" s="347">
        <v>25274</v>
      </c>
      <c r="P466" s="120">
        <v>44679</v>
      </c>
      <c r="Q466" s="348">
        <v>44677</v>
      </c>
      <c r="R466" s="125">
        <v>0</v>
      </c>
      <c r="S466" s="125"/>
      <c r="T466" s="127">
        <f t="shared" si="132"/>
        <v>1496</v>
      </c>
      <c r="U466" s="127" t="str">
        <f t="shared" si="16"/>
        <v>25 RUCHI</v>
      </c>
      <c r="V466" s="127">
        <f t="shared" si="17"/>
        <v>1496</v>
      </c>
      <c r="W466" s="350">
        <f t="shared" si="133"/>
        <v>6.2915299857010679E-2</v>
      </c>
      <c r="X466" s="397">
        <f t="shared" si="19"/>
        <v>0</v>
      </c>
      <c r="Y466" s="352">
        <f t="shared" si="20"/>
        <v>0</v>
      </c>
      <c r="Z466" s="353">
        <f t="shared" si="21"/>
        <v>17</v>
      </c>
      <c r="AA466" s="350">
        <f t="shared" si="110"/>
        <v>2.7063103643081465</v>
      </c>
      <c r="AB466" s="120" t="s">
        <v>471</v>
      </c>
    </row>
    <row r="467" spans="1:28" ht="12.75" customHeight="1">
      <c r="A467" s="120" t="s">
        <v>601</v>
      </c>
      <c r="B467" s="120"/>
      <c r="C467" s="343"/>
      <c r="D467" s="344"/>
      <c r="E467" s="345" t="str">
        <f t="shared" si="138"/>
        <v/>
      </c>
      <c r="F467" s="121"/>
      <c r="G467" s="121"/>
      <c r="H467" s="346">
        <f t="shared" si="139"/>
        <v>901.06669999999997</v>
      </c>
      <c r="I467" s="121">
        <v>30</v>
      </c>
      <c r="J467" s="346">
        <v>900</v>
      </c>
      <c r="K467" s="128">
        <v>27032</v>
      </c>
      <c r="L467" s="150">
        <v>44663</v>
      </c>
      <c r="M467" s="124">
        <f t="shared" si="14"/>
        <v>970</v>
      </c>
      <c r="N467" s="155">
        <v>971</v>
      </c>
      <c r="O467" s="347">
        <v>29100</v>
      </c>
      <c r="P467" s="120">
        <v>44679</v>
      </c>
      <c r="Q467" s="348">
        <v>44677</v>
      </c>
      <c r="R467" s="125">
        <v>15.93</v>
      </c>
      <c r="S467" s="125"/>
      <c r="T467" s="127">
        <f t="shared" si="132"/>
        <v>2068</v>
      </c>
      <c r="U467" s="127" t="str">
        <f t="shared" si="16"/>
        <v>30 RUCHI</v>
      </c>
      <c r="V467" s="127">
        <f t="shared" si="17"/>
        <v>2052.0700000000002</v>
      </c>
      <c r="W467" s="350">
        <f t="shared" si="133"/>
        <v>7.5912622077537739E-2</v>
      </c>
      <c r="X467" s="397">
        <f t="shared" si="19"/>
        <v>0</v>
      </c>
      <c r="Y467" s="352">
        <f t="shared" si="20"/>
        <v>0</v>
      </c>
      <c r="Z467" s="353">
        <f t="shared" si="21"/>
        <v>16</v>
      </c>
      <c r="AA467" s="350">
        <f t="shared" si="110"/>
        <v>4.3077794530316718</v>
      </c>
      <c r="AB467" s="120" t="s">
        <v>471</v>
      </c>
    </row>
    <row r="468" spans="1:28" ht="12.75" customHeight="1">
      <c r="A468" s="120" t="s">
        <v>601</v>
      </c>
      <c r="B468" s="120"/>
      <c r="C468" s="343"/>
      <c r="D468" s="344"/>
      <c r="E468" s="345" t="str">
        <f t="shared" si="138"/>
        <v/>
      </c>
      <c r="F468" s="121"/>
      <c r="G468" s="121"/>
      <c r="H468" s="346">
        <f t="shared" si="139"/>
        <v>1111.3</v>
      </c>
      <c r="I468" s="121">
        <v>20</v>
      </c>
      <c r="J468" s="346">
        <v>1110</v>
      </c>
      <c r="K468" s="128">
        <v>22226</v>
      </c>
      <c r="L468" s="150">
        <v>44679</v>
      </c>
      <c r="M468" s="124">
        <f t="shared" si="14"/>
        <v>1138.8</v>
      </c>
      <c r="N468" s="155">
        <v>1140</v>
      </c>
      <c r="O468" s="347">
        <v>22776</v>
      </c>
      <c r="P468" s="120">
        <v>44701</v>
      </c>
      <c r="Q468" s="348">
        <v>44699</v>
      </c>
      <c r="R468" s="125">
        <v>15.93</v>
      </c>
      <c r="S468" s="125"/>
      <c r="T468" s="127">
        <f t="shared" si="132"/>
        <v>550</v>
      </c>
      <c r="U468" s="127" t="str">
        <f t="shared" si="16"/>
        <v>20 RUCHI</v>
      </c>
      <c r="V468" s="127">
        <f t="shared" si="17"/>
        <v>534.07000000000005</v>
      </c>
      <c r="W468" s="350">
        <f t="shared" si="133"/>
        <v>2.4029065058939984E-2</v>
      </c>
      <c r="X468" s="397">
        <f t="shared" si="19"/>
        <v>0</v>
      </c>
      <c r="Y468" s="352">
        <f t="shared" si="20"/>
        <v>0</v>
      </c>
      <c r="Z468" s="353">
        <f t="shared" si="21"/>
        <v>22</v>
      </c>
      <c r="AA468" s="350">
        <f t="shared" si="110"/>
        <v>0.48282587790530607</v>
      </c>
      <c r="AB468" s="120" t="s">
        <v>471</v>
      </c>
    </row>
    <row r="469" spans="1:28" ht="12.75" customHeight="1">
      <c r="A469" s="120" t="s">
        <v>481</v>
      </c>
      <c r="B469" s="120" t="s">
        <v>1154</v>
      </c>
      <c r="C469" s="343" t="s">
        <v>1163</v>
      </c>
      <c r="D469" s="344"/>
      <c r="E469" s="345"/>
      <c r="F469" s="121"/>
      <c r="G469" s="121"/>
      <c r="H469" s="346">
        <v>80.043300000000002</v>
      </c>
      <c r="I469" s="121">
        <v>100</v>
      </c>
      <c r="J469" s="346">
        <v>79.95</v>
      </c>
      <c r="K469" s="128">
        <v>8004.33</v>
      </c>
      <c r="L469" s="150">
        <v>44257</v>
      </c>
      <c r="M469" s="124">
        <f t="shared" si="14"/>
        <v>81.92</v>
      </c>
      <c r="N469" s="155">
        <v>82</v>
      </c>
      <c r="O469" s="347">
        <v>8192</v>
      </c>
      <c r="P469" s="120">
        <v>44292</v>
      </c>
      <c r="Q469" s="348">
        <v>44287</v>
      </c>
      <c r="R469" s="125">
        <v>15.93</v>
      </c>
      <c r="S469" s="125"/>
      <c r="T469" s="127">
        <f t="shared" si="132"/>
        <v>187.67000000000007</v>
      </c>
      <c r="U469" s="127" t="str">
        <f t="shared" si="16"/>
        <v>100 SAIL</v>
      </c>
      <c r="V469" s="127">
        <f t="shared" si="17"/>
        <v>171.74000000000007</v>
      </c>
      <c r="W469" s="350">
        <f t="shared" si="133"/>
        <v>2.145588700116063E-2</v>
      </c>
      <c r="X469" s="397">
        <f t="shared" si="19"/>
        <v>0</v>
      </c>
      <c r="Y469" s="352">
        <f t="shared" si="20"/>
        <v>1</v>
      </c>
      <c r="Z469" s="353">
        <f t="shared" si="21"/>
        <v>4</v>
      </c>
      <c r="AA469" s="350">
        <f t="shared" si="110"/>
        <v>0.24780701112061432</v>
      </c>
      <c r="AB469" s="120" t="s">
        <v>471</v>
      </c>
    </row>
    <row r="470" spans="1:28" ht="12.75" customHeight="1">
      <c r="A470" s="120" t="s">
        <v>481</v>
      </c>
      <c r="B470" s="120" t="s">
        <v>1154</v>
      </c>
      <c r="C470" s="343" t="s">
        <v>1163</v>
      </c>
      <c r="D470" s="344">
        <v>145</v>
      </c>
      <c r="E470" s="345">
        <f>IFERROR(IF(D470="","",(D470-J470)/J470),"")</f>
        <v>0.10687022900763359</v>
      </c>
      <c r="F470" s="121" t="s">
        <v>1116</v>
      </c>
      <c r="G470" s="121" t="s">
        <v>1185</v>
      </c>
      <c r="H470" s="346">
        <f t="shared" ref="H470:H494" si="140">ROUND(K470/I470,4)</f>
        <v>131.16</v>
      </c>
      <c r="I470" s="121">
        <v>50</v>
      </c>
      <c r="J470" s="346">
        <v>131</v>
      </c>
      <c r="K470" s="128">
        <v>6558</v>
      </c>
      <c r="L470" s="150">
        <v>44322</v>
      </c>
      <c r="M470" s="124">
        <f t="shared" si="14"/>
        <v>144.1</v>
      </c>
      <c r="N470" s="155">
        <v>144.25</v>
      </c>
      <c r="O470" s="347">
        <v>7205</v>
      </c>
      <c r="P470" s="120">
        <v>44327</v>
      </c>
      <c r="Q470" s="348">
        <v>44323</v>
      </c>
      <c r="R470" s="125">
        <v>15.93</v>
      </c>
      <c r="S470" s="125"/>
      <c r="T470" s="127">
        <f t="shared" si="132"/>
        <v>647</v>
      </c>
      <c r="U470" s="127" t="str">
        <f t="shared" si="16"/>
        <v>50 SAIL</v>
      </c>
      <c r="V470" s="127">
        <f t="shared" si="17"/>
        <v>631.07000000000005</v>
      </c>
      <c r="W470" s="350">
        <f t="shared" si="133"/>
        <v>9.6229033241842038E-2</v>
      </c>
      <c r="X470" s="397">
        <f t="shared" si="19"/>
        <v>0</v>
      </c>
      <c r="Y470" s="352">
        <f t="shared" si="20"/>
        <v>0</v>
      </c>
      <c r="Z470" s="353">
        <f t="shared" si="21"/>
        <v>5</v>
      </c>
      <c r="AA470" s="350">
        <f t="shared" si="110"/>
        <v>817.07835457623423</v>
      </c>
      <c r="AB470" s="120" t="s">
        <v>471</v>
      </c>
    </row>
    <row r="471" spans="1:28" ht="12.75" customHeight="1">
      <c r="A471" s="120" t="s">
        <v>481</v>
      </c>
      <c r="B471" s="120" t="s">
        <v>481</v>
      </c>
      <c r="C471" s="343" t="s">
        <v>1163</v>
      </c>
      <c r="D471" s="344"/>
      <c r="E471" s="345"/>
      <c r="F471" s="121" t="s">
        <v>1157</v>
      </c>
      <c r="G471" s="121"/>
      <c r="H471" s="346">
        <f t="shared" si="140"/>
        <v>123.15</v>
      </c>
      <c r="I471" s="121">
        <v>100</v>
      </c>
      <c r="J471" s="346">
        <v>123</v>
      </c>
      <c r="K471" s="128">
        <v>12315</v>
      </c>
      <c r="L471" s="150">
        <v>44336</v>
      </c>
      <c r="M471" s="124">
        <f t="shared" si="14"/>
        <v>124.37</v>
      </c>
      <c r="N471" s="155">
        <v>124.5</v>
      </c>
      <c r="O471" s="347">
        <v>12437</v>
      </c>
      <c r="P471" s="120">
        <v>44358</v>
      </c>
      <c r="Q471" s="348">
        <v>44356</v>
      </c>
      <c r="R471" s="125">
        <v>15.93</v>
      </c>
      <c r="S471" s="125"/>
      <c r="T471" s="127">
        <f t="shared" si="132"/>
        <v>122</v>
      </c>
      <c r="U471" s="127" t="str">
        <f t="shared" si="16"/>
        <v>100 SAIL</v>
      </c>
      <c r="V471" s="127">
        <f t="shared" si="17"/>
        <v>106.07</v>
      </c>
      <c r="W471" s="350">
        <f t="shared" si="133"/>
        <v>8.6130734876167271E-3</v>
      </c>
      <c r="X471" s="397">
        <f t="shared" si="19"/>
        <v>0</v>
      </c>
      <c r="Y471" s="352">
        <f t="shared" si="20"/>
        <v>0</v>
      </c>
      <c r="Z471" s="353">
        <f t="shared" si="21"/>
        <v>22</v>
      </c>
      <c r="AA471" s="350">
        <f t="shared" si="110"/>
        <v>0.15290729138105785</v>
      </c>
      <c r="AB471" s="120" t="s">
        <v>471</v>
      </c>
    </row>
    <row r="472" spans="1:28" ht="12.75" customHeight="1">
      <c r="A472" s="120" t="s">
        <v>481</v>
      </c>
      <c r="B472" s="120"/>
      <c r="C472" s="343"/>
      <c r="D472" s="344"/>
      <c r="E472" s="345" t="str">
        <f t="shared" ref="E472:E479" si="141">IFERROR(IF(D472="","",(D472-J472)/J472),"")</f>
        <v/>
      </c>
      <c r="F472" s="121"/>
      <c r="G472" s="121"/>
      <c r="H472" s="346">
        <f t="shared" si="140"/>
        <v>97.6</v>
      </c>
      <c r="I472" s="121">
        <v>25</v>
      </c>
      <c r="J472" s="346">
        <v>97.5</v>
      </c>
      <c r="K472" s="128">
        <v>2440</v>
      </c>
      <c r="L472" s="150">
        <v>44589</v>
      </c>
      <c r="M472" s="124">
        <f t="shared" si="14"/>
        <v>98.4</v>
      </c>
      <c r="N472" s="155">
        <v>98.5</v>
      </c>
      <c r="O472" s="347">
        <v>2460</v>
      </c>
      <c r="P472" s="120">
        <v>44594</v>
      </c>
      <c r="Q472" s="348">
        <v>44592</v>
      </c>
      <c r="R472" s="125">
        <v>15.93</v>
      </c>
      <c r="S472" s="125"/>
      <c r="T472" s="127">
        <f t="shared" si="132"/>
        <v>20</v>
      </c>
      <c r="U472" s="127" t="str">
        <f t="shared" si="16"/>
        <v>25 SAIL</v>
      </c>
      <c r="V472" s="127">
        <f t="shared" si="17"/>
        <v>4.07</v>
      </c>
      <c r="W472" s="350">
        <f t="shared" si="133"/>
        <v>1.668032786885246E-3</v>
      </c>
      <c r="X472" s="397">
        <f t="shared" si="19"/>
        <v>0</v>
      </c>
      <c r="Y472" s="352">
        <f t="shared" si="20"/>
        <v>0</v>
      </c>
      <c r="Z472" s="353">
        <f t="shared" si="21"/>
        <v>5</v>
      </c>
      <c r="AA472" s="350">
        <f t="shared" si="110"/>
        <v>0.12937564227624088</v>
      </c>
      <c r="AB472" s="120" t="s">
        <v>471</v>
      </c>
    </row>
    <row r="473" spans="1:28" ht="12.75" customHeight="1">
      <c r="A473" s="120" t="s">
        <v>481</v>
      </c>
      <c r="B473" s="120"/>
      <c r="C473" s="343"/>
      <c r="D473" s="344"/>
      <c r="E473" s="345" t="str">
        <f t="shared" si="141"/>
        <v/>
      </c>
      <c r="F473" s="121"/>
      <c r="G473" s="121"/>
      <c r="H473" s="346">
        <f t="shared" si="140"/>
        <v>98.114999999999995</v>
      </c>
      <c r="I473" s="121">
        <v>200</v>
      </c>
      <c r="J473" s="346">
        <v>98</v>
      </c>
      <c r="K473" s="128">
        <v>19623</v>
      </c>
      <c r="L473" s="150">
        <v>44589</v>
      </c>
      <c r="M473" s="124">
        <f t="shared" si="14"/>
        <v>102.645</v>
      </c>
      <c r="N473" s="155">
        <v>102.75</v>
      </c>
      <c r="O473" s="347">
        <v>20529</v>
      </c>
      <c r="P473" s="120">
        <v>44645</v>
      </c>
      <c r="Q473" s="348">
        <v>44643</v>
      </c>
      <c r="R473" s="125">
        <v>15.93</v>
      </c>
      <c r="S473" s="125"/>
      <c r="T473" s="127">
        <f t="shared" si="132"/>
        <v>906</v>
      </c>
      <c r="U473" s="127" t="str">
        <f t="shared" si="16"/>
        <v>200 SAIL</v>
      </c>
      <c r="V473" s="127">
        <f t="shared" si="17"/>
        <v>890.07</v>
      </c>
      <c r="W473" s="350">
        <f t="shared" si="133"/>
        <v>4.5358507873413854E-2</v>
      </c>
      <c r="X473" s="397">
        <f t="shared" si="19"/>
        <v>0</v>
      </c>
      <c r="Y473" s="352">
        <f t="shared" si="20"/>
        <v>1</v>
      </c>
      <c r="Z473" s="353">
        <f t="shared" si="21"/>
        <v>25</v>
      </c>
      <c r="AA473" s="350">
        <f t="shared" si="110"/>
        <v>0.33526726066036372</v>
      </c>
      <c r="AB473" s="120" t="s">
        <v>471</v>
      </c>
    </row>
    <row r="474" spans="1:28" ht="12.75" customHeight="1">
      <c r="A474" s="120" t="s">
        <v>481</v>
      </c>
      <c r="B474" s="120"/>
      <c r="C474" s="343"/>
      <c r="D474" s="344"/>
      <c r="E474" s="345" t="str">
        <f t="shared" si="141"/>
        <v/>
      </c>
      <c r="F474" s="121"/>
      <c r="G474" s="121"/>
      <c r="H474" s="346">
        <f t="shared" si="140"/>
        <v>99.117500000000007</v>
      </c>
      <c r="I474" s="121">
        <v>400</v>
      </c>
      <c r="J474" s="346">
        <v>99</v>
      </c>
      <c r="K474" s="128">
        <v>39647</v>
      </c>
      <c r="L474" s="150">
        <v>44589</v>
      </c>
      <c r="M474" s="124">
        <f t="shared" si="14"/>
        <v>103.8925</v>
      </c>
      <c r="N474" s="155">
        <v>104</v>
      </c>
      <c r="O474" s="347">
        <v>41557</v>
      </c>
      <c r="P474" s="120">
        <v>44645</v>
      </c>
      <c r="Q474" s="348">
        <v>44643</v>
      </c>
      <c r="R474" s="125">
        <v>0</v>
      </c>
      <c r="S474" s="125"/>
      <c r="T474" s="127">
        <f t="shared" si="132"/>
        <v>1910</v>
      </c>
      <c r="U474" s="127" t="str">
        <f t="shared" si="16"/>
        <v>400 SAIL</v>
      </c>
      <c r="V474" s="127">
        <f t="shared" si="17"/>
        <v>1910</v>
      </c>
      <c r="W474" s="350">
        <f t="shared" si="133"/>
        <v>4.81751456604535E-2</v>
      </c>
      <c r="X474" s="397">
        <f t="shared" si="19"/>
        <v>0</v>
      </c>
      <c r="Y474" s="352">
        <f t="shared" si="20"/>
        <v>1</v>
      </c>
      <c r="Z474" s="353">
        <f t="shared" si="21"/>
        <v>25</v>
      </c>
      <c r="AA474" s="350">
        <f t="shared" si="110"/>
        <v>0.35889206923861039</v>
      </c>
      <c r="AB474" s="120" t="s">
        <v>471</v>
      </c>
    </row>
    <row r="475" spans="1:28" ht="12.75" customHeight="1">
      <c r="A475" s="120" t="s">
        <v>481</v>
      </c>
      <c r="B475" s="120"/>
      <c r="C475" s="343"/>
      <c r="D475" s="344"/>
      <c r="E475" s="345" t="str">
        <f t="shared" si="141"/>
        <v/>
      </c>
      <c r="F475" s="121"/>
      <c r="G475" s="121"/>
      <c r="H475" s="346">
        <f t="shared" si="140"/>
        <v>99.12</v>
      </c>
      <c r="I475" s="121">
        <v>300</v>
      </c>
      <c r="J475" s="346">
        <v>99</v>
      </c>
      <c r="K475" s="128">
        <v>29736</v>
      </c>
      <c r="L475" s="150">
        <v>44589</v>
      </c>
      <c r="M475" s="124">
        <f t="shared" si="14"/>
        <v>100.8967</v>
      </c>
      <c r="N475" s="155">
        <v>101</v>
      </c>
      <c r="O475" s="347">
        <v>30269</v>
      </c>
      <c r="P475" s="120">
        <v>44656</v>
      </c>
      <c r="Q475" s="348">
        <v>44652</v>
      </c>
      <c r="R475" s="125">
        <v>15.93</v>
      </c>
      <c r="S475" s="125"/>
      <c r="T475" s="127">
        <f t="shared" si="132"/>
        <v>533</v>
      </c>
      <c r="U475" s="127" t="str">
        <f t="shared" si="16"/>
        <v>300 SAIL</v>
      </c>
      <c r="V475" s="127">
        <f t="shared" si="17"/>
        <v>517.07000000000005</v>
      </c>
      <c r="W475" s="350">
        <f t="shared" si="133"/>
        <v>1.7388687113263385E-2</v>
      </c>
      <c r="X475" s="397">
        <f t="shared" si="19"/>
        <v>0</v>
      </c>
      <c r="Y475" s="352">
        <f t="shared" si="20"/>
        <v>2</v>
      </c>
      <c r="Z475" s="353">
        <f t="shared" si="21"/>
        <v>8</v>
      </c>
      <c r="AA475" s="350">
        <f t="shared" si="110"/>
        <v>9.8466624569638173E-2</v>
      </c>
      <c r="AB475" s="120" t="s">
        <v>471</v>
      </c>
    </row>
    <row r="476" spans="1:28" ht="12.75" customHeight="1">
      <c r="A476" s="120" t="s">
        <v>481</v>
      </c>
      <c r="B476" s="120"/>
      <c r="C476" s="343"/>
      <c r="D476" s="344"/>
      <c r="E476" s="345" t="str">
        <f t="shared" si="141"/>
        <v/>
      </c>
      <c r="F476" s="121"/>
      <c r="G476" s="121"/>
      <c r="H476" s="346">
        <f t="shared" si="140"/>
        <v>86</v>
      </c>
      <c r="I476" s="121">
        <v>25</v>
      </c>
      <c r="J476" s="346">
        <v>85.9</v>
      </c>
      <c r="K476" s="128">
        <v>2150</v>
      </c>
      <c r="L476" s="150">
        <v>44930</v>
      </c>
      <c r="M476" s="124">
        <f t="shared" si="14"/>
        <v>87.88</v>
      </c>
      <c r="N476" s="155">
        <v>88</v>
      </c>
      <c r="O476" s="347">
        <v>2197</v>
      </c>
      <c r="P476" s="120">
        <v>44931</v>
      </c>
      <c r="Q476" s="348">
        <v>44928</v>
      </c>
      <c r="R476" s="125">
        <v>15.93</v>
      </c>
      <c r="S476" s="125"/>
      <c r="T476" s="127">
        <f t="shared" ref="T476:T477" si="142">IF(OR(O476="",K476=""),"",O476-K476)</f>
        <v>47</v>
      </c>
      <c r="U476" s="127" t="str">
        <f t="shared" si="16"/>
        <v>25 SAIL</v>
      </c>
      <c r="V476" s="127">
        <f t="shared" si="17"/>
        <v>31.07</v>
      </c>
      <c r="W476" s="350">
        <f t="shared" ref="W476:W477" si="143">IF(OR(K476="",V476=""),"",V476/K476)</f>
        <v>1.4451162790697674E-2</v>
      </c>
      <c r="X476" s="397">
        <f t="shared" si="19"/>
        <v>0</v>
      </c>
      <c r="Y476" s="352">
        <f t="shared" si="20"/>
        <v>0</v>
      </c>
      <c r="Z476" s="353">
        <f t="shared" si="21"/>
        <v>1</v>
      </c>
      <c r="AA476" s="350">
        <f t="shared" si="110"/>
        <v>187.09084720010483</v>
      </c>
      <c r="AB476" s="120" t="s">
        <v>471</v>
      </c>
    </row>
    <row r="477" spans="1:28" ht="12.75" customHeight="1">
      <c r="A477" s="120" t="s">
        <v>481</v>
      </c>
      <c r="B477" s="120"/>
      <c r="C477" s="343"/>
      <c r="D477" s="344"/>
      <c r="E477" s="345" t="str">
        <f t="shared" si="141"/>
        <v/>
      </c>
      <c r="F477" s="121"/>
      <c r="G477" s="121"/>
      <c r="H477" s="346">
        <f t="shared" si="140"/>
        <v>86.36</v>
      </c>
      <c r="I477" s="121">
        <v>50</v>
      </c>
      <c r="J477" s="346">
        <v>86.25</v>
      </c>
      <c r="K477" s="128">
        <v>4318</v>
      </c>
      <c r="L477" s="150">
        <v>44956</v>
      </c>
      <c r="M477" s="124">
        <f t="shared" si="14"/>
        <v>86.92</v>
      </c>
      <c r="N477" s="155">
        <v>87</v>
      </c>
      <c r="O477" s="347">
        <v>4346</v>
      </c>
      <c r="P477" s="120">
        <v>44957</v>
      </c>
      <c r="Q477" s="348">
        <v>44928</v>
      </c>
      <c r="R477" s="125">
        <v>0</v>
      </c>
      <c r="S477" s="125"/>
      <c r="T477" s="127">
        <f t="shared" si="142"/>
        <v>28</v>
      </c>
      <c r="U477" s="127" t="str">
        <f t="shared" si="16"/>
        <v>50 SAIL</v>
      </c>
      <c r="V477" s="127">
        <f t="shared" si="17"/>
        <v>28</v>
      </c>
      <c r="W477" s="350">
        <f t="shared" si="143"/>
        <v>6.4844835572024084E-3</v>
      </c>
      <c r="X477" s="397">
        <f t="shared" si="19"/>
        <v>0</v>
      </c>
      <c r="Y477" s="352">
        <f t="shared" si="20"/>
        <v>0</v>
      </c>
      <c r="Z477" s="353">
        <f t="shared" si="21"/>
        <v>1</v>
      </c>
      <c r="AA477" s="350">
        <f t="shared" si="110"/>
        <v>9.5824361060124872</v>
      </c>
      <c r="AB477" s="120" t="s">
        <v>471</v>
      </c>
    </row>
    <row r="478" spans="1:28" ht="12.75" customHeight="1">
      <c r="A478" s="120" t="s">
        <v>568</v>
      </c>
      <c r="B478" s="120" t="s">
        <v>1339</v>
      </c>
      <c r="C478" s="343" t="s">
        <v>1340</v>
      </c>
      <c r="D478" s="344"/>
      <c r="E478" s="345" t="str">
        <f t="shared" si="141"/>
        <v/>
      </c>
      <c r="F478" s="121" t="s">
        <v>1121</v>
      </c>
      <c r="G478" s="121"/>
      <c r="H478" s="346">
        <f t="shared" si="140"/>
        <v>744</v>
      </c>
      <c r="I478" s="121">
        <v>20</v>
      </c>
      <c r="J478" s="346">
        <v>744</v>
      </c>
      <c r="K478" s="128">
        <v>14880</v>
      </c>
      <c r="L478" s="150">
        <v>44460</v>
      </c>
      <c r="M478" s="124">
        <f t="shared" si="14"/>
        <v>837.15</v>
      </c>
      <c r="N478" s="155">
        <v>838</v>
      </c>
      <c r="O478" s="347">
        <v>16743</v>
      </c>
      <c r="P478" s="120">
        <v>44467</v>
      </c>
      <c r="Q478" s="348">
        <v>44463</v>
      </c>
      <c r="R478" s="125">
        <v>15.93</v>
      </c>
      <c r="S478" s="125"/>
      <c r="T478" s="127">
        <f>IF(O478="","",O478-K478)</f>
        <v>1863</v>
      </c>
      <c r="U478" s="127" t="str">
        <f t="shared" si="16"/>
        <v>20 SANSERA</v>
      </c>
      <c r="V478" s="127">
        <f t="shared" si="17"/>
        <v>1847.07</v>
      </c>
      <c r="W478" s="350">
        <f>IF(M478=0,"",V478/K478)</f>
        <v>0.12413104838709677</v>
      </c>
      <c r="X478" s="397">
        <f t="shared" si="19"/>
        <v>0</v>
      </c>
      <c r="Y478" s="352">
        <f t="shared" si="20"/>
        <v>0</v>
      </c>
      <c r="Z478" s="353">
        <f t="shared" si="21"/>
        <v>7</v>
      </c>
      <c r="AA478" s="350">
        <f t="shared" si="110"/>
        <v>445.41687918067277</v>
      </c>
      <c r="AB478" s="120" t="s">
        <v>471</v>
      </c>
    </row>
    <row r="479" spans="1:28" ht="12.75" customHeight="1">
      <c r="A479" s="120" t="s">
        <v>606</v>
      </c>
      <c r="B479" s="120"/>
      <c r="C479" s="343"/>
      <c r="D479" s="344">
        <v>1500</v>
      </c>
      <c r="E479" s="345">
        <f t="shared" si="141"/>
        <v>0.1787819253438114</v>
      </c>
      <c r="F479" s="121"/>
      <c r="G479" s="121" t="s">
        <v>1158</v>
      </c>
      <c r="H479" s="346">
        <f t="shared" si="140"/>
        <v>1274</v>
      </c>
      <c r="I479" s="121">
        <v>6</v>
      </c>
      <c r="J479" s="346">
        <v>1272.5</v>
      </c>
      <c r="K479" s="128">
        <v>7644</v>
      </c>
      <c r="L479" s="150">
        <v>44676</v>
      </c>
      <c r="M479" s="124">
        <f t="shared" si="14"/>
        <v>1500</v>
      </c>
      <c r="N479" s="155">
        <v>1500</v>
      </c>
      <c r="O479" s="347">
        <v>9000</v>
      </c>
      <c r="P479" s="120">
        <v>44736</v>
      </c>
      <c r="Q479" s="348">
        <v>44736</v>
      </c>
      <c r="R479" s="125"/>
      <c r="S479" s="125"/>
      <c r="T479" s="127">
        <f>IF(OR(O479="",K479=""),"",O479-K479)</f>
        <v>1356</v>
      </c>
      <c r="U479" s="127" t="str">
        <f t="shared" si="16"/>
        <v>6 SARDAEN</v>
      </c>
      <c r="V479" s="127">
        <f t="shared" si="17"/>
        <v>1356</v>
      </c>
      <c r="W479" s="350">
        <f>IF(OR(K479="",V479=""),"",V479/K479)</f>
        <v>0.17739403453689168</v>
      </c>
      <c r="X479" s="397">
        <f t="shared" si="19"/>
        <v>0</v>
      </c>
      <c r="Y479" s="352">
        <f t="shared" si="20"/>
        <v>1</v>
      </c>
      <c r="Z479" s="353">
        <f t="shared" si="21"/>
        <v>30</v>
      </c>
      <c r="AA479" s="350">
        <f t="shared" si="110"/>
        <v>1.7004810802143813</v>
      </c>
      <c r="AB479" s="120" t="s">
        <v>471</v>
      </c>
    </row>
    <row r="480" spans="1:28" ht="12.75" customHeight="1">
      <c r="A480" s="120" t="s">
        <v>488</v>
      </c>
      <c r="B480" s="120" t="s">
        <v>1341</v>
      </c>
      <c r="C480" s="343" t="s">
        <v>1163</v>
      </c>
      <c r="D480" s="344"/>
      <c r="E480" s="345"/>
      <c r="F480" s="121"/>
      <c r="G480" s="121"/>
      <c r="H480" s="346">
        <f t="shared" si="140"/>
        <v>940.6</v>
      </c>
      <c r="I480" s="121">
        <v>5</v>
      </c>
      <c r="J480" s="346">
        <v>939.5</v>
      </c>
      <c r="K480" s="128">
        <v>4703</v>
      </c>
      <c r="L480" s="150">
        <v>44302</v>
      </c>
      <c r="M480" s="124">
        <f t="shared" si="14"/>
        <v>979</v>
      </c>
      <c r="N480" s="155">
        <v>980</v>
      </c>
      <c r="O480" s="347">
        <v>4895</v>
      </c>
      <c r="P480" s="120">
        <v>44316</v>
      </c>
      <c r="Q480" s="348">
        <v>44314</v>
      </c>
      <c r="R480" s="125">
        <v>15.93</v>
      </c>
      <c r="S480" s="125"/>
      <c r="T480" s="127">
        <f t="shared" ref="T480:T490" si="144">IF(O480="","",O480-K480)</f>
        <v>192</v>
      </c>
      <c r="U480" s="127" t="str">
        <f t="shared" si="16"/>
        <v>5 SBICARD</v>
      </c>
      <c r="V480" s="127">
        <f t="shared" si="17"/>
        <v>176.07</v>
      </c>
      <c r="W480" s="350">
        <f t="shared" ref="W480:W490" si="145">IF(M480=0,"",V480/K480)</f>
        <v>3.7437805655964274E-2</v>
      </c>
      <c r="X480" s="397">
        <f t="shared" si="19"/>
        <v>0</v>
      </c>
      <c r="Y480" s="352">
        <f t="shared" si="20"/>
        <v>0</v>
      </c>
      <c r="Z480" s="353">
        <f t="shared" si="21"/>
        <v>14</v>
      </c>
      <c r="AA480" s="350">
        <f t="shared" si="110"/>
        <v>1.6070776943741336</v>
      </c>
      <c r="AB480" s="120" t="s">
        <v>471</v>
      </c>
    </row>
    <row r="481" spans="1:28" ht="12.75" customHeight="1">
      <c r="A481" s="120" t="s">
        <v>479</v>
      </c>
      <c r="B481" s="120" t="s">
        <v>1018</v>
      </c>
      <c r="C481" s="343" t="s">
        <v>1342</v>
      </c>
      <c r="D481" s="344"/>
      <c r="E481" s="345"/>
      <c r="F481" s="121"/>
      <c r="G481" s="121"/>
      <c r="H481" s="346">
        <f t="shared" si="140"/>
        <v>332.4</v>
      </c>
      <c r="I481" s="121">
        <v>20</v>
      </c>
      <c r="J481" s="346">
        <v>332</v>
      </c>
      <c r="K481" s="128">
        <v>6648</v>
      </c>
      <c r="L481" s="150">
        <v>44298</v>
      </c>
      <c r="M481" s="124">
        <f t="shared" si="14"/>
        <v>341.65</v>
      </c>
      <c r="N481" s="155">
        <v>342</v>
      </c>
      <c r="O481" s="347">
        <v>6833</v>
      </c>
      <c r="P481" s="120">
        <v>44305</v>
      </c>
      <c r="Q481" s="348">
        <v>44301</v>
      </c>
      <c r="R481" s="125">
        <v>15.93</v>
      </c>
      <c r="S481" s="125"/>
      <c r="T481" s="127">
        <f t="shared" si="144"/>
        <v>185</v>
      </c>
      <c r="U481" s="127" t="str">
        <f t="shared" si="16"/>
        <v>20 SBIN</v>
      </c>
      <c r="V481" s="127">
        <f t="shared" si="17"/>
        <v>169.07</v>
      </c>
      <c r="W481" s="350">
        <f t="shared" si="145"/>
        <v>2.5431708784596871E-2</v>
      </c>
      <c r="X481" s="397">
        <f t="shared" si="19"/>
        <v>0</v>
      </c>
      <c r="Y481" s="352">
        <f t="shared" si="20"/>
        <v>0</v>
      </c>
      <c r="Z481" s="353">
        <f t="shared" si="21"/>
        <v>7</v>
      </c>
      <c r="AA481" s="350">
        <f t="shared" si="110"/>
        <v>2.704321975351935</v>
      </c>
      <c r="AB481" s="120" t="s">
        <v>471</v>
      </c>
    </row>
    <row r="482" spans="1:28" ht="12.75" customHeight="1">
      <c r="A482" s="120" t="s">
        <v>479</v>
      </c>
      <c r="B482" s="120" t="s">
        <v>1018</v>
      </c>
      <c r="C482" s="343" t="s">
        <v>1342</v>
      </c>
      <c r="D482" s="344"/>
      <c r="E482" s="345"/>
      <c r="F482" s="121"/>
      <c r="G482" s="121"/>
      <c r="H482" s="346">
        <f t="shared" si="140"/>
        <v>420.62830000000002</v>
      </c>
      <c r="I482" s="121">
        <v>100</v>
      </c>
      <c r="J482" s="346">
        <v>420.13099999999997</v>
      </c>
      <c r="K482" s="128">
        <v>42062.83</v>
      </c>
      <c r="L482" s="150">
        <v>44245</v>
      </c>
      <c r="M482" s="124">
        <f t="shared" si="14"/>
        <v>378.61</v>
      </c>
      <c r="N482" s="155">
        <v>379</v>
      </c>
      <c r="O482" s="347">
        <v>37861</v>
      </c>
      <c r="P482" s="120">
        <v>44335</v>
      </c>
      <c r="Q482" s="348">
        <v>44333</v>
      </c>
      <c r="R482" s="125">
        <v>15.93</v>
      </c>
      <c r="S482" s="125"/>
      <c r="T482" s="127">
        <f t="shared" si="144"/>
        <v>-4201.8300000000017</v>
      </c>
      <c r="U482" s="127" t="str">
        <f t="shared" si="16"/>
        <v>100 SBIN</v>
      </c>
      <c r="V482" s="127">
        <f t="shared" si="17"/>
        <v>-4217.760000000002</v>
      </c>
      <c r="W482" s="350">
        <f t="shared" si="145"/>
        <v>-0.10027285372857703</v>
      </c>
      <c r="X482" s="397">
        <f t="shared" si="19"/>
        <v>0</v>
      </c>
      <c r="Y482" s="352">
        <f t="shared" si="20"/>
        <v>3</v>
      </c>
      <c r="Z482" s="353">
        <f t="shared" si="21"/>
        <v>1</v>
      </c>
      <c r="AA482" s="350">
        <f t="shared" si="110"/>
        <v>-0.34853078569129736</v>
      </c>
      <c r="AB482" s="120" t="s">
        <v>471</v>
      </c>
    </row>
    <row r="483" spans="1:28" ht="12.75" customHeight="1">
      <c r="A483" s="120" t="s">
        <v>479</v>
      </c>
      <c r="B483" s="120" t="s">
        <v>1018</v>
      </c>
      <c r="C483" s="343" t="s">
        <v>1342</v>
      </c>
      <c r="D483" s="344"/>
      <c r="E483" s="345"/>
      <c r="F483" s="121" t="s">
        <v>1107</v>
      </c>
      <c r="G483" s="121"/>
      <c r="H483" s="346">
        <f t="shared" si="140"/>
        <v>427</v>
      </c>
      <c r="I483" s="121">
        <v>10</v>
      </c>
      <c r="J483" s="346">
        <v>426.5</v>
      </c>
      <c r="K483" s="128">
        <v>4270</v>
      </c>
      <c r="L483" s="150">
        <v>44424</v>
      </c>
      <c r="M483" s="124">
        <f t="shared" si="14"/>
        <v>439.9</v>
      </c>
      <c r="N483" s="155">
        <v>440.4</v>
      </c>
      <c r="O483" s="347">
        <v>4399</v>
      </c>
      <c r="P483" s="120">
        <v>44456</v>
      </c>
      <c r="Q483" s="348">
        <v>44454</v>
      </c>
      <c r="R483" s="125">
        <v>15.93</v>
      </c>
      <c r="S483" s="125"/>
      <c r="T483" s="127">
        <f t="shared" si="144"/>
        <v>129</v>
      </c>
      <c r="U483" s="127" t="str">
        <f t="shared" si="16"/>
        <v>10 SBIN</v>
      </c>
      <c r="V483" s="127">
        <f t="shared" si="17"/>
        <v>113.07</v>
      </c>
      <c r="W483" s="350">
        <f t="shared" si="145"/>
        <v>2.6480093676814986E-2</v>
      </c>
      <c r="X483" s="397">
        <f t="shared" si="19"/>
        <v>0</v>
      </c>
      <c r="Y483" s="352">
        <f t="shared" si="20"/>
        <v>1</v>
      </c>
      <c r="Z483" s="353">
        <f t="shared" si="21"/>
        <v>1</v>
      </c>
      <c r="AA483" s="350">
        <f t="shared" si="110"/>
        <v>0.34730834919035591</v>
      </c>
      <c r="AB483" s="120" t="s">
        <v>471</v>
      </c>
    </row>
    <row r="484" spans="1:28" ht="12.75" customHeight="1">
      <c r="A484" s="120" t="s">
        <v>479</v>
      </c>
      <c r="B484" s="120" t="s">
        <v>1018</v>
      </c>
      <c r="C484" s="343" t="s">
        <v>1342</v>
      </c>
      <c r="D484" s="344"/>
      <c r="E484" s="345" t="str">
        <f t="shared" ref="E484:E494" si="146">IFERROR(IF(D484="","",(D484-J484)/J484),"")</f>
        <v/>
      </c>
      <c r="F484" s="121" t="s">
        <v>1107</v>
      </c>
      <c r="G484" s="121"/>
      <c r="H484" s="346">
        <f t="shared" si="140"/>
        <v>451.5333</v>
      </c>
      <c r="I484" s="121">
        <v>15</v>
      </c>
      <c r="J484" s="346">
        <v>451</v>
      </c>
      <c r="K484" s="128">
        <v>6773</v>
      </c>
      <c r="L484" s="150">
        <v>44470</v>
      </c>
      <c r="M484" s="124">
        <f t="shared" si="14"/>
        <v>504.4667</v>
      </c>
      <c r="N484" s="155">
        <v>505</v>
      </c>
      <c r="O484" s="347">
        <v>7567</v>
      </c>
      <c r="P484" s="120">
        <v>44496</v>
      </c>
      <c r="Q484" s="348">
        <v>44494</v>
      </c>
      <c r="R484" s="125">
        <v>15.93</v>
      </c>
      <c r="S484" s="125"/>
      <c r="T484" s="127">
        <f t="shared" si="144"/>
        <v>794</v>
      </c>
      <c r="U484" s="127" t="str">
        <f t="shared" si="16"/>
        <v>15 SBIN</v>
      </c>
      <c r="V484" s="127">
        <f t="shared" si="17"/>
        <v>778.07</v>
      </c>
      <c r="W484" s="350">
        <f t="shared" si="145"/>
        <v>0.11487819282445003</v>
      </c>
      <c r="X484" s="397">
        <f t="shared" si="19"/>
        <v>0</v>
      </c>
      <c r="Y484" s="352">
        <f t="shared" si="20"/>
        <v>0</v>
      </c>
      <c r="Z484" s="353">
        <f t="shared" si="21"/>
        <v>26</v>
      </c>
      <c r="AA484" s="350">
        <f t="shared" si="110"/>
        <v>3.60256922029156</v>
      </c>
      <c r="AB484" s="120" t="s">
        <v>471</v>
      </c>
    </row>
    <row r="485" spans="1:28" ht="12.75" customHeight="1">
      <c r="A485" s="120" t="s">
        <v>479</v>
      </c>
      <c r="B485" s="120" t="s">
        <v>1018</v>
      </c>
      <c r="C485" s="343" t="s">
        <v>1342</v>
      </c>
      <c r="D485" s="344"/>
      <c r="E485" s="345" t="str">
        <f t="shared" si="146"/>
        <v/>
      </c>
      <c r="F485" s="121" t="s">
        <v>1116</v>
      </c>
      <c r="G485" s="121"/>
      <c r="H485" s="346">
        <f t="shared" si="140"/>
        <v>505.6</v>
      </c>
      <c r="I485" s="121">
        <v>10</v>
      </c>
      <c r="J485" s="346">
        <v>505</v>
      </c>
      <c r="K485" s="128">
        <v>5056</v>
      </c>
      <c r="L485" s="150">
        <v>44497</v>
      </c>
      <c r="M485" s="124">
        <f t="shared" si="14"/>
        <v>522</v>
      </c>
      <c r="N485" s="155">
        <v>522.5</v>
      </c>
      <c r="O485" s="347">
        <v>5220</v>
      </c>
      <c r="P485" s="120">
        <v>44508</v>
      </c>
      <c r="Q485" s="348">
        <v>44502</v>
      </c>
      <c r="R485" s="125">
        <v>15.93</v>
      </c>
      <c r="S485" s="125"/>
      <c r="T485" s="127">
        <f t="shared" si="144"/>
        <v>164</v>
      </c>
      <c r="U485" s="127" t="str">
        <f t="shared" si="16"/>
        <v>10 SBIN</v>
      </c>
      <c r="V485" s="127">
        <f t="shared" si="17"/>
        <v>148.07</v>
      </c>
      <c r="W485" s="350">
        <f t="shared" si="145"/>
        <v>2.9285996835443036E-2</v>
      </c>
      <c r="X485" s="397">
        <f t="shared" si="19"/>
        <v>0</v>
      </c>
      <c r="Y485" s="352">
        <f t="shared" si="20"/>
        <v>0</v>
      </c>
      <c r="Z485" s="353">
        <f t="shared" si="21"/>
        <v>11</v>
      </c>
      <c r="AA485" s="350">
        <f t="shared" si="110"/>
        <v>1.6059699779133538</v>
      </c>
      <c r="AB485" s="120" t="s">
        <v>471</v>
      </c>
    </row>
    <row r="486" spans="1:28" ht="12.75" customHeight="1">
      <c r="A486" s="120" t="s">
        <v>479</v>
      </c>
      <c r="B486" s="120" t="s">
        <v>1018</v>
      </c>
      <c r="C486" s="343" t="s">
        <v>1342</v>
      </c>
      <c r="D486" s="344"/>
      <c r="E486" s="345" t="str">
        <f t="shared" si="146"/>
        <v/>
      </c>
      <c r="F486" s="121" t="s">
        <v>1107</v>
      </c>
      <c r="G486" s="121"/>
      <c r="H486" s="346">
        <f t="shared" si="140"/>
        <v>519.6</v>
      </c>
      <c r="I486" s="121">
        <v>15</v>
      </c>
      <c r="J486" s="346">
        <v>519</v>
      </c>
      <c r="K486" s="128">
        <v>7794</v>
      </c>
      <c r="L486" s="150">
        <v>44508</v>
      </c>
      <c r="M486" s="124">
        <f t="shared" si="14"/>
        <v>529.46669999999995</v>
      </c>
      <c r="N486" s="155">
        <v>530</v>
      </c>
      <c r="O486" s="347">
        <v>7942</v>
      </c>
      <c r="P486" s="120">
        <v>44511</v>
      </c>
      <c r="Q486" s="348">
        <v>44509</v>
      </c>
      <c r="R486" s="125">
        <v>15.93</v>
      </c>
      <c r="S486" s="125"/>
      <c r="T486" s="127">
        <f t="shared" si="144"/>
        <v>148</v>
      </c>
      <c r="U486" s="127" t="str">
        <f t="shared" si="16"/>
        <v>15 SBIN</v>
      </c>
      <c r="V486" s="127">
        <f t="shared" si="17"/>
        <v>132.07</v>
      </c>
      <c r="W486" s="350">
        <f t="shared" si="145"/>
        <v>1.6945085963561712E-2</v>
      </c>
      <c r="X486" s="397">
        <f t="shared" si="19"/>
        <v>0</v>
      </c>
      <c r="Y486" s="352">
        <f t="shared" si="20"/>
        <v>0</v>
      </c>
      <c r="Z486" s="353">
        <f t="shared" si="21"/>
        <v>3</v>
      </c>
      <c r="AA486" s="350">
        <f t="shared" si="110"/>
        <v>6.724364390742025</v>
      </c>
      <c r="AB486" s="120" t="s">
        <v>471</v>
      </c>
    </row>
    <row r="487" spans="1:28" ht="12.75" customHeight="1">
      <c r="A487" s="120" t="s">
        <v>479</v>
      </c>
      <c r="B487" s="120" t="s">
        <v>1018</v>
      </c>
      <c r="C487" s="343" t="s">
        <v>1342</v>
      </c>
      <c r="D487" s="344"/>
      <c r="E487" s="345" t="str">
        <f t="shared" si="146"/>
        <v/>
      </c>
      <c r="F487" s="121" t="s">
        <v>1107</v>
      </c>
      <c r="G487" s="121"/>
      <c r="H487" s="346">
        <f t="shared" si="140"/>
        <v>519.6</v>
      </c>
      <c r="I487" s="121">
        <v>25</v>
      </c>
      <c r="J487" s="346">
        <v>519</v>
      </c>
      <c r="K487" s="128">
        <v>12990</v>
      </c>
      <c r="L487" s="150">
        <v>44511</v>
      </c>
      <c r="M487" s="124">
        <f t="shared" si="14"/>
        <v>525.96</v>
      </c>
      <c r="N487" s="155">
        <v>526.5</v>
      </c>
      <c r="O487" s="347">
        <v>13149</v>
      </c>
      <c r="P487" s="120">
        <v>44592</v>
      </c>
      <c r="Q487" s="348">
        <v>44588</v>
      </c>
      <c r="R487" s="125">
        <v>15.93</v>
      </c>
      <c r="S487" s="125"/>
      <c r="T487" s="127">
        <f t="shared" si="144"/>
        <v>159</v>
      </c>
      <c r="U487" s="127" t="str">
        <f t="shared" si="16"/>
        <v>25 SBIN</v>
      </c>
      <c r="V487" s="127">
        <f t="shared" si="17"/>
        <v>143.07</v>
      </c>
      <c r="W487" s="350">
        <f t="shared" si="145"/>
        <v>1.1013856812933025E-2</v>
      </c>
      <c r="X487" s="397">
        <f t="shared" si="19"/>
        <v>0</v>
      </c>
      <c r="Y487" s="352">
        <f t="shared" si="20"/>
        <v>2</v>
      </c>
      <c r="Z487" s="353">
        <f t="shared" si="21"/>
        <v>20</v>
      </c>
      <c r="AA487" s="350">
        <f t="shared" si="110"/>
        <v>5.0597470704260683E-2</v>
      </c>
      <c r="AB487" s="120" t="s">
        <v>471</v>
      </c>
    </row>
    <row r="488" spans="1:28" ht="12.75" customHeight="1">
      <c r="A488" s="120" t="s">
        <v>479</v>
      </c>
      <c r="B488" s="120"/>
      <c r="C488" s="343"/>
      <c r="D488" s="344"/>
      <c r="E488" s="345" t="str">
        <f t="shared" si="146"/>
        <v/>
      </c>
      <c r="F488" s="121"/>
      <c r="G488" s="121"/>
      <c r="H488" s="346">
        <f t="shared" si="140"/>
        <v>434.86</v>
      </c>
      <c r="I488" s="121">
        <v>50</v>
      </c>
      <c r="J488" s="346">
        <v>434.35</v>
      </c>
      <c r="K488" s="128">
        <v>21743</v>
      </c>
      <c r="L488" s="150">
        <v>44628</v>
      </c>
      <c r="M488" s="124">
        <f t="shared" si="14"/>
        <v>499.48</v>
      </c>
      <c r="N488" s="155">
        <v>500</v>
      </c>
      <c r="O488" s="347">
        <v>24974</v>
      </c>
      <c r="P488" s="120">
        <v>44652</v>
      </c>
      <c r="Q488" s="348">
        <v>44650</v>
      </c>
      <c r="R488" s="125">
        <v>15.93</v>
      </c>
      <c r="S488" s="125"/>
      <c r="T488" s="127">
        <f t="shared" si="144"/>
        <v>3231</v>
      </c>
      <c r="U488" s="127" t="str">
        <f t="shared" si="16"/>
        <v>50 SBIN</v>
      </c>
      <c r="V488" s="127">
        <f t="shared" si="17"/>
        <v>3215.07</v>
      </c>
      <c r="W488" s="350">
        <f t="shared" si="145"/>
        <v>0.14786689969185485</v>
      </c>
      <c r="X488" s="397">
        <f t="shared" si="19"/>
        <v>0</v>
      </c>
      <c r="Y488" s="352">
        <f t="shared" si="20"/>
        <v>0</v>
      </c>
      <c r="Z488" s="353">
        <f t="shared" si="21"/>
        <v>24</v>
      </c>
      <c r="AA488" s="350">
        <f t="shared" si="110"/>
        <v>7.1442367786938448</v>
      </c>
      <c r="AB488" s="120" t="s">
        <v>471</v>
      </c>
    </row>
    <row r="489" spans="1:28" ht="12.75" customHeight="1">
      <c r="A489" s="120" t="s">
        <v>479</v>
      </c>
      <c r="B489" s="120"/>
      <c r="C489" s="343"/>
      <c r="D489" s="344"/>
      <c r="E489" s="345" t="str">
        <f t="shared" si="146"/>
        <v/>
      </c>
      <c r="F489" s="121"/>
      <c r="G489" s="121"/>
      <c r="H489" s="346">
        <f t="shared" si="140"/>
        <v>434.88</v>
      </c>
      <c r="I489" s="121">
        <v>25</v>
      </c>
      <c r="J489" s="346">
        <v>434.35</v>
      </c>
      <c r="K489" s="128">
        <v>10872</v>
      </c>
      <c r="L489" s="150">
        <v>44628</v>
      </c>
      <c r="M489" s="124">
        <f t="shared" si="14"/>
        <v>499.48</v>
      </c>
      <c r="N489" s="155">
        <v>500</v>
      </c>
      <c r="O489" s="347">
        <v>12487</v>
      </c>
      <c r="P489" s="120">
        <v>44656</v>
      </c>
      <c r="Q489" s="348">
        <v>44652</v>
      </c>
      <c r="R489" s="125">
        <v>15.93</v>
      </c>
      <c r="S489" s="125"/>
      <c r="T489" s="127">
        <f t="shared" si="144"/>
        <v>1615</v>
      </c>
      <c r="U489" s="127" t="str">
        <f t="shared" si="16"/>
        <v>25 SBIN</v>
      </c>
      <c r="V489" s="127">
        <f t="shared" si="17"/>
        <v>1599.07</v>
      </c>
      <c r="W489" s="350">
        <f t="shared" si="145"/>
        <v>0.14708149374540103</v>
      </c>
      <c r="X489" s="397">
        <f t="shared" si="19"/>
        <v>0</v>
      </c>
      <c r="Y489" s="352">
        <f t="shared" si="20"/>
        <v>0</v>
      </c>
      <c r="Z489" s="353">
        <f t="shared" si="21"/>
        <v>28</v>
      </c>
      <c r="AA489" s="350">
        <f t="shared" si="110"/>
        <v>4.9821034412762941</v>
      </c>
      <c r="AB489" s="120" t="s">
        <v>471</v>
      </c>
    </row>
    <row r="490" spans="1:28" ht="12.75" customHeight="1">
      <c r="A490" s="120" t="s">
        <v>479</v>
      </c>
      <c r="B490" s="120"/>
      <c r="C490" s="343"/>
      <c r="D490" s="344"/>
      <c r="E490" s="345" t="str">
        <f t="shared" si="146"/>
        <v/>
      </c>
      <c r="F490" s="121"/>
      <c r="G490" s="121"/>
      <c r="H490" s="346">
        <f t="shared" si="140"/>
        <v>500.6</v>
      </c>
      <c r="I490" s="121">
        <v>10</v>
      </c>
      <c r="J490" s="346">
        <v>500</v>
      </c>
      <c r="K490" s="128">
        <v>5006</v>
      </c>
      <c r="L490" s="150">
        <v>44615</v>
      </c>
      <c r="M490" s="124">
        <f t="shared" si="14"/>
        <v>499.5</v>
      </c>
      <c r="N490" s="155">
        <v>500</v>
      </c>
      <c r="O490" s="347">
        <v>4995</v>
      </c>
      <c r="P490" s="120">
        <v>44656</v>
      </c>
      <c r="Q490" s="348">
        <v>44652</v>
      </c>
      <c r="R490" s="125">
        <v>0</v>
      </c>
      <c r="S490" s="125"/>
      <c r="T490" s="127">
        <f t="shared" si="144"/>
        <v>-11</v>
      </c>
      <c r="U490" s="127" t="str">
        <f t="shared" si="16"/>
        <v>10 SBIN</v>
      </c>
      <c r="V490" s="127">
        <f t="shared" si="17"/>
        <v>-11</v>
      </c>
      <c r="W490" s="350">
        <f t="shared" si="145"/>
        <v>-2.1973631642029563E-3</v>
      </c>
      <c r="X490" s="397">
        <f t="shared" si="19"/>
        <v>0</v>
      </c>
      <c r="Y490" s="352">
        <f t="shared" si="20"/>
        <v>1</v>
      </c>
      <c r="Z490" s="353">
        <f t="shared" si="21"/>
        <v>13</v>
      </c>
      <c r="AA490" s="350">
        <f t="shared" si="110"/>
        <v>-1.9392905965797347E-2</v>
      </c>
      <c r="AB490" s="120" t="s">
        <v>471</v>
      </c>
    </row>
    <row r="491" spans="1:28" ht="12.75" customHeight="1">
      <c r="A491" s="120" t="s">
        <v>479</v>
      </c>
      <c r="B491" s="120"/>
      <c r="C491" s="343"/>
      <c r="D491" s="344"/>
      <c r="E491" s="345" t="str">
        <f t="shared" si="146"/>
        <v/>
      </c>
      <c r="F491" s="121"/>
      <c r="G491" s="121"/>
      <c r="H491" s="346">
        <f t="shared" si="140"/>
        <v>504.6</v>
      </c>
      <c r="I491" s="121">
        <v>25</v>
      </c>
      <c r="J491" s="346">
        <v>504</v>
      </c>
      <c r="K491" s="128">
        <v>12615</v>
      </c>
      <c r="L491" s="150">
        <v>44673</v>
      </c>
      <c r="M491" s="124">
        <f t="shared" si="14"/>
        <v>522.44000000000005</v>
      </c>
      <c r="N491" s="155">
        <v>523</v>
      </c>
      <c r="O491" s="347">
        <v>13061</v>
      </c>
      <c r="P491" s="120">
        <v>44771</v>
      </c>
      <c r="Q491" s="348">
        <v>44769</v>
      </c>
      <c r="R491" s="125">
        <v>15.93</v>
      </c>
      <c r="S491" s="125"/>
      <c r="T491" s="127">
        <f t="shared" ref="T491:T492" si="147">IF(OR(O491="",K491=""),"",O491-K491)</f>
        <v>446</v>
      </c>
      <c r="U491" s="127" t="str">
        <f t="shared" si="16"/>
        <v>25 SBIN</v>
      </c>
      <c r="V491" s="127">
        <f t="shared" si="17"/>
        <v>430.07</v>
      </c>
      <c r="W491" s="350">
        <f t="shared" ref="W491:W492" si="148">IF(OR(K491="",V491=""),"",V491/K491)</f>
        <v>3.4091954022988508E-2</v>
      </c>
      <c r="X491" s="397">
        <f t="shared" si="19"/>
        <v>0</v>
      </c>
      <c r="Y491" s="352">
        <f t="shared" si="20"/>
        <v>3</v>
      </c>
      <c r="Z491" s="353">
        <f t="shared" si="21"/>
        <v>7</v>
      </c>
      <c r="AA491" s="350">
        <f t="shared" si="110"/>
        <v>0.13298833686553024</v>
      </c>
      <c r="AB491" s="120" t="s">
        <v>471</v>
      </c>
    </row>
    <row r="492" spans="1:28" ht="12.75" customHeight="1">
      <c r="A492" s="120" t="s">
        <v>479</v>
      </c>
      <c r="B492" s="120"/>
      <c r="C492" s="343"/>
      <c r="D492" s="344"/>
      <c r="E492" s="345" t="str">
        <f t="shared" si="146"/>
        <v/>
      </c>
      <c r="F492" s="121"/>
      <c r="G492" s="121"/>
      <c r="H492" s="346">
        <f t="shared" si="140"/>
        <v>504.6</v>
      </c>
      <c r="I492" s="121">
        <v>25</v>
      </c>
      <c r="J492" s="346">
        <v>504</v>
      </c>
      <c r="K492" s="128">
        <v>12615</v>
      </c>
      <c r="L492" s="150">
        <v>44673</v>
      </c>
      <c r="M492" s="124">
        <f t="shared" si="14"/>
        <v>541.44000000000005</v>
      </c>
      <c r="N492" s="155">
        <v>542</v>
      </c>
      <c r="O492" s="347">
        <v>13536</v>
      </c>
      <c r="P492" s="120">
        <v>44777</v>
      </c>
      <c r="Q492" s="348">
        <v>44775</v>
      </c>
      <c r="R492" s="125">
        <v>15.93</v>
      </c>
      <c r="S492" s="125"/>
      <c r="T492" s="127">
        <f t="shared" si="147"/>
        <v>921</v>
      </c>
      <c r="U492" s="127" t="str">
        <f t="shared" si="16"/>
        <v>25 SBIN</v>
      </c>
      <c r="V492" s="127">
        <f t="shared" si="17"/>
        <v>905.07</v>
      </c>
      <c r="W492" s="350">
        <f t="shared" si="148"/>
        <v>7.174554102259216E-2</v>
      </c>
      <c r="X492" s="397">
        <f t="shared" si="19"/>
        <v>0</v>
      </c>
      <c r="Y492" s="352">
        <f t="shared" si="20"/>
        <v>3</v>
      </c>
      <c r="Z492" s="353">
        <f t="shared" si="21"/>
        <v>13</v>
      </c>
      <c r="AA492" s="350">
        <f t="shared" si="110"/>
        <v>0.27529378063688981</v>
      </c>
      <c r="AB492" s="120" t="s">
        <v>471</v>
      </c>
    </row>
    <row r="493" spans="1:28" ht="12.75" customHeight="1">
      <c r="A493" s="120" t="s">
        <v>518</v>
      </c>
      <c r="B493" s="120" t="s">
        <v>1343</v>
      </c>
      <c r="C493" s="343" t="s">
        <v>1163</v>
      </c>
      <c r="D493" s="344" t="s">
        <v>1156</v>
      </c>
      <c r="E493" s="345">
        <f t="shared" si="146"/>
        <v>0.2</v>
      </c>
      <c r="F493" s="121" t="s">
        <v>1124</v>
      </c>
      <c r="G493" s="121" t="s">
        <v>1125</v>
      </c>
      <c r="H493" s="346">
        <f t="shared" si="140"/>
        <v>125.15</v>
      </c>
      <c r="I493" s="121">
        <v>100</v>
      </c>
      <c r="J493" s="346">
        <v>125</v>
      </c>
      <c r="K493" s="128">
        <v>12515</v>
      </c>
      <c r="L493" s="150">
        <v>44348</v>
      </c>
      <c r="M493" s="124">
        <f t="shared" si="14"/>
        <v>134.56</v>
      </c>
      <c r="N493" s="155">
        <v>134.69999999999999</v>
      </c>
      <c r="O493" s="347">
        <v>13456</v>
      </c>
      <c r="P493" s="120">
        <v>44358</v>
      </c>
      <c r="Q493" s="348">
        <v>44356</v>
      </c>
      <c r="R493" s="125">
        <v>15.93</v>
      </c>
      <c r="S493" s="125"/>
      <c r="T493" s="127">
        <f t="shared" ref="T493:T504" si="149">IF(O493="","",O493-K493)</f>
        <v>941</v>
      </c>
      <c r="U493" s="127" t="str">
        <f t="shared" si="16"/>
        <v>100 SCHNEIDER</v>
      </c>
      <c r="V493" s="127">
        <f t="shared" si="17"/>
        <v>925.07</v>
      </c>
      <c r="W493" s="350">
        <f t="shared" ref="W493:W504" si="150">IF(M493=0,"",V493/K493)</f>
        <v>7.3916899720335605E-2</v>
      </c>
      <c r="X493" s="397">
        <f t="shared" si="19"/>
        <v>0</v>
      </c>
      <c r="Y493" s="352">
        <f t="shared" si="20"/>
        <v>0</v>
      </c>
      <c r="Z493" s="353">
        <f t="shared" si="21"/>
        <v>10</v>
      </c>
      <c r="AA493" s="350">
        <f t="shared" si="110"/>
        <v>12.502982357044511</v>
      </c>
      <c r="AB493" s="120" t="s">
        <v>471</v>
      </c>
    </row>
    <row r="494" spans="1:28" ht="12.75" customHeight="1">
      <c r="A494" s="121" t="s">
        <v>595</v>
      </c>
      <c r="B494" s="120" t="s">
        <v>1112</v>
      </c>
      <c r="C494" s="343" t="s">
        <v>1113</v>
      </c>
      <c r="D494" s="344"/>
      <c r="E494" s="345" t="str">
        <f t="shared" si="146"/>
        <v/>
      </c>
      <c r="F494" s="121" t="s">
        <v>1107</v>
      </c>
      <c r="G494" s="121"/>
      <c r="H494" s="346">
        <f t="shared" si="140"/>
        <v>45.063299999999998</v>
      </c>
      <c r="I494" s="121">
        <v>1500</v>
      </c>
      <c r="J494" s="346">
        <v>45.01</v>
      </c>
      <c r="K494" s="128">
        <v>67595</v>
      </c>
      <c r="L494" s="150">
        <v>44616</v>
      </c>
      <c r="M494" s="124">
        <f t="shared" si="14"/>
        <v>45.578000000000003</v>
      </c>
      <c r="N494" s="155">
        <v>45.58</v>
      </c>
      <c r="O494" s="347">
        <v>68367</v>
      </c>
      <c r="P494" s="120">
        <v>44620</v>
      </c>
      <c r="Q494" s="348">
        <v>44616</v>
      </c>
      <c r="R494" s="125">
        <v>15.93</v>
      </c>
      <c r="S494" s="125"/>
      <c r="T494" s="127">
        <f t="shared" si="149"/>
        <v>772</v>
      </c>
      <c r="U494" s="127" t="str">
        <f t="shared" si="16"/>
        <v>1500 SETFGOLD</v>
      </c>
      <c r="V494" s="127">
        <f t="shared" si="17"/>
        <v>756.07</v>
      </c>
      <c r="W494" s="350">
        <f t="shared" si="150"/>
        <v>1.118529477032325E-2</v>
      </c>
      <c r="X494" s="397">
        <f t="shared" si="19"/>
        <v>0</v>
      </c>
      <c r="Y494" s="352">
        <f t="shared" si="20"/>
        <v>0</v>
      </c>
      <c r="Z494" s="353">
        <f t="shared" si="21"/>
        <v>4</v>
      </c>
      <c r="AA494" s="350">
        <f t="shared" si="110"/>
        <v>1.7593418134010599</v>
      </c>
      <c r="AB494" s="120" t="s">
        <v>448</v>
      </c>
    </row>
    <row r="495" spans="1:28" ht="12.75" customHeight="1">
      <c r="A495" s="121" t="s">
        <v>595</v>
      </c>
      <c r="B495" s="120" t="s">
        <v>1112</v>
      </c>
      <c r="C495" s="343" t="s">
        <v>1113</v>
      </c>
      <c r="D495" s="344"/>
      <c r="E495" s="345" t="s">
        <v>131</v>
      </c>
      <c r="F495" s="121" t="s">
        <v>1107</v>
      </c>
      <c r="G495" s="121"/>
      <c r="H495" s="346">
        <v>41.857500000000002</v>
      </c>
      <c r="I495" s="121">
        <v>1500</v>
      </c>
      <c r="J495" s="346">
        <v>45.4833</v>
      </c>
      <c r="K495" s="128">
        <v>68237</v>
      </c>
      <c r="L495" s="150">
        <v>44630</v>
      </c>
      <c r="M495" s="124">
        <f t="shared" si="14"/>
        <v>46.8187</v>
      </c>
      <c r="N495" s="155">
        <v>46.82</v>
      </c>
      <c r="O495" s="347">
        <v>70228</v>
      </c>
      <c r="P495" s="120">
        <v>44629</v>
      </c>
      <c r="Q495" s="348">
        <v>44627</v>
      </c>
      <c r="R495" s="125">
        <v>15.93</v>
      </c>
      <c r="S495" s="125"/>
      <c r="T495" s="127">
        <f t="shared" si="149"/>
        <v>1991</v>
      </c>
      <c r="U495" s="127" t="str">
        <f t="shared" si="16"/>
        <v>1500 SETFGOLD</v>
      </c>
      <c r="V495" s="127">
        <f t="shared" si="17"/>
        <v>1975.07</v>
      </c>
      <c r="W495" s="350">
        <f t="shared" si="150"/>
        <v>2.8944267772616029E-2</v>
      </c>
      <c r="X495" s="397" t="e">
        <f t="shared" si="19"/>
        <v>#NUM!</v>
      </c>
      <c r="Y495" s="352" t="e">
        <f t="shared" si="20"/>
        <v>#NUM!</v>
      </c>
      <c r="Z495" s="353" t="e">
        <f t="shared" si="21"/>
        <v>#NUM!</v>
      </c>
      <c r="AA495" s="350">
        <f t="shared" si="110"/>
        <v>-0.99997001017056164</v>
      </c>
      <c r="AB495" s="120" t="s">
        <v>448</v>
      </c>
    </row>
    <row r="496" spans="1:28" ht="12.75" customHeight="1">
      <c r="A496" s="121" t="s">
        <v>595</v>
      </c>
      <c r="B496" s="120" t="s">
        <v>1112</v>
      </c>
      <c r="C496" s="343" t="s">
        <v>1113</v>
      </c>
      <c r="D496" s="344"/>
      <c r="E496" s="345" t="str">
        <f t="shared" ref="E496:E505" si="151">IFERROR(IF(D496="","",(D496-J496)/J496),"")</f>
        <v/>
      </c>
      <c r="F496" s="121" t="s">
        <v>1107</v>
      </c>
      <c r="G496" s="121"/>
      <c r="H496" s="346">
        <f t="shared" ref="H496:H505" si="152">ROUND(K496/I496,4)</f>
        <v>46</v>
      </c>
      <c r="I496" s="121">
        <v>1</v>
      </c>
      <c r="J496" s="346">
        <v>46.35</v>
      </c>
      <c r="K496" s="128">
        <v>46</v>
      </c>
      <c r="L496" s="150">
        <v>44629</v>
      </c>
      <c r="M496" s="124">
        <f t="shared" si="14"/>
        <v>46</v>
      </c>
      <c r="N496" s="155">
        <v>46.280799999999999</v>
      </c>
      <c r="O496" s="347">
        <v>46</v>
      </c>
      <c r="P496" s="120">
        <v>44664</v>
      </c>
      <c r="Q496" s="348">
        <v>44662</v>
      </c>
      <c r="R496" s="125">
        <v>0</v>
      </c>
      <c r="S496" s="125"/>
      <c r="T496" s="127">
        <f t="shared" si="149"/>
        <v>0</v>
      </c>
      <c r="U496" s="127" t="str">
        <f t="shared" si="16"/>
        <v>1 SETFGOLD</v>
      </c>
      <c r="V496" s="127">
        <f t="shared" si="17"/>
        <v>0</v>
      </c>
      <c r="W496" s="350">
        <f t="shared" si="150"/>
        <v>0</v>
      </c>
      <c r="X496" s="397">
        <f t="shared" si="19"/>
        <v>0</v>
      </c>
      <c r="Y496" s="352">
        <f t="shared" si="20"/>
        <v>1</v>
      </c>
      <c r="Z496" s="353">
        <f t="shared" si="21"/>
        <v>4</v>
      </c>
      <c r="AA496" s="350">
        <f t="shared" si="110"/>
        <v>0</v>
      </c>
      <c r="AB496" s="120" t="s">
        <v>448</v>
      </c>
    </row>
    <row r="497" spans="1:28" ht="12.75" customHeight="1">
      <c r="A497" s="121" t="s">
        <v>595</v>
      </c>
      <c r="B497" s="120" t="s">
        <v>1112</v>
      </c>
      <c r="C497" s="343" t="s">
        <v>1113</v>
      </c>
      <c r="D497" s="344"/>
      <c r="E497" s="345" t="str">
        <f t="shared" si="151"/>
        <v/>
      </c>
      <c r="F497" s="121" t="s">
        <v>1107</v>
      </c>
      <c r="G497" s="121"/>
      <c r="H497" s="346">
        <f t="shared" si="152"/>
        <v>39.717500000000001</v>
      </c>
      <c r="I497" s="121">
        <v>400</v>
      </c>
      <c r="J497" s="346">
        <v>39.71</v>
      </c>
      <c r="K497" s="128">
        <v>15887</v>
      </c>
      <c r="L497" s="150">
        <v>44260</v>
      </c>
      <c r="M497" s="124">
        <f t="shared" si="14"/>
        <v>46.28</v>
      </c>
      <c r="N497" s="155">
        <v>46.280799999999999</v>
      </c>
      <c r="O497" s="347">
        <v>18512</v>
      </c>
      <c r="P497" s="120">
        <v>44664</v>
      </c>
      <c r="Q497" s="348">
        <v>44662</v>
      </c>
      <c r="R497" s="125">
        <v>15.93</v>
      </c>
      <c r="S497" s="125"/>
      <c r="T497" s="127">
        <f t="shared" si="149"/>
        <v>2625</v>
      </c>
      <c r="U497" s="127" t="str">
        <f t="shared" si="16"/>
        <v>400 SETFGOLD</v>
      </c>
      <c r="V497" s="127">
        <f t="shared" si="17"/>
        <v>2609.0700000000002</v>
      </c>
      <c r="W497" s="350">
        <f t="shared" si="150"/>
        <v>0.16422672625417009</v>
      </c>
      <c r="X497" s="397">
        <f t="shared" si="19"/>
        <v>1</v>
      </c>
      <c r="Y497" s="352">
        <f t="shared" si="20"/>
        <v>1</v>
      </c>
      <c r="Z497" s="353">
        <f t="shared" si="21"/>
        <v>8</v>
      </c>
      <c r="AA497" s="350">
        <f t="shared" si="110"/>
        <v>0.14726211204892237</v>
      </c>
      <c r="AB497" s="120" t="s">
        <v>448</v>
      </c>
    </row>
    <row r="498" spans="1:28" ht="12.75" customHeight="1">
      <c r="A498" s="121" t="s">
        <v>595</v>
      </c>
      <c r="B498" s="120" t="s">
        <v>1112</v>
      </c>
      <c r="C498" s="343" t="s">
        <v>1113</v>
      </c>
      <c r="D498" s="344"/>
      <c r="E498" s="345" t="str">
        <f t="shared" si="151"/>
        <v/>
      </c>
      <c r="F498" s="121" t="s">
        <v>1107</v>
      </c>
      <c r="G498" s="121"/>
      <c r="H498" s="346">
        <f t="shared" si="152"/>
        <v>41.957500000000003</v>
      </c>
      <c r="I498" s="121">
        <v>1600</v>
      </c>
      <c r="J498" s="346">
        <v>41.95</v>
      </c>
      <c r="K498" s="128">
        <v>67132</v>
      </c>
      <c r="L498" s="150">
        <v>44368</v>
      </c>
      <c r="M498" s="124">
        <f t="shared" si="14"/>
        <v>46.278799999999997</v>
      </c>
      <c r="N498" s="155">
        <v>46.280799999999999</v>
      </c>
      <c r="O498" s="347">
        <v>74046</v>
      </c>
      <c r="P498" s="120">
        <v>44664</v>
      </c>
      <c r="Q498" s="348">
        <v>44662</v>
      </c>
      <c r="R498" s="125">
        <v>0</v>
      </c>
      <c r="S498" s="125"/>
      <c r="T498" s="127">
        <f t="shared" si="149"/>
        <v>6914</v>
      </c>
      <c r="U498" s="127" t="str">
        <f t="shared" si="16"/>
        <v>1600 SETFGOLD</v>
      </c>
      <c r="V498" s="127">
        <f t="shared" si="17"/>
        <v>6914</v>
      </c>
      <c r="W498" s="350">
        <f t="shared" si="150"/>
        <v>0.10299112196865876</v>
      </c>
      <c r="X498" s="397">
        <f t="shared" si="19"/>
        <v>0</v>
      </c>
      <c r="Y498" s="352">
        <f t="shared" si="20"/>
        <v>9</v>
      </c>
      <c r="Z498" s="353">
        <f t="shared" si="21"/>
        <v>23</v>
      </c>
      <c r="AA498" s="350">
        <f t="shared" si="110"/>
        <v>0.12848528153512206</v>
      </c>
      <c r="AB498" s="120" t="s">
        <v>448</v>
      </c>
    </row>
    <row r="499" spans="1:28" ht="12.75" customHeight="1">
      <c r="A499" s="121" t="s">
        <v>595</v>
      </c>
      <c r="B499" s="120" t="s">
        <v>1112</v>
      </c>
      <c r="C499" s="343" t="s">
        <v>1113</v>
      </c>
      <c r="D499" s="344"/>
      <c r="E499" s="345" t="str">
        <f t="shared" si="151"/>
        <v/>
      </c>
      <c r="F499" s="121" t="s">
        <v>1107</v>
      </c>
      <c r="G499" s="121"/>
      <c r="H499" s="346">
        <f t="shared" si="152"/>
        <v>42.107999999999997</v>
      </c>
      <c r="I499" s="121">
        <v>500</v>
      </c>
      <c r="J499" s="346">
        <v>42.1</v>
      </c>
      <c r="K499" s="128">
        <v>21054</v>
      </c>
      <c r="L499" s="150">
        <v>44433</v>
      </c>
      <c r="M499" s="124">
        <f t="shared" si="14"/>
        <v>46.28</v>
      </c>
      <c r="N499" s="155">
        <v>46.280799999999999</v>
      </c>
      <c r="O499" s="347">
        <v>23140</v>
      </c>
      <c r="P499" s="120">
        <v>44664</v>
      </c>
      <c r="Q499" s="348">
        <v>44662</v>
      </c>
      <c r="R499" s="125">
        <v>0</v>
      </c>
      <c r="S499" s="125"/>
      <c r="T499" s="127">
        <f t="shared" si="149"/>
        <v>2086</v>
      </c>
      <c r="U499" s="127" t="str">
        <f t="shared" si="16"/>
        <v>500 SETFGOLD</v>
      </c>
      <c r="V499" s="349">
        <f t="shared" si="17"/>
        <v>2086</v>
      </c>
      <c r="W499" s="350">
        <f t="shared" si="150"/>
        <v>9.9078559893606921E-2</v>
      </c>
      <c r="X499" s="351">
        <f t="shared" si="19"/>
        <v>0</v>
      </c>
      <c r="Y499" s="352">
        <f t="shared" si="20"/>
        <v>7</v>
      </c>
      <c r="Z499" s="353">
        <f t="shared" si="21"/>
        <v>19</v>
      </c>
      <c r="AA499" s="350">
        <f t="shared" si="110"/>
        <v>0.1609912728784566</v>
      </c>
      <c r="AB499" s="120" t="s">
        <v>448</v>
      </c>
    </row>
    <row r="500" spans="1:28" ht="12.75" customHeight="1">
      <c r="A500" s="121" t="s">
        <v>595</v>
      </c>
      <c r="B500" s="120" t="s">
        <v>1112</v>
      </c>
      <c r="C500" s="343" t="s">
        <v>1113</v>
      </c>
      <c r="D500" s="344"/>
      <c r="E500" s="345" t="str">
        <f t="shared" si="151"/>
        <v/>
      </c>
      <c r="F500" s="121" t="s">
        <v>1107</v>
      </c>
      <c r="G500" s="121"/>
      <c r="H500" s="346">
        <f t="shared" si="152"/>
        <v>41.857500000000002</v>
      </c>
      <c r="I500" s="121">
        <v>400</v>
      </c>
      <c r="J500" s="346">
        <v>41.85</v>
      </c>
      <c r="K500" s="128">
        <v>16743</v>
      </c>
      <c r="L500" s="150">
        <v>44434</v>
      </c>
      <c r="M500" s="124">
        <f t="shared" si="14"/>
        <v>45.717500000000001</v>
      </c>
      <c r="N500" s="155">
        <v>45.72</v>
      </c>
      <c r="O500" s="347">
        <v>18287</v>
      </c>
      <c r="P500" s="120">
        <v>44692</v>
      </c>
      <c r="Q500" s="348">
        <v>44690</v>
      </c>
      <c r="R500" s="125">
        <v>15.93</v>
      </c>
      <c r="S500" s="125"/>
      <c r="T500" s="127">
        <f t="shared" si="149"/>
        <v>1544</v>
      </c>
      <c r="U500" s="127" t="str">
        <f t="shared" si="16"/>
        <v>400 SETFGOLD</v>
      </c>
      <c r="V500" s="349">
        <f t="shared" si="17"/>
        <v>1528.07</v>
      </c>
      <c r="W500" s="350">
        <f t="shared" si="150"/>
        <v>9.1266200800334471E-2</v>
      </c>
      <c r="X500" s="351">
        <f t="shared" si="19"/>
        <v>0</v>
      </c>
      <c r="Y500" s="352">
        <f t="shared" si="20"/>
        <v>8</v>
      </c>
      <c r="Z500" s="353">
        <f t="shared" si="21"/>
        <v>15</v>
      </c>
      <c r="AA500" s="350">
        <f t="shared" si="110"/>
        <v>0.13151849033131757</v>
      </c>
      <c r="AB500" s="120" t="s">
        <v>448</v>
      </c>
    </row>
    <row r="501" spans="1:28" ht="12.75" customHeight="1">
      <c r="A501" s="120" t="s">
        <v>512</v>
      </c>
      <c r="B501" s="120" t="s">
        <v>1344</v>
      </c>
      <c r="C501" s="343" t="s">
        <v>1345</v>
      </c>
      <c r="D501" s="344">
        <v>150</v>
      </c>
      <c r="E501" s="345">
        <f t="shared" si="151"/>
        <v>0.28205128205128205</v>
      </c>
      <c r="F501" s="121" t="s">
        <v>1124</v>
      </c>
      <c r="G501" s="121" t="s">
        <v>1125</v>
      </c>
      <c r="H501" s="346">
        <f t="shared" si="152"/>
        <v>117.14</v>
      </c>
      <c r="I501" s="121">
        <v>100</v>
      </c>
      <c r="J501" s="346">
        <v>117</v>
      </c>
      <c r="K501" s="128">
        <v>11714</v>
      </c>
      <c r="L501" s="150">
        <v>44342</v>
      </c>
      <c r="M501" s="124">
        <f t="shared" si="14"/>
        <v>110.89</v>
      </c>
      <c r="N501" s="155">
        <v>111</v>
      </c>
      <c r="O501" s="347">
        <v>11089</v>
      </c>
      <c r="P501" s="120">
        <v>44559</v>
      </c>
      <c r="Q501" s="348">
        <v>44557</v>
      </c>
      <c r="R501" s="125">
        <v>15.93</v>
      </c>
      <c r="S501" s="125"/>
      <c r="T501" s="127">
        <f t="shared" si="149"/>
        <v>-625</v>
      </c>
      <c r="U501" s="127" t="str">
        <f t="shared" si="16"/>
        <v>100 SHALPAINTS</v>
      </c>
      <c r="V501" s="349">
        <f t="shared" si="17"/>
        <v>-640.92999999999995</v>
      </c>
      <c r="W501" s="350">
        <f t="shared" si="150"/>
        <v>-5.4714871094416931E-2</v>
      </c>
      <c r="X501" s="351">
        <f t="shared" si="19"/>
        <v>0</v>
      </c>
      <c r="Y501" s="352">
        <f t="shared" si="20"/>
        <v>7</v>
      </c>
      <c r="Z501" s="353">
        <f t="shared" si="21"/>
        <v>3</v>
      </c>
      <c r="AA501" s="350">
        <f t="shared" si="110"/>
        <v>-9.0304603190914712E-2</v>
      </c>
      <c r="AB501" s="120" t="s">
        <v>471</v>
      </c>
    </row>
    <row r="502" spans="1:28" ht="12.75" customHeight="1">
      <c r="A502" s="120" t="s">
        <v>512</v>
      </c>
      <c r="B502" s="120" t="s">
        <v>1344</v>
      </c>
      <c r="C502" s="343" t="s">
        <v>1345</v>
      </c>
      <c r="D502" s="344">
        <v>150</v>
      </c>
      <c r="E502" s="345">
        <f t="shared" si="151"/>
        <v>0.32743362831858408</v>
      </c>
      <c r="F502" s="121" t="s">
        <v>1124</v>
      </c>
      <c r="G502" s="121" t="s">
        <v>1125</v>
      </c>
      <c r="H502" s="346">
        <f t="shared" si="152"/>
        <v>113.13</v>
      </c>
      <c r="I502" s="121">
        <v>100</v>
      </c>
      <c r="J502" s="346">
        <v>113</v>
      </c>
      <c r="K502" s="128">
        <v>11313</v>
      </c>
      <c r="L502" s="150">
        <v>44558</v>
      </c>
      <c r="M502" s="124">
        <f t="shared" si="14"/>
        <v>114.38</v>
      </c>
      <c r="N502" s="155">
        <v>114.5</v>
      </c>
      <c r="O502" s="347">
        <v>11438</v>
      </c>
      <c r="P502" s="120">
        <v>44565</v>
      </c>
      <c r="Q502" s="348">
        <v>44561</v>
      </c>
      <c r="R502" s="125">
        <v>15.93</v>
      </c>
      <c r="S502" s="125"/>
      <c r="T502" s="127">
        <f t="shared" si="149"/>
        <v>125</v>
      </c>
      <c r="U502" s="127" t="str">
        <f t="shared" si="16"/>
        <v>100 SHALPAINTS</v>
      </c>
      <c r="V502" s="349">
        <f t="shared" si="17"/>
        <v>109.07</v>
      </c>
      <c r="W502" s="350">
        <f t="shared" si="150"/>
        <v>9.6411208344382559E-3</v>
      </c>
      <c r="X502" s="351">
        <f t="shared" si="19"/>
        <v>0</v>
      </c>
      <c r="Y502" s="352">
        <f t="shared" si="20"/>
        <v>0</v>
      </c>
      <c r="Z502" s="353">
        <f t="shared" si="21"/>
        <v>7</v>
      </c>
      <c r="AA502" s="350">
        <f t="shared" si="110"/>
        <v>0.64922862689945338</v>
      </c>
      <c r="AB502" s="120" t="s">
        <v>471</v>
      </c>
    </row>
    <row r="503" spans="1:28" ht="12.75" customHeight="1">
      <c r="A503" s="120" t="s">
        <v>512</v>
      </c>
      <c r="B503" s="120" t="s">
        <v>1344</v>
      </c>
      <c r="C503" s="343" t="s">
        <v>1345</v>
      </c>
      <c r="D503" s="344">
        <v>150</v>
      </c>
      <c r="E503" s="345">
        <f t="shared" si="151"/>
        <v>0.37614678899082571</v>
      </c>
      <c r="F503" s="121" t="s">
        <v>1124</v>
      </c>
      <c r="G503" s="121" t="s">
        <v>1125</v>
      </c>
      <c r="H503" s="346">
        <f t="shared" si="152"/>
        <v>109.13</v>
      </c>
      <c r="I503" s="121">
        <v>100</v>
      </c>
      <c r="J503" s="346">
        <v>109</v>
      </c>
      <c r="K503" s="128">
        <v>10913</v>
      </c>
      <c r="L503" s="150">
        <v>44560</v>
      </c>
      <c r="M503" s="124">
        <f t="shared" si="14"/>
        <v>111.84</v>
      </c>
      <c r="N503" s="155">
        <v>111.95</v>
      </c>
      <c r="O503" s="347">
        <v>11184</v>
      </c>
      <c r="P503" s="120">
        <v>44565</v>
      </c>
      <c r="Q503" s="348">
        <v>44561</v>
      </c>
      <c r="R503" s="125">
        <v>15.93</v>
      </c>
      <c r="S503" s="125"/>
      <c r="T503" s="127">
        <f t="shared" si="149"/>
        <v>271</v>
      </c>
      <c r="U503" s="127" t="str">
        <f t="shared" si="16"/>
        <v>100 SHALPAINTS</v>
      </c>
      <c r="V503" s="349">
        <f t="shared" si="17"/>
        <v>255.07</v>
      </c>
      <c r="W503" s="350">
        <f t="shared" si="150"/>
        <v>2.3373041326857875E-2</v>
      </c>
      <c r="X503" s="351">
        <f t="shared" si="19"/>
        <v>0</v>
      </c>
      <c r="Y503" s="352">
        <f t="shared" si="20"/>
        <v>0</v>
      </c>
      <c r="Z503" s="353">
        <f t="shared" si="21"/>
        <v>5</v>
      </c>
      <c r="AA503" s="350">
        <f t="shared" si="110"/>
        <v>4.4010720345006087</v>
      </c>
      <c r="AB503" s="120" t="s">
        <v>471</v>
      </c>
    </row>
    <row r="504" spans="1:28" ht="12.75" customHeight="1">
      <c r="A504" s="120" t="s">
        <v>538</v>
      </c>
      <c r="B504" s="120" t="s">
        <v>1346</v>
      </c>
      <c r="C504" s="343" t="s">
        <v>1163</v>
      </c>
      <c r="D504" s="344"/>
      <c r="E504" s="345" t="str">
        <f t="shared" si="151"/>
        <v/>
      </c>
      <c r="F504" s="121" t="s">
        <v>1121</v>
      </c>
      <c r="G504" s="121"/>
      <c r="H504" s="346">
        <f t="shared" si="152"/>
        <v>306</v>
      </c>
      <c r="I504" s="121">
        <v>45</v>
      </c>
      <c r="J504" s="346">
        <v>306</v>
      </c>
      <c r="K504" s="128">
        <v>13770</v>
      </c>
      <c r="L504" s="150">
        <v>44369</v>
      </c>
      <c r="M504" s="124">
        <f t="shared" si="14"/>
        <v>382.6</v>
      </c>
      <c r="N504" s="155">
        <v>383</v>
      </c>
      <c r="O504" s="347">
        <v>17217</v>
      </c>
      <c r="P504" s="120">
        <v>44377</v>
      </c>
      <c r="Q504" s="348">
        <v>44375</v>
      </c>
      <c r="R504" s="125">
        <v>15.93</v>
      </c>
      <c r="S504" s="125"/>
      <c r="T504" s="127">
        <f t="shared" si="149"/>
        <v>3447</v>
      </c>
      <c r="U504" s="127" t="str">
        <f t="shared" si="16"/>
        <v>45 SHYMMETAL</v>
      </c>
      <c r="V504" s="349">
        <f t="shared" si="17"/>
        <v>3431.07</v>
      </c>
      <c r="W504" s="350">
        <f t="shared" si="150"/>
        <v>0.24916993464052289</v>
      </c>
      <c r="X504" s="351">
        <f t="shared" si="19"/>
        <v>0</v>
      </c>
      <c r="Y504" s="352">
        <f t="shared" si="20"/>
        <v>0</v>
      </c>
      <c r="Z504" s="353">
        <f t="shared" si="21"/>
        <v>8</v>
      </c>
      <c r="AA504" s="350">
        <f t="shared" si="110"/>
        <v>25605.898814645738</v>
      </c>
      <c r="AB504" s="120" t="s">
        <v>471</v>
      </c>
    </row>
    <row r="505" spans="1:28" ht="12.75" customHeight="1">
      <c r="A505" s="120" t="s">
        <v>543</v>
      </c>
      <c r="B505" s="120" t="s">
        <v>1347</v>
      </c>
      <c r="C505" s="343" t="s">
        <v>1136</v>
      </c>
      <c r="D505" s="344" t="s">
        <v>1278</v>
      </c>
      <c r="E505" s="345">
        <f t="shared" si="151"/>
        <v>0.31147540983606559</v>
      </c>
      <c r="F505" s="121" t="s">
        <v>1124</v>
      </c>
      <c r="G505" s="121" t="s">
        <v>1125</v>
      </c>
      <c r="H505" s="346">
        <f t="shared" si="152"/>
        <v>91.61</v>
      </c>
      <c r="I505" s="121">
        <v>100</v>
      </c>
      <c r="J505" s="346">
        <v>91.5</v>
      </c>
      <c r="K505" s="128">
        <v>9161</v>
      </c>
      <c r="L505" s="150">
        <v>44379</v>
      </c>
      <c r="M505" s="124">
        <f t="shared" si="14"/>
        <v>103.89</v>
      </c>
      <c r="N505" s="155">
        <v>104</v>
      </c>
      <c r="O505" s="347">
        <v>10389</v>
      </c>
      <c r="P505" s="120">
        <v>44901</v>
      </c>
      <c r="Q505" s="348">
        <v>44897</v>
      </c>
      <c r="R505" s="125">
        <v>15.93</v>
      </c>
      <c r="S505" s="125">
        <v>10</v>
      </c>
      <c r="T505" s="127">
        <f>IF(OR(O505="",K505=""),"",O505-K505)</f>
        <v>1228</v>
      </c>
      <c r="U505" s="127" t="str">
        <f t="shared" si="16"/>
        <v>100 SKIPPER</v>
      </c>
      <c r="V505" s="349">
        <f t="shared" si="17"/>
        <v>1222.07</v>
      </c>
      <c r="W505" s="350">
        <f>IF(OR(K505="",V505=""),"",V505/K505)</f>
        <v>0.13339919222792271</v>
      </c>
      <c r="X505" s="351">
        <f t="shared" si="19"/>
        <v>1</v>
      </c>
      <c r="Y505" s="352">
        <f t="shared" si="20"/>
        <v>5</v>
      </c>
      <c r="Z505" s="353">
        <f t="shared" si="21"/>
        <v>4</v>
      </c>
      <c r="AA505" s="350">
        <f t="shared" si="110"/>
        <v>9.1506575705027737E-2</v>
      </c>
      <c r="AB505" s="120" t="s">
        <v>471</v>
      </c>
    </row>
    <row r="506" spans="1:28" ht="12.75" customHeight="1">
      <c r="A506" s="120" t="s">
        <v>1348</v>
      </c>
      <c r="B506" s="120" t="s">
        <v>1349</v>
      </c>
      <c r="C506" s="343" t="s">
        <v>1163</v>
      </c>
      <c r="D506" s="344"/>
      <c r="E506" s="345"/>
      <c r="F506" s="121"/>
      <c r="G506" s="121"/>
      <c r="H506" s="346">
        <v>361.10660000000001</v>
      </c>
      <c r="I506" s="121">
        <v>50</v>
      </c>
      <c r="J506" s="346">
        <v>359</v>
      </c>
      <c r="K506" s="128">
        <v>18055.330000000002</v>
      </c>
      <c r="L506" s="150">
        <v>41017</v>
      </c>
      <c r="M506" s="124">
        <f t="shared" si="14"/>
        <v>380.84840000000003</v>
      </c>
      <c r="N506" s="155">
        <v>383</v>
      </c>
      <c r="O506" s="347">
        <v>19042.419999999998</v>
      </c>
      <c r="P506" s="120">
        <v>41190</v>
      </c>
      <c r="Q506" s="348">
        <v>41186</v>
      </c>
      <c r="R506" s="125">
        <v>6</v>
      </c>
      <c r="S506" s="125">
        <f>250</f>
        <v>250</v>
      </c>
      <c r="T506" s="127">
        <f t="shared" ref="T506:T509" si="153">IF(O506="","",O506-K506)</f>
        <v>987.08999999999651</v>
      </c>
      <c r="U506" s="127" t="str">
        <f t="shared" si="16"/>
        <v xml:space="preserve">50 SOBHA </v>
      </c>
      <c r="V506" s="349">
        <f t="shared" si="17"/>
        <v>1231.0899999999965</v>
      </c>
      <c r="W506" s="350">
        <f t="shared" ref="W506:W509" si="154">IF(M506=0,"",V506/K506)</f>
        <v>6.8184297933075524E-2</v>
      </c>
      <c r="X506" s="351">
        <f t="shared" si="19"/>
        <v>0</v>
      </c>
      <c r="Y506" s="352">
        <f t="shared" si="20"/>
        <v>5</v>
      </c>
      <c r="Z506" s="353">
        <f t="shared" si="21"/>
        <v>20</v>
      </c>
      <c r="AA506" s="350">
        <f t="shared" si="110"/>
        <v>0.14931345923473271</v>
      </c>
      <c r="AB506" s="120" t="s">
        <v>448</v>
      </c>
    </row>
    <row r="507" spans="1:28" ht="12.75" customHeight="1">
      <c r="A507" s="120" t="s">
        <v>536</v>
      </c>
      <c r="B507" s="120" t="s">
        <v>1350</v>
      </c>
      <c r="C507" s="343" t="s">
        <v>1163</v>
      </c>
      <c r="D507" s="344"/>
      <c r="E507" s="345" t="str">
        <f t="shared" ref="E507:E511" si="155">IFERROR(IF(D507="","",(D507-J507)/J507),"")</f>
        <v/>
      </c>
      <c r="F507" s="121" t="s">
        <v>1121</v>
      </c>
      <c r="G507" s="121"/>
      <c r="H507" s="346">
        <f t="shared" ref="H507:H511" si="156">ROUND(K507/I507,4)</f>
        <v>291</v>
      </c>
      <c r="I507" s="121">
        <v>51</v>
      </c>
      <c r="J507" s="346">
        <v>291</v>
      </c>
      <c r="K507" s="128">
        <v>14841</v>
      </c>
      <c r="L507" s="150">
        <v>44368</v>
      </c>
      <c r="M507" s="124">
        <f t="shared" si="14"/>
        <v>318.66669999999999</v>
      </c>
      <c r="N507" s="155">
        <v>319</v>
      </c>
      <c r="O507" s="347">
        <v>16252</v>
      </c>
      <c r="P507" s="120">
        <v>44375</v>
      </c>
      <c r="Q507" s="348">
        <v>44371</v>
      </c>
      <c r="R507" s="125">
        <v>15.93</v>
      </c>
      <c r="S507" s="125"/>
      <c r="T507" s="127">
        <f t="shared" si="153"/>
        <v>1411</v>
      </c>
      <c r="U507" s="127" t="str">
        <f t="shared" si="16"/>
        <v>51 SONACOMS</v>
      </c>
      <c r="V507" s="349">
        <f t="shared" si="17"/>
        <v>1395.07</v>
      </c>
      <c r="W507" s="350">
        <f t="shared" si="154"/>
        <v>9.4001078094468019E-2</v>
      </c>
      <c r="X507" s="351">
        <f t="shared" si="19"/>
        <v>0</v>
      </c>
      <c r="Y507" s="352">
        <f t="shared" si="20"/>
        <v>0</v>
      </c>
      <c r="Z507" s="353">
        <f t="shared" si="21"/>
        <v>7</v>
      </c>
      <c r="AA507" s="350">
        <f t="shared" si="110"/>
        <v>107.26721443118434</v>
      </c>
      <c r="AB507" s="120" t="s">
        <v>471</v>
      </c>
    </row>
    <row r="508" spans="1:28" ht="12.75" customHeight="1">
      <c r="A508" s="120" t="s">
        <v>536</v>
      </c>
      <c r="B508" s="120" t="s">
        <v>1350</v>
      </c>
      <c r="C508" s="343" t="s">
        <v>1163</v>
      </c>
      <c r="D508" s="344"/>
      <c r="E508" s="345" t="str">
        <f t="shared" si="155"/>
        <v/>
      </c>
      <c r="F508" s="121" t="s">
        <v>1107</v>
      </c>
      <c r="G508" s="121"/>
      <c r="H508" s="346">
        <f t="shared" si="156"/>
        <v>405.48</v>
      </c>
      <c r="I508" s="121">
        <v>50</v>
      </c>
      <c r="J508" s="346">
        <v>405</v>
      </c>
      <c r="K508" s="128">
        <v>20274</v>
      </c>
      <c r="L508" s="150">
        <v>44372</v>
      </c>
      <c r="M508" s="124">
        <f t="shared" si="14"/>
        <v>416.56</v>
      </c>
      <c r="N508" s="155">
        <v>417</v>
      </c>
      <c r="O508" s="347">
        <v>20828</v>
      </c>
      <c r="P508" s="120">
        <v>44390</v>
      </c>
      <c r="Q508" s="348">
        <v>44386</v>
      </c>
      <c r="R508" s="125">
        <v>15.93</v>
      </c>
      <c r="S508" s="125"/>
      <c r="T508" s="127">
        <f t="shared" si="153"/>
        <v>554</v>
      </c>
      <c r="U508" s="127" t="str">
        <f t="shared" si="16"/>
        <v>50 SONACOMS</v>
      </c>
      <c r="V508" s="349">
        <f t="shared" si="17"/>
        <v>538.07000000000005</v>
      </c>
      <c r="W508" s="350">
        <f t="shared" si="154"/>
        <v>2.653990332445497E-2</v>
      </c>
      <c r="X508" s="351">
        <f t="shared" si="19"/>
        <v>0</v>
      </c>
      <c r="Y508" s="352">
        <f t="shared" si="20"/>
        <v>0</v>
      </c>
      <c r="Z508" s="353">
        <f t="shared" si="21"/>
        <v>18</v>
      </c>
      <c r="AA508" s="350">
        <f t="shared" si="110"/>
        <v>0.70089173237409241</v>
      </c>
      <c r="AB508" s="120" t="s">
        <v>471</v>
      </c>
    </row>
    <row r="509" spans="1:28" ht="12.75" customHeight="1">
      <c r="A509" s="120" t="s">
        <v>542</v>
      </c>
      <c r="B509" s="120" t="s">
        <v>542</v>
      </c>
      <c r="C509" s="343" t="s">
        <v>1172</v>
      </c>
      <c r="D509" s="344" t="s">
        <v>1351</v>
      </c>
      <c r="E509" s="345">
        <f t="shared" si="155"/>
        <v>5.33515731874145E-2</v>
      </c>
      <c r="F509" s="121" t="s">
        <v>1116</v>
      </c>
      <c r="G509" s="121" t="s">
        <v>1352</v>
      </c>
      <c r="H509" s="346">
        <f t="shared" si="156"/>
        <v>7318.5</v>
      </c>
      <c r="I509" s="121">
        <v>2</v>
      </c>
      <c r="J509" s="346">
        <v>7310</v>
      </c>
      <c r="K509" s="128">
        <v>14637</v>
      </c>
      <c r="L509" s="150">
        <v>44378</v>
      </c>
      <c r="M509" s="124">
        <f t="shared" si="14"/>
        <v>7682</v>
      </c>
      <c r="N509" s="155">
        <v>7690</v>
      </c>
      <c r="O509" s="347">
        <v>15364</v>
      </c>
      <c r="P509" s="120">
        <v>44397</v>
      </c>
      <c r="Q509" s="348">
        <v>44393</v>
      </c>
      <c r="R509" s="125">
        <v>15.93</v>
      </c>
      <c r="S509" s="125"/>
      <c r="T509" s="127">
        <f t="shared" si="153"/>
        <v>727</v>
      </c>
      <c r="U509" s="127" t="str">
        <f t="shared" si="16"/>
        <v>2 SRF</v>
      </c>
      <c r="V509" s="349">
        <f t="shared" si="17"/>
        <v>711.07</v>
      </c>
      <c r="W509" s="350">
        <f t="shared" si="154"/>
        <v>4.8580310172849632E-2</v>
      </c>
      <c r="X509" s="351">
        <f t="shared" si="19"/>
        <v>0</v>
      </c>
      <c r="Y509" s="352">
        <f t="shared" si="20"/>
        <v>0</v>
      </c>
      <c r="Z509" s="353">
        <f t="shared" si="21"/>
        <v>19</v>
      </c>
      <c r="AA509" s="350">
        <f t="shared" si="110"/>
        <v>1.4875365468166688</v>
      </c>
      <c r="AB509" s="120" t="s">
        <v>471</v>
      </c>
    </row>
    <row r="510" spans="1:28" ht="12.75" customHeight="1">
      <c r="A510" s="120" t="s">
        <v>631</v>
      </c>
      <c r="B510" s="120"/>
      <c r="C510" s="343"/>
      <c r="D510" s="344"/>
      <c r="E510" s="345" t="str">
        <f t="shared" si="155"/>
        <v/>
      </c>
      <c r="F510" s="121"/>
      <c r="G510" s="121"/>
      <c r="H510" s="346">
        <f t="shared" si="156"/>
        <v>357</v>
      </c>
      <c r="I510" s="121">
        <v>42</v>
      </c>
      <c r="J510" s="346">
        <v>357</v>
      </c>
      <c r="K510" s="128">
        <v>14994</v>
      </c>
      <c r="L510" s="150">
        <v>44915</v>
      </c>
      <c r="M510" s="124">
        <f t="shared" si="14"/>
        <v>357.42860000000002</v>
      </c>
      <c r="N510" s="155">
        <v>357.8</v>
      </c>
      <c r="O510" s="347">
        <v>15012</v>
      </c>
      <c r="P510" s="120">
        <v>44943</v>
      </c>
      <c r="Q510" s="348">
        <v>44942</v>
      </c>
      <c r="R510" s="125">
        <v>15.93</v>
      </c>
      <c r="S510" s="125"/>
      <c r="T510" s="127">
        <f>IF(OR(O510="",K510=""),"",O510-K510)</f>
        <v>18</v>
      </c>
      <c r="U510" s="127" t="str">
        <f t="shared" si="16"/>
        <v>42 SULA</v>
      </c>
      <c r="V510" s="349">
        <f t="shared" si="17"/>
        <v>2.0700000000000003</v>
      </c>
      <c r="W510" s="350">
        <f>IF(OR(K510="",V510=""),"",V510/K510)</f>
        <v>1.3805522208883554E-4</v>
      </c>
      <c r="X510" s="351">
        <f t="shared" si="19"/>
        <v>0</v>
      </c>
      <c r="Y510" s="352">
        <f t="shared" si="20"/>
        <v>0</v>
      </c>
      <c r="Z510" s="353">
        <f t="shared" si="21"/>
        <v>28</v>
      </c>
      <c r="AA510" s="350">
        <f t="shared" si="110"/>
        <v>1.8011443321714893E-3</v>
      </c>
      <c r="AB510" s="120" t="s">
        <v>471</v>
      </c>
    </row>
    <row r="511" spans="1:28" ht="12.75" customHeight="1">
      <c r="A511" s="120" t="s">
        <v>516</v>
      </c>
      <c r="B511" s="120" t="s">
        <v>1353</v>
      </c>
      <c r="C511" s="343" t="s">
        <v>1163</v>
      </c>
      <c r="D511" s="344">
        <v>580</v>
      </c>
      <c r="E511" s="345">
        <f t="shared" si="155"/>
        <v>5.4545454545454543E-2</v>
      </c>
      <c r="F511" s="121" t="s">
        <v>1116</v>
      </c>
      <c r="G511" s="121" t="s">
        <v>1117</v>
      </c>
      <c r="H511" s="346">
        <f t="shared" si="156"/>
        <v>550.70000000000005</v>
      </c>
      <c r="I511" s="121">
        <v>10</v>
      </c>
      <c r="J511" s="346">
        <v>550</v>
      </c>
      <c r="K511" s="128">
        <v>5507</v>
      </c>
      <c r="L511" s="150">
        <v>44344</v>
      </c>
      <c r="M511" s="124">
        <f t="shared" si="14"/>
        <v>552.4</v>
      </c>
      <c r="N511" s="155">
        <v>553</v>
      </c>
      <c r="O511" s="347">
        <v>5524</v>
      </c>
      <c r="P511" s="120">
        <v>44369</v>
      </c>
      <c r="Q511" s="348">
        <v>44365</v>
      </c>
      <c r="R511" s="125">
        <v>15.93</v>
      </c>
      <c r="S511" s="125"/>
      <c r="T511" s="127">
        <f>IF(O511="","",O511-K511)</f>
        <v>17</v>
      </c>
      <c r="U511" s="127" t="str">
        <f t="shared" si="16"/>
        <v>10 SUNTV</v>
      </c>
      <c r="V511" s="349">
        <f t="shared" si="17"/>
        <v>1.0700000000000003</v>
      </c>
      <c r="W511" s="350">
        <f>IF(M511=0,"",V511/K511)</f>
        <v>1.9429816597058296E-4</v>
      </c>
      <c r="X511" s="351">
        <f t="shared" si="19"/>
        <v>0</v>
      </c>
      <c r="Y511" s="352">
        <f t="shared" si="20"/>
        <v>0</v>
      </c>
      <c r="Z511" s="353">
        <f t="shared" si="21"/>
        <v>25</v>
      </c>
      <c r="AA511" s="350">
        <f t="shared" si="110"/>
        <v>2.8405042799064528E-3</v>
      </c>
      <c r="AB511" s="120" t="s">
        <v>471</v>
      </c>
    </row>
    <row r="512" spans="1:28" ht="12.75" customHeight="1">
      <c r="A512" s="120" t="s">
        <v>619</v>
      </c>
      <c r="B512" s="120"/>
      <c r="C512" s="343"/>
      <c r="D512" s="344"/>
      <c r="E512" s="345"/>
      <c r="F512" s="121"/>
      <c r="G512" s="121"/>
      <c r="H512" s="346"/>
      <c r="I512" s="121">
        <v>900</v>
      </c>
      <c r="J512" s="346">
        <v>8.1</v>
      </c>
      <c r="K512" s="128">
        <v>7299</v>
      </c>
      <c r="L512" s="150">
        <v>44802</v>
      </c>
      <c r="M512" s="124">
        <f t="shared" si="14"/>
        <v>9.59</v>
      </c>
      <c r="N512" s="155">
        <v>9.6</v>
      </c>
      <c r="O512" s="347">
        <v>8631</v>
      </c>
      <c r="P512" s="120">
        <v>44811</v>
      </c>
      <c r="Q512" s="348">
        <v>44809</v>
      </c>
      <c r="R512" s="125">
        <v>15.93</v>
      </c>
      <c r="S512" s="125"/>
      <c r="T512" s="127">
        <f t="shared" ref="T512:T514" si="157">IF(OR(O512="",K512=""),"",O512-K512)</f>
        <v>1332</v>
      </c>
      <c r="U512" s="127" t="str">
        <f t="shared" si="16"/>
        <v>900 SUZLON</v>
      </c>
      <c r="V512" s="349">
        <f t="shared" si="17"/>
        <v>1316.07</v>
      </c>
      <c r="W512" s="350">
        <f t="shared" ref="W512:W514" si="158">IF(OR(K512="",V512=""),"",V512/K512)</f>
        <v>0.18030826140567199</v>
      </c>
      <c r="X512" s="351">
        <f t="shared" si="19"/>
        <v>0</v>
      </c>
      <c r="Y512" s="352">
        <f t="shared" si="20"/>
        <v>0</v>
      </c>
      <c r="Z512" s="353">
        <f t="shared" si="21"/>
        <v>9</v>
      </c>
      <c r="AA512" s="350">
        <f t="shared" si="110"/>
        <v>830.4101981331263</v>
      </c>
      <c r="AB512" s="120" t="s">
        <v>471</v>
      </c>
    </row>
    <row r="513" spans="1:28" ht="12.75" customHeight="1">
      <c r="A513" s="120" t="s">
        <v>619</v>
      </c>
      <c r="B513" s="120"/>
      <c r="C513" s="343"/>
      <c r="D513" s="344"/>
      <c r="E513" s="345" t="str">
        <f t="shared" ref="E513:E517" si="159">IFERROR(IF(D513="","",(D513-J513)/J513),"")</f>
        <v/>
      </c>
      <c r="F513" s="121"/>
      <c r="G513" s="121"/>
      <c r="H513" s="346">
        <f t="shared" ref="H513:H517" si="160">ROUND(K513/I513,4)</f>
        <v>8.41</v>
      </c>
      <c r="I513" s="121">
        <v>100</v>
      </c>
      <c r="J513" s="346">
        <v>8.4</v>
      </c>
      <c r="K513" s="128">
        <v>841</v>
      </c>
      <c r="L513" s="150">
        <v>44795</v>
      </c>
      <c r="M513" s="124">
        <f t="shared" si="14"/>
        <v>9.59</v>
      </c>
      <c r="N513" s="155">
        <v>9.6</v>
      </c>
      <c r="O513" s="347">
        <v>959</v>
      </c>
      <c r="P513" s="120">
        <v>44811</v>
      </c>
      <c r="Q513" s="348">
        <v>44809</v>
      </c>
      <c r="R513" s="125">
        <v>0</v>
      </c>
      <c r="S513" s="125"/>
      <c r="T513" s="127">
        <f t="shared" si="157"/>
        <v>118</v>
      </c>
      <c r="U513" s="127" t="str">
        <f t="shared" si="16"/>
        <v>100 SUZLON</v>
      </c>
      <c r="V513" s="349">
        <f t="shared" si="17"/>
        <v>118</v>
      </c>
      <c r="W513" s="350">
        <f t="shared" si="158"/>
        <v>0.14030915576694411</v>
      </c>
      <c r="X513" s="351">
        <f t="shared" si="19"/>
        <v>0</v>
      </c>
      <c r="Y513" s="352">
        <f t="shared" si="20"/>
        <v>0</v>
      </c>
      <c r="Z513" s="353">
        <f t="shared" si="21"/>
        <v>16</v>
      </c>
      <c r="AA513" s="350">
        <f t="shared" si="110"/>
        <v>18.990714737900941</v>
      </c>
      <c r="AB513" s="120" t="s">
        <v>471</v>
      </c>
    </row>
    <row r="514" spans="1:28" ht="12.75" customHeight="1">
      <c r="A514" s="120" t="s">
        <v>619</v>
      </c>
      <c r="B514" s="120"/>
      <c r="C514" s="343"/>
      <c r="D514" s="344"/>
      <c r="E514" s="345" t="str">
        <f t="shared" si="159"/>
        <v/>
      </c>
      <c r="F514" s="121"/>
      <c r="G514" s="121"/>
      <c r="H514" s="346">
        <f t="shared" si="160"/>
        <v>9.2100000000000009</v>
      </c>
      <c r="I514" s="121">
        <v>100</v>
      </c>
      <c r="J514" s="346">
        <v>9.1999999999999993</v>
      </c>
      <c r="K514" s="128">
        <v>921</v>
      </c>
      <c r="L514" s="150">
        <v>44818</v>
      </c>
      <c r="M514" s="124">
        <f t="shared" si="14"/>
        <v>10.24</v>
      </c>
      <c r="N514" s="155">
        <v>10.25</v>
      </c>
      <c r="O514" s="347">
        <v>1024</v>
      </c>
      <c r="P514" s="120">
        <v>44903</v>
      </c>
      <c r="Q514" s="348">
        <v>44901</v>
      </c>
      <c r="R514" s="125">
        <v>15.93</v>
      </c>
      <c r="S514" s="125"/>
      <c r="T514" s="127">
        <f t="shared" si="157"/>
        <v>103</v>
      </c>
      <c r="U514" s="127" t="str">
        <f t="shared" si="16"/>
        <v>100 SUZLON</v>
      </c>
      <c r="V514" s="349">
        <f t="shared" si="17"/>
        <v>87.07</v>
      </c>
      <c r="W514" s="350">
        <f t="shared" si="158"/>
        <v>9.4538545059717691E-2</v>
      </c>
      <c r="X514" s="351">
        <f t="shared" si="19"/>
        <v>0</v>
      </c>
      <c r="Y514" s="352">
        <f t="shared" si="20"/>
        <v>2</v>
      </c>
      <c r="Z514" s="353">
        <f t="shared" si="21"/>
        <v>24</v>
      </c>
      <c r="AA514" s="350">
        <f t="shared" si="110"/>
        <v>0.4738822475231963</v>
      </c>
      <c r="AB514" s="120" t="s">
        <v>471</v>
      </c>
    </row>
    <row r="515" spans="1:28" ht="12.75" customHeight="1">
      <c r="A515" s="120" t="s">
        <v>504</v>
      </c>
      <c r="B515" s="120" t="s">
        <v>1354</v>
      </c>
      <c r="C515" s="343" t="s">
        <v>1163</v>
      </c>
      <c r="D515" s="344">
        <v>345</v>
      </c>
      <c r="E515" s="345">
        <f t="shared" si="159"/>
        <v>5.6661562021439509E-2</v>
      </c>
      <c r="F515" s="121" t="s">
        <v>1116</v>
      </c>
      <c r="G515" s="121" t="s">
        <v>1281</v>
      </c>
      <c r="H515" s="346">
        <f t="shared" si="160"/>
        <v>326.88</v>
      </c>
      <c r="I515" s="121">
        <v>50</v>
      </c>
      <c r="J515" s="346">
        <v>326.5</v>
      </c>
      <c r="K515" s="128">
        <v>16344</v>
      </c>
      <c r="L515" s="150">
        <v>44330</v>
      </c>
      <c r="M515" s="124">
        <f t="shared" si="14"/>
        <v>331.76</v>
      </c>
      <c r="N515" s="155">
        <v>332.1</v>
      </c>
      <c r="O515" s="347">
        <v>16588</v>
      </c>
      <c r="P515" s="120">
        <v>44336</v>
      </c>
      <c r="Q515" s="348">
        <v>44334</v>
      </c>
      <c r="R515" s="125">
        <v>15.93</v>
      </c>
      <c r="S515" s="125"/>
      <c r="T515" s="127">
        <f t="shared" ref="T515:T516" si="161">IF(O515="","",O515-K515)</f>
        <v>244</v>
      </c>
      <c r="U515" s="127" t="str">
        <f t="shared" si="16"/>
        <v>50 TATAMOTORS</v>
      </c>
      <c r="V515" s="349">
        <f t="shared" si="17"/>
        <v>228.07</v>
      </c>
      <c r="W515" s="350">
        <f t="shared" ref="W515:W516" si="162">IF(M515=0,"",V515/K515)</f>
        <v>1.3954356338717572E-2</v>
      </c>
      <c r="X515" s="351">
        <f t="shared" si="19"/>
        <v>0</v>
      </c>
      <c r="Y515" s="352">
        <f t="shared" si="20"/>
        <v>0</v>
      </c>
      <c r="Z515" s="353">
        <f t="shared" si="21"/>
        <v>6</v>
      </c>
      <c r="AA515" s="350">
        <f t="shared" si="110"/>
        <v>1.3233768895574562</v>
      </c>
      <c r="AB515" s="120" t="s">
        <v>471</v>
      </c>
    </row>
    <row r="516" spans="1:28" ht="12.75" customHeight="1">
      <c r="A516" s="120" t="s">
        <v>504</v>
      </c>
      <c r="B516" s="120" t="s">
        <v>1354</v>
      </c>
      <c r="C516" s="343" t="s">
        <v>1302</v>
      </c>
      <c r="D516" s="344">
        <v>560</v>
      </c>
      <c r="E516" s="345">
        <f t="shared" si="159"/>
        <v>0.12</v>
      </c>
      <c r="F516" s="121" t="s">
        <v>1124</v>
      </c>
      <c r="G516" s="121" t="s">
        <v>1173</v>
      </c>
      <c r="H516" s="346">
        <f t="shared" si="160"/>
        <v>500.6</v>
      </c>
      <c r="I516" s="121">
        <v>20</v>
      </c>
      <c r="J516" s="346">
        <v>500</v>
      </c>
      <c r="K516" s="128">
        <v>10012</v>
      </c>
      <c r="L516" s="150">
        <v>44496</v>
      </c>
      <c r="M516" s="124">
        <f t="shared" si="14"/>
        <v>510.6</v>
      </c>
      <c r="N516" s="155">
        <v>511.14</v>
      </c>
      <c r="O516" s="347">
        <v>10212</v>
      </c>
      <c r="P516" s="120">
        <v>44511</v>
      </c>
      <c r="Q516" s="348">
        <v>44509</v>
      </c>
      <c r="R516" s="125">
        <v>15.93</v>
      </c>
      <c r="S516" s="125"/>
      <c r="T516" s="127">
        <f t="shared" si="161"/>
        <v>200</v>
      </c>
      <c r="U516" s="127" t="str">
        <f t="shared" si="16"/>
        <v>20 TATAMOTORS</v>
      </c>
      <c r="V516" s="349">
        <f t="shared" si="17"/>
        <v>184.07</v>
      </c>
      <c r="W516" s="350">
        <f t="shared" si="162"/>
        <v>1.8384938074310825E-2</v>
      </c>
      <c r="X516" s="351">
        <f t="shared" si="19"/>
        <v>0</v>
      </c>
      <c r="Y516" s="352">
        <f t="shared" si="20"/>
        <v>0</v>
      </c>
      <c r="Z516" s="353">
        <f t="shared" si="21"/>
        <v>15</v>
      </c>
      <c r="AA516" s="350">
        <f t="shared" si="110"/>
        <v>0.55784606567739825</v>
      </c>
      <c r="AB516" s="120" t="s">
        <v>471</v>
      </c>
    </row>
    <row r="517" spans="1:28" ht="12.75" customHeight="1">
      <c r="A517" s="120" t="s">
        <v>504</v>
      </c>
      <c r="B517" s="120"/>
      <c r="C517" s="343"/>
      <c r="D517" s="344"/>
      <c r="E517" s="345" t="str">
        <f t="shared" si="159"/>
        <v/>
      </c>
      <c r="F517" s="121"/>
      <c r="G517" s="121"/>
      <c r="H517" s="346">
        <f t="shared" si="160"/>
        <v>459.5333</v>
      </c>
      <c r="I517" s="121">
        <v>30</v>
      </c>
      <c r="J517" s="346">
        <v>459</v>
      </c>
      <c r="K517" s="128">
        <v>13786</v>
      </c>
      <c r="L517" s="150">
        <v>44657</v>
      </c>
      <c r="M517" s="124">
        <f t="shared" si="14"/>
        <v>477.5</v>
      </c>
      <c r="N517" s="155">
        <v>478</v>
      </c>
      <c r="O517" s="347">
        <v>14325</v>
      </c>
      <c r="P517" s="120">
        <v>44777</v>
      </c>
      <c r="Q517" s="348">
        <v>44775</v>
      </c>
      <c r="R517" s="125">
        <v>15.93</v>
      </c>
      <c r="S517" s="125"/>
      <c r="T517" s="127">
        <f>IF(OR(O517="",K517=""),"",O517-K517)</f>
        <v>539</v>
      </c>
      <c r="U517" s="127" t="str">
        <f t="shared" si="16"/>
        <v>30 TATAMOTORS</v>
      </c>
      <c r="V517" s="349">
        <f t="shared" si="17"/>
        <v>523.07000000000005</v>
      </c>
      <c r="W517" s="350">
        <f>IF(OR(K517="",V517=""),"",V517/K517)</f>
        <v>3.7942115189322508E-2</v>
      </c>
      <c r="X517" s="351">
        <f t="shared" si="19"/>
        <v>0</v>
      </c>
      <c r="Y517" s="352">
        <f t="shared" si="20"/>
        <v>3</v>
      </c>
      <c r="Z517" s="353">
        <f t="shared" si="21"/>
        <v>29</v>
      </c>
      <c r="AA517" s="350">
        <f t="shared" si="110"/>
        <v>0.1199362004721034</v>
      </c>
      <c r="AB517" s="120" t="s">
        <v>471</v>
      </c>
    </row>
    <row r="518" spans="1:28" ht="12.75" customHeight="1">
      <c r="A518" s="120" t="s">
        <v>465</v>
      </c>
      <c r="B518" s="120" t="s">
        <v>1355</v>
      </c>
      <c r="C518" s="343" t="s">
        <v>1163</v>
      </c>
      <c r="D518" s="344"/>
      <c r="E518" s="345"/>
      <c r="F518" s="121"/>
      <c r="G518" s="121"/>
      <c r="H518" s="346">
        <v>105.78619999999999</v>
      </c>
      <c r="I518" s="121">
        <v>50</v>
      </c>
      <c r="J518" s="346">
        <v>105.2</v>
      </c>
      <c r="K518" s="128">
        <v>5289.31</v>
      </c>
      <c r="L518" s="150">
        <v>41207</v>
      </c>
      <c r="M518" s="124">
        <f t="shared" si="14"/>
        <v>105.902</v>
      </c>
      <c r="N518" s="155">
        <v>106.5</v>
      </c>
      <c r="O518" s="347">
        <v>5295.1</v>
      </c>
      <c r="P518" s="120">
        <v>41219</v>
      </c>
      <c r="Q518" s="348">
        <v>41215</v>
      </c>
      <c r="R518" s="125">
        <v>11</v>
      </c>
      <c r="S518" s="125"/>
      <c r="T518" s="127">
        <f t="shared" ref="T518:T524" si="163">IF(O518="","",O518-K518)</f>
        <v>5.7899999999999636</v>
      </c>
      <c r="U518" s="127" t="str">
        <f t="shared" si="16"/>
        <v>50 TATAPOWER</v>
      </c>
      <c r="V518" s="349">
        <f t="shared" si="17"/>
        <v>-5.2100000000000364</v>
      </c>
      <c r="W518" s="350">
        <f t="shared" ref="W518:W524" si="164">IF(M518=0,"",V518/K518)</f>
        <v>-9.8500560564611177E-4</v>
      </c>
      <c r="X518" s="351">
        <f t="shared" si="19"/>
        <v>0</v>
      </c>
      <c r="Y518" s="352">
        <f t="shared" si="20"/>
        <v>0</v>
      </c>
      <c r="Z518" s="353">
        <f t="shared" si="21"/>
        <v>12</v>
      </c>
      <c r="AA518" s="350">
        <f t="shared" si="110"/>
        <v>-2.9530547140867003E-2</v>
      </c>
      <c r="AB518" s="120" t="s">
        <v>448</v>
      </c>
    </row>
    <row r="519" spans="1:28" ht="12.75" customHeight="1">
      <c r="A519" s="120" t="s">
        <v>465</v>
      </c>
      <c r="B519" s="120" t="s">
        <v>1356</v>
      </c>
      <c r="C519" s="343" t="s">
        <v>1163</v>
      </c>
      <c r="D519" s="344" t="s">
        <v>1357</v>
      </c>
      <c r="E519" s="345">
        <f t="shared" ref="E519:E558" si="165">IFERROR(IF(D519="","",(D519-J519)/J519),"")</f>
        <v>0.13675213675213677</v>
      </c>
      <c r="F519" s="121" t="s">
        <v>1116</v>
      </c>
      <c r="G519" s="121" t="s">
        <v>1170</v>
      </c>
      <c r="H519" s="346">
        <f t="shared" ref="H519:H558" si="166">ROUND(K519/I519,4)</f>
        <v>117.14</v>
      </c>
      <c r="I519" s="121">
        <v>100</v>
      </c>
      <c r="J519" s="346">
        <v>117</v>
      </c>
      <c r="K519" s="128">
        <v>11714</v>
      </c>
      <c r="L519" s="150">
        <v>44355</v>
      </c>
      <c r="M519" s="124">
        <f t="shared" si="14"/>
        <v>127.87</v>
      </c>
      <c r="N519" s="155">
        <v>128</v>
      </c>
      <c r="O519" s="347">
        <v>12787</v>
      </c>
      <c r="P519" s="120">
        <v>44358</v>
      </c>
      <c r="Q519" s="348">
        <v>44356</v>
      </c>
      <c r="R519" s="125">
        <v>15.93</v>
      </c>
      <c r="S519" s="125"/>
      <c r="T519" s="127">
        <f t="shared" si="163"/>
        <v>1073</v>
      </c>
      <c r="U519" s="127" t="str">
        <f t="shared" si="16"/>
        <v>100 TATAPOWER</v>
      </c>
      <c r="V519" s="127">
        <f t="shared" si="17"/>
        <v>1057.07</v>
      </c>
      <c r="W519" s="350">
        <f t="shared" si="164"/>
        <v>9.0239883899607298E-2</v>
      </c>
      <c r="X519" s="397">
        <f t="shared" si="19"/>
        <v>0</v>
      </c>
      <c r="Y519" s="352">
        <f t="shared" si="20"/>
        <v>0</v>
      </c>
      <c r="Z519" s="353">
        <f t="shared" si="21"/>
        <v>3</v>
      </c>
      <c r="AA519" s="350">
        <f t="shared" si="110"/>
        <v>36742.849434475269</v>
      </c>
      <c r="AB519" s="120" t="s">
        <v>471</v>
      </c>
    </row>
    <row r="520" spans="1:28" ht="12.75" customHeight="1">
      <c r="A520" s="120" t="s">
        <v>465</v>
      </c>
      <c r="B520" s="120" t="s">
        <v>1356</v>
      </c>
      <c r="C520" s="343" t="s">
        <v>1358</v>
      </c>
      <c r="D520" s="344">
        <v>275</v>
      </c>
      <c r="E520" s="345">
        <f t="shared" si="165"/>
        <v>0.13753877973112719</v>
      </c>
      <c r="F520" s="121" t="s">
        <v>1359</v>
      </c>
      <c r="G520" s="121"/>
      <c r="H520" s="346">
        <f t="shared" si="166"/>
        <v>242.0333</v>
      </c>
      <c r="I520" s="121">
        <v>30</v>
      </c>
      <c r="J520" s="346">
        <v>241.75</v>
      </c>
      <c r="K520" s="128">
        <v>7261</v>
      </c>
      <c r="L520" s="150">
        <v>44515</v>
      </c>
      <c r="M520" s="124">
        <f t="shared" si="14"/>
        <v>249.9333</v>
      </c>
      <c r="N520" s="155">
        <v>250.2</v>
      </c>
      <c r="O520" s="347">
        <v>7498</v>
      </c>
      <c r="P520" s="120">
        <v>44519</v>
      </c>
      <c r="Q520" s="348">
        <v>44517</v>
      </c>
      <c r="R520" s="125">
        <v>15.93</v>
      </c>
      <c r="S520" s="125"/>
      <c r="T520" s="127">
        <f t="shared" si="163"/>
        <v>237</v>
      </c>
      <c r="U520" s="127" t="str">
        <f t="shared" si="16"/>
        <v>30 TATAPOWER</v>
      </c>
      <c r="V520" s="127">
        <f t="shared" si="17"/>
        <v>221.07</v>
      </c>
      <c r="W520" s="350">
        <f t="shared" si="164"/>
        <v>3.0446219528990497E-2</v>
      </c>
      <c r="X520" s="397">
        <f t="shared" si="19"/>
        <v>0</v>
      </c>
      <c r="Y520" s="352">
        <f t="shared" si="20"/>
        <v>0</v>
      </c>
      <c r="Z520" s="353">
        <f t="shared" si="21"/>
        <v>4</v>
      </c>
      <c r="AA520" s="350">
        <f t="shared" si="110"/>
        <v>14.436946021638805</v>
      </c>
      <c r="AB520" s="120" t="s">
        <v>471</v>
      </c>
    </row>
    <row r="521" spans="1:28" ht="12.75" customHeight="1">
      <c r="A521" s="120" t="s">
        <v>465</v>
      </c>
      <c r="B521" s="120" t="s">
        <v>1356</v>
      </c>
      <c r="C521" s="343" t="s">
        <v>1358</v>
      </c>
      <c r="D521" s="344">
        <v>275</v>
      </c>
      <c r="E521" s="345">
        <f t="shared" si="165"/>
        <v>0.13753877973112719</v>
      </c>
      <c r="F521" s="121" t="s">
        <v>1359</v>
      </c>
      <c r="G521" s="121"/>
      <c r="H521" s="346">
        <f t="shared" si="166"/>
        <v>242.05</v>
      </c>
      <c r="I521" s="121">
        <v>20</v>
      </c>
      <c r="J521" s="346">
        <v>241.75</v>
      </c>
      <c r="K521" s="128">
        <v>4841</v>
      </c>
      <c r="L521" s="150">
        <v>44515</v>
      </c>
      <c r="M521" s="124">
        <f t="shared" si="14"/>
        <v>243.5</v>
      </c>
      <c r="N521" s="155">
        <v>243.75</v>
      </c>
      <c r="O521" s="347">
        <v>4870</v>
      </c>
      <c r="P521" s="120">
        <v>44529</v>
      </c>
      <c r="Q521" s="348">
        <v>44525</v>
      </c>
      <c r="R521" s="125">
        <v>0</v>
      </c>
      <c r="S521" s="125"/>
      <c r="T521" s="127">
        <f t="shared" si="163"/>
        <v>29</v>
      </c>
      <c r="U521" s="127" t="str">
        <f t="shared" si="16"/>
        <v>20 TATAPOWER</v>
      </c>
      <c r="V521" s="127">
        <f t="shared" si="17"/>
        <v>29</v>
      </c>
      <c r="W521" s="350">
        <f t="shared" si="164"/>
        <v>5.9904978310266477E-3</v>
      </c>
      <c r="X521" s="397">
        <f t="shared" si="19"/>
        <v>0</v>
      </c>
      <c r="Y521" s="352">
        <f t="shared" si="20"/>
        <v>0</v>
      </c>
      <c r="Z521" s="353">
        <f t="shared" si="21"/>
        <v>14</v>
      </c>
      <c r="AA521" s="350">
        <f t="shared" si="110"/>
        <v>0.16849301322791943</v>
      </c>
      <c r="AB521" s="120" t="s">
        <v>471</v>
      </c>
    </row>
    <row r="522" spans="1:28" ht="12.75" customHeight="1">
      <c r="A522" s="120" t="s">
        <v>465</v>
      </c>
      <c r="B522" s="120" t="s">
        <v>1356</v>
      </c>
      <c r="C522" s="343" t="s">
        <v>1358</v>
      </c>
      <c r="D522" s="344">
        <v>275</v>
      </c>
      <c r="E522" s="345">
        <f t="shared" si="165"/>
        <v>0.1249744323992637</v>
      </c>
      <c r="F522" s="121" t="s">
        <v>1359</v>
      </c>
      <c r="G522" s="121"/>
      <c r="H522" s="346">
        <f t="shared" si="166"/>
        <v>244.73330000000001</v>
      </c>
      <c r="I522" s="121">
        <v>30</v>
      </c>
      <c r="J522" s="346">
        <v>244.45</v>
      </c>
      <c r="K522" s="128">
        <v>7342</v>
      </c>
      <c r="L522" s="150">
        <v>44518</v>
      </c>
      <c r="M522" s="124">
        <f t="shared" si="14"/>
        <v>243.5</v>
      </c>
      <c r="N522" s="155">
        <v>243.75</v>
      </c>
      <c r="O522" s="347">
        <v>7305</v>
      </c>
      <c r="P522" s="120">
        <v>44529</v>
      </c>
      <c r="Q522" s="348">
        <v>44525</v>
      </c>
      <c r="R522" s="125">
        <v>15.93</v>
      </c>
      <c r="S522" s="125"/>
      <c r="T522" s="127">
        <f t="shared" si="163"/>
        <v>-37</v>
      </c>
      <c r="U522" s="127" t="str">
        <f t="shared" si="16"/>
        <v>30 TATAPOWER</v>
      </c>
      <c r="V522" s="127">
        <f t="shared" si="17"/>
        <v>-52.93</v>
      </c>
      <c r="W522" s="350">
        <f t="shared" si="164"/>
        <v>-7.2092073004630889E-3</v>
      </c>
      <c r="X522" s="397">
        <f t="shared" si="19"/>
        <v>0</v>
      </c>
      <c r="Y522" s="352">
        <f t="shared" si="20"/>
        <v>0</v>
      </c>
      <c r="Z522" s="353">
        <f t="shared" si="21"/>
        <v>11</v>
      </c>
      <c r="AA522" s="350">
        <f t="shared" si="110"/>
        <v>-0.21343588975754468</v>
      </c>
      <c r="AB522" s="120" t="s">
        <v>471</v>
      </c>
    </row>
    <row r="523" spans="1:28" ht="12.75" customHeight="1">
      <c r="A523" s="120" t="s">
        <v>465</v>
      </c>
      <c r="B523" s="120" t="s">
        <v>1356</v>
      </c>
      <c r="C523" s="343" t="s">
        <v>1358</v>
      </c>
      <c r="D523" s="344">
        <v>275</v>
      </c>
      <c r="E523" s="345">
        <f t="shared" si="165"/>
        <v>0.17593158216249236</v>
      </c>
      <c r="F523" s="121" t="s">
        <v>1359</v>
      </c>
      <c r="G523" s="121"/>
      <c r="H523" s="346">
        <f t="shared" si="166"/>
        <v>234.1429</v>
      </c>
      <c r="I523" s="121">
        <v>35</v>
      </c>
      <c r="J523" s="346">
        <v>233.85714285714286</v>
      </c>
      <c r="K523" s="128">
        <v>8195</v>
      </c>
      <c r="L523" s="150">
        <v>44526</v>
      </c>
      <c r="M523" s="124">
        <f t="shared" si="14"/>
        <v>247.74289999999999</v>
      </c>
      <c r="N523" s="155">
        <v>248</v>
      </c>
      <c r="O523" s="347">
        <v>8671</v>
      </c>
      <c r="P523" s="120">
        <v>44580</v>
      </c>
      <c r="Q523" s="348">
        <v>44578</v>
      </c>
      <c r="R523" s="125">
        <v>15.93</v>
      </c>
      <c r="S523" s="125"/>
      <c r="T523" s="127">
        <f t="shared" si="163"/>
        <v>476</v>
      </c>
      <c r="U523" s="127" t="str">
        <f t="shared" si="16"/>
        <v>35 TATAPOWER</v>
      </c>
      <c r="V523" s="127">
        <f t="shared" si="17"/>
        <v>460.07</v>
      </c>
      <c r="W523" s="350">
        <f t="shared" si="164"/>
        <v>5.6140329469188531E-2</v>
      </c>
      <c r="X523" s="397">
        <f t="shared" si="19"/>
        <v>0</v>
      </c>
      <c r="Y523" s="352">
        <f t="shared" si="20"/>
        <v>1</v>
      </c>
      <c r="Z523" s="353">
        <f t="shared" si="21"/>
        <v>24</v>
      </c>
      <c r="AA523" s="350">
        <f t="shared" si="110"/>
        <v>0.4465739015176331</v>
      </c>
      <c r="AB523" s="120" t="s">
        <v>471</v>
      </c>
    </row>
    <row r="524" spans="1:28" ht="12.75" customHeight="1">
      <c r="A524" s="120" t="s">
        <v>465</v>
      </c>
      <c r="B524" s="120" t="s">
        <v>1356</v>
      </c>
      <c r="C524" s="343" t="s">
        <v>1358</v>
      </c>
      <c r="D524" s="344">
        <v>275</v>
      </c>
      <c r="E524" s="345">
        <f t="shared" si="165"/>
        <v>0.17593158216249236</v>
      </c>
      <c r="F524" s="121" t="s">
        <v>1359</v>
      </c>
      <c r="G524" s="121"/>
      <c r="H524" s="346">
        <f t="shared" si="166"/>
        <v>234.1429</v>
      </c>
      <c r="I524" s="121">
        <v>35</v>
      </c>
      <c r="J524" s="346">
        <v>233.85714285714286</v>
      </c>
      <c r="K524" s="128">
        <v>8195</v>
      </c>
      <c r="L524" s="150">
        <v>44526</v>
      </c>
      <c r="M524" s="124">
        <f t="shared" si="14"/>
        <v>240.25710000000001</v>
      </c>
      <c r="N524" s="155">
        <v>240.5</v>
      </c>
      <c r="O524" s="347">
        <v>8409</v>
      </c>
      <c r="P524" s="120">
        <v>44582</v>
      </c>
      <c r="Q524" s="348">
        <v>44580</v>
      </c>
      <c r="R524" s="125">
        <v>15.93</v>
      </c>
      <c r="S524" s="125"/>
      <c r="T524" s="127">
        <f t="shared" si="163"/>
        <v>214</v>
      </c>
      <c r="U524" s="127" t="str">
        <f t="shared" si="16"/>
        <v>35 TATAPOWER</v>
      </c>
      <c r="V524" s="127">
        <f t="shared" si="17"/>
        <v>198.07</v>
      </c>
      <c r="W524" s="350">
        <f t="shared" si="164"/>
        <v>2.4169615619280049E-2</v>
      </c>
      <c r="X524" s="397">
        <f t="shared" si="19"/>
        <v>0</v>
      </c>
      <c r="Y524" s="352">
        <f t="shared" si="20"/>
        <v>1</v>
      </c>
      <c r="Z524" s="353">
        <f t="shared" si="21"/>
        <v>26</v>
      </c>
      <c r="AA524" s="350">
        <f t="shared" si="110"/>
        <v>0.16842941015265867</v>
      </c>
      <c r="AB524" s="120" t="s">
        <v>471</v>
      </c>
    </row>
    <row r="525" spans="1:28" ht="12.75" customHeight="1">
      <c r="A525" s="120" t="s">
        <v>465</v>
      </c>
      <c r="B525" s="120"/>
      <c r="C525" s="343"/>
      <c r="D525" s="344"/>
      <c r="E525" s="345" t="str">
        <f t="shared" si="165"/>
        <v/>
      </c>
      <c r="F525" s="121"/>
      <c r="G525" s="121"/>
      <c r="H525" s="346">
        <f t="shared" si="166"/>
        <v>216.3</v>
      </c>
      <c r="I525" s="121">
        <v>10</v>
      </c>
      <c r="J525" s="346">
        <v>216</v>
      </c>
      <c r="K525" s="128">
        <v>2163</v>
      </c>
      <c r="L525" s="150">
        <v>44769</v>
      </c>
      <c r="M525" s="124">
        <f t="shared" si="14"/>
        <v>234.7</v>
      </c>
      <c r="N525" s="155">
        <v>234.95</v>
      </c>
      <c r="O525" s="347">
        <v>2347</v>
      </c>
      <c r="P525" s="120">
        <v>44790</v>
      </c>
      <c r="Q525" s="348">
        <v>44785</v>
      </c>
      <c r="R525" s="125">
        <v>15.93</v>
      </c>
      <c r="S525" s="125"/>
      <c r="T525" s="127">
        <f t="shared" ref="T525:T526" si="167">IF(OR(O525="",K525=""),"",O525-K525)</f>
        <v>184</v>
      </c>
      <c r="U525" s="127" t="str">
        <f t="shared" si="16"/>
        <v>10 TATAPOWER</v>
      </c>
      <c r="V525" s="127">
        <f t="shared" si="17"/>
        <v>168.07</v>
      </c>
      <c r="W525" s="350">
        <f t="shared" ref="W525:W526" si="168">IF(OR(K525="",V525=""),"",V525/K525)</f>
        <v>7.7702265372168275E-2</v>
      </c>
      <c r="X525" s="397">
        <f t="shared" si="19"/>
        <v>0</v>
      </c>
      <c r="Y525" s="352">
        <f t="shared" si="20"/>
        <v>0</v>
      </c>
      <c r="Z525" s="353">
        <f t="shared" si="21"/>
        <v>21</v>
      </c>
      <c r="AA525" s="350">
        <f t="shared" si="110"/>
        <v>2.6716393999676686</v>
      </c>
      <c r="AB525" s="120" t="s">
        <v>471</v>
      </c>
    </row>
    <row r="526" spans="1:28" ht="12.75" customHeight="1">
      <c r="A526" s="120" t="s">
        <v>465</v>
      </c>
      <c r="B526" s="120"/>
      <c r="C526" s="343"/>
      <c r="D526" s="344"/>
      <c r="E526" s="345" t="str">
        <f t="shared" si="165"/>
        <v/>
      </c>
      <c r="F526" s="121"/>
      <c r="G526" s="121"/>
      <c r="H526" s="346">
        <f t="shared" si="166"/>
        <v>245.8</v>
      </c>
      <c r="I526" s="121">
        <v>30</v>
      </c>
      <c r="J526" s="346">
        <v>245.5</v>
      </c>
      <c r="K526" s="128">
        <v>7374</v>
      </c>
      <c r="L526" s="150">
        <v>44579</v>
      </c>
      <c r="M526" s="124">
        <f t="shared" si="14"/>
        <v>245.23330000000001</v>
      </c>
      <c r="N526" s="155">
        <v>245.5</v>
      </c>
      <c r="O526" s="347">
        <v>7357</v>
      </c>
      <c r="P526" s="120">
        <v>44811</v>
      </c>
      <c r="Q526" s="348">
        <v>44810</v>
      </c>
      <c r="R526" s="125">
        <v>15.93</v>
      </c>
      <c r="S526" s="125"/>
      <c r="T526" s="127">
        <f t="shared" si="167"/>
        <v>-17</v>
      </c>
      <c r="U526" s="127" t="str">
        <f t="shared" si="16"/>
        <v>30 TATAPOWER</v>
      </c>
      <c r="V526" s="127">
        <f t="shared" si="17"/>
        <v>-32.93</v>
      </c>
      <c r="W526" s="350">
        <f t="shared" si="168"/>
        <v>-4.46569026308652E-3</v>
      </c>
      <c r="X526" s="397">
        <f t="shared" si="19"/>
        <v>0</v>
      </c>
      <c r="Y526" s="352">
        <f t="shared" si="20"/>
        <v>7</v>
      </c>
      <c r="Z526" s="353">
        <f t="shared" si="21"/>
        <v>20</v>
      </c>
      <c r="AA526" s="350">
        <f t="shared" si="110"/>
        <v>-7.0167637460073484E-3</v>
      </c>
      <c r="AB526" s="120" t="s">
        <v>471</v>
      </c>
    </row>
    <row r="527" spans="1:28" ht="12.75" customHeight="1">
      <c r="A527" s="120" t="s">
        <v>590</v>
      </c>
      <c r="B527" s="120" t="s">
        <v>1053</v>
      </c>
      <c r="C527" s="343" t="s">
        <v>1155</v>
      </c>
      <c r="D527" s="344"/>
      <c r="E527" s="345" t="str">
        <f t="shared" si="165"/>
        <v/>
      </c>
      <c r="F527" s="121"/>
      <c r="G527" s="121"/>
      <c r="H527" s="346">
        <f t="shared" si="166"/>
        <v>1345.5</v>
      </c>
      <c r="I527" s="121">
        <v>6</v>
      </c>
      <c r="J527" s="346">
        <v>1343.4</v>
      </c>
      <c r="K527" s="128">
        <f>8810-737</f>
        <v>8073</v>
      </c>
      <c r="L527" s="150">
        <v>44508</v>
      </c>
      <c r="M527" s="124">
        <f t="shared" si="14"/>
        <v>1293.6667</v>
      </c>
      <c r="N527" s="155">
        <v>1295</v>
      </c>
      <c r="O527" s="347">
        <v>7762</v>
      </c>
      <c r="P527" s="120">
        <v>44624</v>
      </c>
      <c r="Q527" s="348">
        <v>44622</v>
      </c>
      <c r="R527" s="125">
        <v>0</v>
      </c>
      <c r="S527" s="125"/>
      <c r="T527" s="127">
        <f t="shared" ref="T527:T528" si="169">IF(O527="","",O527-K527)</f>
        <v>-311</v>
      </c>
      <c r="U527" s="127" t="str">
        <f t="shared" si="16"/>
        <v>6 TATASTEEL</v>
      </c>
      <c r="V527" s="127">
        <f t="shared" si="17"/>
        <v>-311</v>
      </c>
      <c r="W527" s="350">
        <f t="shared" ref="W527:W528" si="170">IF(M527=0,"",V527/K527)</f>
        <v>-3.8523473306082003E-2</v>
      </c>
      <c r="X527" s="397">
        <f t="shared" si="19"/>
        <v>0</v>
      </c>
      <c r="Y527" s="352">
        <f t="shared" si="20"/>
        <v>3</v>
      </c>
      <c r="Z527" s="353">
        <f t="shared" si="21"/>
        <v>24</v>
      </c>
      <c r="AA527" s="350">
        <f t="shared" si="110"/>
        <v>-0.11627794708276284</v>
      </c>
      <c r="AB527" s="120" t="s">
        <v>471</v>
      </c>
    </row>
    <row r="528" spans="1:28" ht="12.75" customHeight="1">
      <c r="A528" s="120" t="s">
        <v>590</v>
      </c>
      <c r="B528" s="120"/>
      <c r="C528" s="343"/>
      <c r="D528" s="344"/>
      <c r="E528" s="345" t="str">
        <f t="shared" si="165"/>
        <v/>
      </c>
      <c r="F528" s="121"/>
      <c r="G528" s="121"/>
      <c r="H528" s="346">
        <f t="shared" si="166"/>
        <v>1206.5</v>
      </c>
      <c r="I528" s="121">
        <v>4</v>
      </c>
      <c r="J528" s="346">
        <v>1205</v>
      </c>
      <c r="K528" s="128">
        <v>4826</v>
      </c>
      <c r="L528" s="150">
        <v>44579</v>
      </c>
      <c r="M528" s="124">
        <f t="shared" si="14"/>
        <v>1293.75</v>
      </c>
      <c r="N528" s="155">
        <v>1295</v>
      </c>
      <c r="O528" s="347">
        <v>5175</v>
      </c>
      <c r="P528" s="120">
        <v>44624</v>
      </c>
      <c r="Q528" s="348">
        <v>44622</v>
      </c>
      <c r="R528" s="125">
        <v>15.93</v>
      </c>
      <c r="S528" s="125"/>
      <c r="T528" s="127">
        <f t="shared" si="169"/>
        <v>349</v>
      </c>
      <c r="U528" s="127" t="str">
        <f t="shared" si="16"/>
        <v>4 TATASTEEL</v>
      </c>
      <c r="V528" s="127">
        <f t="shared" si="17"/>
        <v>333.07</v>
      </c>
      <c r="W528" s="350">
        <f t="shared" si="170"/>
        <v>6.9015748031496058E-2</v>
      </c>
      <c r="X528" s="397">
        <f t="shared" si="19"/>
        <v>0</v>
      </c>
      <c r="Y528" s="352">
        <f t="shared" si="20"/>
        <v>1</v>
      </c>
      <c r="Z528" s="353">
        <f t="shared" si="21"/>
        <v>14</v>
      </c>
      <c r="AA528" s="350">
        <f t="shared" si="110"/>
        <v>0.71827740735524981</v>
      </c>
      <c r="AB528" s="120" t="s">
        <v>471</v>
      </c>
    </row>
    <row r="529" spans="1:28" ht="12.75" customHeight="1">
      <c r="A529" s="120" t="s">
        <v>590</v>
      </c>
      <c r="B529" s="120"/>
      <c r="C529" s="343"/>
      <c r="D529" s="344"/>
      <c r="E529" s="345" t="str">
        <f t="shared" si="165"/>
        <v/>
      </c>
      <c r="F529" s="121"/>
      <c r="G529" s="121"/>
      <c r="H529" s="346">
        <f t="shared" si="166"/>
        <v>107.62</v>
      </c>
      <c r="I529" s="121">
        <v>50</v>
      </c>
      <c r="J529" s="346">
        <v>107.5</v>
      </c>
      <c r="K529" s="128">
        <v>5381</v>
      </c>
      <c r="L529" s="150">
        <v>44795</v>
      </c>
      <c r="M529" s="124">
        <f t="shared" si="14"/>
        <v>109.14</v>
      </c>
      <c r="N529" s="155">
        <v>109.25</v>
      </c>
      <c r="O529" s="347">
        <v>5457</v>
      </c>
      <c r="P529" s="120">
        <v>44900</v>
      </c>
      <c r="Q529" s="348">
        <v>44896</v>
      </c>
      <c r="R529" s="125">
        <v>15.93</v>
      </c>
      <c r="S529" s="125"/>
      <c r="T529" s="127">
        <f>IF(OR(O529="",K529=""),"",O529-K529)</f>
        <v>76</v>
      </c>
      <c r="U529" s="127" t="str">
        <f t="shared" si="16"/>
        <v>50 TATASTEEL</v>
      </c>
      <c r="V529" s="127">
        <f t="shared" si="17"/>
        <v>60.07</v>
      </c>
      <c r="W529" s="350">
        <f>IF(OR(K529="",V529=""),"",V529/K529)</f>
        <v>1.1163352536703215E-2</v>
      </c>
      <c r="X529" s="397">
        <f t="shared" si="19"/>
        <v>0</v>
      </c>
      <c r="Y529" s="352">
        <f t="shared" si="20"/>
        <v>3</v>
      </c>
      <c r="Z529" s="353">
        <f t="shared" si="21"/>
        <v>13</v>
      </c>
      <c r="AA529" s="350">
        <f t="shared" si="110"/>
        <v>3.934523817204516E-2</v>
      </c>
      <c r="AB529" s="120" t="s">
        <v>471</v>
      </c>
    </row>
    <row r="530" spans="1:28" ht="12.75" customHeight="1">
      <c r="A530" s="120" t="s">
        <v>555</v>
      </c>
      <c r="B530" s="120" t="s">
        <v>1360</v>
      </c>
      <c r="C530" s="343" t="s">
        <v>1115</v>
      </c>
      <c r="D530" s="344" t="s">
        <v>1361</v>
      </c>
      <c r="E530" s="345">
        <f t="shared" si="165"/>
        <v>0.19347826086956521</v>
      </c>
      <c r="F530" s="121" t="s">
        <v>1116</v>
      </c>
      <c r="G530" s="121" t="s">
        <v>1185</v>
      </c>
      <c r="H530" s="346">
        <f t="shared" si="166"/>
        <v>2303</v>
      </c>
      <c r="I530" s="121">
        <v>1</v>
      </c>
      <c r="J530" s="346">
        <v>2300</v>
      </c>
      <c r="K530" s="128">
        <v>2303</v>
      </c>
      <c r="L530" s="150">
        <v>44406</v>
      </c>
      <c r="M530" s="124">
        <f t="shared" si="14"/>
        <v>2373</v>
      </c>
      <c r="N530" s="155">
        <v>2375</v>
      </c>
      <c r="O530" s="347">
        <v>2373</v>
      </c>
      <c r="P530" s="120">
        <v>44481</v>
      </c>
      <c r="Q530" s="348">
        <v>44477</v>
      </c>
      <c r="R530" s="125">
        <v>15.93</v>
      </c>
      <c r="S530" s="125"/>
      <c r="T530" s="127">
        <f t="shared" ref="T530:T534" si="171">IF(O530="","",O530-K530)</f>
        <v>70</v>
      </c>
      <c r="U530" s="127" t="str">
        <f t="shared" si="16"/>
        <v>1 TATVA</v>
      </c>
      <c r="V530" s="127">
        <f t="shared" si="17"/>
        <v>54.07</v>
      </c>
      <c r="W530" s="350">
        <f t="shared" ref="W530:W534" si="172">IF(M530=0,"",V530/K530)</f>
        <v>2.3478072079895787E-2</v>
      </c>
      <c r="X530" s="397">
        <f t="shared" si="19"/>
        <v>0</v>
      </c>
      <c r="Y530" s="352">
        <f t="shared" si="20"/>
        <v>2</v>
      </c>
      <c r="Z530" s="353">
        <f t="shared" si="21"/>
        <v>13</v>
      </c>
      <c r="AA530" s="350">
        <f t="shared" si="110"/>
        <v>0.1195639513658846</v>
      </c>
      <c r="AB530" s="120" t="s">
        <v>471</v>
      </c>
    </row>
    <row r="531" spans="1:28" ht="12.75" customHeight="1">
      <c r="A531" s="120" t="s">
        <v>574</v>
      </c>
      <c r="B531" s="120" t="s">
        <v>1362</v>
      </c>
      <c r="C531" s="343" t="s">
        <v>1363</v>
      </c>
      <c r="D531" s="344"/>
      <c r="E531" s="345" t="str">
        <f t="shared" si="165"/>
        <v/>
      </c>
      <c r="F531" s="121" t="s">
        <v>1107</v>
      </c>
      <c r="G531" s="121"/>
      <c r="H531" s="346">
        <f t="shared" si="166"/>
        <v>3564.5</v>
      </c>
      <c r="I531" s="121">
        <v>2</v>
      </c>
      <c r="J531" s="346">
        <v>3560</v>
      </c>
      <c r="K531" s="128">
        <v>7129</v>
      </c>
      <c r="L531" s="150">
        <v>44490</v>
      </c>
      <c r="M531" s="124">
        <f t="shared" si="14"/>
        <v>3546.5</v>
      </c>
      <c r="N531" s="155">
        <v>3550</v>
      </c>
      <c r="O531" s="347">
        <v>7093</v>
      </c>
      <c r="P531" s="120">
        <v>44532</v>
      </c>
      <c r="Q531" s="348">
        <v>44530</v>
      </c>
      <c r="R531" s="125">
        <v>15.93</v>
      </c>
      <c r="S531" s="125"/>
      <c r="T531" s="127">
        <f t="shared" si="171"/>
        <v>-36</v>
      </c>
      <c r="U531" s="127" t="str">
        <f t="shared" si="16"/>
        <v>2 TCS</v>
      </c>
      <c r="V531" s="127">
        <f t="shared" si="17"/>
        <v>-51.93</v>
      </c>
      <c r="W531" s="350">
        <f t="shared" si="172"/>
        <v>-7.2843316033104222E-3</v>
      </c>
      <c r="X531" s="397">
        <f t="shared" si="19"/>
        <v>0</v>
      </c>
      <c r="Y531" s="352">
        <f t="shared" si="20"/>
        <v>1</v>
      </c>
      <c r="Z531" s="353">
        <f t="shared" si="21"/>
        <v>11</v>
      </c>
      <c r="AA531" s="350">
        <f t="shared" si="110"/>
        <v>-6.1559666081930531E-2</v>
      </c>
      <c r="AB531" s="120" t="s">
        <v>471</v>
      </c>
    </row>
    <row r="532" spans="1:28" ht="12.75" customHeight="1">
      <c r="A532" s="120" t="s">
        <v>574</v>
      </c>
      <c r="B532" s="120" t="s">
        <v>1362</v>
      </c>
      <c r="C532" s="343" t="s">
        <v>1363</v>
      </c>
      <c r="D532" s="344"/>
      <c r="E532" s="345" t="str">
        <f t="shared" si="165"/>
        <v/>
      </c>
      <c r="F532" s="121" t="s">
        <v>1107</v>
      </c>
      <c r="G532" s="121"/>
      <c r="H532" s="346">
        <f t="shared" si="166"/>
        <v>3519</v>
      </c>
      <c r="I532" s="121">
        <v>1</v>
      </c>
      <c r="J532" s="346">
        <v>3515</v>
      </c>
      <c r="K532" s="128">
        <v>3519</v>
      </c>
      <c r="L532" s="150">
        <v>44491</v>
      </c>
      <c r="M532" s="124">
        <f t="shared" si="14"/>
        <v>3547</v>
      </c>
      <c r="N532" s="155">
        <v>3551</v>
      </c>
      <c r="O532" s="347">
        <v>3547</v>
      </c>
      <c r="P532" s="120">
        <v>44533</v>
      </c>
      <c r="Q532" s="348">
        <v>44531</v>
      </c>
      <c r="R532" s="125">
        <v>0</v>
      </c>
      <c r="S532" s="125"/>
      <c r="T532" s="127">
        <f t="shared" si="171"/>
        <v>28</v>
      </c>
      <c r="U532" s="127" t="str">
        <f t="shared" si="16"/>
        <v>1 TCS</v>
      </c>
      <c r="V532" s="127">
        <f t="shared" si="17"/>
        <v>28</v>
      </c>
      <c r="W532" s="350">
        <f t="shared" si="172"/>
        <v>7.956805910770106E-3</v>
      </c>
      <c r="X532" s="397">
        <f t="shared" si="19"/>
        <v>0</v>
      </c>
      <c r="Y532" s="352">
        <f t="shared" si="20"/>
        <v>1</v>
      </c>
      <c r="Z532" s="353">
        <f t="shared" si="21"/>
        <v>11</v>
      </c>
      <c r="AA532" s="350">
        <f t="shared" si="110"/>
        <v>7.1302055111595042E-2</v>
      </c>
      <c r="AB532" s="120" t="s">
        <v>471</v>
      </c>
    </row>
    <row r="533" spans="1:28" ht="12.75" customHeight="1">
      <c r="A533" s="120" t="s">
        <v>574</v>
      </c>
      <c r="B533" s="120" t="s">
        <v>1362</v>
      </c>
      <c r="C533" s="343" t="s">
        <v>1363</v>
      </c>
      <c r="D533" s="344"/>
      <c r="E533" s="345" t="str">
        <f t="shared" si="165"/>
        <v/>
      </c>
      <c r="F533" s="121" t="s">
        <v>1107</v>
      </c>
      <c r="G533" s="121"/>
      <c r="H533" s="346">
        <f t="shared" si="166"/>
        <v>3564</v>
      </c>
      <c r="I533" s="121">
        <v>2</v>
      </c>
      <c r="J533" s="346">
        <v>3560</v>
      </c>
      <c r="K533" s="128">
        <v>7128</v>
      </c>
      <c r="L533" s="150">
        <v>44490</v>
      </c>
      <c r="M533" s="124">
        <f t="shared" si="14"/>
        <v>3577.5</v>
      </c>
      <c r="N533" s="155">
        <v>3581.0250000000001</v>
      </c>
      <c r="O533" s="347">
        <v>7155</v>
      </c>
      <c r="P533" s="120">
        <v>44533</v>
      </c>
      <c r="Q533" s="348">
        <v>44531</v>
      </c>
      <c r="R533" s="125">
        <v>15.93</v>
      </c>
      <c r="S533" s="125"/>
      <c r="T533" s="127">
        <f t="shared" si="171"/>
        <v>27</v>
      </c>
      <c r="U533" s="127" t="str">
        <f t="shared" si="16"/>
        <v>2 TCS</v>
      </c>
      <c r="V533" s="127">
        <f t="shared" si="17"/>
        <v>11.07</v>
      </c>
      <c r="W533" s="350">
        <f t="shared" si="172"/>
        <v>1.5530303030303031E-3</v>
      </c>
      <c r="X533" s="397">
        <f t="shared" si="19"/>
        <v>0</v>
      </c>
      <c r="Y533" s="352">
        <f t="shared" si="20"/>
        <v>1</v>
      </c>
      <c r="Z533" s="353">
        <f t="shared" si="21"/>
        <v>12</v>
      </c>
      <c r="AA533" s="350">
        <f t="shared" si="110"/>
        <v>1.3259612320893011E-2</v>
      </c>
      <c r="AB533" s="120" t="s">
        <v>471</v>
      </c>
    </row>
    <row r="534" spans="1:28" ht="12.75" customHeight="1">
      <c r="A534" s="120" t="s">
        <v>574</v>
      </c>
      <c r="B534" s="120" t="s">
        <v>1362</v>
      </c>
      <c r="C534" s="343" t="s">
        <v>1363</v>
      </c>
      <c r="D534" s="344"/>
      <c r="E534" s="345" t="str">
        <f t="shared" si="165"/>
        <v/>
      </c>
      <c r="F534" s="121" t="s">
        <v>1107</v>
      </c>
      <c r="G534" s="121"/>
      <c r="H534" s="346">
        <f t="shared" si="166"/>
        <v>3618</v>
      </c>
      <c r="I534" s="121">
        <v>1</v>
      </c>
      <c r="J534" s="346">
        <v>3614</v>
      </c>
      <c r="K534" s="128">
        <v>3618</v>
      </c>
      <c r="L534" s="150">
        <v>44487</v>
      </c>
      <c r="M534" s="124">
        <f t="shared" si="14"/>
        <v>3626</v>
      </c>
      <c r="N534" s="155">
        <v>3630</v>
      </c>
      <c r="O534" s="347">
        <v>3626</v>
      </c>
      <c r="P534" s="120">
        <v>44536</v>
      </c>
      <c r="Q534" s="348">
        <v>44532</v>
      </c>
      <c r="R534" s="125">
        <v>15.93</v>
      </c>
      <c r="S534" s="125"/>
      <c r="T534" s="127">
        <f t="shared" si="171"/>
        <v>8</v>
      </c>
      <c r="U534" s="127" t="str">
        <f t="shared" si="16"/>
        <v>1 TCS</v>
      </c>
      <c r="V534" s="127">
        <f t="shared" si="17"/>
        <v>-7.93</v>
      </c>
      <c r="W534" s="350">
        <f t="shared" si="172"/>
        <v>-2.1918186843559975E-3</v>
      </c>
      <c r="X534" s="397">
        <f t="shared" si="19"/>
        <v>0</v>
      </c>
      <c r="Y534" s="352">
        <f t="shared" si="20"/>
        <v>1</v>
      </c>
      <c r="Z534" s="353">
        <f t="shared" si="21"/>
        <v>18</v>
      </c>
      <c r="AA534" s="350">
        <f t="shared" si="110"/>
        <v>-1.6211881204597267E-2</v>
      </c>
      <c r="AB534" s="120" t="s">
        <v>471</v>
      </c>
    </row>
    <row r="535" spans="1:28" ht="12.75" customHeight="1">
      <c r="A535" s="120" t="s">
        <v>574</v>
      </c>
      <c r="B535" s="120"/>
      <c r="C535" s="343"/>
      <c r="D535" s="344"/>
      <c r="E535" s="345" t="str">
        <f t="shared" si="165"/>
        <v/>
      </c>
      <c r="F535" s="121"/>
      <c r="G535" s="121"/>
      <c r="H535" s="346">
        <f t="shared" si="166"/>
        <v>3133.5</v>
      </c>
      <c r="I535" s="121">
        <v>2</v>
      </c>
      <c r="J535" s="346">
        <v>3130</v>
      </c>
      <c r="K535" s="128">
        <v>6267</v>
      </c>
      <c r="L535" s="150">
        <v>44818</v>
      </c>
      <c r="M535" s="124">
        <f t="shared" si="14"/>
        <v>3356.5</v>
      </c>
      <c r="N535" s="155">
        <v>3360</v>
      </c>
      <c r="O535" s="347">
        <v>6713</v>
      </c>
      <c r="P535" s="120">
        <v>44893</v>
      </c>
      <c r="Q535" s="348">
        <v>44889</v>
      </c>
      <c r="R535" s="125">
        <v>15.93</v>
      </c>
      <c r="S535" s="125"/>
      <c r="T535" s="127">
        <f>IF(OR(O535="",K535=""),"",O535-K535)</f>
        <v>446</v>
      </c>
      <c r="U535" s="127" t="str">
        <f t="shared" si="16"/>
        <v>2 TCS</v>
      </c>
      <c r="V535" s="127">
        <f t="shared" si="17"/>
        <v>430.07</v>
      </c>
      <c r="W535" s="350">
        <f>IF(OR(K535="",V535=""),"",V535/K535)</f>
        <v>6.8624541247805967E-2</v>
      </c>
      <c r="X535" s="397">
        <f t="shared" si="19"/>
        <v>0</v>
      </c>
      <c r="Y535" s="352">
        <f t="shared" si="20"/>
        <v>2</v>
      </c>
      <c r="Z535" s="353">
        <f t="shared" si="21"/>
        <v>14</v>
      </c>
      <c r="AA535" s="350">
        <f t="shared" si="110"/>
        <v>0.38128204251775033</v>
      </c>
      <c r="AB535" s="120" t="s">
        <v>471</v>
      </c>
    </row>
    <row r="536" spans="1:28" ht="12.75" customHeight="1">
      <c r="A536" s="120" t="s">
        <v>560</v>
      </c>
      <c r="B536" s="120" t="s">
        <v>1364</v>
      </c>
      <c r="C536" s="343" t="s">
        <v>1365</v>
      </c>
      <c r="D536" s="344"/>
      <c r="E536" s="345" t="str">
        <f t="shared" si="165"/>
        <v/>
      </c>
      <c r="F536" s="121" t="s">
        <v>1107</v>
      </c>
      <c r="G536" s="121"/>
      <c r="H536" s="346">
        <f t="shared" si="166"/>
        <v>77.090900000000005</v>
      </c>
      <c r="I536" s="121">
        <v>11</v>
      </c>
      <c r="J536" s="346">
        <v>77</v>
      </c>
      <c r="K536" s="128">
        <v>848</v>
      </c>
      <c r="L536" s="150">
        <v>44433</v>
      </c>
      <c r="M536" s="124">
        <f t="shared" si="14"/>
        <v>103</v>
      </c>
      <c r="N536" s="155">
        <v>103.15</v>
      </c>
      <c r="O536" s="347">
        <v>1133</v>
      </c>
      <c r="P536" s="120">
        <v>44447</v>
      </c>
      <c r="Q536" s="348">
        <v>44445</v>
      </c>
      <c r="R536" s="125">
        <v>15.93</v>
      </c>
      <c r="S536" s="125"/>
      <c r="T536" s="127">
        <f t="shared" ref="T536:T546" si="173">IF(O536="","",O536-K536)</f>
        <v>285</v>
      </c>
      <c r="U536" s="127" t="str">
        <f t="shared" si="16"/>
        <v>11 TIGERLOGS</v>
      </c>
      <c r="V536" s="127">
        <f t="shared" si="17"/>
        <v>269.07</v>
      </c>
      <c r="W536" s="350">
        <f t="shared" ref="W536:W546" si="174">IF(M536=0,"",V536/K536)</f>
        <v>0.31729952830188679</v>
      </c>
      <c r="X536" s="397">
        <f t="shared" si="19"/>
        <v>0</v>
      </c>
      <c r="Y536" s="352">
        <f t="shared" si="20"/>
        <v>0</v>
      </c>
      <c r="Z536" s="353">
        <f t="shared" si="21"/>
        <v>14</v>
      </c>
      <c r="AA536" s="350">
        <f t="shared" si="110"/>
        <v>1318.3099552950305</v>
      </c>
      <c r="AB536" s="120" t="s">
        <v>471</v>
      </c>
    </row>
    <row r="537" spans="1:28" ht="12.75" customHeight="1">
      <c r="A537" s="120" t="s">
        <v>586</v>
      </c>
      <c r="B537" s="120"/>
      <c r="C537" s="343"/>
      <c r="D537" s="344">
        <v>9</v>
      </c>
      <c r="E537" s="345">
        <f t="shared" si="165"/>
        <v>0.70777988614800769</v>
      </c>
      <c r="F537" s="121" t="s">
        <v>1124</v>
      </c>
      <c r="G537" s="121" t="s">
        <v>1125</v>
      </c>
      <c r="H537" s="346">
        <f t="shared" si="166"/>
        <v>5.2765000000000004</v>
      </c>
      <c r="I537" s="121">
        <v>2000</v>
      </c>
      <c r="J537" s="346">
        <v>5.27</v>
      </c>
      <c r="K537" s="128">
        <v>10553</v>
      </c>
      <c r="L537" s="150">
        <v>44572</v>
      </c>
      <c r="M537" s="124">
        <f t="shared" si="14"/>
        <v>6.3365</v>
      </c>
      <c r="N537" s="155">
        <v>6.35</v>
      </c>
      <c r="O537" s="347">
        <v>12673</v>
      </c>
      <c r="P537" s="120">
        <v>44580</v>
      </c>
      <c r="Q537" s="348">
        <v>44578</v>
      </c>
      <c r="R537" s="125">
        <v>15.93</v>
      </c>
      <c r="S537" s="125"/>
      <c r="T537" s="127">
        <f t="shared" si="173"/>
        <v>2120</v>
      </c>
      <c r="U537" s="127" t="str">
        <f t="shared" si="16"/>
        <v>2000 TOYAMIND</v>
      </c>
      <c r="V537" s="127">
        <f t="shared" si="17"/>
        <v>2104.0700000000002</v>
      </c>
      <c r="W537" s="350">
        <f t="shared" si="174"/>
        <v>0.19938121861082159</v>
      </c>
      <c r="X537" s="397">
        <f t="shared" si="19"/>
        <v>0</v>
      </c>
      <c r="Y537" s="352">
        <f t="shared" si="20"/>
        <v>0</v>
      </c>
      <c r="Z537" s="353">
        <f t="shared" si="21"/>
        <v>8</v>
      </c>
      <c r="AA537" s="350">
        <f t="shared" si="110"/>
        <v>4002.3563542050092</v>
      </c>
      <c r="AB537" s="120" t="s">
        <v>471</v>
      </c>
    </row>
    <row r="538" spans="1:28" ht="12.75" customHeight="1">
      <c r="A538" s="120" t="s">
        <v>586</v>
      </c>
      <c r="B538" s="120"/>
      <c r="C538" s="343"/>
      <c r="D538" s="344"/>
      <c r="E538" s="345" t="str">
        <f t="shared" si="165"/>
        <v/>
      </c>
      <c r="F538" s="121"/>
      <c r="G538" s="121"/>
      <c r="H538" s="346">
        <f t="shared" si="166"/>
        <v>7.468</v>
      </c>
      <c r="I538" s="121">
        <v>500</v>
      </c>
      <c r="J538" s="346">
        <v>7.45</v>
      </c>
      <c r="K538" s="128">
        <v>3734</v>
      </c>
      <c r="L538" s="150">
        <v>44586</v>
      </c>
      <c r="M538" s="124">
        <f t="shared" si="14"/>
        <v>8.9499999999999993</v>
      </c>
      <c r="N538" s="155">
        <v>8.9700000000000006</v>
      </c>
      <c r="O538" s="347">
        <v>4475</v>
      </c>
      <c r="P538" s="120">
        <v>44594</v>
      </c>
      <c r="Q538" s="348">
        <v>44592</v>
      </c>
      <c r="R538" s="125">
        <v>15.93</v>
      </c>
      <c r="S538" s="125"/>
      <c r="T538" s="127">
        <f t="shared" si="173"/>
        <v>741</v>
      </c>
      <c r="U538" s="127" t="str">
        <f t="shared" si="16"/>
        <v>500 TOYAMIND</v>
      </c>
      <c r="V538" s="127">
        <f t="shared" si="17"/>
        <v>725.07</v>
      </c>
      <c r="W538" s="350">
        <f t="shared" si="174"/>
        <v>0.19418050348152116</v>
      </c>
      <c r="X538" s="397">
        <f t="shared" si="19"/>
        <v>0</v>
      </c>
      <c r="Y538" s="352">
        <f t="shared" si="20"/>
        <v>0</v>
      </c>
      <c r="Z538" s="353">
        <f t="shared" si="21"/>
        <v>8</v>
      </c>
      <c r="AA538" s="350">
        <f t="shared" si="110"/>
        <v>3282.3537587104574</v>
      </c>
      <c r="AB538" s="120" t="s">
        <v>471</v>
      </c>
    </row>
    <row r="539" spans="1:28" ht="12.75" customHeight="1">
      <c r="A539" s="120" t="s">
        <v>586</v>
      </c>
      <c r="B539" s="120"/>
      <c r="C539" s="343"/>
      <c r="D539" s="344"/>
      <c r="E539" s="345" t="str">
        <f t="shared" si="165"/>
        <v/>
      </c>
      <c r="F539" s="121"/>
      <c r="G539" s="121"/>
      <c r="H539" s="346">
        <f t="shared" si="166"/>
        <v>7.6230000000000002</v>
      </c>
      <c r="I539" s="121">
        <v>1000</v>
      </c>
      <c r="J539" s="346">
        <v>7.6050000000000004</v>
      </c>
      <c r="K539" s="128">
        <v>7623</v>
      </c>
      <c r="L539" s="150">
        <v>44585</v>
      </c>
      <c r="M539" s="124">
        <f t="shared" si="14"/>
        <v>9.2949999999999999</v>
      </c>
      <c r="N539" s="155">
        <v>9.3149999999999995</v>
      </c>
      <c r="O539" s="347">
        <v>9295</v>
      </c>
      <c r="P539" s="120">
        <v>44595</v>
      </c>
      <c r="Q539" s="348">
        <v>44593</v>
      </c>
      <c r="R539" s="125">
        <v>15.93</v>
      </c>
      <c r="S539" s="125"/>
      <c r="T539" s="127">
        <f t="shared" si="173"/>
        <v>1672</v>
      </c>
      <c r="U539" s="127" t="str">
        <f t="shared" si="16"/>
        <v>1000 TOYAMIND</v>
      </c>
      <c r="V539" s="127">
        <f t="shared" si="17"/>
        <v>1656.07</v>
      </c>
      <c r="W539" s="350">
        <f t="shared" si="174"/>
        <v>0.2172464908828545</v>
      </c>
      <c r="X539" s="397">
        <f t="shared" si="19"/>
        <v>0</v>
      </c>
      <c r="Y539" s="352">
        <f t="shared" si="20"/>
        <v>0</v>
      </c>
      <c r="Z539" s="353">
        <f t="shared" si="21"/>
        <v>10</v>
      </c>
      <c r="AA539" s="350">
        <f t="shared" si="110"/>
        <v>1306.1227985539513</v>
      </c>
      <c r="AB539" s="120" t="s">
        <v>471</v>
      </c>
    </row>
    <row r="540" spans="1:28" ht="12.75" customHeight="1">
      <c r="A540" s="120" t="s">
        <v>586</v>
      </c>
      <c r="B540" s="120"/>
      <c r="C540" s="343"/>
      <c r="D540" s="344"/>
      <c r="E540" s="345" t="str">
        <f t="shared" si="165"/>
        <v/>
      </c>
      <c r="F540" s="121"/>
      <c r="G540" s="121"/>
      <c r="H540" s="346">
        <f t="shared" si="166"/>
        <v>9.1809999999999992</v>
      </c>
      <c r="I540" s="121">
        <v>1000</v>
      </c>
      <c r="J540" s="346">
        <v>9.16</v>
      </c>
      <c r="K540" s="128">
        <v>9181</v>
      </c>
      <c r="L540" s="150">
        <v>44593</v>
      </c>
      <c r="M540" s="124">
        <f t="shared" si="14"/>
        <v>9.1999999999999993</v>
      </c>
      <c r="N540" s="155">
        <v>9.2200000000000006</v>
      </c>
      <c r="O540" s="347">
        <v>9200</v>
      </c>
      <c r="P540" s="120">
        <v>44655</v>
      </c>
      <c r="Q540" s="348">
        <v>44651</v>
      </c>
      <c r="R540" s="125">
        <v>15.93</v>
      </c>
      <c r="S540" s="125"/>
      <c r="T540" s="127">
        <f t="shared" si="173"/>
        <v>19</v>
      </c>
      <c r="U540" s="127" t="str">
        <f t="shared" si="16"/>
        <v>1000 TOYAMIND</v>
      </c>
      <c r="V540" s="127">
        <f t="shared" si="17"/>
        <v>3.0700000000000003</v>
      </c>
      <c r="W540" s="350">
        <f t="shared" si="174"/>
        <v>3.3438623243655378E-4</v>
      </c>
      <c r="X540" s="397">
        <f t="shared" si="19"/>
        <v>0</v>
      </c>
      <c r="Y540" s="352">
        <f t="shared" si="20"/>
        <v>2</v>
      </c>
      <c r="Z540" s="353">
        <f t="shared" si="21"/>
        <v>3</v>
      </c>
      <c r="AA540" s="350">
        <f t="shared" si="110"/>
        <v>1.970173299341571E-3</v>
      </c>
      <c r="AB540" s="120" t="s">
        <v>471</v>
      </c>
    </row>
    <row r="541" spans="1:28" ht="12.75" customHeight="1">
      <c r="A541" s="120" t="s">
        <v>586</v>
      </c>
      <c r="B541" s="120"/>
      <c r="C541" s="343"/>
      <c r="D541" s="344"/>
      <c r="E541" s="345" t="str">
        <f t="shared" si="165"/>
        <v/>
      </c>
      <c r="F541" s="121"/>
      <c r="G541" s="121"/>
      <c r="H541" s="346">
        <f t="shared" si="166"/>
        <v>8.33</v>
      </c>
      <c r="I541" s="121">
        <v>500</v>
      </c>
      <c r="J541" s="346">
        <v>8.31</v>
      </c>
      <c r="K541" s="128">
        <v>4165</v>
      </c>
      <c r="L541" s="150">
        <v>44603</v>
      </c>
      <c r="M541" s="124">
        <f t="shared" si="14"/>
        <v>9.1999999999999993</v>
      </c>
      <c r="N541" s="155">
        <v>9.2200000000000006</v>
      </c>
      <c r="O541" s="347">
        <v>4600</v>
      </c>
      <c r="P541" s="120">
        <v>44655</v>
      </c>
      <c r="Q541" s="348">
        <v>44651</v>
      </c>
      <c r="R541" s="125">
        <v>0</v>
      </c>
      <c r="S541" s="125"/>
      <c r="T541" s="127">
        <f t="shared" si="173"/>
        <v>435</v>
      </c>
      <c r="U541" s="127" t="str">
        <f t="shared" si="16"/>
        <v>500 TOYAMIND</v>
      </c>
      <c r="V541" s="127">
        <f t="shared" si="17"/>
        <v>435</v>
      </c>
      <c r="W541" s="350">
        <f t="shared" si="174"/>
        <v>0.10444177671068428</v>
      </c>
      <c r="X541" s="397">
        <f t="shared" si="19"/>
        <v>0</v>
      </c>
      <c r="Y541" s="352">
        <f t="shared" si="20"/>
        <v>1</v>
      </c>
      <c r="Z541" s="353">
        <f t="shared" si="21"/>
        <v>24</v>
      </c>
      <c r="AA541" s="350">
        <f t="shared" si="110"/>
        <v>1.0083039909472773</v>
      </c>
      <c r="AB541" s="120" t="s">
        <v>471</v>
      </c>
    </row>
    <row r="542" spans="1:28" ht="12.75" customHeight="1">
      <c r="A542" s="120" t="s">
        <v>586</v>
      </c>
      <c r="B542" s="120"/>
      <c r="C542" s="343"/>
      <c r="D542" s="344"/>
      <c r="E542" s="345" t="str">
        <f t="shared" si="165"/>
        <v/>
      </c>
      <c r="F542" s="121"/>
      <c r="G542" s="121"/>
      <c r="H542" s="346">
        <f t="shared" si="166"/>
        <v>7.92</v>
      </c>
      <c r="I542" s="121">
        <v>300</v>
      </c>
      <c r="J542" s="346">
        <v>7.9</v>
      </c>
      <c r="K542" s="128">
        <v>2376</v>
      </c>
      <c r="L542" s="150">
        <v>44606</v>
      </c>
      <c r="M542" s="124">
        <f t="shared" si="14"/>
        <v>9.7899999999999991</v>
      </c>
      <c r="N542" s="155">
        <v>9.81</v>
      </c>
      <c r="O542" s="347">
        <v>2937</v>
      </c>
      <c r="P542" s="120">
        <v>44657</v>
      </c>
      <c r="Q542" s="348">
        <v>44655</v>
      </c>
      <c r="R542" s="125">
        <v>15.93</v>
      </c>
      <c r="S542" s="125"/>
      <c r="T542" s="127">
        <f t="shared" si="173"/>
        <v>561</v>
      </c>
      <c r="U542" s="127" t="str">
        <f t="shared" si="16"/>
        <v>300 TOYAMIND</v>
      </c>
      <c r="V542" s="127">
        <f t="shared" si="17"/>
        <v>545.07000000000005</v>
      </c>
      <c r="W542" s="350">
        <f t="shared" si="174"/>
        <v>0.22940656565656567</v>
      </c>
      <c r="X542" s="397">
        <f t="shared" si="19"/>
        <v>0</v>
      </c>
      <c r="Y542" s="352">
        <f t="shared" si="20"/>
        <v>1</v>
      </c>
      <c r="Z542" s="353">
        <f t="shared" si="21"/>
        <v>23</v>
      </c>
      <c r="AA542" s="350">
        <f t="shared" si="110"/>
        <v>3.3846868687020937</v>
      </c>
      <c r="AB542" s="120" t="s">
        <v>471</v>
      </c>
    </row>
    <row r="543" spans="1:28" ht="12.75" customHeight="1">
      <c r="A543" s="120" t="s">
        <v>586</v>
      </c>
      <c r="B543" s="120"/>
      <c r="C543" s="343"/>
      <c r="D543" s="344"/>
      <c r="E543" s="345" t="str">
        <f t="shared" si="165"/>
        <v/>
      </c>
      <c r="F543" s="121"/>
      <c r="G543" s="121"/>
      <c r="H543" s="346">
        <f t="shared" si="166"/>
        <v>7.53</v>
      </c>
      <c r="I543" s="121">
        <v>200</v>
      </c>
      <c r="J543" s="346">
        <v>7.51</v>
      </c>
      <c r="K543" s="128">
        <v>1506</v>
      </c>
      <c r="L543" s="150">
        <v>44607</v>
      </c>
      <c r="M543" s="124">
        <f t="shared" si="14"/>
        <v>10.28</v>
      </c>
      <c r="N543" s="155">
        <v>10.3</v>
      </c>
      <c r="O543" s="347">
        <v>2056</v>
      </c>
      <c r="P543" s="120">
        <v>44658</v>
      </c>
      <c r="Q543" s="348">
        <v>44656</v>
      </c>
      <c r="R543" s="125">
        <v>15.93</v>
      </c>
      <c r="S543" s="125"/>
      <c r="T543" s="127">
        <f t="shared" si="173"/>
        <v>550</v>
      </c>
      <c r="U543" s="127" t="str">
        <f t="shared" si="16"/>
        <v>200 TOYAMIND</v>
      </c>
      <c r="V543" s="127">
        <f t="shared" si="17"/>
        <v>534.07000000000005</v>
      </c>
      <c r="W543" s="350">
        <f t="shared" si="174"/>
        <v>0.35462815405046483</v>
      </c>
      <c r="X543" s="397">
        <f t="shared" si="19"/>
        <v>0</v>
      </c>
      <c r="Y543" s="352">
        <f t="shared" si="20"/>
        <v>1</v>
      </c>
      <c r="Z543" s="353">
        <f t="shared" si="21"/>
        <v>23</v>
      </c>
      <c r="AA543" s="350">
        <f t="shared" si="110"/>
        <v>7.7784602176440032</v>
      </c>
      <c r="AB543" s="120" t="s">
        <v>471</v>
      </c>
    </row>
    <row r="544" spans="1:28" ht="12.75" customHeight="1">
      <c r="A544" s="120" t="s">
        <v>517</v>
      </c>
      <c r="B544" s="120" t="s">
        <v>1366</v>
      </c>
      <c r="C544" s="343" t="s">
        <v>1163</v>
      </c>
      <c r="D544" s="344">
        <v>890</v>
      </c>
      <c r="E544" s="345">
        <f t="shared" si="165"/>
        <v>5.575326215895611E-2</v>
      </c>
      <c r="F544" s="121" t="s">
        <v>1116</v>
      </c>
      <c r="G544" s="121" t="s">
        <v>1117</v>
      </c>
      <c r="H544" s="346">
        <f t="shared" si="166"/>
        <v>844</v>
      </c>
      <c r="I544" s="121">
        <v>25</v>
      </c>
      <c r="J544" s="346">
        <v>843</v>
      </c>
      <c r="K544" s="128">
        <v>21100</v>
      </c>
      <c r="L544" s="150">
        <v>44344</v>
      </c>
      <c r="M544" s="124">
        <f t="shared" si="14"/>
        <v>869.08</v>
      </c>
      <c r="N544" s="155">
        <v>870</v>
      </c>
      <c r="O544" s="347">
        <v>21727</v>
      </c>
      <c r="P544" s="120">
        <v>44358</v>
      </c>
      <c r="Q544" s="348">
        <v>44356</v>
      </c>
      <c r="R544" s="125">
        <v>15.93</v>
      </c>
      <c r="S544" s="125"/>
      <c r="T544" s="127">
        <f t="shared" si="173"/>
        <v>627</v>
      </c>
      <c r="U544" s="127" t="str">
        <f t="shared" si="16"/>
        <v>25 TRENT</v>
      </c>
      <c r="V544" s="127">
        <f t="shared" si="17"/>
        <v>611.07000000000005</v>
      </c>
      <c r="W544" s="350">
        <f t="shared" si="174"/>
        <v>2.8960663507109009E-2</v>
      </c>
      <c r="X544" s="397">
        <f t="shared" si="19"/>
        <v>0</v>
      </c>
      <c r="Y544" s="352">
        <f t="shared" si="20"/>
        <v>0</v>
      </c>
      <c r="Z544" s="353">
        <f t="shared" si="21"/>
        <v>14</v>
      </c>
      <c r="AA544" s="350">
        <f t="shared" si="110"/>
        <v>1.1050077834939263</v>
      </c>
      <c r="AB544" s="120" t="s">
        <v>471</v>
      </c>
    </row>
    <row r="545" spans="1:28" ht="12.75" customHeight="1">
      <c r="A545" s="120" t="s">
        <v>557</v>
      </c>
      <c r="B545" s="120" t="s">
        <v>1367</v>
      </c>
      <c r="C545" s="343" t="s">
        <v>1172</v>
      </c>
      <c r="D545" s="344" t="s">
        <v>1368</v>
      </c>
      <c r="E545" s="345">
        <f t="shared" si="165"/>
        <v>0.46341463414634149</v>
      </c>
      <c r="F545" s="121" t="s">
        <v>1124</v>
      </c>
      <c r="G545" s="121" t="s">
        <v>1369</v>
      </c>
      <c r="H545" s="346">
        <f t="shared" si="166"/>
        <v>20.52</v>
      </c>
      <c r="I545" s="121">
        <v>50</v>
      </c>
      <c r="J545" s="346">
        <v>20.5</v>
      </c>
      <c r="K545" s="128">
        <v>1026</v>
      </c>
      <c r="L545" s="150">
        <v>44407</v>
      </c>
      <c r="M545" s="124">
        <f t="shared" si="14"/>
        <v>20.62</v>
      </c>
      <c r="N545" s="155">
        <v>20.65</v>
      </c>
      <c r="O545" s="347">
        <v>1031</v>
      </c>
      <c r="P545" s="120">
        <v>44438</v>
      </c>
      <c r="Q545" s="348">
        <v>44434</v>
      </c>
      <c r="R545" s="125">
        <v>15.93</v>
      </c>
      <c r="S545" s="125"/>
      <c r="T545" s="127">
        <f t="shared" si="173"/>
        <v>5</v>
      </c>
      <c r="U545" s="127" t="str">
        <f t="shared" si="16"/>
        <v>50 TRIDENT</v>
      </c>
      <c r="V545" s="127">
        <f t="shared" si="17"/>
        <v>-10.93</v>
      </c>
      <c r="W545" s="350">
        <f t="shared" si="174"/>
        <v>-1.0653021442495126E-2</v>
      </c>
      <c r="X545" s="397">
        <f t="shared" si="19"/>
        <v>0</v>
      </c>
      <c r="Y545" s="352">
        <f t="shared" si="20"/>
        <v>1</v>
      </c>
      <c r="Z545" s="353">
        <f t="shared" si="21"/>
        <v>0</v>
      </c>
      <c r="AA545" s="350">
        <f t="shared" si="110"/>
        <v>-0.11847650815905686</v>
      </c>
      <c r="AB545" s="120" t="s">
        <v>471</v>
      </c>
    </row>
    <row r="546" spans="1:28" ht="12.75" customHeight="1">
      <c r="A546" s="120" t="s">
        <v>520</v>
      </c>
      <c r="B546" s="120" t="s">
        <v>1370</v>
      </c>
      <c r="C546" s="343" t="s">
        <v>1163</v>
      </c>
      <c r="D546" s="344" t="s">
        <v>1371</v>
      </c>
      <c r="E546" s="345">
        <f t="shared" si="165"/>
        <v>9.2511013215859028E-2</v>
      </c>
      <c r="F546" s="121" t="s">
        <v>1116</v>
      </c>
      <c r="G546" s="121" t="s">
        <v>1117</v>
      </c>
      <c r="H546" s="346">
        <f t="shared" si="166"/>
        <v>113.64</v>
      </c>
      <c r="I546" s="121">
        <v>100</v>
      </c>
      <c r="J546" s="346">
        <v>113.5</v>
      </c>
      <c r="K546" s="128">
        <v>11364</v>
      </c>
      <c r="L546" s="150">
        <v>44349</v>
      </c>
      <c r="M546" s="124">
        <f t="shared" si="14"/>
        <v>116.88</v>
      </c>
      <c r="N546" s="155">
        <v>117</v>
      </c>
      <c r="O546" s="347">
        <v>11688</v>
      </c>
      <c r="P546" s="120">
        <v>44362</v>
      </c>
      <c r="Q546" s="348">
        <v>44358</v>
      </c>
      <c r="R546" s="125">
        <v>15.93</v>
      </c>
      <c r="S546" s="125"/>
      <c r="T546" s="127">
        <f t="shared" si="173"/>
        <v>324</v>
      </c>
      <c r="U546" s="127" t="str">
        <f t="shared" si="16"/>
        <v>100 TRITURBINE</v>
      </c>
      <c r="V546" s="127">
        <f t="shared" si="17"/>
        <v>308.07</v>
      </c>
      <c r="W546" s="350">
        <f t="shared" si="174"/>
        <v>2.7109292502639916E-2</v>
      </c>
      <c r="X546" s="397">
        <f t="shared" si="19"/>
        <v>0</v>
      </c>
      <c r="Y546" s="352">
        <f t="shared" si="20"/>
        <v>0</v>
      </c>
      <c r="Z546" s="353">
        <f t="shared" si="21"/>
        <v>13</v>
      </c>
      <c r="AA546" s="350">
        <f t="shared" si="110"/>
        <v>1.119141831119526</v>
      </c>
      <c r="AB546" s="120" t="s">
        <v>471</v>
      </c>
    </row>
    <row r="547" spans="1:28" ht="12.75" customHeight="1">
      <c r="A547" s="120" t="s">
        <v>607</v>
      </c>
      <c r="B547" s="120"/>
      <c r="C547" s="343"/>
      <c r="D547" s="344">
        <v>29</v>
      </c>
      <c r="E547" s="345">
        <f t="shared" si="165"/>
        <v>0.38095238095238093</v>
      </c>
      <c r="F547" s="121" t="s">
        <v>1124</v>
      </c>
      <c r="G547" s="121" t="s">
        <v>1319</v>
      </c>
      <c r="H547" s="346">
        <f t="shared" si="166"/>
        <v>21.024999999999999</v>
      </c>
      <c r="I547" s="121">
        <v>200</v>
      </c>
      <c r="J547" s="346">
        <v>21</v>
      </c>
      <c r="K547" s="128">
        <v>4205</v>
      </c>
      <c r="L547" s="150">
        <v>44679</v>
      </c>
      <c r="M547" s="124">
        <f t="shared" si="14"/>
        <v>21.08</v>
      </c>
      <c r="N547" s="155">
        <v>21.1</v>
      </c>
      <c r="O547" s="347">
        <v>4216</v>
      </c>
      <c r="P547" s="120">
        <v>44799</v>
      </c>
      <c r="Q547" s="348">
        <v>44797</v>
      </c>
      <c r="R547" s="125">
        <v>15.93</v>
      </c>
      <c r="S547" s="125"/>
      <c r="T547" s="127">
        <f>IF(OR(O547="",K547=""),"",O547-K547)</f>
        <v>11</v>
      </c>
      <c r="U547" s="127" t="str">
        <f t="shared" si="16"/>
        <v>200 VASWANI</v>
      </c>
      <c r="V547" s="127">
        <f t="shared" si="17"/>
        <v>-4.93</v>
      </c>
      <c r="W547" s="350">
        <f>IF(OR(K547="",V547=""),"",V547/K547)</f>
        <v>-1.1724137931034481E-3</v>
      </c>
      <c r="X547" s="397">
        <f t="shared" si="19"/>
        <v>0</v>
      </c>
      <c r="Y547" s="352">
        <f t="shared" si="20"/>
        <v>3</v>
      </c>
      <c r="Z547" s="353">
        <f t="shared" si="21"/>
        <v>29</v>
      </c>
      <c r="AA547" s="350">
        <f t="shared" si="110"/>
        <v>-3.56182565325458E-3</v>
      </c>
      <c r="AB547" s="120" t="s">
        <v>471</v>
      </c>
    </row>
    <row r="548" spans="1:28" ht="12.75" customHeight="1">
      <c r="A548" s="120" t="s">
        <v>582</v>
      </c>
      <c r="B548" s="120" t="s">
        <v>1372</v>
      </c>
      <c r="C548" s="343" t="s">
        <v>1239</v>
      </c>
      <c r="D548" s="344">
        <v>2400</v>
      </c>
      <c r="E548" s="345">
        <f t="shared" si="165"/>
        <v>0.20906801007556675</v>
      </c>
      <c r="F548" s="121" t="s">
        <v>1124</v>
      </c>
      <c r="G548" s="121" t="s">
        <v>1373</v>
      </c>
      <c r="H548" s="346">
        <f t="shared" si="166"/>
        <v>1987.5</v>
      </c>
      <c r="I548" s="121">
        <v>2</v>
      </c>
      <c r="J548" s="346">
        <v>1985</v>
      </c>
      <c r="K548" s="128">
        <v>3975</v>
      </c>
      <c r="L548" s="150">
        <v>44517</v>
      </c>
      <c r="M548" s="124">
        <f t="shared" si="14"/>
        <v>2123</v>
      </c>
      <c r="N548" s="155">
        <v>2125</v>
      </c>
      <c r="O548" s="347">
        <v>4246</v>
      </c>
      <c r="P548" s="120">
        <v>44536</v>
      </c>
      <c r="Q548" s="348">
        <v>44532</v>
      </c>
      <c r="R548" s="125">
        <v>15.93</v>
      </c>
      <c r="S548" s="125"/>
      <c r="T548" s="127">
        <f t="shared" ref="T548:T558" si="175">IF(O548="","",O548-K548)</f>
        <v>271</v>
      </c>
      <c r="U548" s="127" t="str">
        <f t="shared" si="16"/>
        <v>2 VOLTAMP</v>
      </c>
      <c r="V548" s="127">
        <f t="shared" si="17"/>
        <v>255.07</v>
      </c>
      <c r="W548" s="350">
        <f t="shared" ref="W548:W558" si="176">IF(M548=0,"",V548/K548)</f>
        <v>6.4168553459119496E-2</v>
      </c>
      <c r="X548" s="397">
        <f t="shared" si="19"/>
        <v>0</v>
      </c>
      <c r="Y548" s="352">
        <f t="shared" si="20"/>
        <v>0</v>
      </c>
      <c r="Z548" s="353">
        <f t="shared" si="21"/>
        <v>19</v>
      </c>
      <c r="AA548" s="350">
        <f t="shared" si="110"/>
        <v>2.302816213124582</v>
      </c>
      <c r="AB548" s="120" t="s">
        <v>471</v>
      </c>
    </row>
    <row r="549" spans="1:28" ht="12.75" customHeight="1">
      <c r="A549" s="120" t="s">
        <v>577</v>
      </c>
      <c r="B549" s="120" t="s">
        <v>1374</v>
      </c>
      <c r="C549" s="343" t="s">
        <v>1155</v>
      </c>
      <c r="D549" s="344">
        <v>350</v>
      </c>
      <c r="E549" s="345">
        <f t="shared" si="165"/>
        <v>0.32751754219609341</v>
      </c>
      <c r="F549" s="121" t="s">
        <v>1263</v>
      </c>
      <c r="G549" s="121"/>
      <c r="H549" s="346">
        <f t="shared" si="166"/>
        <v>264</v>
      </c>
      <c r="I549" s="121">
        <v>3</v>
      </c>
      <c r="J549" s="346">
        <v>263.64999999999998</v>
      </c>
      <c r="K549" s="128">
        <v>792</v>
      </c>
      <c r="L549" s="150">
        <v>44498</v>
      </c>
      <c r="M549" s="124">
        <f t="shared" si="14"/>
        <v>236.66669999999999</v>
      </c>
      <c r="N549" s="155">
        <v>237</v>
      </c>
      <c r="O549" s="347">
        <v>710</v>
      </c>
      <c r="P549" s="120">
        <v>44559</v>
      </c>
      <c r="Q549" s="348">
        <v>44557</v>
      </c>
      <c r="R549" s="125">
        <v>0</v>
      </c>
      <c r="S549" s="125"/>
      <c r="T549" s="127">
        <f t="shared" si="175"/>
        <v>-82</v>
      </c>
      <c r="U549" s="127" t="str">
        <f t="shared" si="16"/>
        <v>3 VSSL</v>
      </c>
      <c r="V549" s="127">
        <f t="shared" si="17"/>
        <v>-82</v>
      </c>
      <c r="W549" s="350">
        <f t="shared" si="176"/>
        <v>-0.10353535353535354</v>
      </c>
      <c r="X549" s="397">
        <f t="shared" si="19"/>
        <v>0</v>
      </c>
      <c r="Y549" s="352">
        <f t="shared" si="20"/>
        <v>2</v>
      </c>
      <c r="Z549" s="353">
        <f t="shared" si="21"/>
        <v>0</v>
      </c>
      <c r="AA549" s="350">
        <f t="shared" si="110"/>
        <v>-0.48003136475121622</v>
      </c>
      <c r="AB549" s="120" t="s">
        <v>471</v>
      </c>
    </row>
    <row r="550" spans="1:28" ht="12.75" customHeight="1">
      <c r="A550" s="120" t="s">
        <v>577</v>
      </c>
      <c r="B550" s="120" t="s">
        <v>1374</v>
      </c>
      <c r="C550" s="343" t="s">
        <v>1155</v>
      </c>
      <c r="D550" s="344">
        <v>350</v>
      </c>
      <c r="E550" s="345">
        <f t="shared" si="165"/>
        <v>0.22807017543859648</v>
      </c>
      <c r="F550" s="121" t="s">
        <v>1263</v>
      </c>
      <c r="G550" s="121"/>
      <c r="H550" s="346">
        <f t="shared" si="166"/>
        <v>285.28570000000002</v>
      </c>
      <c r="I550" s="121">
        <v>7</v>
      </c>
      <c r="J550" s="346">
        <v>285</v>
      </c>
      <c r="K550" s="128">
        <v>1997</v>
      </c>
      <c r="L550" s="150">
        <v>44508</v>
      </c>
      <c r="M550" s="124">
        <f t="shared" si="14"/>
        <v>236.71430000000001</v>
      </c>
      <c r="N550" s="155">
        <v>237</v>
      </c>
      <c r="O550" s="347">
        <v>1657</v>
      </c>
      <c r="P550" s="120">
        <v>44559</v>
      </c>
      <c r="Q550" s="348">
        <v>44557</v>
      </c>
      <c r="R550" s="125">
        <v>0</v>
      </c>
      <c r="S550" s="125"/>
      <c r="T550" s="127">
        <f t="shared" si="175"/>
        <v>-340</v>
      </c>
      <c r="U550" s="127" t="str">
        <f t="shared" si="16"/>
        <v>7 VSSL</v>
      </c>
      <c r="V550" s="127">
        <f t="shared" si="17"/>
        <v>-340</v>
      </c>
      <c r="W550" s="350">
        <f t="shared" si="176"/>
        <v>-0.17025538307461191</v>
      </c>
      <c r="X550" s="397">
        <f t="shared" si="19"/>
        <v>0</v>
      </c>
      <c r="Y550" s="352">
        <f t="shared" si="20"/>
        <v>1</v>
      </c>
      <c r="Z550" s="353">
        <f t="shared" si="21"/>
        <v>21</v>
      </c>
      <c r="AA550" s="350">
        <f t="shared" si="110"/>
        <v>-0.73703587255333769</v>
      </c>
      <c r="AB550" s="120" t="s">
        <v>471</v>
      </c>
    </row>
    <row r="551" spans="1:28" ht="12.75" customHeight="1">
      <c r="A551" s="120" t="s">
        <v>577</v>
      </c>
      <c r="B551" s="120" t="s">
        <v>1374</v>
      </c>
      <c r="C551" s="343" t="s">
        <v>1155</v>
      </c>
      <c r="D551" s="344">
        <v>350</v>
      </c>
      <c r="E551" s="345">
        <f t="shared" si="165"/>
        <v>0.28676470588235292</v>
      </c>
      <c r="F551" s="121" t="s">
        <v>1263</v>
      </c>
      <c r="G551" s="121"/>
      <c r="H551" s="346">
        <f t="shared" si="166"/>
        <v>272.32</v>
      </c>
      <c r="I551" s="121">
        <v>25</v>
      </c>
      <c r="J551" s="346">
        <v>272</v>
      </c>
      <c r="K551" s="128">
        <v>6808</v>
      </c>
      <c r="L551" s="150">
        <v>44511</v>
      </c>
      <c r="M551" s="124">
        <f t="shared" si="14"/>
        <v>236.76</v>
      </c>
      <c r="N551" s="155">
        <v>237</v>
      </c>
      <c r="O551" s="347">
        <v>5919</v>
      </c>
      <c r="P551" s="120">
        <v>44559</v>
      </c>
      <c r="Q551" s="348">
        <v>44557</v>
      </c>
      <c r="R551" s="125">
        <v>15.93</v>
      </c>
      <c r="S551" s="125"/>
      <c r="T551" s="127">
        <f t="shared" si="175"/>
        <v>-889</v>
      </c>
      <c r="U551" s="127" t="str">
        <f t="shared" si="16"/>
        <v>25 VSSL</v>
      </c>
      <c r="V551" s="127">
        <f t="shared" si="17"/>
        <v>-904.93</v>
      </c>
      <c r="W551" s="350">
        <f t="shared" si="176"/>
        <v>-0.13292156286721504</v>
      </c>
      <c r="X551" s="397">
        <f t="shared" si="19"/>
        <v>0</v>
      </c>
      <c r="Y551" s="352">
        <f t="shared" si="20"/>
        <v>1</v>
      </c>
      <c r="Z551" s="353">
        <f t="shared" si="21"/>
        <v>18</v>
      </c>
      <c r="AA551" s="350">
        <f t="shared" si="110"/>
        <v>-0.66194633816771475</v>
      </c>
      <c r="AB551" s="120" t="s">
        <v>471</v>
      </c>
    </row>
    <row r="552" spans="1:28" ht="12.75" customHeight="1">
      <c r="A552" s="120" t="s">
        <v>577</v>
      </c>
      <c r="B552" s="120" t="s">
        <v>1374</v>
      </c>
      <c r="C552" s="343" t="s">
        <v>1155</v>
      </c>
      <c r="D552" s="344">
        <v>350</v>
      </c>
      <c r="E552" s="345">
        <f t="shared" si="165"/>
        <v>0.38613861386138615</v>
      </c>
      <c r="F552" s="121" t="s">
        <v>1263</v>
      </c>
      <c r="G552" s="121"/>
      <c r="H552" s="346">
        <f t="shared" si="166"/>
        <v>252.8</v>
      </c>
      <c r="I552" s="121">
        <v>50</v>
      </c>
      <c r="J552" s="346">
        <v>252.5</v>
      </c>
      <c r="K552" s="128">
        <v>12640</v>
      </c>
      <c r="L552" s="150">
        <v>44558</v>
      </c>
      <c r="M552" s="124">
        <f t="shared" si="14"/>
        <v>262.72000000000003</v>
      </c>
      <c r="N552" s="155">
        <v>263</v>
      </c>
      <c r="O552" s="347">
        <v>13136</v>
      </c>
      <c r="P552" s="120">
        <v>44568</v>
      </c>
      <c r="Q552" s="348">
        <v>44566</v>
      </c>
      <c r="R552" s="125">
        <v>15.93</v>
      </c>
      <c r="S552" s="125"/>
      <c r="T552" s="127">
        <f t="shared" si="175"/>
        <v>496</v>
      </c>
      <c r="U552" s="127" t="str">
        <f t="shared" si="16"/>
        <v>50 VSSL</v>
      </c>
      <c r="V552" s="127">
        <f t="shared" si="17"/>
        <v>480.07</v>
      </c>
      <c r="W552" s="350">
        <f t="shared" si="176"/>
        <v>3.7980221518987341E-2</v>
      </c>
      <c r="X552" s="397">
        <f t="shared" si="19"/>
        <v>0</v>
      </c>
      <c r="Y552" s="352">
        <f t="shared" si="20"/>
        <v>0</v>
      </c>
      <c r="Z552" s="353">
        <f t="shared" si="21"/>
        <v>10</v>
      </c>
      <c r="AA552" s="350">
        <f t="shared" si="110"/>
        <v>2.8985342549662874</v>
      </c>
      <c r="AB552" s="120" t="s">
        <v>471</v>
      </c>
    </row>
    <row r="553" spans="1:28" ht="12.75" customHeight="1">
      <c r="A553" s="120" t="s">
        <v>577</v>
      </c>
      <c r="B553" s="120" t="s">
        <v>1374</v>
      </c>
      <c r="C553" s="343" t="s">
        <v>1155</v>
      </c>
      <c r="D553" s="344"/>
      <c r="E553" s="345" t="str">
        <f t="shared" si="165"/>
        <v/>
      </c>
      <c r="F553" s="121"/>
      <c r="G553" s="121"/>
      <c r="H553" s="346">
        <f t="shared" si="166"/>
        <v>265.32</v>
      </c>
      <c r="I553" s="121">
        <v>50</v>
      </c>
      <c r="J553" s="346">
        <v>265</v>
      </c>
      <c r="K553" s="128">
        <v>13266</v>
      </c>
      <c r="L553" s="150">
        <v>44572</v>
      </c>
      <c r="M553" s="124">
        <f t="shared" si="14"/>
        <v>272.04000000000002</v>
      </c>
      <c r="N553" s="155">
        <v>272.32499999999999</v>
      </c>
      <c r="O553" s="347">
        <v>13602</v>
      </c>
      <c r="P553" s="120">
        <v>44585</v>
      </c>
      <c r="Q553" s="348">
        <v>44581</v>
      </c>
      <c r="R553" s="125">
        <v>15.93</v>
      </c>
      <c r="S553" s="125"/>
      <c r="T553" s="127">
        <f t="shared" si="175"/>
        <v>336</v>
      </c>
      <c r="U553" s="127" t="str">
        <f t="shared" si="16"/>
        <v>50 VSSL</v>
      </c>
      <c r="V553" s="127">
        <f t="shared" si="17"/>
        <v>320.07</v>
      </c>
      <c r="W553" s="350">
        <f t="shared" si="176"/>
        <v>2.4127091813658977E-2</v>
      </c>
      <c r="X553" s="397">
        <f t="shared" si="19"/>
        <v>0</v>
      </c>
      <c r="Y553" s="352">
        <f t="shared" si="20"/>
        <v>0</v>
      </c>
      <c r="Z553" s="353">
        <f t="shared" si="21"/>
        <v>13</v>
      </c>
      <c r="AA553" s="350">
        <f t="shared" si="110"/>
        <v>0.95300964647950726</v>
      </c>
      <c r="AB553" s="120" t="s">
        <v>471</v>
      </c>
    </row>
    <row r="554" spans="1:28" ht="12.75" customHeight="1">
      <c r="A554" s="120" t="s">
        <v>524</v>
      </c>
      <c r="B554" s="120" t="s">
        <v>1375</v>
      </c>
      <c r="C554" s="343" t="s">
        <v>1163</v>
      </c>
      <c r="D554" s="344" t="s">
        <v>1376</v>
      </c>
      <c r="E554" s="345">
        <f t="shared" si="165"/>
        <v>4.3203371970495195E-2</v>
      </c>
      <c r="F554" s="121" t="s">
        <v>1116</v>
      </c>
      <c r="G554" s="121" t="s">
        <v>1260</v>
      </c>
      <c r="H554" s="346">
        <f t="shared" si="166"/>
        <v>95.01</v>
      </c>
      <c r="I554" s="121">
        <v>100</v>
      </c>
      <c r="J554" s="346">
        <v>94.9</v>
      </c>
      <c r="K554" s="128">
        <v>9501</v>
      </c>
      <c r="L554" s="150">
        <v>44357</v>
      </c>
      <c r="M554" s="124">
        <f t="shared" si="14"/>
        <v>96.1</v>
      </c>
      <c r="N554" s="155">
        <v>96.2</v>
      </c>
      <c r="O554" s="347">
        <v>9610</v>
      </c>
      <c r="P554" s="120">
        <v>44363</v>
      </c>
      <c r="Q554" s="348">
        <v>44361</v>
      </c>
      <c r="R554" s="125">
        <v>15.93</v>
      </c>
      <c r="S554" s="125"/>
      <c r="T554" s="127">
        <f t="shared" si="175"/>
        <v>109</v>
      </c>
      <c r="U554" s="127" t="str">
        <f t="shared" si="16"/>
        <v>100 WELSPUNIND</v>
      </c>
      <c r="V554" s="127">
        <f t="shared" si="17"/>
        <v>93.07</v>
      </c>
      <c r="W554" s="350">
        <f t="shared" si="176"/>
        <v>9.7958109672666022E-3</v>
      </c>
      <c r="X554" s="397">
        <f t="shared" si="19"/>
        <v>0</v>
      </c>
      <c r="Y554" s="352">
        <f t="shared" si="20"/>
        <v>0</v>
      </c>
      <c r="Z554" s="353">
        <f t="shared" si="21"/>
        <v>6</v>
      </c>
      <c r="AA554" s="350">
        <f t="shared" si="110"/>
        <v>0.80943028465848577</v>
      </c>
      <c r="AB554" s="120" t="s">
        <v>471</v>
      </c>
    </row>
    <row r="555" spans="1:28" ht="12.75" customHeight="1">
      <c r="A555" s="120" t="s">
        <v>553</v>
      </c>
      <c r="B555" s="120" t="s">
        <v>1377</v>
      </c>
      <c r="C555" s="343" t="s">
        <v>1256</v>
      </c>
      <c r="D555" s="344"/>
      <c r="E555" s="345" t="str">
        <f t="shared" si="165"/>
        <v/>
      </c>
      <c r="F555" s="121" t="s">
        <v>1107</v>
      </c>
      <c r="G555" s="121"/>
      <c r="H555" s="346">
        <f t="shared" si="166"/>
        <v>13.164999999999999</v>
      </c>
      <c r="I555" s="121">
        <v>200</v>
      </c>
      <c r="J555" s="346">
        <v>13.15</v>
      </c>
      <c r="K555" s="128">
        <v>2633</v>
      </c>
      <c r="L555" s="150">
        <v>44396</v>
      </c>
      <c r="M555" s="124">
        <f t="shared" si="14"/>
        <v>14.135</v>
      </c>
      <c r="N555" s="155">
        <v>17.149999999999999</v>
      </c>
      <c r="O555" s="347">
        <v>2827</v>
      </c>
      <c r="P555" s="120">
        <v>44459</v>
      </c>
      <c r="Q555" s="348">
        <v>44455</v>
      </c>
      <c r="R555" s="125">
        <v>15.93</v>
      </c>
      <c r="S555" s="125"/>
      <c r="T555" s="127">
        <f t="shared" si="175"/>
        <v>194</v>
      </c>
      <c r="U555" s="127" t="str">
        <f t="shared" si="16"/>
        <v>200 YESBANK</v>
      </c>
      <c r="V555" s="127">
        <f t="shared" si="17"/>
        <v>178.07</v>
      </c>
      <c r="W555" s="350">
        <f t="shared" si="176"/>
        <v>6.763007975693125E-2</v>
      </c>
      <c r="X555" s="397">
        <f t="shared" si="19"/>
        <v>0</v>
      </c>
      <c r="Y555" s="352">
        <f t="shared" si="20"/>
        <v>2</v>
      </c>
      <c r="Z555" s="353">
        <f t="shared" si="21"/>
        <v>1</v>
      </c>
      <c r="AA555" s="350">
        <f t="shared" si="110"/>
        <v>0.46103357971326431</v>
      </c>
      <c r="AB555" s="120" t="s">
        <v>471</v>
      </c>
    </row>
    <row r="556" spans="1:28" ht="12.75" customHeight="1">
      <c r="A556" s="120" t="s">
        <v>514</v>
      </c>
      <c r="B556" s="120" t="s">
        <v>1378</v>
      </c>
      <c r="C556" s="343" t="s">
        <v>1163</v>
      </c>
      <c r="D556" s="344">
        <v>228</v>
      </c>
      <c r="E556" s="345">
        <f t="shared" si="165"/>
        <v>9.0909090909090912E-2</v>
      </c>
      <c r="F556" s="121" t="s">
        <v>1116</v>
      </c>
      <c r="G556" s="121" t="s">
        <v>1185</v>
      </c>
      <c r="H556" s="346">
        <f t="shared" si="166"/>
        <v>209.24</v>
      </c>
      <c r="I556" s="121">
        <v>50</v>
      </c>
      <c r="J556" s="346">
        <v>209</v>
      </c>
      <c r="K556" s="128">
        <v>10462</v>
      </c>
      <c r="L556" s="150">
        <v>44343</v>
      </c>
      <c r="M556" s="124">
        <f t="shared" si="14"/>
        <v>213.78</v>
      </c>
      <c r="N556" s="155">
        <v>214</v>
      </c>
      <c r="O556" s="347">
        <v>10689</v>
      </c>
      <c r="P556" s="120">
        <v>44348</v>
      </c>
      <c r="Q556" s="348">
        <v>44344</v>
      </c>
      <c r="R556" s="125">
        <v>15.93</v>
      </c>
      <c r="S556" s="125"/>
      <c r="T556" s="127">
        <f t="shared" si="175"/>
        <v>227</v>
      </c>
      <c r="U556" s="127" t="str">
        <f t="shared" si="16"/>
        <v>50 ZEEL</v>
      </c>
      <c r="V556" s="127">
        <f t="shared" si="17"/>
        <v>211.07</v>
      </c>
      <c r="W556" s="350">
        <f t="shared" si="176"/>
        <v>2.01749187535844E-2</v>
      </c>
      <c r="X556" s="397">
        <f t="shared" si="19"/>
        <v>0</v>
      </c>
      <c r="Y556" s="352">
        <f t="shared" si="20"/>
        <v>0</v>
      </c>
      <c r="Z556" s="353">
        <f t="shared" si="21"/>
        <v>5</v>
      </c>
      <c r="AA556" s="350">
        <f t="shared" si="110"/>
        <v>3.2978264340349348</v>
      </c>
      <c r="AB556" s="120" t="s">
        <v>471</v>
      </c>
    </row>
    <row r="557" spans="1:28" ht="12.75" customHeight="1">
      <c r="A557" s="120" t="s">
        <v>563</v>
      </c>
      <c r="B557" s="120" t="s">
        <v>1379</v>
      </c>
      <c r="C557" s="343" t="s">
        <v>1363</v>
      </c>
      <c r="D557" s="344"/>
      <c r="E557" s="345" t="str">
        <f t="shared" si="165"/>
        <v/>
      </c>
      <c r="F557" s="121" t="s">
        <v>1107</v>
      </c>
      <c r="G557" s="121"/>
      <c r="H557" s="346">
        <f t="shared" si="166"/>
        <v>207.33330000000001</v>
      </c>
      <c r="I557" s="121">
        <v>3</v>
      </c>
      <c r="J557" s="346">
        <v>207</v>
      </c>
      <c r="K557" s="128">
        <v>622</v>
      </c>
      <c r="L557" s="150">
        <v>44452</v>
      </c>
      <c r="M557" s="124">
        <f t="shared" si="14"/>
        <v>220.66669999999999</v>
      </c>
      <c r="N557" s="155">
        <v>221</v>
      </c>
      <c r="O557" s="347">
        <v>662</v>
      </c>
      <c r="P557" s="120">
        <v>44511</v>
      </c>
      <c r="Q557" s="348">
        <v>44509</v>
      </c>
      <c r="R557" s="125">
        <v>15.93</v>
      </c>
      <c r="S557" s="125"/>
      <c r="T557" s="127">
        <f t="shared" si="175"/>
        <v>40</v>
      </c>
      <c r="U557" s="127" t="str">
        <f t="shared" si="16"/>
        <v>3 ZENTEC</v>
      </c>
      <c r="V557" s="127">
        <f t="shared" si="17"/>
        <v>24.07</v>
      </c>
      <c r="W557" s="350">
        <f t="shared" si="176"/>
        <v>3.8697749196141482E-2</v>
      </c>
      <c r="X557" s="397">
        <f t="shared" si="19"/>
        <v>0</v>
      </c>
      <c r="Y557" s="352">
        <f t="shared" si="20"/>
        <v>1</v>
      </c>
      <c r="Z557" s="353">
        <f t="shared" si="21"/>
        <v>29</v>
      </c>
      <c r="AA557" s="350">
        <f t="shared" si="110"/>
        <v>0.26476371927918874</v>
      </c>
      <c r="AB557" s="120" t="s">
        <v>471</v>
      </c>
    </row>
    <row r="558" spans="1:28" ht="12.75" customHeight="1">
      <c r="A558" s="120" t="s">
        <v>563</v>
      </c>
      <c r="B558" s="120" t="s">
        <v>1379</v>
      </c>
      <c r="C558" s="343" t="s">
        <v>1363</v>
      </c>
      <c r="D558" s="344"/>
      <c r="E558" s="345" t="str">
        <f t="shared" si="165"/>
        <v/>
      </c>
      <c r="F558" s="121" t="s">
        <v>1107</v>
      </c>
      <c r="G558" s="121"/>
      <c r="H558" s="346">
        <f t="shared" si="166"/>
        <v>220.2353</v>
      </c>
      <c r="I558" s="121">
        <v>17</v>
      </c>
      <c r="J558" s="346">
        <v>220</v>
      </c>
      <c r="K558" s="128">
        <v>3744</v>
      </c>
      <c r="L558" s="150">
        <v>44454</v>
      </c>
      <c r="M558" s="124">
        <f t="shared" si="14"/>
        <v>220.7647</v>
      </c>
      <c r="N558" s="155">
        <v>221</v>
      </c>
      <c r="O558" s="347">
        <v>3753</v>
      </c>
      <c r="P558" s="120">
        <v>44511</v>
      </c>
      <c r="Q558" s="348">
        <v>44509</v>
      </c>
      <c r="R558" s="125">
        <v>0</v>
      </c>
      <c r="S558" s="125"/>
      <c r="T558" s="127">
        <f t="shared" si="175"/>
        <v>9</v>
      </c>
      <c r="U558" s="127" t="str">
        <f t="shared" si="16"/>
        <v>17 ZENTEC</v>
      </c>
      <c r="V558" s="127">
        <f t="shared" si="17"/>
        <v>9</v>
      </c>
      <c r="W558" s="350">
        <f t="shared" si="176"/>
        <v>2.403846153846154E-3</v>
      </c>
      <c r="X558" s="397">
        <f t="shared" si="19"/>
        <v>0</v>
      </c>
      <c r="Y558" s="352">
        <f t="shared" si="20"/>
        <v>1</v>
      </c>
      <c r="Z558" s="353">
        <f t="shared" si="21"/>
        <v>27</v>
      </c>
      <c r="AA558" s="350">
        <f t="shared" si="110"/>
        <v>1.549337513153981E-2</v>
      </c>
      <c r="AB558" s="120" t="s">
        <v>471</v>
      </c>
    </row>
    <row r="559" spans="1:28" ht="5.25" customHeight="1">
      <c r="A559" s="93"/>
      <c r="B559" s="93"/>
      <c r="C559" s="93"/>
      <c r="D559" s="398"/>
      <c r="E559" s="398"/>
      <c r="F559" s="93"/>
      <c r="G559" s="93"/>
      <c r="H559" s="399"/>
      <c r="I559" s="93"/>
      <c r="J559" s="399"/>
      <c r="K559" s="256"/>
      <c r="L559" s="400"/>
      <c r="M559" s="401"/>
      <c r="N559" s="401"/>
      <c r="O559" s="256"/>
      <c r="P559" s="176"/>
      <c r="Q559" s="402"/>
      <c r="R559" s="177"/>
      <c r="S559" s="177"/>
      <c r="T559" s="256"/>
      <c r="U559" s="256"/>
      <c r="V559" s="256"/>
      <c r="W559" s="394"/>
      <c r="X559" s="403"/>
      <c r="Y559" s="404"/>
      <c r="Z559" s="405"/>
      <c r="AA559" s="394"/>
      <c r="AB559" s="176"/>
    </row>
    <row r="560" spans="1:28" ht="5.25" customHeight="1">
      <c r="B560" s="4"/>
      <c r="C560" s="4"/>
      <c r="D560" s="93"/>
      <c r="F560" s="93"/>
      <c r="G560" s="93"/>
      <c r="H560" s="208"/>
      <c r="I560" s="93"/>
      <c r="J560" s="4"/>
      <c r="K560" s="406"/>
      <c r="L560" s="176"/>
      <c r="M560" s="208"/>
      <c r="N560" s="208"/>
      <c r="O560" s="406"/>
      <c r="P560" s="176"/>
      <c r="W560" s="93"/>
      <c r="X560" s="93"/>
      <c r="Y560" s="93"/>
      <c r="Z560" s="93"/>
      <c r="AA560" s="93"/>
      <c r="AB560" s="93"/>
    </row>
    <row r="561" spans="1:28" ht="12.75" customHeight="1">
      <c r="A561" s="407" t="s">
        <v>575</v>
      </c>
      <c r="B561" s="4"/>
      <c r="D561" s="93"/>
      <c r="E561" s="408">
        <f t="shared" ref="E561:E563" si="177">ROUND(SUMIFS(V$87:V$559,A$87:A$559,A561,AB$87:AB$559,"Sunita"),2)</f>
        <v>84742.32</v>
      </c>
      <c r="G561" s="409">
        <f t="array" ref="G561">LOOKUP(2,1/(A$87:A$559=A561),Q$87:Q$559)</f>
        <v>44971</v>
      </c>
      <c r="H561" s="410">
        <f t="array" ref="H561">LOOKUP(2,1/(A$87:A$559=A561),N$87:N$559)</f>
        <v>856.9</v>
      </c>
      <c r="I561" s="208"/>
      <c r="K561" s="406"/>
      <c r="L561" s="176"/>
      <c r="M561" s="208"/>
      <c r="N561" s="208"/>
      <c r="O561" s="406"/>
      <c r="P561" s="176"/>
      <c r="Q561" s="70" t="s">
        <v>1380</v>
      </c>
      <c r="R561" s="166">
        <f t="shared" ref="R561:T561" si="178">SUM(R87:R559)</f>
        <v>6280.200000000018</v>
      </c>
      <c r="S561" s="166">
        <f t="shared" si="178"/>
        <v>10490.25</v>
      </c>
      <c r="T561" s="169">
        <f t="shared" si="178"/>
        <v>231417.03999999998</v>
      </c>
      <c r="U561" s="169"/>
      <c r="V561" s="169">
        <f>SUM(V87:V559)-T567-R567</f>
        <v>229806.00000000166</v>
      </c>
      <c r="W561" s="93"/>
      <c r="X561" s="93"/>
      <c r="Y561" s="93"/>
      <c r="Z561" s="93"/>
      <c r="AA561" s="93"/>
      <c r="AB561" s="93"/>
    </row>
    <row r="562" spans="1:28" ht="12.75" customHeight="1">
      <c r="A562" s="407" t="s">
        <v>595</v>
      </c>
      <c r="B562" s="4"/>
      <c r="D562" s="93"/>
      <c r="E562" s="408">
        <f t="shared" si="177"/>
        <v>15868.28</v>
      </c>
      <c r="G562" s="409">
        <f t="array" ref="G562">LOOKUP(2,1/(A$87:A$559=A562),Q$87:Q$559)</f>
        <v>44690</v>
      </c>
      <c r="H562" s="410">
        <f t="array" ref="H562">LOOKUP(2,1/(A$87:A$559=A562),N$87:N$559)</f>
        <v>45.72</v>
      </c>
      <c r="I562" s="208"/>
      <c r="K562" s="406"/>
      <c r="L562" s="176"/>
      <c r="M562" s="208"/>
      <c r="N562" s="208"/>
      <c r="O562" s="406"/>
      <c r="P562" s="176"/>
      <c r="Q562" s="70" t="s">
        <v>1381</v>
      </c>
      <c r="R562" s="166">
        <f t="shared" ref="R562:S562" si="179">R561-R563</f>
        <v>1910.6600000000299</v>
      </c>
      <c r="S562" s="166">
        <f t="shared" si="179"/>
        <v>8699.25</v>
      </c>
      <c r="T562" s="169">
        <f>ROUND(SUMIF($AB87:$AB559,Q563,T87:T559),2)</f>
        <v>125108.92</v>
      </c>
      <c r="U562" s="169"/>
      <c r="V562" s="169">
        <f>SUMIF($AB87:$AB559,Q563,V87:V559)-IF(Q563="Sunita",T567,R567)</f>
        <v>121197.76000000109</v>
      </c>
      <c r="W562" s="93"/>
      <c r="X562" s="93"/>
      <c r="Y562" s="93"/>
      <c r="Z562" s="93"/>
      <c r="AA562" s="93"/>
      <c r="AB562" s="93"/>
    </row>
    <row r="563" spans="1:28" ht="12.75" customHeight="1">
      <c r="A563" s="411" t="s">
        <v>484</v>
      </c>
      <c r="B563" s="4"/>
      <c r="D563" s="93"/>
      <c r="E563" s="408">
        <f t="shared" si="177"/>
        <v>-297.86</v>
      </c>
      <c r="G563" s="409">
        <f t="array" ref="G563">LOOKUP(2,1/(A$87:A$559=A563),Q$87:Q$559)</f>
        <v>44824</v>
      </c>
      <c r="H563" s="410">
        <f t="array" ref="H563">LOOKUP(2,1/(A$87:A$559=A563),N$87:N$559)</f>
        <v>7655</v>
      </c>
      <c r="I563" s="208"/>
      <c r="K563" s="406"/>
      <c r="L563" s="176"/>
      <c r="M563" s="208"/>
      <c r="N563" s="208"/>
      <c r="O563" s="406"/>
      <c r="P563" s="176"/>
      <c r="Q563" s="70" t="s">
        <v>471</v>
      </c>
      <c r="R563" s="166">
        <f>SUMIF($AB87:$AB559,Q563,R87:R559)</f>
        <v>4369.5399999999881</v>
      </c>
      <c r="S563" s="166">
        <f>SUMIF($AB87:$AB559,Q563,S87:S559)</f>
        <v>1791</v>
      </c>
      <c r="T563" s="169">
        <f>Zerodha!L983-S563</f>
        <v>3911.16</v>
      </c>
      <c r="U563" s="169"/>
      <c r="V563" s="169">
        <f>T562-V562</f>
        <v>3911.1599999989121</v>
      </c>
      <c r="W563" s="93"/>
      <c r="X563" s="93"/>
      <c r="Y563" s="93"/>
      <c r="Z563" s="93"/>
      <c r="AA563" s="93"/>
      <c r="AB563" s="93"/>
    </row>
    <row r="564" spans="1:28" ht="12.75" customHeight="1">
      <c r="A564" s="93"/>
      <c r="C564" s="93"/>
      <c r="D564" s="93"/>
      <c r="E564" s="93"/>
      <c r="G564" s="332"/>
      <c r="H564" s="208"/>
      <c r="I564" s="93"/>
      <c r="J564" s="93"/>
      <c r="M564" s="208"/>
      <c r="P564" s="4"/>
      <c r="V564" s="169">
        <f>V563-T563</f>
        <v>-1.0877556633204222E-9</v>
      </c>
      <c r="W564" s="93"/>
      <c r="X564" s="93"/>
      <c r="Y564" s="93"/>
      <c r="Z564" s="93"/>
      <c r="AA564" s="93"/>
      <c r="AB564" s="93"/>
    </row>
    <row r="565" spans="1:28" ht="5.25" customHeight="1">
      <c r="A565" s="93"/>
      <c r="B565" s="93"/>
      <c r="C565" s="93"/>
      <c r="D565" s="398"/>
      <c r="E565" s="398"/>
      <c r="F565" s="93"/>
      <c r="G565" s="93"/>
      <c r="H565" s="399"/>
      <c r="I565" s="93"/>
      <c r="J565" s="399"/>
      <c r="K565" s="256"/>
      <c r="L565" s="400"/>
      <c r="M565" s="401"/>
      <c r="N565" s="401"/>
      <c r="O565" s="256"/>
      <c r="P565" s="176"/>
      <c r="Q565" s="402"/>
      <c r="R565" s="177"/>
      <c r="S565" s="177"/>
      <c r="T565" s="256"/>
      <c r="U565" s="256"/>
      <c r="V565" s="256"/>
      <c r="W565" s="394"/>
      <c r="X565" s="403"/>
      <c r="Y565" s="404"/>
      <c r="Z565" s="405"/>
      <c r="AA565" s="394"/>
      <c r="AB565" s="176"/>
    </row>
    <row r="566" spans="1:28" ht="12.75" customHeight="1">
      <c r="A566" s="93" t="s">
        <v>422</v>
      </c>
      <c r="B566" s="93" t="s">
        <v>1382</v>
      </c>
      <c r="D566" s="93" t="s">
        <v>1383</v>
      </c>
      <c r="E566" s="93" t="s">
        <v>1384</v>
      </c>
      <c r="F566" s="332" t="s">
        <v>1385</v>
      </c>
      <c r="G566" s="93" t="s">
        <v>1386</v>
      </c>
      <c r="H566" s="93" t="s">
        <v>1387</v>
      </c>
      <c r="I566" s="93" t="s">
        <v>1388</v>
      </c>
      <c r="J566" s="93" t="s">
        <v>904</v>
      </c>
      <c r="K566" s="93" t="s">
        <v>1389</v>
      </c>
      <c r="L566" s="93" t="s">
        <v>1390</v>
      </c>
      <c r="M566" s="208"/>
      <c r="P566" s="4"/>
      <c r="Q566" s="663" t="s">
        <v>1391</v>
      </c>
      <c r="R566" s="664"/>
      <c r="S566" s="664"/>
      <c r="T566" s="665"/>
      <c r="W566" s="262"/>
      <c r="X566" s="93"/>
      <c r="Y566" s="93"/>
      <c r="Z566" s="93"/>
      <c r="AA566" s="93"/>
      <c r="AB566" s="93"/>
    </row>
    <row r="567" spans="1:28" ht="12.75" customHeight="1">
      <c r="A567" s="120" t="s">
        <v>574</v>
      </c>
      <c r="B567" s="412">
        <f t="array" ref="B567">LOOKUP(2,1/(A$87:A$559=A567),Q$87:Q$559)</f>
        <v>44889</v>
      </c>
      <c r="D567" s="280">
        <f>COUNTIF(A$87:A$559,A567)</f>
        <v>5</v>
      </c>
      <c r="E567" s="413">
        <f>ROUND(SUMIF(A$87:A$559,A567,T$87:T$559),2)</f>
        <v>473</v>
      </c>
      <c r="F567" s="414">
        <f t="array" ref="F567">LOOKUP(2,1/(A$87:A$559=A567),I$87:I$559)</f>
        <v>2</v>
      </c>
      <c r="G567" s="415">
        <f t="array" ref="G567">IFERROR(LOOKUP(2,1/(A$87:A$559=A567),T$87:T$559),"No Data")</f>
        <v>446</v>
      </c>
      <c r="H567" s="249">
        <f t="array" ref="H567">LOOKUP(2,1/(A$87:A$559=A567),N$87:N$559)</f>
        <v>3360</v>
      </c>
      <c r="I567" s="280">
        <f>Trade!A1788</f>
        <v>2</v>
      </c>
      <c r="J567" s="269">
        <f>Trade!A1785</f>
        <v>27.66</v>
      </c>
      <c r="K567" s="280">
        <f ca="1">Trade!H1794</f>
        <v>2</v>
      </c>
      <c r="L567" s="269">
        <f ca="1">Trade!H1791</f>
        <v>-1329</v>
      </c>
      <c r="M567" s="93"/>
      <c r="P567" s="4"/>
      <c r="Q567" s="70" t="s">
        <v>471</v>
      </c>
      <c r="R567" s="166">
        <f>2.95+59+59+35.4+4.82+0.99+29.5+(29.5+88.5+88.5+88.5+88.5)+(8.31+10.31+6.2)+(23.6+23.6+23.6+23.6)+(10.62+10.62)+(499+118)</f>
        <v>1332.62</v>
      </c>
      <c r="S567" s="70" t="s">
        <v>448</v>
      </c>
      <c r="T567" s="166">
        <f>(338+338+338+331+50+11+393+393+393+401+105.42+108.17+118+118+393.33+30.86+363.19)+(88.5+88.5+88.5)</f>
        <v>4488.47</v>
      </c>
      <c r="U567" s="4"/>
      <c r="V567" s="4"/>
      <c r="W567" s="93"/>
      <c r="X567" s="93"/>
      <c r="Y567" s="93"/>
      <c r="Z567" s="93"/>
      <c r="AA567" s="93"/>
      <c r="AB567" s="93"/>
    </row>
    <row r="568" spans="1:28" ht="5.25" customHeight="1">
      <c r="A568" s="416"/>
      <c r="B568" s="416"/>
      <c r="C568" s="416"/>
      <c r="D568" s="417"/>
      <c r="E568" s="417"/>
      <c r="F568" s="93"/>
      <c r="G568" s="418"/>
      <c r="H568" s="399"/>
      <c r="I568" s="93"/>
      <c r="J568" s="399"/>
      <c r="K568" s="256"/>
      <c r="L568" s="400"/>
      <c r="M568" s="401"/>
      <c r="N568" s="401"/>
      <c r="O568" s="256"/>
      <c r="P568" s="176"/>
      <c r="Q568" s="402"/>
      <c r="R568" s="177"/>
      <c r="S568" s="177"/>
      <c r="T568" s="256"/>
      <c r="U568" s="256"/>
      <c r="V568" s="256"/>
      <c r="W568" s="394"/>
      <c r="X568" s="403"/>
      <c r="Y568" s="404"/>
      <c r="Z568" s="405"/>
      <c r="AA568" s="394"/>
      <c r="AB568" s="176"/>
    </row>
    <row r="569" spans="1:28" ht="21">
      <c r="A569" s="340" t="s">
        <v>422</v>
      </c>
      <c r="B569" s="419" t="s">
        <v>1392</v>
      </c>
      <c r="C569" s="340" t="s">
        <v>1393</v>
      </c>
      <c r="D569" s="340" t="s">
        <v>1394</v>
      </c>
      <c r="E569" s="340" t="s">
        <v>1395</v>
      </c>
      <c r="F569" s="340" t="s">
        <v>1396</v>
      </c>
      <c r="G569" s="93"/>
      <c r="H569" s="93"/>
      <c r="M569" s="93"/>
      <c r="O569" s="4"/>
      <c r="P569" s="4"/>
      <c r="Q569" s="93"/>
      <c r="R569" s="177"/>
      <c r="S569" s="93"/>
      <c r="T569" s="93"/>
      <c r="U569" s="93"/>
      <c r="V569" s="4"/>
      <c r="W569" s="93"/>
      <c r="X569" s="93"/>
      <c r="Y569" s="93"/>
      <c r="Z569" s="93"/>
      <c r="AA569" s="93"/>
      <c r="AB569" s="93"/>
    </row>
    <row r="570" spans="1:28" ht="12.75" customHeight="1">
      <c r="A570" s="149" t="s">
        <v>584</v>
      </c>
      <c r="B570" s="148">
        <v>44547</v>
      </c>
      <c r="C570" s="356">
        <v>-7659</v>
      </c>
      <c r="D570" s="356"/>
      <c r="E570" s="420"/>
      <c r="F570" s="421"/>
      <c r="G570" s="4"/>
      <c r="H570" s="93"/>
      <c r="K570" s="93"/>
      <c r="L570" s="93"/>
      <c r="M570" s="93"/>
      <c r="N570" s="93"/>
      <c r="O570" s="93"/>
      <c r="P570" s="93"/>
      <c r="Q570" s="93"/>
      <c r="R570" s="93"/>
      <c r="S570" s="93"/>
      <c r="T570" s="93"/>
      <c r="U570" s="93"/>
      <c r="V570" s="93"/>
      <c r="W570" s="93"/>
      <c r="X570" s="93"/>
      <c r="Y570" s="93"/>
      <c r="Z570" s="93"/>
      <c r="AA570" s="93"/>
      <c r="AB570" s="93"/>
    </row>
    <row r="571" spans="1:28" ht="12.75" customHeight="1">
      <c r="A571" s="120" t="s">
        <v>584</v>
      </c>
      <c r="B571" s="150">
        <v>44559</v>
      </c>
      <c r="C571" s="422">
        <v>8651</v>
      </c>
      <c r="D571" s="422">
        <f>C571+C570</f>
        <v>992</v>
      </c>
      <c r="E571" s="423">
        <f>-D571/C570</f>
        <v>0.12952082517299909</v>
      </c>
      <c r="F571" s="344">
        <f>B571-B570</f>
        <v>12</v>
      </c>
      <c r="G571" s="4"/>
      <c r="H571" s="93"/>
      <c r="K571" s="93"/>
      <c r="L571" s="93"/>
      <c r="M571" s="93"/>
      <c r="N571" s="93"/>
      <c r="O571" s="93"/>
      <c r="P571" s="93"/>
      <c r="Q571" s="93"/>
      <c r="R571" s="93"/>
      <c r="S571" s="93"/>
      <c r="T571" s="93"/>
      <c r="U571" s="93"/>
      <c r="V571" s="93"/>
      <c r="W571" s="93"/>
      <c r="X571" s="93"/>
      <c r="Y571" s="93"/>
      <c r="Z571" s="93"/>
      <c r="AA571" s="93"/>
      <c r="AB571" s="93"/>
    </row>
    <row r="572" spans="1:28" ht="12.75" customHeight="1">
      <c r="A572" s="149" t="s">
        <v>584</v>
      </c>
      <c r="B572" s="148">
        <v>44565</v>
      </c>
      <c r="C572" s="356">
        <v>-10412</v>
      </c>
      <c r="D572" s="356"/>
      <c r="E572" s="420"/>
      <c r="F572" s="421"/>
      <c r="G572" s="4"/>
      <c r="H572" s="93"/>
      <c r="K572" s="93"/>
      <c r="L572" s="93"/>
      <c r="M572" s="93"/>
      <c r="N572" s="93"/>
      <c r="O572" s="93"/>
      <c r="P572" s="93"/>
      <c r="Q572" s="93"/>
      <c r="R572" s="93"/>
      <c r="S572" s="93"/>
      <c r="T572" s="93"/>
      <c r="U572" s="93"/>
      <c r="V572" s="93"/>
      <c r="W572" s="93"/>
      <c r="X572" s="93"/>
      <c r="Y572" s="93"/>
      <c r="Z572" s="93"/>
      <c r="AA572" s="93"/>
      <c r="AB572" s="93"/>
    </row>
    <row r="573" spans="1:28" ht="12.75" customHeight="1">
      <c r="A573" s="120" t="s">
        <v>584</v>
      </c>
      <c r="B573" s="150">
        <v>44581</v>
      </c>
      <c r="C573" s="422">
        <v>11388</v>
      </c>
      <c r="D573" s="422">
        <f>C573+C572</f>
        <v>976</v>
      </c>
      <c r="E573" s="423">
        <f>-D573/C572</f>
        <v>9.3737994621590479E-2</v>
      </c>
      <c r="F573" s="344">
        <f>B573-B572</f>
        <v>16</v>
      </c>
      <c r="G573" s="4"/>
      <c r="H573" s="93"/>
      <c r="K573" s="93"/>
      <c r="L573" s="93"/>
      <c r="M573" s="93"/>
      <c r="N573" s="93"/>
      <c r="O573" s="93"/>
      <c r="P573" s="93"/>
      <c r="Q573" s="93"/>
      <c r="R573" s="93"/>
      <c r="S573" s="93"/>
      <c r="T573" s="93"/>
      <c r="U573" s="93"/>
      <c r="V573" s="93"/>
      <c r="W573" s="93"/>
      <c r="X573" s="93"/>
      <c r="Y573" s="93"/>
      <c r="Z573" s="93"/>
      <c r="AA573" s="93"/>
      <c r="AB573" s="93"/>
    </row>
    <row r="574" spans="1:28" ht="12.75" customHeight="1">
      <c r="A574" s="149" t="s">
        <v>584</v>
      </c>
      <c r="B574" s="148">
        <v>44585</v>
      </c>
      <c r="C574" s="356">
        <v>-12064</v>
      </c>
      <c r="D574" s="356"/>
      <c r="E574" s="420"/>
      <c r="F574" s="424"/>
      <c r="G574" s="4"/>
      <c r="H574" s="93"/>
      <c r="K574" s="93"/>
      <c r="L574" s="93"/>
      <c r="M574" s="93"/>
      <c r="N574" s="93"/>
      <c r="O574" s="93"/>
      <c r="P574" s="93"/>
      <c r="Q574" s="93"/>
      <c r="R574" s="93"/>
      <c r="S574" s="93"/>
      <c r="T574" s="93"/>
      <c r="U574" s="93"/>
      <c r="V574" s="93"/>
      <c r="W574" s="93"/>
      <c r="X574" s="93"/>
      <c r="Y574" s="93"/>
      <c r="Z574" s="93"/>
      <c r="AA574" s="93"/>
      <c r="AB574" s="93"/>
    </row>
    <row r="575" spans="1:28" ht="12.75" customHeight="1">
      <c r="A575" s="120" t="s">
        <v>584</v>
      </c>
      <c r="B575" s="150">
        <v>44589</v>
      </c>
      <c r="C575" s="422">
        <v>12847</v>
      </c>
      <c r="D575" s="422">
        <f>C575+C574</f>
        <v>783</v>
      </c>
      <c r="E575" s="423">
        <f>IFERROR(-D575/C574,0)</f>
        <v>6.4903846153846159E-2</v>
      </c>
      <c r="F575" s="344">
        <f>B575-B574</f>
        <v>4</v>
      </c>
      <c r="G575" s="4"/>
      <c r="H575" s="93"/>
      <c r="K575" s="93"/>
      <c r="L575" s="93"/>
      <c r="M575" s="93"/>
      <c r="N575" s="93"/>
      <c r="O575" s="93"/>
      <c r="P575" s="93"/>
      <c r="Q575" s="93"/>
      <c r="R575" s="93"/>
      <c r="S575" s="93"/>
      <c r="T575" s="93"/>
      <c r="U575" s="93"/>
      <c r="V575" s="93"/>
      <c r="W575" s="93"/>
      <c r="X575" s="93"/>
      <c r="Y575" s="93"/>
      <c r="Z575" s="93"/>
      <c r="AA575" s="93"/>
      <c r="AB575" s="93"/>
    </row>
    <row r="576" spans="1:28" ht="12.75" customHeight="1">
      <c r="A576" s="149" t="s">
        <v>584</v>
      </c>
      <c r="B576" s="148">
        <v>44593</v>
      </c>
      <c r="C576" s="356">
        <v>-1185</v>
      </c>
      <c r="D576" s="356"/>
      <c r="E576" s="420"/>
      <c r="F576" s="424"/>
      <c r="G576" s="4"/>
      <c r="H576" s="93"/>
      <c r="K576" s="93"/>
      <c r="L576" s="93"/>
      <c r="M576" s="93"/>
      <c r="N576" s="93"/>
      <c r="O576" s="93"/>
      <c r="P576" s="93"/>
      <c r="Q576" s="93"/>
      <c r="R576" s="93"/>
      <c r="S576" s="93"/>
      <c r="T576" s="93"/>
      <c r="U576" s="93"/>
      <c r="V576" s="93"/>
      <c r="W576" s="93"/>
      <c r="X576" s="93"/>
      <c r="Y576" s="93"/>
      <c r="Z576" s="93"/>
      <c r="AA576" s="93"/>
      <c r="AB576" s="93"/>
    </row>
    <row r="577" spans="1:28" ht="12.75" customHeight="1">
      <c r="A577" s="120" t="s">
        <v>584</v>
      </c>
      <c r="B577" s="150">
        <v>44664</v>
      </c>
      <c r="C577" s="422">
        <v>1213</v>
      </c>
      <c r="D577" s="422">
        <f>C577+C576</f>
        <v>28</v>
      </c>
      <c r="E577" s="423">
        <f>IFERROR(-D577/C576,0)</f>
        <v>2.3628691983122362E-2</v>
      </c>
      <c r="F577" s="344">
        <f>B577-B576</f>
        <v>71</v>
      </c>
      <c r="G577" s="4"/>
      <c r="H577" s="93"/>
      <c r="K577" s="93"/>
      <c r="L577" s="93"/>
      <c r="M577" s="93"/>
      <c r="N577" s="93"/>
      <c r="O577" s="93"/>
      <c r="P577" s="93"/>
      <c r="Q577" s="93"/>
      <c r="R577" s="93"/>
      <c r="S577" s="93"/>
      <c r="T577" s="93"/>
      <c r="U577" s="93"/>
      <c r="V577" s="93"/>
      <c r="W577" s="93"/>
      <c r="X577" s="93"/>
      <c r="Y577" s="93"/>
      <c r="Z577" s="93"/>
      <c r="AA577" s="93"/>
      <c r="AB577" s="93"/>
    </row>
    <row r="578" spans="1:28" ht="12.75" customHeight="1">
      <c r="A578" s="149" t="s">
        <v>584</v>
      </c>
      <c r="B578" s="148">
        <v>44592</v>
      </c>
      <c r="C578" s="356">
        <v>-15797</v>
      </c>
      <c r="D578" s="356"/>
      <c r="E578" s="420"/>
      <c r="F578" s="424"/>
      <c r="G578" s="4"/>
      <c r="H578" s="93"/>
      <c r="K578" s="93"/>
      <c r="L578" s="93"/>
      <c r="M578" s="93"/>
      <c r="N578" s="93"/>
      <c r="O578" s="93"/>
      <c r="P578" s="93"/>
      <c r="Q578" s="93"/>
      <c r="R578" s="93"/>
      <c r="S578" s="93"/>
      <c r="T578" s="93"/>
      <c r="U578" s="93"/>
      <c r="V578" s="93"/>
      <c r="W578" s="93"/>
      <c r="X578" s="93"/>
      <c r="Y578" s="93"/>
      <c r="Z578" s="93"/>
      <c r="AA578" s="93"/>
      <c r="AB578" s="93"/>
    </row>
    <row r="579" spans="1:28" ht="12.75" customHeight="1">
      <c r="A579" s="120" t="s">
        <v>584</v>
      </c>
      <c r="B579" s="150">
        <v>44775</v>
      </c>
      <c r="C579" s="422">
        <v>16296</v>
      </c>
      <c r="D579" s="422">
        <f>C579+C578</f>
        <v>499</v>
      </c>
      <c r="E579" s="423">
        <f>IFERROR(-D579/C578,0)</f>
        <v>3.1588276254985122E-2</v>
      </c>
      <c r="F579" s="344">
        <f>B579-B578</f>
        <v>183</v>
      </c>
      <c r="G579" s="4"/>
      <c r="H579" s="93"/>
      <c r="K579" s="93"/>
      <c r="L579" s="93"/>
      <c r="M579" s="93"/>
      <c r="N579" s="93"/>
      <c r="O579" s="93"/>
      <c r="P579" s="93"/>
      <c r="Q579" s="93"/>
      <c r="R579" s="93"/>
      <c r="S579" s="93"/>
      <c r="T579" s="93"/>
      <c r="U579" s="93"/>
      <c r="V579" s="93"/>
      <c r="W579" s="93"/>
      <c r="X579" s="93"/>
      <c r="Y579" s="93"/>
      <c r="Z579" s="93"/>
      <c r="AA579" s="93"/>
      <c r="AB579" s="93"/>
    </row>
    <row r="580" spans="1:28" ht="12.75" customHeight="1">
      <c r="A580" s="149" t="s">
        <v>584</v>
      </c>
      <c r="B580" s="148">
        <v>44592</v>
      </c>
      <c r="C580" s="356">
        <v>-12637</v>
      </c>
      <c r="D580" s="356"/>
      <c r="E580" s="420"/>
      <c r="F580" s="424"/>
      <c r="G580" s="4"/>
      <c r="H580" s="93"/>
      <c r="K580" s="93"/>
      <c r="L580" s="93"/>
      <c r="M580" s="93"/>
      <c r="N580" s="93"/>
      <c r="O580" s="93"/>
      <c r="P580" s="93"/>
      <c r="Q580" s="93"/>
      <c r="R580" s="93"/>
      <c r="S580" s="93"/>
      <c r="T580" s="93"/>
      <c r="U580" s="93"/>
      <c r="V580" s="93"/>
      <c r="W580" s="93"/>
      <c r="X580" s="93"/>
      <c r="Y580" s="93"/>
      <c r="Z580" s="93"/>
      <c r="AA580" s="93"/>
      <c r="AB580" s="93"/>
    </row>
    <row r="581" spans="1:28" ht="12.75" customHeight="1">
      <c r="A581" s="120" t="s">
        <v>584</v>
      </c>
      <c r="B581" s="150">
        <v>44790</v>
      </c>
      <c r="C581" s="422">
        <v>13476</v>
      </c>
      <c r="D581" s="422">
        <f>C581+C580</f>
        <v>839</v>
      </c>
      <c r="E581" s="423">
        <f>IFERROR(-D581/C580,0)</f>
        <v>6.6392339954103027E-2</v>
      </c>
      <c r="F581" s="344">
        <f>B581-B580</f>
        <v>198</v>
      </c>
      <c r="G581" s="4"/>
      <c r="H581" s="93"/>
      <c r="K581" s="93"/>
      <c r="L581" s="93"/>
      <c r="M581" s="93"/>
      <c r="N581" s="93"/>
      <c r="O581" s="93"/>
      <c r="P581" s="93"/>
      <c r="Q581" s="93"/>
      <c r="R581" s="93"/>
      <c r="S581" s="93"/>
      <c r="T581" s="93"/>
      <c r="U581" s="93"/>
      <c r="V581" s="93"/>
      <c r="W581" s="93"/>
      <c r="X581" s="93"/>
      <c r="Y581" s="93"/>
      <c r="Z581" s="93"/>
      <c r="AA581" s="93"/>
      <c r="AB581" s="93"/>
    </row>
    <row r="582" spans="1:28" ht="12.75" customHeight="1">
      <c r="A582" s="133" t="s">
        <v>505</v>
      </c>
      <c r="B582" s="425">
        <v>44334</v>
      </c>
      <c r="C582" s="426">
        <v>-14637</v>
      </c>
      <c r="D582" s="427"/>
      <c r="E582" s="420"/>
      <c r="F582" s="424"/>
      <c r="G582" s="4"/>
      <c r="H582" s="93"/>
      <c r="K582" s="93"/>
      <c r="L582" s="93"/>
      <c r="M582" s="93"/>
      <c r="N582" s="93"/>
      <c r="O582" s="93"/>
      <c r="P582" s="93"/>
      <c r="Q582" s="93"/>
      <c r="R582" s="93"/>
      <c r="S582" s="93"/>
      <c r="T582" s="93"/>
      <c r="U582" s="93"/>
      <c r="V582" s="93"/>
      <c r="W582" s="93"/>
      <c r="X582" s="93"/>
      <c r="Y582" s="93"/>
      <c r="Z582" s="93"/>
      <c r="AA582" s="93"/>
      <c r="AB582" s="93"/>
    </row>
    <row r="583" spans="1:28" ht="12.75" customHeight="1">
      <c r="A583" s="120" t="s">
        <v>505</v>
      </c>
      <c r="B583" s="428">
        <v>44343</v>
      </c>
      <c r="C583" s="429">
        <v>15134</v>
      </c>
      <c r="D583" s="422">
        <f>C583+C582</f>
        <v>497</v>
      </c>
      <c r="E583" s="423">
        <f>-D583/C582</f>
        <v>3.3955045432807272E-2</v>
      </c>
      <c r="F583" s="344">
        <f>B583-B582</f>
        <v>9</v>
      </c>
      <c r="G583" s="4"/>
      <c r="H583" s="93"/>
      <c r="K583" s="93"/>
      <c r="L583" s="93"/>
      <c r="M583" s="93"/>
      <c r="N583" s="93"/>
      <c r="O583" s="93"/>
      <c r="P583" s="93"/>
      <c r="Q583" s="93"/>
      <c r="R583" s="93"/>
      <c r="S583" s="93"/>
      <c r="T583" s="93"/>
      <c r="U583" s="93"/>
      <c r="V583" s="93"/>
      <c r="W583" s="93"/>
      <c r="X583" s="93"/>
      <c r="Y583" s="93"/>
      <c r="Z583" s="93"/>
      <c r="AA583" s="93"/>
      <c r="AB583" s="93"/>
    </row>
    <row r="584" spans="1:28" ht="12.75" customHeight="1">
      <c r="A584" s="149" t="s">
        <v>628</v>
      </c>
      <c r="B584" s="148">
        <v>44884</v>
      </c>
      <c r="C584" s="356">
        <v>-14652</v>
      </c>
      <c r="D584" s="356"/>
      <c r="E584" s="420"/>
      <c r="F584" s="424"/>
      <c r="G584" s="4"/>
      <c r="H584" s="93"/>
      <c r="K584" s="93"/>
      <c r="L584" s="93"/>
      <c r="M584" s="93"/>
      <c r="N584" s="93"/>
      <c r="O584" s="93"/>
      <c r="P584" s="93"/>
      <c r="Q584" s="93"/>
      <c r="R584" s="93"/>
      <c r="S584" s="93"/>
      <c r="T584" s="93"/>
      <c r="U584" s="93"/>
      <c r="V584" s="93"/>
      <c r="W584" s="93"/>
      <c r="X584" s="93"/>
      <c r="Y584" s="93"/>
      <c r="Z584" s="93"/>
      <c r="AA584" s="93"/>
      <c r="AB584" s="93"/>
    </row>
    <row r="585" spans="1:28" ht="12.75" customHeight="1">
      <c r="A585" s="120" t="s">
        <v>628</v>
      </c>
      <c r="B585" s="150">
        <v>44889</v>
      </c>
      <c r="C585" s="422">
        <v>17082</v>
      </c>
      <c r="D585" s="422">
        <f>C585+C584</f>
        <v>2430</v>
      </c>
      <c r="E585" s="423">
        <f>IFERROR(-D585/C584,0)</f>
        <v>0.16584766584766586</v>
      </c>
      <c r="F585" s="344">
        <f>B585-B584</f>
        <v>5</v>
      </c>
      <c r="G585" s="4"/>
      <c r="H585" s="93"/>
      <c r="K585" s="93"/>
      <c r="L585" s="93"/>
      <c r="M585" s="93"/>
      <c r="N585" s="93"/>
      <c r="O585" s="93"/>
      <c r="P585" s="93"/>
      <c r="Q585" s="93"/>
      <c r="R585" s="93"/>
      <c r="S585" s="93"/>
      <c r="T585" s="93"/>
      <c r="U585" s="93"/>
      <c r="V585" s="93"/>
      <c r="W585" s="93"/>
      <c r="X585" s="93"/>
      <c r="Y585" s="93"/>
      <c r="Z585" s="93"/>
      <c r="AA585" s="93"/>
      <c r="AB585" s="93"/>
    </row>
    <row r="586" spans="1:28" ht="12.75" customHeight="1">
      <c r="A586" s="149" t="s">
        <v>466</v>
      </c>
      <c r="B586" s="148">
        <v>44796</v>
      </c>
      <c r="C586" s="356">
        <v>-3054</v>
      </c>
      <c r="D586" s="356"/>
      <c r="E586" s="420"/>
      <c r="F586" s="424"/>
      <c r="G586" s="4"/>
      <c r="H586" s="93"/>
      <c r="K586" s="93"/>
      <c r="L586" s="93"/>
      <c r="M586" s="93"/>
      <c r="N586" s="93"/>
      <c r="O586" s="93"/>
      <c r="P586" s="93"/>
      <c r="Q586" s="93"/>
      <c r="R586" s="93"/>
      <c r="S586" s="93"/>
      <c r="T586" s="93"/>
      <c r="U586" s="93"/>
      <c r="V586" s="93"/>
      <c r="W586" s="93"/>
      <c r="X586" s="93"/>
      <c r="Y586" s="93"/>
      <c r="Z586" s="93"/>
      <c r="AA586" s="93"/>
      <c r="AB586" s="93"/>
    </row>
    <row r="587" spans="1:28" ht="12.75" customHeight="1">
      <c r="A587" s="120" t="s">
        <v>466</v>
      </c>
      <c r="B587" s="150">
        <v>44879</v>
      </c>
      <c r="C587" s="422">
        <v>4056</v>
      </c>
      <c r="D587" s="422">
        <f>C587+C586</f>
        <v>1002</v>
      </c>
      <c r="E587" s="423">
        <f>IFERROR(-D587/C586,0)</f>
        <v>0.32809430255402749</v>
      </c>
      <c r="F587" s="344">
        <f>B587-B586</f>
        <v>83</v>
      </c>
      <c r="G587" s="4"/>
      <c r="H587" s="93"/>
      <c r="K587" s="93"/>
      <c r="L587" s="93"/>
      <c r="M587" s="93"/>
      <c r="N587" s="93"/>
      <c r="O587" s="93"/>
      <c r="P587" s="93"/>
      <c r="Q587" s="93"/>
      <c r="R587" s="93"/>
      <c r="S587" s="93"/>
      <c r="T587" s="93"/>
      <c r="U587" s="93"/>
      <c r="V587" s="93"/>
      <c r="W587" s="93"/>
      <c r="X587" s="93"/>
      <c r="Y587" s="93"/>
      <c r="Z587" s="93"/>
      <c r="AA587" s="93"/>
      <c r="AB587" s="93"/>
    </row>
    <row r="588" spans="1:28" ht="12.75" customHeight="1">
      <c r="A588" s="149" t="s">
        <v>532</v>
      </c>
      <c r="B588" s="148">
        <v>44364</v>
      </c>
      <c r="C588" s="149">
        <v>-5246</v>
      </c>
      <c r="D588" s="427"/>
      <c r="E588" s="420"/>
      <c r="F588" s="424"/>
      <c r="G588" s="4"/>
      <c r="H588" s="93"/>
      <c r="K588" s="93"/>
      <c r="L588" s="93"/>
      <c r="M588" s="93"/>
      <c r="N588" s="93"/>
      <c r="O588" s="93"/>
      <c r="P588" s="93"/>
      <c r="Q588" s="93"/>
      <c r="R588" s="93"/>
      <c r="S588" s="93"/>
      <c r="T588" s="93"/>
      <c r="U588" s="93"/>
      <c r="V588" s="93"/>
      <c r="W588" s="93"/>
      <c r="X588" s="93"/>
      <c r="Y588" s="93"/>
      <c r="Z588" s="93"/>
      <c r="AA588" s="93"/>
      <c r="AB588" s="93"/>
    </row>
    <row r="589" spans="1:28" ht="12.75" customHeight="1">
      <c r="A589" s="120" t="s">
        <v>532</v>
      </c>
      <c r="B589" s="150">
        <v>44368</v>
      </c>
      <c r="C589" s="422">
        <v>5706</v>
      </c>
      <c r="D589" s="422">
        <f>C589+C588</f>
        <v>460</v>
      </c>
      <c r="E589" s="423">
        <f>-D589/C588</f>
        <v>8.7685855890202058E-2</v>
      </c>
      <c r="F589" s="344">
        <f>B589-B588</f>
        <v>4</v>
      </c>
      <c r="G589" s="4"/>
      <c r="H589" s="93"/>
      <c r="K589" s="93"/>
      <c r="L589" s="93"/>
      <c r="M589" s="93"/>
      <c r="N589" s="93"/>
      <c r="O589" s="93"/>
      <c r="P589" s="93"/>
      <c r="Q589" s="93"/>
      <c r="R589" s="93"/>
      <c r="S589" s="93"/>
      <c r="T589" s="93"/>
      <c r="U589" s="93"/>
      <c r="V589" s="93"/>
      <c r="W589" s="93"/>
      <c r="X589" s="93"/>
      <c r="Y589" s="93"/>
      <c r="Z589" s="93"/>
      <c r="AA589" s="93"/>
      <c r="AB589" s="93"/>
    </row>
    <row r="590" spans="1:28" ht="12.75" customHeight="1">
      <c r="A590" s="149" t="s">
        <v>532</v>
      </c>
      <c r="B590" s="148">
        <v>44649</v>
      </c>
      <c r="C590" s="356">
        <v>-7609</v>
      </c>
      <c r="D590" s="356"/>
      <c r="E590" s="420"/>
      <c r="F590" s="424"/>
      <c r="G590" s="4"/>
      <c r="H590" s="93"/>
      <c r="K590" s="93"/>
      <c r="L590" s="93"/>
      <c r="M590" s="93"/>
      <c r="N590" s="93"/>
      <c r="O590" s="93"/>
      <c r="P590" s="93"/>
      <c r="Q590" s="93"/>
      <c r="R590" s="93"/>
      <c r="S590" s="93"/>
      <c r="T590" s="93"/>
      <c r="U590" s="93"/>
      <c r="V590" s="93"/>
      <c r="W590" s="93"/>
      <c r="X590" s="93"/>
      <c r="Y590" s="93"/>
      <c r="Z590" s="93"/>
      <c r="AA590" s="93"/>
      <c r="AB590" s="93"/>
    </row>
    <row r="591" spans="1:28" ht="12.75" customHeight="1">
      <c r="A591" s="120" t="s">
        <v>532</v>
      </c>
      <c r="B591" s="150">
        <v>44651</v>
      </c>
      <c r="C591" s="422">
        <v>7772</v>
      </c>
      <c r="D591" s="422">
        <f>C591+C590</f>
        <v>163</v>
      </c>
      <c r="E591" s="423">
        <f>IFERROR(-D591/C590,0)</f>
        <v>2.142200026284663E-2</v>
      </c>
      <c r="F591" s="344">
        <f>B591-B590</f>
        <v>2</v>
      </c>
      <c r="G591" s="4"/>
      <c r="H591" s="93"/>
      <c r="K591" s="93"/>
      <c r="L591" s="93"/>
      <c r="M591" s="93"/>
      <c r="N591" s="93"/>
      <c r="O591" s="93"/>
      <c r="P591" s="93"/>
      <c r="Q591" s="93"/>
      <c r="R591" s="93"/>
      <c r="S591" s="93"/>
      <c r="T591" s="93"/>
      <c r="U591" s="93"/>
      <c r="V591" s="93"/>
      <c r="W591" s="93"/>
      <c r="X591" s="93"/>
      <c r="Y591" s="93"/>
      <c r="Z591" s="93"/>
      <c r="AA591" s="93"/>
      <c r="AB591" s="93"/>
    </row>
    <row r="592" spans="1:28" ht="12.75" customHeight="1">
      <c r="A592" s="149" t="s">
        <v>522</v>
      </c>
      <c r="B592" s="148">
        <v>44351</v>
      </c>
      <c r="C592" s="356">
        <v>-22927</v>
      </c>
      <c r="D592" s="356"/>
      <c r="E592" s="420"/>
      <c r="F592" s="424"/>
      <c r="G592" s="4"/>
      <c r="H592" s="93"/>
      <c r="K592" s="93"/>
      <c r="L592" s="93"/>
      <c r="M592" s="93"/>
      <c r="N592" s="93"/>
      <c r="O592" s="93"/>
      <c r="P592" s="93"/>
      <c r="Q592" s="93"/>
      <c r="R592" s="93"/>
      <c r="S592" s="93"/>
      <c r="T592" s="93"/>
      <c r="U592" s="93"/>
      <c r="V592" s="93"/>
      <c r="W592" s="93"/>
      <c r="X592" s="93"/>
      <c r="Y592" s="93"/>
      <c r="Z592" s="93"/>
      <c r="AA592" s="93"/>
      <c r="AB592" s="93"/>
    </row>
    <row r="593" spans="1:28" ht="12.75" customHeight="1">
      <c r="A593" s="120" t="s">
        <v>522</v>
      </c>
      <c r="B593" s="428">
        <v>44354</v>
      </c>
      <c r="C593" s="429">
        <v>23775</v>
      </c>
      <c r="D593" s="422">
        <f>C593+C592</f>
        <v>848</v>
      </c>
      <c r="E593" s="423">
        <f>-D593/C592</f>
        <v>3.6986958607755048E-2</v>
      </c>
      <c r="F593" s="344">
        <f>B593-B592</f>
        <v>3</v>
      </c>
      <c r="G593" s="4"/>
      <c r="H593" s="93"/>
      <c r="K593" s="93"/>
      <c r="L593" s="93"/>
      <c r="M593" s="93"/>
      <c r="N593" s="93"/>
      <c r="O593" s="93"/>
      <c r="P593" s="93"/>
      <c r="Q593" s="93"/>
      <c r="R593" s="93"/>
      <c r="S593" s="93"/>
      <c r="T593" s="93"/>
      <c r="U593" s="93"/>
      <c r="V593" s="93"/>
      <c r="W593" s="93"/>
      <c r="X593" s="93"/>
      <c r="Y593" s="93"/>
      <c r="Z593" s="93"/>
      <c r="AA593" s="93"/>
      <c r="AB593" s="93"/>
    </row>
    <row r="594" spans="1:28" ht="12.75" customHeight="1">
      <c r="A594" s="149" t="s">
        <v>572</v>
      </c>
      <c r="B594" s="148">
        <v>44482</v>
      </c>
      <c r="C594" s="356">
        <v>-6045</v>
      </c>
      <c r="D594" s="356"/>
      <c r="E594" s="420"/>
      <c r="F594" s="424"/>
      <c r="G594" s="4"/>
      <c r="H594" s="93"/>
      <c r="K594" s="93"/>
      <c r="L594" s="93"/>
      <c r="M594" s="93"/>
      <c r="N594" s="93"/>
      <c r="O594" s="93"/>
      <c r="P594" s="93"/>
      <c r="Q594" s="93"/>
      <c r="R594" s="93"/>
      <c r="S594" s="93"/>
      <c r="T594" s="93"/>
      <c r="U594" s="93"/>
      <c r="V594" s="93"/>
      <c r="W594" s="93"/>
      <c r="X594" s="93"/>
      <c r="Y594" s="93"/>
      <c r="Z594" s="93"/>
      <c r="AA594" s="93"/>
      <c r="AB594" s="93"/>
    </row>
    <row r="595" spans="1:28" ht="12.75" customHeight="1">
      <c r="A595" s="120" t="s">
        <v>572</v>
      </c>
      <c r="B595" s="150">
        <v>44488</v>
      </c>
      <c r="C595" s="422">
        <v>6718</v>
      </c>
      <c r="D595" s="422">
        <f>C595+C594</f>
        <v>673</v>
      </c>
      <c r="E595" s="423">
        <f>-D595/C594</f>
        <v>0.11133167907361456</v>
      </c>
      <c r="F595" s="344">
        <f>B595-B594</f>
        <v>6</v>
      </c>
      <c r="G595" s="4"/>
      <c r="H595" s="93"/>
      <c r="K595" s="93"/>
      <c r="L595" s="93"/>
      <c r="M595" s="93"/>
      <c r="N595" s="93"/>
      <c r="O595" s="93"/>
      <c r="P595" s="93"/>
      <c r="Q595" s="93"/>
      <c r="R595" s="93"/>
      <c r="S595" s="93"/>
      <c r="T595" s="93"/>
      <c r="U595" s="93"/>
      <c r="V595" s="93"/>
      <c r="W595" s="93"/>
      <c r="X595" s="93"/>
      <c r="Y595" s="93"/>
      <c r="Z595" s="93"/>
      <c r="AA595" s="93"/>
      <c r="AB595" s="93"/>
    </row>
    <row r="596" spans="1:28" ht="12.75" customHeight="1">
      <c r="A596" s="149" t="s">
        <v>572</v>
      </c>
      <c r="B596" s="148">
        <v>44491</v>
      </c>
      <c r="C596" s="356">
        <v>-6708</v>
      </c>
      <c r="D596" s="356"/>
      <c r="E596" s="420"/>
      <c r="F596" s="424"/>
      <c r="G596" s="4"/>
      <c r="H596" s="93"/>
      <c r="K596" s="93"/>
      <c r="L596" s="93"/>
      <c r="M596" s="93"/>
      <c r="N596" s="93"/>
      <c r="O596" s="93"/>
      <c r="P596" s="93"/>
      <c r="Q596" s="93"/>
      <c r="R596" s="93"/>
      <c r="S596" s="93"/>
      <c r="T596" s="93"/>
      <c r="U596" s="93"/>
      <c r="V596" s="93"/>
      <c r="W596" s="93"/>
      <c r="X596" s="93"/>
      <c r="Y596" s="93"/>
      <c r="Z596" s="93"/>
      <c r="AA596" s="93"/>
      <c r="AB596" s="93"/>
    </row>
    <row r="597" spans="1:28" ht="12.75" customHeight="1">
      <c r="A597" s="120" t="s">
        <v>572</v>
      </c>
      <c r="B597" s="150">
        <v>44501</v>
      </c>
      <c r="C597" s="422">
        <v>7242</v>
      </c>
      <c r="D597" s="422">
        <f>C597+C596</f>
        <v>534</v>
      </c>
      <c r="E597" s="423">
        <f>-D597/C596</f>
        <v>7.9606440071556345E-2</v>
      </c>
      <c r="F597" s="344">
        <f>B597-B596</f>
        <v>10</v>
      </c>
      <c r="G597" s="4"/>
      <c r="H597" s="93"/>
      <c r="K597" s="93"/>
      <c r="L597" s="93"/>
      <c r="M597" s="93"/>
      <c r="N597" s="93"/>
      <c r="O597" s="93"/>
      <c r="P597" s="93"/>
      <c r="Q597" s="93"/>
      <c r="R597" s="93"/>
      <c r="S597" s="93"/>
      <c r="T597" s="93"/>
      <c r="U597" s="93"/>
      <c r="V597" s="93"/>
      <c r="W597" s="93"/>
      <c r="X597" s="93"/>
      <c r="Y597" s="93"/>
      <c r="Z597" s="93"/>
      <c r="AA597" s="93"/>
      <c r="AB597" s="93"/>
    </row>
    <row r="598" spans="1:28" ht="12.75" customHeight="1">
      <c r="A598" s="149" t="s">
        <v>594</v>
      </c>
      <c r="B598" s="148">
        <v>44596</v>
      </c>
      <c r="C598" s="356">
        <v>-1357</v>
      </c>
      <c r="D598" s="356"/>
      <c r="E598" s="420"/>
      <c r="F598" s="424"/>
      <c r="G598" s="4"/>
      <c r="H598" s="93"/>
      <c r="K598" s="93"/>
      <c r="L598" s="93"/>
      <c r="M598" s="93"/>
      <c r="N598" s="93"/>
      <c r="O598" s="93"/>
      <c r="P598" s="93"/>
      <c r="Q598" s="93"/>
      <c r="R598" s="93"/>
      <c r="S598" s="93"/>
      <c r="T598" s="93"/>
      <c r="U598" s="93"/>
      <c r="V598" s="93"/>
      <c r="W598" s="93"/>
      <c r="X598" s="93"/>
      <c r="Y598" s="93"/>
      <c r="Z598" s="93"/>
      <c r="AA598" s="93"/>
      <c r="AB598" s="93"/>
    </row>
    <row r="599" spans="1:28" ht="12.75" customHeight="1">
      <c r="A599" s="120" t="s">
        <v>594</v>
      </c>
      <c r="B599" s="150">
        <v>44663</v>
      </c>
      <c r="C599" s="422">
        <v>1401</v>
      </c>
      <c r="D599" s="422">
        <f>C599+C598</f>
        <v>44</v>
      </c>
      <c r="E599" s="423">
        <f>IFERROR(-D599/C598,0)</f>
        <v>3.2424465733235076E-2</v>
      </c>
      <c r="F599" s="344">
        <f>B599-B598</f>
        <v>67</v>
      </c>
      <c r="G599" s="4"/>
      <c r="H599" s="93"/>
      <c r="K599" s="93"/>
      <c r="L599" s="93"/>
      <c r="M599" s="93"/>
      <c r="N599" s="93"/>
      <c r="O599" s="93"/>
      <c r="P599" s="93"/>
      <c r="Q599" s="93"/>
      <c r="R599" s="93"/>
      <c r="S599" s="93"/>
      <c r="T599" s="93"/>
      <c r="U599" s="93"/>
      <c r="V599" s="93"/>
      <c r="W599" s="93"/>
      <c r="X599" s="93"/>
      <c r="Y599" s="93"/>
      <c r="Z599" s="93"/>
      <c r="AA599" s="93"/>
      <c r="AB599" s="93"/>
    </row>
    <row r="600" spans="1:28" ht="12.75" customHeight="1">
      <c r="A600" s="149" t="s">
        <v>594</v>
      </c>
      <c r="B600" s="148">
        <v>44599</v>
      </c>
      <c r="C600" s="356">
        <v>-1337</v>
      </c>
      <c r="D600" s="356"/>
      <c r="E600" s="420"/>
      <c r="F600" s="424"/>
      <c r="G600" s="4"/>
      <c r="H600" s="93"/>
      <c r="K600" s="93"/>
      <c r="L600" s="93"/>
      <c r="M600" s="93"/>
      <c r="N600" s="93"/>
      <c r="O600" s="93"/>
      <c r="P600" s="93"/>
      <c r="Q600" s="93"/>
      <c r="R600" s="93"/>
      <c r="S600" s="93"/>
      <c r="T600" s="93"/>
      <c r="U600" s="93"/>
      <c r="V600" s="93"/>
      <c r="W600" s="93"/>
      <c r="X600" s="93"/>
      <c r="Y600" s="93"/>
      <c r="Z600" s="93"/>
      <c r="AA600" s="93"/>
      <c r="AB600" s="93"/>
    </row>
    <row r="601" spans="1:28" ht="12.75" customHeight="1">
      <c r="A601" s="120" t="s">
        <v>594</v>
      </c>
      <c r="B601" s="150">
        <v>44663</v>
      </c>
      <c r="C601" s="422">
        <v>1400</v>
      </c>
      <c r="D601" s="422">
        <f>C601+C600</f>
        <v>63</v>
      </c>
      <c r="E601" s="423">
        <f>IFERROR(-D601/C600,0)</f>
        <v>4.712041884816754E-2</v>
      </c>
      <c r="F601" s="344">
        <f>B601-B600</f>
        <v>64</v>
      </c>
      <c r="G601" s="4"/>
      <c r="H601" s="93"/>
      <c r="K601" s="93"/>
      <c r="L601" s="93"/>
      <c r="M601" s="93"/>
      <c r="N601" s="93"/>
      <c r="O601" s="93"/>
      <c r="P601" s="93"/>
      <c r="Q601" s="93"/>
      <c r="R601" s="93"/>
      <c r="S601" s="93"/>
      <c r="T601" s="93"/>
      <c r="U601" s="93"/>
      <c r="V601" s="93"/>
      <c r="W601" s="93"/>
      <c r="X601" s="93"/>
      <c r="Y601" s="93"/>
      <c r="Z601" s="93"/>
      <c r="AA601" s="93"/>
      <c r="AB601" s="93"/>
    </row>
    <row r="602" spans="1:28" ht="12.75" customHeight="1">
      <c r="A602" s="149" t="s">
        <v>593</v>
      </c>
      <c r="B602" s="148">
        <v>44586</v>
      </c>
      <c r="C602" s="356">
        <v>-12194</v>
      </c>
      <c r="D602" s="356"/>
      <c r="E602" s="420"/>
      <c r="F602" s="424"/>
      <c r="G602" s="4"/>
      <c r="H602" s="93"/>
      <c r="K602" s="93"/>
      <c r="L602" s="93"/>
      <c r="M602" s="93"/>
      <c r="N602" s="93"/>
      <c r="O602" s="93"/>
      <c r="P602" s="93"/>
      <c r="Q602" s="93"/>
      <c r="R602" s="93"/>
      <c r="S602" s="93"/>
      <c r="T602" s="93"/>
      <c r="U602" s="93"/>
      <c r="V602" s="93"/>
      <c r="W602" s="93"/>
      <c r="X602" s="93"/>
      <c r="Y602" s="93"/>
      <c r="Z602" s="93"/>
      <c r="AA602" s="93"/>
      <c r="AB602" s="93"/>
    </row>
    <row r="603" spans="1:28" ht="12.75" customHeight="1">
      <c r="A603" s="120" t="s">
        <v>593</v>
      </c>
      <c r="B603" s="150">
        <v>44614</v>
      </c>
      <c r="C603" s="422">
        <v>12667</v>
      </c>
      <c r="D603" s="422">
        <f>C603+C602</f>
        <v>473</v>
      </c>
      <c r="E603" s="423">
        <f>IFERROR(-D603/C602,0)</f>
        <v>3.8789568640314909E-2</v>
      </c>
      <c r="F603" s="344">
        <f>B603-B602</f>
        <v>28</v>
      </c>
      <c r="G603" s="4"/>
      <c r="H603" s="93"/>
      <c r="K603" s="93"/>
      <c r="L603" s="93"/>
      <c r="M603" s="93"/>
      <c r="N603" s="93"/>
      <c r="O603" s="93"/>
      <c r="P603" s="93"/>
      <c r="Q603" s="93"/>
      <c r="R603" s="93"/>
      <c r="S603" s="93"/>
      <c r="T603" s="93"/>
      <c r="U603" s="93"/>
      <c r="V603" s="93"/>
      <c r="W603" s="93"/>
      <c r="X603" s="93"/>
      <c r="Y603" s="93"/>
      <c r="Z603" s="93"/>
      <c r="AA603" s="93"/>
      <c r="AB603" s="93"/>
    </row>
    <row r="604" spans="1:28" ht="12.75" customHeight="1">
      <c r="A604" s="149" t="s">
        <v>593</v>
      </c>
      <c r="B604" s="148">
        <v>44616</v>
      </c>
      <c r="C604" s="356">
        <v>-12525</v>
      </c>
      <c r="D604" s="356"/>
      <c r="E604" s="420"/>
      <c r="F604" s="424"/>
      <c r="G604" s="4"/>
      <c r="H604" s="93"/>
      <c r="K604" s="93"/>
      <c r="L604" s="93"/>
      <c r="M604" s="93"/>
      <c r="N604" s="93"/>
      <c r="O604" s="93"/>
      <c r="P604" s="93"/>
      <c r="Q604" s="93"/>
      <c r="R604" s="93"/>
      <c r="S604" s="93"/>
      <c r="T604" s="93"/>
      <c r="U604" s="93"/>
      <c r="V604" s="93"/>
      <c r="W604" s="93"/>
      <c r="X604" s="93"/>
      <c r="Y604" s="93"/>
      <c r="Z604" s="93"/>
      <c r="AA604" s="93"/>
      <c r="AB604" s="93"/>
    </row>
    <row r="605" spans="1:28" ht="12.75" customHeight="1">
      <c r="A605" s="120" t="s">
        <v>593</v>
      </c>
      <c r="B605" s="150">
        <v>44644</v>
      </c>
      <c r="C605" s="422">
        <v>14225</v>
      </c>
      <c r="D605" s="422">
        <f>C605+C604</f>
        <v>1700</v>
      </c>
      <c r="E605" s="423">
        <f>IFERROR(-D605/C604,0)</f>
        <v>0.13572854291417166</v>
      </c>
      <c r="F605" s="344">
        <f>B605-B604</f>
        <v>28</v>
      </c>
      <c r="G605" s="4"/>
      <c r="H605" s="93"/>
      <c r="K605" s="93"/>
      <c r="L605" s="93"/>
      <c r="M605" s="93"/>
      <c r="N605" s="93"/>
      <c r="O605" s="93"/>
      <c r="P605" s="93"/>
      <c r="Q605" s="93"/>
      <c r="R605" s="93"/>
      <c r="S605" s="93"/>
      <c r="T605" s="93"/>
      <c r="U605" s="93"/>
      <c r="V605" s="93"/>
      <c r="W605" s="93"/>
      <c r="X605" s="93"/>
      <c r="Y605" s="93"/>
      <c r="Z605" s="93"/>
      <c r="AA605" s="93"/>
      <c r="AB605" s="93"/>
    </row>
    <row r="606" spans="1:28" ht="12.75" customHeight="1">
      <c r="A606" s="149" t="s">
        <v>579</v>
      </c>
      <c r="B606" s="148">
        <v>44515</v>
      </c>
      <c r="C606" s="356">
        <v>-4555</v>
      </c>
      <c r="D606" s="356"/>
      <c r="E606" s="420"/>
      <c r="F606" s="424"/>
      <c r="G606" s="4"/>
      <c r="H606" s="93"/>
      <c r="K606" s="93"/>
      <c r="L606" s="93"/>
      <c r="M606" s="93"/>
      <c r="N606" s="93"/>
      <c r="O606" s="93"/>
      <c r="P606" s="93"/>
      <c r="Q606" s="93"/>
      <c r="R606" s="93"/>
      <c r="S606" s="93"/>
      <c r="T606" s="93"/>
      <c r="U606" s="93"/>
      <c r="V606" s="93"/>
      <c r="W606" s="93"/>
      <c r="X606" s="93"/>
      <c r="Y606" s="93"/>
      <c r="Z606" s="93"/>
      <c r="AA606" s="93"/>
      <c r="AB606" s="93"/>
    </row>
    <row r="607" spans="1:28" ht="12.75" customHeight="1">
      <c r="A607" s="120" t="s">
        <v>579</v>
      </c>
      <c r="B607" s="150">
        <v>44558</v>
      </c>
      <c r="C607" s="422">
        <v>4695</v>
      </c>
      <c r="D607" s="422">
        <f>C607+C606</f>
        <v>140</v>
      </c>
      <c r="E607" s="423">
        <f>-D607/C606</f>
        <v>3.0735455543358946E-2</v>
      </c>
      <c r="F607" s="344">
        <f>B607-B606</f>
        <v>43</v>
      </c>
      <c r="G607" s="4"/>
      <c r="H607" s="93"/>
      <c r="K607" s="93"/>
      <c r="L607" s="93"/>
      <c r="M607" s="93"/>
      <c r="N607" s="93"/>
      <c r="O607" s="93"/>
      <c r="P607" s="93"/>
      <c r="Q607" s="93"/>
      <c r="R607" s="93"/>
      <c r="S607" s="93"/>
      <c r="T607" s="93"/>
      <c r="U607" s="93"/>
      <c r="V607" s="93"/>
      <c r="W607" s="93"/>
      <c r="X607" s="93"/>
      <c r="Y607" s="93"/>
      <c r="Z607" s="93"/>
      <c r="AA607" s="93"/>
      <c r="AB607" s="93"/>
    </row>
    <row r="608" spans="1:28" ht="12.75" customHeight="1">
      <c r="A608" s="149" t="s">
        <v>548</v>
      </c>
      <c r="B608" s="148">
        <v>44389</v>
      </c>
      <c r="C608" s="356">
        <v>-2433</v>
      </c>
      <c r="D608" s="356"/>
      <c r="E608" s="420"/>
      <c r="F608" s="424"/>
      <c r="G608" s="4"/>
      <c r="H608" s="93"/>
      <c r="K608" s="93"/>
      <c r="L608" s="93"/>
      <c r="M608" s="93"/>
      <c r="N608" s="93"/>
      <c r="O608" s="93"/>
      <c r="P608" s="93"/>
      <c r="Q608" s="93"/>
      <c r="R608" s="93"/>
      <c r="S608" s="93"/>
      <c r="T608" s="93"/>
      <c r="U608" s="93"/>
      <c r="V608" s="93"/>
      <c r="W608" s="93"/>
      <c r="X608" s="93"/>
      <c r="Y608" s="93"/>
      <c r="Z608" s="93"/>
      <c r="AA608" s="93"/>
      <c r="AB608" s="93"/>
    </row>
    <row r="609" spans="1:28" ht="12.75" customHeight="1">
      <c r="A609" s="120" t="s">
        <v>548</v>
      </c>
      <c r="B609" s="150">
        <v>44533</v>
      </c>
      <c r="C609" s="422">
        <v>1324</v>
      </c>
      <c r="D609" s="422">
        <f>C609+C608</f>
        <v>-1109</v>
      </c>
      <c r="E609" s="423">
        <f>-D609/C608</f>
        <v>-0.45581586518701189</v>
      </c>
      <c r="F609" s="344">
        <f>B609-B608</f>
        <v>144</v>
      </c>
      <c r="G609" s="4"/>
      <c r="H609" s="93"/>
      <c r="K609" s="93"/>
      <c r="L609" s="93"/>
      <c r="M609" s="93"/>
      <c r="N609" s="93"/>
      <c r="O609" s="93"/>
      <c r="P609" s="93"/>
      <c r="Q609" s="93"/>
      <c r="R609" s="93"/>
      <c r="S609" s="93"/>
      <c r="T609" s="93"/>
      <c r="U609" s="93"/>
      <c r="V609" s="93"/>
      <c r="W609" s="93"/>
      <c r="X609" s="93"/>
      <c r="Y609" s="93"/>
      <c r="Z609" s="93"/>
      <c r="AA609" s="93"/>
      <c r="AB609" s="93"/>
    </row>
    <row r="610" spans="1:28" ht="12.75" customHeight="1">
      <c r="A610" s="149" t="s">
        <v>548</v>
      </c>
      <c r="B610" s="148">
        <v>44554</v>
      </c>
      <c r="C610" s="356">
        <v>-1352</v>
      </c>
      <c r="D610" s="356"/>
      <c r="E610" s="420"/>
      <c r="F610" s="424"/>
      <c r="G610" s="4"/>
      <c r="H610" s="93"/>
      <c r="K610" s="93"/>
      <c r="L610" s="93"/>
      <c r="M610" s="93"/>
      <c r="N610" s="93"/>
      <c r="O610" s="93"/>
      <c r="P610" s="93"/>
      <c r="Q610" s="93"/>
      <c r="R610" s="93"/>
      <c r="S610" s="93"/>
      <c r="T610" s="93"/>
      <c r="U610" s="93"/>
      <c r="V610" s="93"/>
      <c r="W610" s="93"/>
      <c r="X610" s="93"/>
      <c r="Y610" s="93"/>
      <c r="Z610" s="93"/>
      <c r="AA610" s="93"/>
      <c r="AB610" s="93"/>
    </row>
    <row r="611" spans="1:28" ht="12.75" customHeight="1">
      <c r="A611" s="120" t="s">
        <v>548</v>
      </c>
      <c r="B611" s="150">
        <v>44557</v>
      </c>
      <c r="C611" s="422">
        <v>1423</v>
      </c>
      <c r="D611" s="422">
        <f>C611+C610</f>
        <v>71</v>
      </c>
      <c r="E611" s="423">
        <f>-D611/C610</f>
        <v>5.2514792899408282E-2</v>
      </c>
      <c r="F611" s="344">
        <f>B611-B610</f>
        <v>3</v>
      </c>
      <c r="G611" s="4"/>
      <c r="H611" s="93"/>
      <c r="K611" s="93"/>
      <c r="L611" s="93"/>
      <c r="M611" s="93"/>
      <c r="N611" s="93"/>
      <c r="O611" s="93"/>
      <c r="P611" s="93"/>
      <c r="Q611" s="93"/>
      <c r="R611" s="93"/>
      <c r="S611" s="93"/>
      <c r="T611" s="93"/>
      <c r="U611" s="93"/>
      <c r="V611" s="93"/>
      <c r="W611" s="93"/>
      <c r="X611" s="93"/>
      <c r="Y611" s="93"/>
      <c r="Z611" s="93"/>
      <c r="AA611" s="93"/>
      <c r="AB611" s="93"/>
    </row>
    <row r="612" spans="1:28" ht="12.75" customHeight="1">
      <c r="A612" s="149" t="s">
        <v>548</v>
      </c>
      <c r="B612" s="148">
        <v>44389</v>
      </c>
      <c r="C612" s="356">
        <v>-2433</v>
      </c>
      <c r="D612" s="356"/>
      <c r="E612" s="420"/>
      <c r="F612" s="424"/>
      <c r="G612" s="4"/>
      <c r="H612" s="93"/>
      <c r="K612" s="93"/>
      <c r="L612" s="93"/>
      <c r="M612" s="93"/>
      <c r="N612" s="93"/>
      <c r="O612" s="93"/>
      <c r="P612" s="93"/>
      <c r="Q612" s="93"/>
      <c r="R612" s="93"/>
      <c r="S612" s="93"/>
      <c r="T612" s="93"/>
      <c r="U612" s="93"/>
      <c r="V612" s="93"/>
      <c r="W612" s="93"/>
      <c r="X612" s="93"/>
      <c r="Y612" s="93"/>
      <c r="Z612" s="93"/>
      <c r="AA612" s="93"/>
      <c r="AB612" s="93"/>
    </row>
    <row r="613" spans="1:28" ht="12.75" customHeight="1">
      <c r="A613" s="120" t="s">
        <v>548</v>
      </c>
      <c r="B613" s="150">
        <v>44558</v>
      </c>
      <c r="C613" s="422">
        <v>1473</v>
      </c>
      <c r="D613" s="422">
        <f>C613+C612</f>
        <v>-960</v>
      </c>
      <c r="E613" s="423">
        <f>-D613/C612</f>
        <v>-0.39457459926017263</v>
      </c>
      <c r="F613" s="344">
        <f>B613-B612</f>
        <v>169</v>
      </c>
      <c r="G613" s="4"/>
      <c r="H613" s="93"/>
      <c r="K613" s="93"/>
      <c r="L613" s="93"/>
      <c r="M613" s="93"/>
      <c r="N613" s="93"/>
      <c r="O613" s="93"/>
      <c r="P613" s="93"/>
      <c r="Q613" s="93"/>
      <c r="R613" s="93"/>
      <c r="S613" s="93"/>
      <c r="T613" s="93"/>
      <c r="U613" s="93"/>
      <c r="V613" s="93"/>
      <c r="W613" s="93"/>
      <c r="X613" s="93"/>
      <c r="Y613" s="93"/>
      <c r="Z613" s="93"/>
      <c r="AA613" s="93"/>
      <c r="AB613" s="93"/>
    </row>
    <row r="614" spans="1:28" ht="12.75" customHeight="1">
      <c r="A614" s="149" t="s">
        <v>548</v>
      </c>
      <c r="B614" s="148">
        <v>44554</v>
      </c>
      <c r="C614" s="356">
        <v>-3004</v>
      </c>
      <c r="D614" s="356"/>
      <c r="E614" s="420"/>
      <c r="F614" s="424"/>
      <c r="G614" s="4"/>
      <c r="H614" s="93"/>
      <c r="K614" s="93"/>
      <c r="L614" s="93"/>
      <c r="M614" s="93"/>
      <c r="N614" s="93"/>
      <c r="O614" s="93"/>
      <c r="P614" s="93"/>
      <c r="Q614" s="93"/>
      <c r="R614" s="93"/>
      <c r="S614" s="93"/>
      <c r="T614" s="93"/>
      <c r="U614" s="93"/>
      <c r="V614" s="93"/>
      <c r="W614" s="93"/>
      <c r="X614" s="93"/>
      <c r="Y614" s="93"/>
      <c r="Z614" s="93"/>
      <c r="AA614" s="93"/>
      <c r="AB614" s="93"/>
    </row>
    <row r="615" spans="1:28" ht="12.75" customHeight="1">
      <c r="A615" s="120" t="s">
        <v>548</v>
      </c>
      <c r="B615" s="150">
        <v>44565</v>
      </c>
      <c r="C615" s="422">
        <v>3167</v>
      </c>
      <c r="D615" s="422">
        <f>C615+C614</f>
        <v>163</v>
      </c>
      <c r="E615" s="423">
        <f>-D615/C614</f>
        <v>5.4260985352862848E-2</v>
      </c>
      <c r="F615" s="344">
        <f>B615-B614</f>
        <v>11</v>
      </c>
      <c r="G615" s="4"/>
      <c r="H615" s="93"/>
      <c r="K615" s="93"/>
      <c r="L615" s="93"/>
      <c r="M615" s="93"/>
      <c r="N615" s="93"/>
      <c r="O615" s="93"/>
      <c r="P615" s="93"/>
      <c r="Q615" s="93"/>
      <c r="R615" s="93"/>
      <c r="S615" s="93"/>
      <c r="T615" s="93"/>
      <c r="U615" s="93"/>
      <c r="V615" s="93"/>
      <c r="W615" s="93"/>
      <c r="X615" s="93"/>
      <c r="Y615" s="93"/>
      <c r="Z615" s="93"/>
      <c r="AA615" s="93"/>
      <c r="AB615" s="93"/>
    </row>
    <row r="616" spans="1:28" ht="12.75" customHeight="1">
      <c r="A616" s="149" t="s">
        <v>484</v>
      </c>
      <c r="B616" s="148">
        <v>44299</v>
      </c>
      <c r="C616" s="356">
        <v>-9130</v>
      </c>
      <c r="D616" s="356"/>
      <c r="E616" s="420"/>
      <c r="F616" s="424"/>
      <c r="G616" s="4"/>
      <c r="H616" s="93"/>
      <c r="K616" s="93"/>
      <c r="L616" s="93"/>
      <c r="M616" s="93"/>
      <c r="N616" s="93"/>
      <c r="O616" s="93"/>
      <c r="P616" s="93"/>
      <c r="Q616" s="93"/>
      <c r="R616" s="93"/>
      <c r="S616" s="93"/>
      <c r="T616" s="93"/>
      <c r="U616" s="93"/>
      <c r="V616" s="93"/>
      <c r="W616" s="93"/>
      <c r="X616" s="93"/>
      <c r="Y616" s="93"/>
      <c r="Z616" s="93"/>
      <c r="AA616" s="93"/>
      <c r="AB616" s="93"/>
    </row>
    <row r="617" spans="1:28" ht="12.75" customHeight="1">
      <c r="A617" s="120" t="s">
        <v>484</v>
      </c>
      <c r="B617" s="428">
        <v>44313</v>
      </c>
      <c r="C617" s="429">
        <v>9616</v>
      </c>
      <c r="D617" s="422">
        <f>C617+C616</f>
        <v>486</v>
      </c>
      <c r="E617" s="423">
        <f>-D617/C616</f>
        <v>5.3231106243154434E-2</v>
      </c>
      <c r="F617" s="344">
        <f>B617-B616</f>
        <v>14</v>
      </c>
      <c r="G617" s="4"/>
      <c r="H617" s="93"/>
      <c r="K617" s="93"/>
      <c r="L617" s="93"/>
      <c r="M617" s="93"/>
      <c r="N617" s="93"/>
      <c r="O617" s="93"/>
      <c r="P617" s="93"/>
      <c r="Q617" s="93"/>
      <c r="R617" s="93"/>
      <c r="S617" s="93"/>
      <c r="T617" s="93"/>
      <c r="U617" s="93"/>
      <c r="V617" s="93"/>
      <c r="W617" s="93"/>
      <c r="X617" s="93"/>
      <c r="Y617" s="93"/>
      <c r="Z617" s="93"/>
      <c r="AA617" s="93"/>
      <c r="AB617" s="93"/>
    </row>
    <row r="618" spans="1:28" ht="12.75" customHeight="1">
      <c r="A618" s="149" t="s">
        <v>484</v>
      </c>
      <c r="B618" s="148">
        <v>44327</v>
      </c>
      <c r="C618" s="356">
        <v>-10813</v>
      </c>
      <c r="D618" s="356"/>
      <c r="E618" s="420"/>
      <c r="F618" s="424"/>
      <c r="G618" s="4"/>
      <c r="H618" s="93"/>
      <c r="K618" s="93"/>
      <c r="L618" s="93"/>
      <c r="M618" s="93"/>
      <c r="N618" s="93"/>
      <c r="O618" s="93"/>
      <c r="P618" s="93"/>
      <c r="Q618" s="93"/>
      <c r="R618" s="93"/>
      <c r="S618" s="93"/>
      <c r="T618" s="93"/>
      <c r="U618" s="93"/>
      <c r="V618" s="93"/>
      <c r="W618" s="93"/>
      <c r="X618" s="93"/>
      <c r="Y618" s="93"/>
      <c r="Z618" s="93"/>
      <c r="AA618" s="93"/>
      <c r="AB618" s="93"/>
    </row>
    <row r="619" spans="1:28" ht="12.75" customHeight="1">
      <c r="A619" s="120" t="s">
        <v>484</v>
      </c>
      <c r="B619" s="428">
        <v>44334</v>
      </c>
      <c r="C619" s="429">
        <v>11288</v>
      </c>
      <c r="D619" s="422">
        <f>C619+C618</f>
        <v>475</v>
      </c>
      <c r="E619" s="423">
        <f>-D619/C618</f>
        <v>4.3928604457597338E-2</v>
      </c>
      <c r="F619" s="344">
        <f>B619-B618</f>
        <v>7</v>
      </c>
      <c r="G619" s="4"/>
      <c r="H619" s="93"/>
      <c r="K619" s="93"/>
      <c r="L619" s="93"/>
      <c r="M619" s="93"/>
      <c r="N619" s="93"/>
      <c r="O619" s="93"/>
      <c r="P619" s="93"/>
      <c r="Q619" s="93"/>
      <c r="R619" s="93"/>
      <c r="S619" s="93"/>
      <c r="T619" s="93"/>
      <c r="U619" s="93"/>
      <c r="V619" s="93"/>
      <c r="W619" s="93"/>
      <c r="X619" s="93"/>
      <c r="Y619" s="93"/>
      <c r="Z619" s="93"/>
      <c r="AA619" s="93"/>
      <c r="AB619" s="93"/>
    </row>
    <row r="620" spans="1:28" ht="12.75" customHeight="1">
      <c r="A620" s="149" t="s">
        <v>484</v>
      </c>
      <c r="B620" s="148">
        <v>44379</v>
      </c>
      <c r="C620" s="356">
        <v>-11974</v>
      </c>
      <c r="D620" s="356"/>
      <c r="E620" s="420"/>
      <c r="F620" s="424"/>
      <c r="G620" s="4"/>
      <c r="H620" s="93"/>
      <c r="K620" s="93"/>
      <c r="L620" s="93"/>
      <c r="M620" s="93"/>
      <c r="N620" s="93"/>
      <c r="O620" s="93"/>
      <c r="P620" s="93"/>
      <c r="Q620" s="93"/>
      <c r="R620" s="93"/>
      <c r="S620" s="93"/>
      <c r="T620" s="93"/>
      <c r="U620" s="93"/>
      <c r="V620" s="93"/>
      <c r="W620" s="93"/>
      <c r="X620" s="93"/>
      <c r="Y620" s="93"/>
      <c r="Z620" s="93"/>
      <c r="AA620" s="93"/>
      <c r="AB620" s="93"/>
    </row>
    <row r="621" spans="1:28" ht="12.75" customHeight="1">
      <c r="A621" s="120" t="s">
        <v>484</v>
      </c>
      <c r="B621" s="150">
        <v>44383</v>
      </c>
      <c r="C621" s="422">
        <v>12217</v>
      </c>
      <c r="D621" s="422">
        <f>C621+C620</f>
        <v>243</v>
      </c>
      <c r="E621" s="423">
        <f>-D621/C620</f>
        <v>2.0293970268915985E-2</v>
      </c>
      <c r="F621" s="344">
        <f>B621-B620</f>
        <v>4</v>
      </c>
      <c r="G621" s="4"/>
      <c r="H621" s="93"/>
      <c r="K621" s="93"/>
      <c r="L621" s="93"/>
      <c r="M621" s="93"/>
      <c r="N621" s="93"/>
      <c r="O621" s="93"/>
      <c r="P621" s="93"/>
      <c r="Q621" s="93"/>
      <c r="R621" s="93"/>
      <c r="S621" s="93"/>
      <c r="T621" s="93"/>
      <c r="U621" s="93"/>
      <c r="V621" s="93"/>
      <c r="W621" s="93"/>
      <c r="X621" s="93"/>
      <c r="Y621" s="93"/>
      <c r="Z621" s="93"/>
      <c r="AA621" s="93"/>
      <c r="AB621" s="93"/>
    </row>
    <row r="622" spans="1:28" ht="12.75" customHeight="1">
      <c r="A622" s="149" t="s">
        <v>484</v>
      </c>
      <c r="B622" s="148">
        <v>44445</v>
      </c>
      <c r="C622" s="356">
        <v>-15110</v>
      </c>
      <c r="D622" s="356"/>
      <c r="E622" s="420"/>
      <c r="F622" s="424"/>
      <c r="G622" s="4"/>
      <c r="H622" s="93"/>
      <c r="K622" s="93"/>
      <c r="L622" s="93"/>
      <c r="M622" s="93"/>
      <c r="N622" s="93"/>
      <c r="O622" s="93"/>
      <c r="P622" s="93"/>
      <c r="Q622" s="93"/>
      <c r="R622" s="93"/>
      <c r="S622" s="93"/>
      <c r="T622" s="93"/>
      <c r="U622" s="93"/>
      <c r="V622" s="93"/>
      <c r="W622" s="93"/>
      <c r="X622" s="93"/>
      <c r="Y622" s="93"/>
      <c r="Z622" s="93"/>
      <c r="AA622" s="93"/>
      <c r="AB622" s="93"/>
    </row>
    <row r="623" spans="1:28" ht="12.75" customHeight="1">
      <c r="A623" s="120" t="s">
        <v>484</v>
      </c>
      <c r="B623" s="150">
        <v>44459</v>
      </c>
      <c r="C623" s="422">
        <v>15584</v>
      </c>
      <c r="D623" s="422">
        <f>C623+C622</f>
        <v>474</v>
      </c>
      <c r="E623" s="423">
        <f>-D623/C622</f>
        <v>3.1369953673064194E-2</v>
      </c>
      <c r="F623" s="344">
        <f>B623-B622</f>
        <v>14</v>
      </c>
      <c r="G623" s="4"/>
      <c r="H623" s="93"/>
      <c r="K623" s="93"/>
      <c r="L623" s="93"/>
      <c r="M623" s="93"/>
      <c r="N623" s="93"/>
      <c r="O623" s="93"/>
      <c r="P623" s="93"/>
      <c r="Q623" s="93"/>
      <c r="R623" s="93"/>
      <c r="S623" s="93"/>
      <c r="T623" s="93"/>
      <c r="U623" s="93"/>
      <c r="V623" s="93"/>
      <c r="W623" s="93"/>
      <c r="X623" s="93"/>
      <c r="Y623" s="93"/>
      <c r="Z623" s="93"/>
      <c r="AA623" s="93"/>
      <c r="AB623" s="93"/>
    </row>
    <row r="624" spans="1:28" ht="12.75" customHeight="1">
      <c r="A624" s="149" t="s">
        <v>484</v>
      </c>
      <c r="B624" s="148">
        <v>44467</v>
      </c>
      <c r="C624" s="356">
        <v>-7639</v>
      </c>
      <c r="D624" s="356"/>
      <c r="E624" s="420"/>
      <c r="F624" s="424"/>
      <c r="G624" s="4"/>
      <c r="H624" s="93"/>
      <c r="K624" s="93"/>
      <c r="L624" s="93"/>
      <c r="M624" s="93"/>
      <c r="N624" s="93"/>
      <c r="O624" s="93"/>
      <c r="P624" s="93"/>
      <c r="Q624" s="93"/>
      <c r="R624" s="93"/>
      <c r="S624" s="93"/>
      <c r="T624" s="93"/>
      <c r="U624" s="93"/>
      <c r="V624" s="93"/>
      <c r="W624" s="93"/>
      <c r="X624" s="93"/>
      <c r="Y624" s="93"/>
      <c r="Z624" s="93"/>
      <c r="AA624" s="93"/>
      <c r="AB624" s="93"/>
    </row>
    <row r="625" spans="1:28" ht="12.75" customHeight="1">
      <c r="A625" s="120" t="s">
        <v>484</v>
      </c>
      <c r="B625" s="150">
        <v>44469</v>
      </c>
      <c r="C625" s="422">
        <v>7642</v>
      </c>
      <c r="D625" s="422">
        <f>C625+C624</f>
        <v>3</v>
      </c>
      <c r="E625" s="423">
        <f>-D625/C624</f>
        <v>3.9272156041366671E-4</v>
      </c>
      <c r="F625" s="344">
        <f>B625-B624</f>
        <v>2</v>
      </c>
      <c r="G625" s="4"/>
      <c r="H625" s="93"/>
      <c r="K625" s="93"/>
      <c r="L625" s="93"/>
      <c r="M625" s="93"/>
      <c r="N625" s="93"/>
      <c r="O625" s="93"/>
      <c r="P625" s="93"/>
      <c r="Q625" s="93"/>
      <c r="R625" s="93"/>
      <c r="S625" s="93"/>
      <c r="T625" s="93"/>
      <c r="U625" s="93"/>
      <c r="V625" s="93"/>
      <c r="W625" s="93"/>
      <c r="X625" s="93"/>
      <c r="Y625" s="93"/>
      <c r="Z625" s="93"/>
      <c r="AA625" s="93"/>
      <c r="AB625" s="93"/>
    </row>
    <row r="626" spans="1:28" ht="12.75" customHeight="1">
      <c r="A626" s="149" t="s">
        <v>484</v>
      </c>
      <c r="B626" s="148">
        <v>44497</v>
      </c>
      <c r="C626" s="356">
        <v>-14968</v>
      </c>
      <c r="D626" s="356"/>
      <c r="E626" s="420"/>
      <c r="F626" s="424"/>
      <c r="G626" s="4"/>
      <c r="H626" s="93"/>
      <c r="K626" s="93"/>
      <c r="L626" s="93"/>
      <c r="M626" s="93"/>
      <c r="N626" s="93"/>
      <c r="O626" s="93"/>
      <c r="P626" s="93"/>
      <c r="Q626" s="93"/>
      <c r="R626" s="93"/>
      <c r="S626" s="93"/>
      <c r="T626" s="93"/>
      <c r="U626" s="93"/>
      <c r="V626" s="93"/>
      <c r="W626" s="93"/>
      <c r="X626" s="93"/>
      <c r="Y626" s="93"/>
      <c r="Z626" s="93"/>
      <c r="AA626" s="93"/>
      <c r="AB626" s="93"/>
    </row>
    <row r="627" spans="1:28" ht="12.75" customHeight="1">
      <c r="A627" s="120" t="s">
        <v>484</v>
      </c>
      <c r="B627" s="150">
        <v>44508</v>
      </c>
      <c r="C627" s="422">
        <v>15254</v>
      </c>
      <c r="D627" s="422">
        <f>C627+C626</f>
        <v>286</v>
      </c>
      <c r="E627" s="423">
        <f>-D627/C626</f>
        <v>1.9107429182255477E-2</v>
      </c>
      <c r="F627" s="344">
        <f>B627-B626</f>
        <v>11</v>
      </c>
      <c r="G627" s="4"/>
      <c r="H627" s="93"/>
      <c r="K627" s="93"/>
      <c r="L627" s="93"/>
      <c r="M627" s="93"/>
      <c r="N627" s="93"/>
      <c r="O627" s="93"/>
      <c r="P627" s="93"/>
      <c r="Q627" s="93"/>
      <c r="R627" s="93"/>
      <c r="S627" s="93"/>
      <c r="T627" s="93"/>
      <c r="U627" s="93"/>
      <c r="V627" s="93"/>
      <c r="W627" s="93"/>
      <c r="X627" s="93"/>
      <c r="Y627" s="93"/>
      <c r="Z627" s="93"/>
      <c r="AA627" s="93"/>
      <c r="AB627" s="93"/>
    </row>
    <row r="628" spans="1:28" ht="12.75" customHeight="1">
      <c r="A628" s="149" t="s">
        <v>484</v>
      </c>
      <c r="B628" s="148">
        <v>44467</v>
      </c>
      <c r="C628" s="356">
        <v>-15418</v>
      </c>
      <c r="D628" s="356"/>
      <c r="E628" s="420"/>
      <c r="F628" s="424"/>
      <c r="G628" s="4"/>
      <c r="H628" s="93"/>
      <c r="K628" s="93"/>
      <c r="L628" s="93"/>
      <c r="M628" s="93"/>
      <c r="N628" s="93"/>
      <c r="O628" s="93"/>
      <c r="P628" s="93"/>
      <c r="Q628" s="93"/>
      <c r="R628" s="93"/>
      <c r="S628" s="93"/>
      <c r="T628" s="93"/>
      <c r="U628" s="93"/>
      <c r="V628" s="93"/>
      <c r="W628" s="93"/>
      <c r="X628" s="93"/>
      <c r="Y628" s="93"/>
      <c r="Z628" s="93"/>
      <c r="AA628" s="93"/>
      <c r="AB628" s="93"/>
    </row>
    <row r="629" spans="1:28" ht="12.75" customHeight="1">
      <c r="A629" s="120" t="s">
        <v>484</v>
      </c>
      <c r="B629" s="150">
        <v>44508</v>
      </c>
      <c r="C629" s="422">
        <v>15454</v>
      </c>
      <c r="D629" s="422">
        <f>C629+C628</f>
        <v>36</v>
      </c>
      <c r="E629" s="423">
        <f>-D629/C628</f>
        <v>2.3349331949669219E-3</v>
      </c>
      <c r="F629" s="344">
        <f>B629-B628</f>
        <v>41</v>
      </c>
      <c r="G629" s="4"/>
      <c r="H629" s="93"/>
      <c r="K629" s="93"/>
      <c r="L629" s="93"/>
      <c r="M629" s="93"/>
      <c r="N629" s="93"/>
      <c r="O629" s="93"/>
      <c r="P629" s="93"/>
      <c r="Q629" s="93"/>
      <c r="R629" s="93"/>
      <c r="S629" s="93"/>
      <c r="T629" s="93"/>
      <c r="U629" s="93"/>
      <c r="V629" s="93"/>
      <c r="W629" s="93"/>
      <c r="X629" s="93"/>
      <c r="Y629" s="93"/>
      <c r="Z629" s="93"/>
      <c r="AA629" s="93"/>
      <c r="AB629" s="93"/>
    </row>
    <row r="630" spans="1:28" ht="12.75" customHeight="1">
      <c r="A630" s="149" t="s">
        <v>484</v>
      </c>
      <c r="B630" s="148">
        <v>44550</v>
      </c>
      <c r="C630" s="356">
        <v>-6658</v>
      </c>
      <c r="D630" s="356"/>
      <c r="E630" s="420"/>
      <c r="F630" s="424"/>
      <c r="G630" s="4"/>
      <c r="H630" s="93"/>
      <c r="K630" s="93"/>
      <c r="L630" s="93"/>
      <c r="M630" s="93"/>
      <c r="N630" s="93"/>
      <c r="O630" s="93"/>
      <c r="P630" s="93"/>
      <c r="Q630" s="93"/>
      <c r="R630" s="93"/>
      <c r="S630" s="93"/>
      <c r="T630" s="93"/>
      <c r="U630" s="93"/>
      <c r="V630" s="93"/>
      <c r="W630" s="93"/>
      <c r="X630" s="93"/>
      <c r="Y630" s="93"/>
      <c r="Z630" s="93"/>
      <c r="AA630" s="93"/>
      <c r="AB630" s="93"/>
    </row>
    <row r="631" spans="1:28" ht="12.75" customHeight="1">
      <c r="A631" s="120" t="s">
        <v>484</v>
      </c>
      <c r="B631" s="150">
        <v>44557</v>
      </c>
      <c r="C631" s="422">
        <v>6888</v>
      </c>
      <c r="D631" s="422">
        <f>C631+C630</f>
        <v>230</v>
      </c>
      <c r="E631" s="423">
        <f>-D631/C630</f>
        <v>3.4544908380895162E-2</v>
      </c>
      <c r="F631" s="344">
        <f>B631-B630</f>
        <v>7</v>
      </c>
      <c r="G631" s="4"/>
      <c r="H631" s="93"/>
      <c r="K631" s="93"/>
      <c r="L631" s="93"/>
      <c r="M631" s="93"/>
      <c r="N631" s="93"/>
      <c r="O631" s="93"/>
      <c r="P631" s="93"/>
      <c r="Q631" s="93"/>
      <c r="R631" s="93"/>
      <c r="S631" s="93"/>
      <c r="T631" s="93"/>
      <c r="U631" s="93"/>
      <c r="V631" s="93"/>
      <c r="W631" s="93"/>
      <c r="X631" s="93"/>
      <c r="Y631" s="93"/>
      <c r="Z631" s="93"/>
      <c r="AA631" s="93"/>
      <c r="AB631" s="93"/>
    </row>
    <row r="632" spans="1:28" ht="12.75" customHeight="1">
      <c r="A632" s="149" t="s">
        <v>484</v>
      </c>
      <c r="B632" s="148">
        <v>44509</v>
      </c>
      <c r="C632" s="356">
        <v>-15318</v>
      </c>
      <c r="D632" s="356"/>
      <c r="E632" s="420"/>
      <c r="F632" s="424"/>
      <c r="G632" s="4"/>
      <c r="H632" s="93"/>
      <c r="K632" s="93"/>
      <c r="L632" s="93"/>
      <c r="M632" s="93"/>
      <c r="N632" s="93"/>
      <c r="O632" s="93"/>
      <c r="P632" s="93"/>
      <c r="Q632" s="93"/>
      <c r="R632" s="93"/>
      <c r="S632" s="93"/>
      <c r="T632" s="93"/>
      <c r="U632" s="93"/>
      <c r="V632" s="93"/>
      <c r="W632" s="93"/>
      <c r="X632" s="93"/>
      <c r="Y632" s="93"/>
      <c r="Z632" s="93"/>
      <c r="AA632" s="93"/>
      <c r="AB632" s="93"/>
    </row>
    <row r="633" spans="1:28" ht="12.75" customHeight="1">
      <c r="A633" s="120" t="s">
        <v>484</v>
      </c>
      <c r="B633" s="150">
        <v>44566</v>
      </c>
      <c r="C633" s="422">
        <v>15154</v>
      </c>
      <c r="D633" s="422">
        <f>C633+C632</f>
        <v>-164</v>
      </c>
      <c r="E633" s="423">
        <f>-D633/C632</f>
        <v>-1.070635853244549E-2</v>
      </c>
      <c r="F633" s="344">
        <f>B633-B632</f>
        <v>57</v>
      </c>
      <c r="G633" s="4"/>
      <c r="H633" s="93"/>
      <c r="K633" s="93"/>
      <c r="L633" s="93"/>
      <c r="M633" s="93"/>
      <c r="N633" s="93"/>
      <c r="O633" s="93"/>
      <c r="P633" s="93"/>
      <c r="Q633" s="93"/>
      <c r="R633" s="93"/>
      <c r="S633" s="93"/>
      <c r="T633" s="93"/>
      <c r="U633" s="93"/>
      <c r="V633" s="93"/>
      <c r="W633" s="93"/>
      <c r="X633" s="93"/>
      <c r="Y633" s="93"/>
      <c r="Z633" s="93"/>
      <c r="AA633" s="93"/>
      <c r="AB633" s="93"/>
    </row>
    <row r="634" spans="1:28" ht="12.75" customHeight="1">
      <c r="A634" s="149" t="s">
        <v>484</v>
      </c>
      <c r="B634" s="148">
        <v>44511</v>
      </c>
      <c r="C634" s="356">
        <v>-7469</v>
      </c>
      <c r="D634" s="356"/>
      <c r="E634" s="420"/>
      <c r="F634" s="424"/>
      <c r="G634" s="4"/>
      <c r="H634" s="93"/>
      <c r="K634" s="93"/>
      <c r="L634" s="93"/>
      <c r="M634" s="93"/>
      <c r="N634" s="93"/>
      <c r="O634" s="93"/>
      <c r="P634" s="93"/>
      <c r="Q634" s="93"/>
      <c r="R634" s="93"/>
      <c r="S634" s="93"/>
      <c r="T634" s="93"/>
      <c r="U634" s="93"/>
      <c r="V634" s="93"/>
      <c r="W634" s="93"/>
      <c r="X634" s="93"/>
      <c r="Y634" s="93"/>
      <c r="Z634" s="93"/>
      <c r="AA634" s="93"/>
      <c r="AB634" s="93"/>
    </row>
    <row r="635" spans="1:28" ht="12.75" customHeight="1">
      <c r="A635" s="120" t="s">
        <v>484</v>
      </c>
      <c r="B635" s="150">
        <v>44566</v>
      </c>
      <c r="C635" s="422">
        <v>7520</v>
      </c>
      <c r="D635" s="422">
        <f>C635+C634</f>
        <v>51</v>
      </c>
      <c r="E635" s="423">
        <f>-D635/C634</f>
        <v>6.8282233230686842E-3</v>
      </c>
      <c r="F635" s="344">
        <f>B635-B634</f>
        <v>55</v>
      </c>
      <c r="G635" s="4"/>
      <c r="H635" s="93"/>
      <c r="K635" s="93"/>
      <c r="L635" s="93"/>
      <c r="M635" s="93"/>
      <c r="N635" s="93"/>
      <c r="O635" s="93"/>
      <c r="P635" s="93"/>
      <c r="Q635" s="93"/>
      <c r="R635" s="93"/>
      <c r="S635" s="93"/>
      <c r="T635" s="93"/>
      <c r="U635" s="93"/>
      <c r="V635" s="93"/>
      <c r="W635" s="93"/>
      <c r="X635" s="93"/>
      <c r="Y635" s="93"/>
      <c r="Z635" s="93"/>
      <c r="AA635" s="93"/>
      <c r="AB635" s="93"/>
    </row>
    <row r="636" spans="1:28" ht="12.75" customHeight="1">
      <c r="A636" s="149" t="s">
        <v>484</v>
      </c>
      <c r="B636" s="148">
        <v>44582</v>
      </c>
      <c r="C636" s="356">
        <v>-14818</v>
      </c>
      <c r="D636" s="356"/>
      <c r="E636" s="420"/>
      <c r="F636" s="424"/>
      <c r="G636" s="4"/>
      <c r="H636" s="93"/>
      <c r="K636" s="93"/>
      <c r="L636" s="93"/>
      <c r="M636" s="93"/>
      <c r="N636" s="93"/>
      <c r="O636" s="93"/>
      <c r="P636" s="93"/>
      <c r="Q636" s="93"/>
      <c r="R636" s="93"/>
      <c r="S636" s="93"/>
      <c r="T636" s="93"/>
      <c r="U636" s="93"/>
      <c r="V636" s="93"/>
      <c r="W636" s="93"/>
      <c r="X636" s="93"/>
      <c r="Y636" s="93"/>
      <c r="Z636" s="93"/>
      <c r="AA636" s="93"/>
      <c r="AB636" s="93"/>
    </row>
    <row r="637" spans="1:28" ht="12.75" customHeight="1">
      <c r="A637" s="120" t="s">
        <v>484</v>
      </c>
      <c r="B637" s="150">
        <v>44824</v>
      </c>
      <c r="C637" s="422">
        <v>15205</v>
      </c>
      <c r="D637" s="422">
        <f>C637+C636</f>
        <v>387</v>
      </c>
      <c r="E637" s="423">
        <f>IFERROR(-D637/C636,0)</f>
        <v>2.6116884869753002E-2</v>
      </c>
      <c r="F637" s="344">
        <f>B637-B636</f>
        <v>242</v>
      </c>
      <c r="G637" s="4"/>
      <c r="H637" s="93"/>
      <c r="K637" s="93"/>
      <c r="L637" s="93"/>
      <c r="M637" s="93"/>
      <c r="N637" s="93"/>
      <c r="O637" s="93"/>
      <c r="P637" s="93"/>
      <c r="Q637" s="93"/>
      <c r="R637" s="93"/>
      <c r="S637" s="93"/>
      <c r="T637" s="93"/>
      <c r="U637" s="93"/>
      <c r="V637" s="93"/>
      <c r="W637" s="93"/>
      <c r="X637" s="93"/>
      <c r="Y637" s="93"/>
      <c r="Z637" s="93"/>
      <c r="AA637" s="93"/>
      <c r="AB637" s="93"/>
    </row>
    <row r="638" spans="1:28" ht="12.75" customHeight="1">
      <c r="A638" s="149" t="s">
        <v>484</v>
      </c>
      <c r="B638" s="148">
        <v>44580</v>
      </c>
      <c r="C638" s="356">
        <v>-7584</v>
      </c>
      <c r="D638" s="356"/>
      <c r="E638" s="430"/>
      <c r="F638" s="431"/>
      <c r="G638" s="4"/>
      <c r="H638" s="93"/>
      <c r="K638" s="93"/>
      <c r="L638" s="93"/>
      <c r="M638" s="93"/>
      <c r="N638" s="93"/>
      <c r="O638" s="93"/>
      <c r="P638" s="93"/>
      <c r="Q638" s="93"/>
      <c r="R638" s="93"/>
      <c r="S638" s="93"/>
      <c r="T638" s="93"/>
      <c r="U638" s="93"/>
      <c r="V638" s="93"/>
      <c r="W638" s="93"/>
      <c r="X638" s="93"/>
      <c r="Y638" s="93"/>
      <c r="Z638" s="93"/>
      <c r="AA638" s="93"/>
      <c r="AB638" s="93"/>
    </row>
    <row r="639" spans="1:28" ht="12.75" customHeight="1">
      <c r="A639" s="120" t="s">
        <v>484</v>
      </c>
      <c r="B639" s="150">
        <v>44824</v>
      </c>
      <c r="C639" s="422">
        <v>7647</v>
      </c>
      <c r="D639" s="422">
        <f>C639+C638</f>
        <v>63</v>
      </c>
      <c r="E639" s="423">
        <f>IFERROR(-D639/C638,0)</f>
        <v>8.3069620253164549E-3</v>
      </c>
      <c r="F639" s="344">
        <f>B639-B638</f>
        <v>244</v>
      </c>
      <c r="G639" s="4"/>
      <c r="H639" s="93"/>
      <c r="K639" s="93"/>
      <c r="L639" s="93"/>
      <c r="M639" s="93"/>
      <c r="N639" s="93"/>
      <c r="O639" s="93"/>
      <c r="P639" s="93"/>
      <c r="Q639" s="93"/>
      <c r="R639" s="93"/>
      <c r="S639" s="93"/>
      <c r="T639" s="93"/>
      <c r="U639" s="93"/>
      <c r="V639" s="93"/>
      <c r="W639" s="93"/>
      <c r="X639" s="93"/>
      <c r="Y639" s="93"/>
      <c r="Z639" s="93"/>
      <c r="AA639" s="93"/>
      <c r="AB639" s="93"/>
    </row>
    <row r="640" spans="1:28" ht="12.75" customHeight="1">
      <c r="A640" s="149" t="s">
        <v>623</v>
      </c>
      <c r="B640" s="148">
        <v>44806</v>
      </c>
      <c r="C640" s="356">
        <v>-3304</v>
      </c>
      <c r="D640" s="356"/>
      <c r="E640" s="430"/>
      <c r="F640" s="431"/>
      <c r="G640" s="4"/>
      <c r="H640" s="93"/>
      <c r="K640" s="93"/>
      <c r="L640" s="93"/>
      <c r="M640" s="93"/>
      <c r="N640" s="93"/>
      <c r="O640" s="93"/>
      <c r="P640" s="93"/>
      <c r="Q640" s="93"/>
      <c r="R640" s="93"/>
      <c r="S640" s="93"/>
      <c r="T640" s="93"/>
      <c r="U640" s="93"/>
      <c r="V640" s="93"/>
      <c r="W640" s="93"/>
      <c r="X640" s="93"/>
      <c r="Y640" s="93"/>
      <c r="Z640" s="93"/>
      <c r="AA640" s="93"/>
      <c r="AB640" s="93"/>
    </row>
    <row r="641" spans="1:28" ht="12.75" customHeight="1">
      <c r="A641" s="120" t="s">
        <v>623</v>
      </c>
      <c r="B641" s="150">
        <v>44859</v>
      </c>
      <c r="C641" s="422">
        <v>3699</v>
      </c>
      <c r="D641" s="422">
        <f>C641+C640</f>
        <v>395</v>
      </c>
      <c r="E641" s="423">
        <f>IFERROR(-D641/C640,0)</f>
        <v>0.11955205811138014</v>
      </c>
      <c r="F641" s="344">
        <f>B641-B640</f>
        <v>53</v>
      </c>
      <c r="G641" s="4"/>
      <c r="H641" s="93"/>
      <c r="K641" s="93"/>
      <c r="L641" s="93"/>
      <c r="M641" s="93"/>
      <c r="N641" s="93"/>
      <c r="O641" s="93"/>
      <c r="P641" s="93"/>
      <c r="Q641" s="93"/>
      <c r="R641" s="93"/>
      <c r="S641" s="93"/>
      <c r="T641" s="93"/>
      <c r="U641" s="93"/>
      <c r="V641" s="93"/>
      <c r="W641" s="93"/>
      <c r="X641" s="93"/>
      <c r="Y641" s="93"/>
      <c r="Z641" s="93"/>
      <c r="AA641" s="93"/>
      <c r="AB641" s="93"/>
    </row>
    <row r="642" spans="1:28" ht="12.75" customHeight="1">
      <c r="A642" s="134" t="s">
        <v>474</v>
      </c>
      <c r="B642" s="425">
        <v>44188</v>
      </c>
      <c r="C642" s="426">
        <v>-14400</v>
      </c>
      <c r="D642" s="356"/>
      <c r="E642" s="430"/>
      <c r="F642" s="431"/>
      <c r="G642" s="4"/>
      <c r="H642" s="93"/>
      <c r="K642" s="93"/>
      <c r="L642" s="93"/>
      <c r="M642" s="93"/>
      <c r="N642" s="93"/>
      <c r="O642" s="93"/>
      <c r="P642" s="93"/>
      <c r="Q642" s="93"/>
      <c r="R642" s="93"/>
      <c r="S642" s="93"/>
      <c r="T642" s="93"/>
      <c r="U642" s="93"/>
      <c r="V642" s="93"/>
      <c r="W642" s="93"/>
      <c r="X642" s="93"/>
      <c r="Y642" s="93"/>
      <c r="Z642" s="93"/>
      <c r="AA642" s="93"/>
      <c r="AB642" s="93"/>
    </row>
    <row r="643" spans="1:28" ht="12.75" customHeight="1">
      <c r="A643" s="120" t="s">
        <v>474</v>
      </c>
      <c r="B643" s="428">
        <v>44229</v>
      </c>
      <c r="C643" s="429">
        <v>19480.68</v>
      </c>
      <c r="D643" s="422">
        <f>C643+C642</f>
        <v>5080.68</v>
      </c>
      <c r="E643" s="423">
        <f>-D643/C642</f>
        <v>0.352825</v>
      </c>
      <c r="F643" s="344">
        <f>B643-B642</f>
        <v>41</v>
      </c>
      <c r="G643" s="4"/>
      <c r="H643" s="93"/>
      <c r="K643" s="93"/>
      <c r="L643" s="93"/>
      <c r="M643" s="93"/>
      <c r="N643" s="93"/>
      <c r="O643" s="93"/>
      <c r="P643" s="93"/>
      <c r="Q643" s="93"/>
      <c r="R643" s="93"/>
      <c r="S643" s="93"/>
      <c r="T643" s="93"/>
      <c r="U643" s="93"/>
      <c r="V643" s="93"/>
      <c r="W643" s="93"/>
      <c r="X643" s="93"/>
      <c r="Y643" s="93"/>
      <c r="Z643" s="93"/>
      <c r="AA643" s="93"/>
      <c r="AB643" s="93"/>
    </row>
    <row r="644" spans="1:28" ht="12.75" customHeight="1">
      <c r="A644" s="133" t="s">
        <v>480</v>
      </c>
      <c r="B644" s="425">
        <v>44257</v>
      </c>
      <c r="C644" s="426">
        <v>-15002.42</v>
      </c>
      <c r="D644" s="356"/>
      <c r="E644" s="430"/>
      <c r="F644" s="431"/>
      <c r="G644" s="4"/>
      <c r="H644" s="93"/>
      <c r="K644" s="93"/>
      <c r="L644" s="93"/>
      <c r="M644" s="93"/>
      <c r="N644" s="93"/>
      <c r="O644" s="93"/>
      <c r="P644" s="93"/>
      <c r="Q644" s="93"/>
      <c r="R644" s="93"/>
      <c r="S644" s="93"/>
      <c r="T644" s="93"/>
      <c r="U644" s="93"/>
      <c r="V644" s="93"/>
      <c r="W644" s="93"/>
      <c r="X644" s="93"/>
      <c r="Y644" s="93"/>
      <c r="Z644" s="93"/>
      <c r="AA644" s="93"/>
      <c r="AB644" s="93"/>
    </row>
    <row r="645" spans="1:28" ht="12.75" customHeight="1">
      <c r="A645" s="120" t="s">
        <v>480</v>
      </c>
      <c r="B645" s="428">
        <v>44334</v>
      </c>
      <c r="C645" s="429">
        <v>15044</v>
      </c>
      <c r="D645" s="422">
        <f>C645+C644</f>
        <v>41.579999999999927</v>
      </c>
      <c r="E645" s="423">
        <f>-D645/C644</f>
        <v>2.7715528561392047E-3</v>
      </c>
      <c r="F645" s="344">
        <f>B645-B644</f>
        <v>77</v>
      </c>
      <c r="G645" s="4"/>
      <c r="H645" s="93"/>
      <c r="K645" s="93"/>
      <c r="L645" s="93"/>
      <c r="M645" s="93"/>
      <c r="N645" s="93"/>
      <c r="O645" s="93"/>
      <c r="P645" s="93"/>
      <c r="Q645" s="93"/>
      <c r="R645" s="93"/>
      <c r="S645" s="93"/>
      <c r="T645" s="93"/>
      <c r="U645" s="93"/>
      <c r="V645" s="93"/>
      <c r="W645" s="93"/>
      <c r="X645" s="93"/>
      <c r="Y645" s="93"/>
      <c r="Z645" s="93"/>
      <c r="AA645" s="93"/>
      <c r="AB645" s="93"/>
    </row>
    <row r="646" spans="1:28" ht="12.75" customHeight="1">
      <c r="A646" s="149" t="s">
        <v>457</v>
      </c>
      <c r="B646" s="148">
        <v>44650</v>
      </c>
      <c r="C646" s="356">
        <v>-5006</v>
      </c>
      <c r="D646" s="356"/>
      <c r="E646" s="430"/>
      <c r="F646" s="431"/>
      <c r="G646" s="4"/>
      <c r="H646" s="93"/>
      <c r="K646" s="93"/>
      <c r="L646" s="93"/>
      <c r="M646" s="93"/>
      <c r="N646" s="93"/>
      <c r="O646" s="93"/>
      <c r="P646" s="93"/>
      <c r="Q646" s="93"/>
      <c r="R646" s="93"/>
      <c r="S646" s="93"/>
      <c r="T646" s="93"/>
      <c r="U646" s="93"/>
      <c r="V646" s="93"/>
      <c r="W646" s="93"/>
      <c r="X646" s="93"/>
      <c r="Y646" s="93"/>
      <c r="Z646" s="93"/>
      <c r="AA646" s="93"/>
      <c r="AB646" s="93"/>
    </row>
    <row r="647" spans="1:28" ht="12.75" customHeight="1">
      <c r="A647" s="120" t="s">
        <v>457</v>
      </c>
      <c r="B647" s="150">
        <v>44652</v>
      </c>
      <c r="C647" s="422">
        <v>5220</v>
      </c>
      <c r="D647" s="422">
        <f>C647+C646</f>
        <v>214</v>
      </c>
      <c r="E647" s="423">
        <f>IFERROR(-D647/C646,0)</f>
        <v>4.2748701558130243E-2</v>
      </c>
      <c r="F647" s="344">
        <f>B647-B646</f>
        <v>2</v>
      </c>
      <c r="G647" s="4"/>
      <c r="H647" s="93"/>
      <c r="K647" s="93"/>
      <c r="L647" s="93"/>
      <c r="M647" s="93"/>
      <c r="N647" s="93"/>
      <c r="O647" s="93"/>
      <c r="P647" s="93"/>
      <c r="Q647" s="93"/>
      <c r="R647" s="93"/>
      <c r="S647" s="93"/>
      <c r="T647" s="93"/>
      <c r="U647" s="93"/>
      <c r="V647" s="93"/>
      <c r="W647" s="93"/>
      <c r="X647" s="93"/>
      <c r="Y647" s="93"/>
      <c r="Z647" s="93"/>
      <c r="AA647" s="93"/>
      <c r="AB647" s="93"/>
    </row>
    <row r="648" spans="1:28" ht="12.75" customHeight="1">
      <c r="A648" s="133" t="s">
        <v>494</v>
      </c>
      <c r="B648" s="425">
        <v>44321</v>
      </c>
      <c r="C648" s="426">
        <v>-9511</v>
      </c>
      <c r="D648" s="356"/>
      <c r="E648" s="430"/>
      <c r="F648" s="431"/>
      <c r="G648" s="4"/>
      <c r="H648" s="93"/>
      <c r="K648" s="93"/>
      <c r="L648" s="93"/>
      <c r="M648" s="93"/>
      <c r="N648" s="93"/>
      <c r="O648" s="93"/>
      <c r="P648" s="93"/>
      <c r="Q648" s="93"/>
      <c r="R648" s="93"/>
      <c r="S648" s="93"/>
      <c r="T648" s="93"/>
      <c r="U648" s="93"/>
      <c r="V648" s="93"/>
      <c r="W648" s="93"/>
      <c r="X648" s="93"/>
      <c r="Y648" s="93"/>
      <c r="Z648" s="93"/>
      <c r="AA648" s="93"/>
      <c r="AB648" s="93"/>
    </row>
    <row r="649" spans="1:28" ht="12.75" customHeight="1">
      <c r="A649" s="120" t="s">
        <v>494</v>
      </c>
      <c r="B649" s="428">
        <v>44330</v>
      </c>
      <c r="C649" s="429">
        <v>9765</v>
      </c>
      <c r="D649" s="422">
        <f>C649+C648</f>
        <v>254</v>
      </c>
      <c r="E649" s="423">
        <f>-D649/C648</f>
        <v>2.6705919461675953E-2</v>
      </c>
      <c r="F649" s="344">
        <f>B649-B648</f>
        <v>9</v>
      </c>
      <c r="G649" s="4"/>
      <c r="H649" s="93"/>
      <c r="K649" s="93"/>
      <c r="L649" s="93"/>
      <c r="M649" s="93"/>
      <c r="N649" s="93"/>
      <c r="O649" s="93"/>
      <c r="P649" s="93"/>
      <c r="Q649" s="93"/>
      <c r="R649" s="93"/>
      <c r="S649" s="93"/>
      <c r="T649" s="93"/>
      <c r="U649" s="93"/>
      <c r="V649" s="93"/>
      <c r="W649" s="93"/>
      <c r="X649" s="93"/>
      <c r="Y649" s="93"/>
      <c r="Z649" s="93"/>
      <c r="AA649" s="93"/>
      <c r="AB649" s="93"/>
    </row>
    <row r="650" spans="1:28" ht="12.75" customHeight="1">
      <c r="A650" s="133" t="s">
        <v>494</v>
      </c>
      <c r="B650" s="425">
        <v>44356</v>
      </c>
      <c r="C650" s="426">
        <v>-20524</v>
      </c>
      <c r="D650" s="356"/>
      <c r="E650" s="430"/>
      <c r="F650" s="431"/>
      <c r="G650" s="4"/>
      <c r="H650" s="93"/>
      <c r="K650" s="93"/>
      <c r="L650" s="93"/>
      <c r="M650" s="93"/>
      <c r="N650" s="93"/>
      <c r="O650" s="93"/>
      <c r="P650" s="93"/>
      <c r="Q650" s="93"/>
      <c r="R650" s="93"/>
      <c r="S650" s="93"/>
      <c r="T650" s="93"/>
      <c r="U650" s="93"/>
      <c r="V650" s="93"/>
      <c r="W650" s="93"/>
      <c r="X650" s="93"/>
      <c r="Y650" s="93"/>
      <c r="Z650" s="93"/>
      <c r="AA650" s="93"/>
      <c r="AB650" s="93"/>
    </row>
    <row r="651" spans="1:28" ht="12.75" customHeight="1">
      <c r="A651" s="120" t="s">
        <v>494</v>
      </c>
      <c r="B651" s="428">
        <v>44358</v>
      </c>
      <c r="C651" s="429">
        <v>20828</v>
      </c>
      <c r="D651" s="422">
        <f>C651+C650</f>
        <v>304</v>
      </c>
      <c r="E651" s="423">
        <f>-D651/C650</f>
        <v>1.4811927499512765E-2</v>
      </c>
      <c r="F651" s="344">
        <f>B651-B650</f>
        <v>2</v>
      </c>
      <c r="G651" s="4"/>
      <c r="H651" s="93"/>
      <c r="K651" s="93"/>
      <c r="L651" s="93"/>
      <c r="M651" s="93"/>
      <c r="N651" s="93"/>
      <c r="O651" s="93"/>
      <c r="P651" s="93"/>
      <c r="Q651" s="93"/>
      <c r="R651" s="93"/>
      <c r="S651" s="93"/>
      <c r="T651" s="93"/>
      <c r="U651" s="93"/>
      <c r="V651" s="93"/>
      <c r="W651" s="93"/>
      <c r="X651" s="93"/>
      <c r="Y651" s="93"/>
      <c r="Z651" s="93"/>
      <c r="AA651" s="93"/>
      <c r="AB651" s="93"/>
    </row>
    <row r="652" spans="1:28" ht="12.75" customHeight="1">
      <c r="A652" s="134" t="s">
        <v>513</v>
      </c>
      <c r="B652" s="425">
        <v>44343</v>
      </c>
      <c r="C652" s="426">
        <v>-23778</v>
      </c>
      <c r="D652" s="427"/>
      <c r="E652" s="430"/>
      <c r="F652" s="431"/>
      <c r="G652" s="4"/>
      <c r="H652" s="93"/>
      <c r="K652" s="93"/>
      <c r="L652" s="93"/>
      <c r="M652" s="93"/>
      <c r="N652" s="93"/>
      <c r="O652" s="93"/>
      <c r="P652" s="93"/>
      <c r="Q652" s="93"/>
      <c r="R652" s="93"/>
      <c r="S652" s="93"/>
      <c r="T652" s="93"/>
      <c r="U652" s="93"/>
      <c r="V652" s="93"/>
      <c r="W652" s="93"/>
      <c r="X652" s="93"/>
      <c r="Y652" s="93"/>
      <c r="Z652" s="93"/>
      <c r="AA652" s="93"/>
      <c r="AB652" s="93"/>
    </row>
    <row r="653" spans="1:28" ht="12.75" customHeight="1">
      <c r="A653" s="120" t="s">
        <v>513</v>
      </c>
      <c r="B653" s="428">
        <v>44351</v>
      </c>
      <c r="C653" s="429">
        <v>24075</v>
      </c>
      <c r="D653" s="422">
        <f>C653+C652</f>
        <v>297</v>
      </c>
      <c r="E653" s="423">
        <f>-D653/C652</f>
        <v>1.2490537471612415E-2</v>
      </c>
      <c r="F653" s="344">
        <f>B653-B652</f>
        <v>8</v>
      </c>
      <c r="G653" s="4"/>
      <c r="H653" s="93"/>
      <c r="K653" s="93"/>
      <c r="L653" s="93"/>
      <c r="M653" s="93"/>
      <c r="N653" s="93"/>
      <c r="O653" s="93"/>
      <c r="P653" s="93"/>
      <c r="Q653" s="93"/>
      <c r="R653" s="93"/>
      <c r="S653" s="93"/>
      <c r="T653" s="93"/>
      <c r="U653" s="93"/>
      <c r="V653" s="93"/>
      <c r="W653" s="93"/>
      <c r="X653" s="93"/>
      <c r="Y653" s="93"/>
      <c r="Z653" s="93"/>
      <c r="AA653" s="93"/>
      <c r="AB653" s="93"/>
    </row>
    <row r="654" spans="1:28" ht="12.75" customHeight="1">
      <c r="A654" s="149" t="s">
        <v>513</v>
      </c>
      <c r="B654" s="148">
        <v>44616</v>
      </c>
      <c r="C654" s="356">
        <v>-3454</v>
      </c>
      <c r="D654" s="427"/>
      <c r="E654" s="430"/>
      <c r="F654" s="431"/>
      <c r="G654" s="4"/>
      <c r="H654" s="93"/>
      <c r="M654" s="93"/>
      <c r="O654" s="93"/>
      <c r="P654" s="93"/>
      <c r="Q654" s="93"/>
      <c r="R654" s="93"/>
      <c r="S654" s="93"/>
      <c r="T654" s="93"/>
      <c r="U654" s="93"/>
      <c r="V654" s="93"/>
      <c r="W654" s="93"/>
      <c r="X654" s="93"/>
      <c r="Y654" s="93"/>
      <c r="Z654" s="93"/>
      <c r="AA654" s="93"/>
      <c r="AB654" s="93"/>
    </row>
    <row r="655" spans="1:28" ht="12.75" customHeight="1">
      <c r="A655" s="120" t="s">
        <v>513</v>
      </c>
      <c r="B655" s="150">
        <v>44620</v>
      </c>
      <c r="C655" s="422">
        <v>3480</v>
      </c>
      <c r="D655" s="422">
        <f>C655+C654</f>
        <v>26</v>
      </c>
      <c r="E655" s="423">
        <f>IFERROR(-D655/C654,0)</f>
        <v>7.5275043427909666E-3</v>
      </c>
      <c r="F655" s="344">
        <f>B655-B654</f>
        <v>4</v>
      </c>
      <c r="G655" s="4"/>
      <c r="H655" s="93"/>
      <c r="M655" s="93"/>
      <c r="O655" s="93"/>
      <c r="P655" s="93"/>
      <c r="Q655" s="93"/>
      <c r="R655" s="93"/>
      <c r="S655" s="93"/>
      <c r="T655" s="93"/>
      <c r="U655" s="93"/>
      <c r="V655" s="93"/>
      <c r="W655" s="93"/>
      <c r="X655" s="93"/>
      <c r="Y655" s="93"/>
      <c r="Z655" s="93"/>
      <c r="AA655" s="93"/>
      <c r="AB655" s="93"/>
    </row>
    <row r="656" spans="1:28" ht="12.75" customHeight="1">
      <c r="A656" s="149" t="s">
        <v>513</v>
      </c>
      <c r="B656" s="148">
        <v>44593</v>
      </c>
      <c r="C656" s="356">
        <v>-15388</v>
      </c>
      <c r="D656" s="427"/>
      <c r="E656" s="430"/>
      <c r="F656" s="431"/>
      <c r="G656" s="4"/>
      <c r="H656" s="93"/>
      <c r="K656" s="93"/>
      <c r="L656" s="93"/>
      <c r="M656" s="93"/>
      <c r="N656" s="93"/>
      <c r="O656" s="93"/>
      <c r="P656" s="93"/>
      <c r="Q656" s="93"/>
      <c r="R656" s="93"/>
      <c r="S656" s="93"/>
      <c r="T656" s="93"/>
      <c r="U656" s="93"/>
      <c r="V656" s="93"/>
      <c r="W656" s="93"/>
      <c r="X656" s="93"/>
      <c r="Y656" s="93"/>
      <c r="Z656" s="93"/>
      <c r="AA656" s="93"/>
      <c r="AB656" s="93"/>
    </row>
    <row r="657" spans="1:28" ht="12.75" customHeight="1">
      <c r="A657" s="120" t="s">
        <v>513</v>
      </c>
      <c r="B657" s="150">
        <v>44652</v>
      </c>
      <c r="C657" s="422">
        <v>14865</v>
      </c>
      <c r="D657" s="422">
        <f>C657+C656</f>
        <v>-523</v>
      </c>
      <c r="E657" s="423">
        <f>IFERROR(-D657/C656,0)</f>
        <v>-3.3987522744996099E-2</v>
      </c>
      <c r="F657" s="344">
        <f>B657-B656</f>
        <v>59</v>
      </c>
      <c r="G657" s="4"/>
      <c r="H657" s="93"/>
      <c r="K657" s="93"/>
      <c r="L657" s="93"/>
      <c r="M657" s="93"/>
      <c r="N657" s="93"/>
      <c r="O657" s="93"/>
      <c r="P657" s="93"/>
      <c r="Q657" s="93"/>
      <c r="R657" s="93"/>
      <c r="S657" s="93"/>
      <c r="T657" s="93"/>
      <c r="U657" s="93"/>
      <c r="V657" s="93"/>
      <c r="W657" s="93"/>
      <c r="X657" s="93"/>
      <c r="Y657" s="93"/>
      <c r="Z657" s="93"/>
      <c r="AA657" s="93"/>
      <c r="AB657" s="93"/>
    </row>
    <row r="658" spans="1:28" ht="12.75" customHeight="1">
      <c r="A658" s="149" t="s">
        <v>513</v>
      </c>
      <c r="B658" s="148">
        <v>44599</v>
      </c>
      <c r="C658" s="356">
        <v>-7424</v>
      </c>
      <c r="D658" s="427"/>
      <c r="E658" s="430"/>
      <c r="F658" s="431"/>
      <c r="G658" s="4"/>
      <c r="H658" s="93"/>
      <c r="K658" s="93"/>
      <c r="L658" s="93"/>
      <c r="M658" s="93"/>
      <c r="N658" s="93"/>
      <c r="O658" s="93"/>
      <c r="P658" s="93"/>
      <c r="Q658" s="93"/>
      <c r="R658" s="93"/>
      <c r="S658" s="93"/>
      <c r="T658" s="93"/>
      <c r="U658" s="93"/>
      <c r="V658" s="93"/>
      <c r="W658" s="93"/>
      <c r="X658" s="93"/>
      <c r="Y658" s="93"/>
      <c r="Z658" s="93"/>
      <c r="AA658" s="93"/>
      <c r="AB658" s="93"/>
    </row>
    <row r="659" spans="1:28" ht="12.75" customHeight="1">
      <c r="A659" s="120" t="s">
        <v>513</v>
      </c>
      <c r="B659" s="150">
        <v>44652</v>
      </c>
      <c r="C659" s="422">
        <v>7432</v>
      </c>
      <c r="D659" s="422">
        <f>C659+C658</f>
        <v>8</v>
      </c>
      <c r="E659" s="423">
        <f>IFERROR(-D659/C658,0)</f>
        <v>1.0775862068965517E-3</v>
      </c>
      <c r="F659" s="344">
        <f>B659-B658</f>
        <v>53</v>
      </c>
      <c r="G659" s="4"/>
      <c r="H659" s="93"/>
      <c r="K659" s="93"/>
      <c r="L659" s="93"/>
      <c r="M659" s="93"/>
      <c r="N659" s="93"/>
      <c r="O659" s="93"/>
      <c r="P659" s="93"/>
      <c r="Q659" s="93"/>
      <c r="R659" s="93"/>
      <c r="S659" s="93"/>
      <c r="T659" s="93"/>
      <c r="U659" s="93"/>
      <c r="V659" s="93"/>
      <c r="W659" s="93"/>
      <c r="X659" s="93"/>
      <c r="Y659" s="93"/>
      <c r="Z659" s="93"/>
      <c r="AA659" s="93"/>
      <c r="AB659" s="93"/>
    </row>
    <row r="660" spans="1:28" ht="12.75" customHeight="1">
      <c r="A660" s="149" t="s">
        <v>513</v>
      </c>
      <c r="B660" s="148">
        <v>44603</v>
      </c>
      <c r="C660" s="356">
        <v>-7424</v>
      </c>
      <c r="D660" s="427"/>
      <c r="E660" s="430"/>
      <c r="F660" s="431"/>
      <c r="G660" s="4"/>
      <c r="H660" s="93"/>
      <c r="K660" s="93"/>
      <c r="L660" s="93"/>
      <c r="M660" s="93"/>
      <c r="N660" s="93"/>
      <c r="O660" s="93"/>
      <c r="P660" s="93"/>
      <c r="Q660" s="93"/>
      <c r="R660" s="93"/>
      <c r="S660" s="93"/>
      <c r="T660" s="93"/>
      <c r="U660" s="93"/>
      <c r="V660" s="93"/>
      <c r="W660" s="93"/>
      <c r="X660" s="93"/>
      <c r="Y660" s="93"/>
      <c r="Z660" s="93"/>
      <c r="AA660" s="93"/>
      <c r="AB660" s="93"/>
    </row>
    <row r="661" spans="1:28" ht="12.75" customHeight="1">
      <c r="A661" s="120" t="s">
        <v>513</v>
      </c>
      <c r="B661" s="150">
        <v>44652</v>
      </c>
      <c r="C661" s="422">
        <v>7432</v>
      </c>
      <c r="D661" s="422">
        <f>C661+C660</f>
        <v>8</v>
      </c>
      <c r="E661" s="423">
        <f>IFERROR(-D661/C660,0)</f>
        <v>1.0775862068965517E-3</v>
      </c>
      <c r="F661" s="344">
        <f>B661-B660</f>
        <v>49</v>
      </c>
      <c r="G661" s="4"/>
      <c r="H661" s="93"/>
      <c r="K661" s="93"/>
      <c r="L661" s="93"/>
      <c r="M661" s="93"/>
      <c r="N661" s="93"/>
      <c r="O661" s="93"/>
      <c r="P661" s="93"/>
      <c r="Q661" s="93"/>
      <c r="R661" s="93"/>
      <c r="S661" s="93"/>
      <c r="T661" s="93"/>
      <c r="U661" s="93"/>
      <c r="V661" s="93"/>
      <c r="W661" s="93"/>
      <c r="X661" s="93"/>
      <c r="Y661" s="93"/>
      <c r="Z661" s="93"/>
      <c r="AA661" s="93"/>
      <c r="AB661" s="93"/>
    </row>
    <row r="662" spans="1:28" ht="12.75" customHeight="1">
      <c r="A662" s="149" t="s">
        <v>551</v>
      </c>
      <c r="B662" s="148">
        <v>44391</v>
      </c>
      <c r="C662" s="356">
        <v>-3654</v>
      </c>
      <c r="D662" s="427"/>
      <c r="E662" s="430"/>
      <c r="F662" s="431"/>
      <c r="G662" s="4"/>
      <c r="H662" s="93"/>
      <c r="K662" s="93"/>
      <c r="L662" s="93"/>
      <c r="M662" s="93"/>
      <c r="N662" s="93"/>
      <c r="O662" s="93"/>
      <c r="P662" s="93"/>
      <c r="Q662" s="93"/>
      <c r="R662" s="93"/>
      <c r="S662" s="93"/>
      <c r="T662" s="93"/>
      <c r="U662" s="93"/>
      <c r="V662" s="93"/>
      <c r="W662" s="93"/>
      <c r="X662" s="93"/>
      <c r="Y662" s="93"/>
      <c r="Z662" s="93"/>
      <c r="AA662" s="93"/>
      <c r="AB662" s="93"/>
    </row>
    <row r="663" spans="1:28" ht="12.75" customHeight="1">
      <c r="A663" s="120" t="s">
        <v>551</v>
      </c>
      <c r="B663" s="150">
        <v>44578</v>
      </c>
      <c r="C663" s="422">
        <v>3476</v>
      </c>
      <c r="D663" s="422">
        <f>C663+C662</f>
        <v>-178</v>
      </c>
      <c r="E663" s="423">
        <f>-D663/C662</f>
        <v>-4.8713738368910783E-2</v>
      </c>
      <c r="F663" s="344">
        <f>B663-B662</f>
        <v>187</v>
      </c>
      <c r="G663" s="4"/>
      <c r="H663" s="93"/>
      <c r="K663" s="93"/>
      <c r="L663" s="93"/>
      <c r="M663" s="93"/>
      <c r="N663" s="93"/>
      <c r="O663" s="93"/>
      <c r="P663" s="93"/>
      <c r="Q663" s="93"/>
      <c r="R663" s="93"/>
      <c r="S663" s="93"/>
      <c r="T663" s="93"/>
      <c r="U663" s="93"/>
      <c r="V663" s="93"/>
      <c r="W663" s="93"/>
      <c r="X663" s="93"/>
      <c r="Y663" s="93"/>
      <c r="Z663" s="93"/>
      <c r="AA663" s="93"/>
      <c r="AB663" s="93"/>
    </row>
    <row r="664" spans="1:28" ht="12.75" customHeight="1">
      <c r="A664" s="133" t="s">
        <v>485</v>
      </c>
      <c r="B664" s="425">
        <v>44299</v>
      </c>
      <c r="C664" s="426">
        <v>-6482</v>
      </c>
      <c r="D664" s="427"/>
      <c r="E664" s="430"/>
      <c r="F664" s="431"/>
      <c r="G664" s="4"/>
      <c r="H664" s="93"/>
      <c r="K664" s="93"/>
      <c r="L664" s="93"/>
      <c r="M664" s="93"/>
      <c r="N664" s="93"/>
      <c r="O664" s="93"/>
      <c r="P664" s="93"/>
      <c r="Q664" s="93"/>
      <c r="R664" s="93"/>
      <c r="S664" s="93"/>
      <c r="T664" s="93"/>
      <c r="U664" s="93"/>
      <c r="V664" s="93"/>
      <c r="W664" s="93"/>
      <c r="X664" s="93"/>
      <c r="Y664" s="93"/>
      <c r="Z664" s="93"/>
      <c r="AA664" s="93"/>
      <c r="AB664" s="93"/>
    </row>
    <row r="665" spans="1:28" ht="12.75" customHeight="1">
      <c r="A665" s="120" t="s">
        <v>485</v>
      </c>
      <c r="B665" s="428">
        <v>44335</v>
      </c>
      <c r="C665" s="429">
        <v>6756</v>
      </c>
      <c r="D665" s="422">
        <f>C665+C664</f>
        <v>274</v>
      </c>
      <c r="E665" s="423">
        <f>-D665/C664</f>
        <v>4.2270904041962355E-2</v>
      </c>
      <c r="F665" s="344">
        <f>B665-B664</f>
        <v>36</v>
      </c>
      <c r="G665" s="4"/>
      <c r="H665" s="93"/>
      <c r="K665" s="93"/>
      <c r="L665" s="93"/>
      <c r="M665" s="93"/>
      <c r="N665" s="93"/>
      <c r="O665" s="93"/>
      <c r="P665" s="93"/>
      <c r="Q665" s="93"/>
      <c r="R665" s="93"/>
      <c r="S665" s="93"/>
      <c r="T665" s="93"/>
      <c r="U665" s="93"/>
      <c r="V665" s="93"/>
      <c r="W665" s="93"/>
      <c r="X665" s="93"/>
      <c r="Y665" s="93"/>
      <c r="Z665" s="93"/>
      <c r="AA665" s="93"/>
      <c r="AB665" s="93"/>
    </row>
    <row r="666" spans="1:28" ht="12.75" customHeight="1">
      <c r="A666" s="133" t="s">
        <v>506</v>
      </c>
      <c r="B666" s="425">
        <v>44334</v>
      </c>
      <c r="C666" s="426">
        <v>-14467</v>
      </c>
      <c r="D666" s="427"/>
      <c r="E666" s="430"/>
      <c r="F666" s="432"/>
      <c r="G666" s="4"/>
      <c r="H666" s="93"/>
      <c r="K666" s="93"/>
      <c r="L666" s="93"/>
      <c r="M666" s="93"/>
      <c r="N666" s="93"/>
      <c r="O666" s="93"/>
      <c r="P666" s="93"/>
      <c r="Q666" s="93"/>
      <c r="R666" s="93"/>
      <c r="S666" s="93"/>
      <c r="T666" s="93"/>
      <c r="U666" s="93"/>
      <c r="V666" s="93"/>
      <c r="W666" s="93"/>
      <c r="X666" s="93"/>
      <c r="Y666" s="93"/>
      <c r="Z666" s="93"/>
      <c r="AA666" s="93"/>
      <c r="AB666" s="93"/>
    </row>
    <row r="667" spans="1:28" ht="12.75" customHeight="1">
      <c r="A667" s="120" t="s">
        <v>506</v>
      </c>
      <c r="B667" s="428">
        <v>44341</v>
      </c>
      <c r="C667" s="429">
        <v>15384</v>
      </c>
      <c r="D667" s="422">
        <f>C667+C666</f>
        <v>917</v>
      </c>
      <c r="E667" s="423">
        <f>-D667/C666</f>
        <v>6.338563627566185E-2</v>
      </c>
      <c r="F667" s="344">
        <f>B667-B666</f>
        <v>7</v>
      </c>
      <c r="G667" s="4"/>
      <c r="H667" s="93"/>
      <c r="K667" s="93"/>
      <c r="L667" s="93"/>
      <c r="M667" s="93"/>
      <c r="N667" s="93"/>
      <c r="O667" s="93"/>
      <c r="P667" s="93"/>
      <c r="Q667" s="93"/>
      <c r="R667" s="93"/>
      <c r="S667" s="93"/>
      <c r="T667" s="93"/>
      <c r="U667" s="93"/>
      <c r="V667" s="93"/>
      <c r="W667" s="93"/>
      <c r="X667" s="93"/>
      <c r="Y667" s="93"/>
      <c r="Z667" s="93"/>
      <c r="AA667" s="93"/>
      <c r="AB667" s="93"/>
    </row>
    <row r="668" spans="1:28" ht="12.75" customHeight="1">
      <c r="A668" s="149" t="s">
        <v>1193</v>
      </c>
      <c r="B668" s="148">
        <v>44686</v>
      </c>
      <c r="C668" s="356">
        <v>-14892</v>
      </c>
      <c r="D668" s="427"/>
      <c r="E668" s="430"/>
      <c r="F668" s="431"/>
      <c r="G668" s="4"/>
      <c r="H668" s="93"/>
      <c r="K668" s="93"/>
      <c r="L668" s="93"/>
      <c r="M668" s="93"/>
      <c r="N668" s="93"/>
      <c r="O668" s="93"/>
      <c r="P668" s="93"/>
      <c r="Q668" s="93"/>
      <c r="R668" s="93"/>
      <c r="S668" s="93"/>
      <c r="T668" s="93"/>
      <c r="U668" s="93"/>
      <c r="V668" s="93"/>
      <c r="W668" s="93"/>
      <c r="X668" s="93"/>
      <c r="Y668" s="93"/>
      <c r="Z668" s="93"/>
      <c r="AA668" s="93"/>
      <c r="AB668" s="93"/>
    </row>
    <row r="669" spans="1:28" ht="12.75" customHeight="1">
      <c r="A669" s="121" t="s">
        <v>1193</v>
      </c>
      <c r="B669" s="150">
        <v>44690</v>
      </c>
      <c r="C669" s="422">
        <v>18596</v>
      </c>
      <c r="D669" s="422">
        <f>C669+C668</f>
        <v>3704</v>
      </c>
      <c r="E669" s="423">
        <f>IFERROR(-D669/C668,0)</f>
        <v>0.24872414719312383</v>
      </c>
      <c r="F669" s="344">
        <f>B669-B668</f>
        <v>4</v>
      </c>
      <c r="G669" s="4"/>
      <c r="H669" s="93"/>
      <c r="K669" s="93"/>
      <c r="L669" s="93"/>
      <c r="M669" s="93"/>
      <c r="N669" s="93"/>
      <c r="O669" s="93"/>
      <c r="P669" s="93"/>
      <c r="Q669" s="93"/>
      <c r="R669" s="93"/>
      <c r="S669" s="93"/>
      <c r="T669" s="93"/>
      <c r="U669" s="93"/>
      <c r="V669" s="93"/>
      <c r="W669" s="93"/>
      <c r="X669" s="93"/>
      <c r="Y669" s="93"/>
      <c r="Z669" s="93"/>
      <c r="AA669" s="93"/>
      <c r="AB669" s="93"/>
    </row>
    <row r="670" spans="1:28" ht="12.75" customHeight="1">
      <c r="A670" s="134" t="s">
        <v>470</v>
      </c>
      <c r="B670" s="425">
        <v>44103</v>
      </c>
      <c r="C670" s="426">
        <v>-14760</v>
      </c>
      <c r="D670" s="427"/>
      <c r="E670" s="430"/>
      <c r="F670" s="431"/>
      <c r="G670" s="4"/>
      <c r="H670" s="93"/>
      <c r="K670" s="93"/>
      <c r="L670" s="93"/>
      <c r="M670" s="93"/>
      <c r="N670" s="93"/>
      <c r="O670" s="93"/>
      <c r="P670" s="93"/>
      <c r="Q670" s="93"/>
      <c r="R670" s="93"/>
      <c r="S670" s="93"/>
      <c r="T670" s="93"/>
      <c r="U670" s="93"/>
      <c r="V670" s="93"/>
      <c r="W670" s="93"/>
      <c r="X670" s="93"/>
      <c r="Y670" s="93"/>
      <c r="Z670" s="93"/>
      <c r="AA670" s="93"/>
      <c r="AB670" s="93"/>
    </row>
    <row r="671" spans="1:28" ht="12.75" customHeight="1">
      <c r="A671" s="120" t="s">
        <v>470</v>
      </c>
      <c r="B671" s="428">
        <v>44148</v>
      </c>
      <c r="C671" s="429">
        <v>15739.42</v>
      </c>
      <c r="D671" s="422">
        <f>C671+C670</f>
        <v>979.42000000000007</v>
      </c>
      <c r="E671" s="423">
        <f>-D671/C670</f>
        <v>6.6356368563685639E-2</v>
      </c>
      <c r="F671" s="344">
        <f>B671-B670</f>
        <v>45</v>
      </c>
      <c r="G671" s="4"/>
      <c r="H671" s="93"/>
      <c r="K671" s="93"/>
      <c r="L671" s="93"/>
      <c r="M671" s="93"/>
      <c r="N671" s="93"/>
      <c r="O671" s="93"/>
      <c r="P671" s="93"/>
      <c r="Q671" s="93"/>
      <c r="R671" s="93"/>
      <c r="S671" s="93"/>
      <c r="T671" s="93"/>
      <c r="U671" s="93"/>
      <c r="V671" s="93"/>
      <c r="W671" s="93"/>
      <c r="X671" s="93"/>
      <c r="Y671" s="93"/>
      <c r="Z671" s="93"/>
      <c r="AA671" s="93"/>
      <c r="AB671" s="93"/>
    </row>
    <row r="672" spans="1:28" ht="12.75" customHeight="1">
      <c r="A672" s="149" t="s">
        <v>597</v>
      </c>
      <c r="B672" s="148">
        <v>44649</v>
      </c>
      <c r="C672" s="356">
        <v>-11514</v>
      </c>
      <c r="D672" s="427"/>
      <c r="E672" s="430"/>
      <c r="F672" s="431"/>
      <c r="G672" s="4"/>
      <c r="H672" s="93"/>
      <c r="K672" s="93"/>
      <c r="L672" s="93"/>
      <c r="M672" s="93"/>
      <c r="N672" s="93"/>
      <c r="O672" s="93"/>
      <c r="P672" s="93"/>
      <c r="Q672" s="93"/>
      <c r="R672" s="93"/>
      <c r="S672" s="93"/>
      <c r="T672" s="93"/>
      <c r="U672" s="93"/>
      <c r="V672" s="93"/>
      <c r="W672" s="93"/>
      <c r="X672" s="93"/>
      <c r="Y672" s="93"/>
      <c r="Z672" s="93"/>
      <c r="AA672" s="93"/>
      <c r="AB672" s="93"/>
    </row>
    <row r="673" spans="1:28" ht="12.75" customHeight="1">
      <c r="A673" s="120" t="s">
        <v>597</v>
      </c>
      <c r="B673" s="150">
        <v>44652</v>
      </c>
      <c r="C673" s="422">
        <v>11913</v>
      </c>
      <c r="D673" s="422">
        <f>C673+C672</f>
        <v>399</v>
      </c>
      <c r="E673" s="423">
        <f>IFERROR(-D673/C672,0)</f>
        <v>3.4653465346534656E-2</v>
      </c>
      <c r="F673" s="344">
        <f>B673-B672</f>
        <v>3</v>
      </c>
      <c r="G673" s="4"/>
      <c r="H673" s="93"/>
      <c r="K673" s="93"/>
      <c r="L673" s="93"/>
      <c r="M673" s="93"/>
      <c r="N673" s="93"/>
      <c r="O673" s="93"/>
      <c r="P673" s="93"/>
      <c r="Q673" s="93"/>
      <c r="R673" s="93"/>
      <c r="S673" s="93"/>
      <c r="T673" s="93"/>
      <c r="U673" s="93"/>
      <c r="V673" s="93"/>
      <c r="W673" s="93"/>
      <c r="X673" s="93"/>
      <c r="Y673" s="93"/>
      <c r="Z673" s="93"/>
      <c r="AA673" s="93"/>
      <c r="AB673" s="93"/>
    </row>
    <row r="674" spans="1:28" ht="12.75" customHeight="1">
      <c r="A674" s="149" t="s">
        <v>600</v>
      </c>
      <c r="B674" s="148">
        <v>44652</v>
      </c>
      <c r="C674" s="356">
        <v>-3945</v>
      </c>
      <c r="D674" s="356"/>
      <c r="E674" s="430"/>
      <c r="F674" s="431"/>
      <c r="G674" s="4"/>
      <c r="H674" s="93"/>
      <c r="K674" s="93"/>
      <c r="L674" s="93"/>
      <c r="M674" s="93"/>
      <c r="N674" s="93"/>
      <c r="O674" s="93"/>
      <c r="P674" s="93"/>
      <c r="Q674" s="93"/>
      <c r="R674" s="93"/>
      <c r="S674" s="93"/>
      <c r="T674" s="93"/>
      <c r="U674" s="93"/>
      <c r="V674" s="93"/>
      <c r="W674" s="93"/>
      <c r="X674" s="93"/>
      <c r="Y674" s="93"/>
      <c r="Z674" s="93"/>
      <c r="AA674" s="93"/>
      <c r="AB674" s="93"/>
    </row>
    <row r="675" spans="1:28" ht="12.75" customHeight="1">
      <c r="A675" s="120" t="s">
        <v>600</v>
      </c>
      <c r="B675" s="150">
        <v>44776</v>
      </c>
      <c r="C675" s="422">
        <v>4246</v>
      </c>
      <c r="D675" s="422">
        <f>C675+C674</f>
        <v>301</v>
      </c>
      <c r="E675" s="423">
        <f>IFERROR(-D675/C674,0)</f>
        <v>7.6299112801013938E-2</v>
      </c>
      <c r="F675" s="344">
        <f>B675-B674</f>
        <v>124</v>
      </c>
      <c r="G675" s="4"/>
      <c r="H675" s="93"/>
      <c r="K675" s="93"/>
      <c r="L675" s="93"/>
      <c r="M675" s="93"/>
      <c r="N675" s="93"/>
      <c r="O675" s="93"/>
      <c r="P675" s="93"/>
      <c r="Q675" s="93"/>
      <c r="R675" s="93"/>
      <c r="S675" s="93"/>
      <c r="T675" s="93"/>
      <c r="U675" s="93"/>
      <c r="V675" s="93"/>
      <c r="W675" s="93"/>
      <c r="X675" s="93"/>
      <c r="Y675" s="93"/>
      <c r="Z675" s="93"/>
      <c r="AA675" s="93"/>
      <c r="AB675" s="93"/>
    </row>
    <row r="676" spans="1:28" ht="12.75" customHeight="1">
      <c r="A676" s="149" t="s">
        <v>600</v>
      </c>
      <c r="B676" s="148">
        <v>44652</v>
      </c>
      <c r="C676" s="356">
        <v>-7889</v>
      </c>
      <c r="D676" s="356"/>
      <c r="E676" s="430"/>
      <c r="F676" s="431"/>
      <c r="G676" s="4"/>
      <c r="H676" s="93"/>
      <c r="K676" s="93"/>
      <c r="L676" s="93"/>
      <c r="M676" s="93"/>
      <c r="N676" s="93"/>
      <c r="O676" s="93"/>
      <c r="P676" s="93"/>
      <c r="Q676" s="93"/>
      <c r="R676" s="93"/>
      <c r="S676" s="93"/>
      <c r="T676" s="93"/>
      <c r="U676" s="93"/>
      <c r="V676" s="93"/>
      <c r="W676" s="93"/>
      <c r="X676" s="93"/>
      <c r="Y676" s="93"/>
      <c r="Z676" s="93"/>
      <c r="AA676" s="93"/>
      <c r="AB676" s="93"/>
    </row>
    <row r="677" spans="1:28" ht="12.75" customHeight="1">
      <c r="A677" s="120" t="s">
        <v>600</v>
      </c>
      <c r="B677" s="150">
        <v>44796</v>
      </c>
      <c r="C677" s="422">
        <v>8192</v>
      </c>
      <c r="D677" s="422">
        <f>C677+C676</f>
        <v>303</v>
      </c>
      <c r="E677" s="423">
        <f>IFERROR(-D677/C676,0)</f>
        <v>3.8407909747750033E-2</v>
      </c>
      <c r="F677" s="344">
        <f>B677-B676</f>
        <v>144</v>
      </c>
      <c r="G677" s="4"/>
      <c r="H677" s="93"/>
      <c r="K677" s="93"/>
      <c r="L677" s="93"/>
      <c r="M677" s="93"/>
      <c r="N677" s="93"/>
      <c r="O677" s="93"/>
      <c r="P677" s="93"/>
      <c r="Q677" s="93"/>
      <c r="R677" s="93"/>
      <c r="S677" s="93"/>
      <c r="T677" s="93"/>
      <c r="U677" s="93"/>
      <c r="V677" s="93"/>
      <c r="W677" s="93"/>
      <c r="X677" s="93"/>
      <c r="Y677" s="93"/>
      <c r="Z677" s="93"/>
      <c r="AA677" s="93"/>
      <c r="AB677" s="93"/>
    </row>
    <row r="678" spans="1:28" ht="12.75" customHeight="1">
      <c r="A678" s="149" t="s">
        <v>600</v>
      </c>
      <c r="B678" s="148">
        <v>44652</v>
      </c>
      <c r="C678" s="356">
        <v>-7889</v>
      </c>
      <c r="D678" s="356"/>
      <c r="E678" s="430"/>
      <c r="F678" s="431"/>
      <c r="G678" s="4"/>
      <c r="H678" s="93"/>
      <c r="K678" s="93"/>
      <c r="L678" s="93"/>
      <c r="M678" s="93"/>
      <c r="N678" s="93"/>
      <c r="O678" s="93"/>
      <c r="P678" s="93"/>
      <c r="Q678" s="93"/>
      <c r="R678" s="93"/>
      <c r="S678" s="93"/>
      <c r="T678" s="93"/>
      <c r="U678" s="93"/>
      <c r="V678" s="93"/>
      <c r="W678" s="93"/>
      <c r="X678" s="93"/>
      <c r="Y678" s="93"/>
      <c r="Z678" s="93"/>
      <c r="AA678" s="93"/>
      <c r="AB678" s="93"/>
    </row>
    <row r="679" spans="1:28" ht="12.75" customHeight="1">
      <c r="A679" s="120" t="s">
        <v>600</v>
      </c>
      <c r="B679" s="150">
        <v>44797</v>
      </c>
      <c r="C679" s="422">
        <v>8291</v>
      </c>
      <c r="D679" s="422">
        <f>C679+C678</f>
        <v>402</v>
      </c>
      <c r="E679" s="423">
        <f>IFERROR(-D679/C678,0)</f>
        <v>5.0957028774242616E-2</v>
      </c>
      <c r="F679" s="344">
        <f>B679-B678</f>
        <v>145</v>
      </c>
      <c r="G679" s="4"/>
      <c r="H679" s="93"/>
      <c r="K679" s="93"/>
      <c r="L679" s="93"/>
      <c r="M679" s="93"/>
      <c r="N679" s="93"/>
      <c r="O679" s="93"/>
      <c r="P679" s="93"/>
      <c r="Q679" s="93"/>
      <c r="R679" s="93"/>
      <c r="S679" s="93"/>
      <c r="T679" s="93"/>
      <c r="U679" s="93"/>
      <c r="V679" s="93"/>
      <c r="W679" s="93"/>
      <c r="X679" s="93"/>
      <c r="Y679" s="93"/>
      <c r="Z679" s="93"/>
      <c r="AA679" s="93"/>
      <c r="AB679" s="93"/>
    </row>
    <row r="680" spans="1:28" ht="12.75" customHeight="1">
      <c r="A680" s="133" t="s">
        <v>491</v>
      </c>
      <c r="B680" s="425">
        <v>44316</v>
      </c>
      <c r="C680" s="426">
        <v>-11193</v>
      </c>
      <c r="D680" s="427"/>
      <c r="E680" s="430"/>
      <c r="F680" s="431"/>
      <c r="G680" s="4"/>
      <c r="H680" s="93"/>
      <c r="K680" s="93"/>
      <c r="L680" s="93"/>
      <c r="M680" s="93"/>
      <c r="N680" s="93"/>
      <c r="O680" s="93"/>
      <c r="P680" s="93"/>
      <c r="Q680" s="93"/>
      <c r="R680" s="93"/>
      <c r="S680" s="93"/>
      <c r="T680" s="93"/>
      <c r="U680" s="93"/>
      <c r="V680" s="93"/>
      <c r="W680" s="93"/>
      <c r="X680" s="93"/>
      <c r="Y680" s="93"/>
      <c r="Z680" s="93"/>
      <c r="AA680" s="93"/>
      <c r="AB680" s="93"/>
    </row>
    <row r="681" spans="1:28" ht="12.75" customHeight="1">
      <c r="A681" s="120" t="s">
        <v>491</v>
      </c>
      <c r="B681" s="428">
        <v>44320</v>
      </c>
      <c r="C681" s="429">
        <v>11668</v>
      </c>
      <c r="D681" s="422">
        <f>C681+C680</f>
        <v>475</v>
      </c>
      <c r="E681" s="423">
        <f>-D681/C680</f>
        <v>4.2437237559188781E-2</v>
      </c>
      <c r="F681" s="344">
        <f>B681-B680</f>
        <v>4</v>
      </c>
      <c r="G681" s="4"/>
      <c r="H681" s="93"/>
      <c r="K681" s="93"/>
      <c r="L681" s="93"/>
      <c r="M681" s="93"/>
      <c r="N681" s="93"/>
      <c r="O681" s="93"/>
      <c r="P681" s="93"/>
      <c r="Q681" s="93"/>
      <c r="R681" s="93"/>
      <c r="S681" s="93"/>
      <c r="T681" s="93"/>
      <c r="U681" s="93"/>
      <c r="V681" s="93"/>
      <c r="W681" s="93"/>
      <c r="X681" s="93"/>
      <c r="Y681" s="93"/>
      <c r="Z681" s="93"/>
      <c r="AA681" s="93"/>
      <c r="AB681" s="93"/>
    </row>
    <row r="682" spans="1:28" ht="12.75" customHeight="1">
      <c r="A682" s="149" t="s">
        <v>491</v>
      </c>
      <c r="B682" s="148">
        <v>44378</v>
      </c>
      <c r="C682" s="149">
        <v>-15894</v>
      </c>
      <c r="D682" s="427"/>
      <c r="E682" s="430"/>
      <c r="F682" s="431"/>
      <c r="G682" s="4"/>
      <c r="H682" s="93"/>
      <c r="K682" s="93"/>
      <c r="L682" s="93"/>
      <c r="M682" s="93"/>
      <c r="N682" s="93"/>
      <c r="O682" s="93"/>
      <c r="P682" s="93"/>
      <c r="Q682" s="93"/>
      <c r="R682" s="93"/>
      <c r="S682" s="93"/>
      <c r="T682" s="93"/>
      <c r="U682" s="93"/>
      <c r="V682" s="93"/>
      <c r="W682" s="93"/>
      <c r="X682" s="93"/>
      <c r="Y682" s="93"/>
      <c r="Z682" s="93"/>
      <c r="AA682" s="93"/>
      <c r="AB682" s="93"/>
    </row>
    <row r="683" spans="1:28" ht="12.75" customHeight="1">
      <c r="A683" s="120" t="s">
        <v>491</v>
      </c>
      <c r="B683" s="150">
        <v>44379</v>
      </c>
      <c r="C683" s="422">
        <v>16508</v>
      </c>
      <c r="D683" s="422">
        <f>C683+C682</f>
        <v>614</v>
      </c>
      <c r="E683" s="423">
        <f>-D683/C682</f>
        <v>3.8630929910658113E-2</v>
      </c>
      <c r="F683" s="344">
        <f>B683-B682</f>
        <v>1</v>
      </c>
      <c r="G683" s="4"/>
      <c r="H683" s="93"/>
      <c r="K683" s="93"/>
      <c r="L683" s="93"/>
      <c r="M683" s="93"/>
      <c r="N683" s="93"/>
      <c r="O683" s="93"/>
      <c r="P683" s="93"/>
      <c r="Q683" s="93"/>
      <c r="R683" s="93"/>
      <c r="S683" s="93"/>
      <c r="T683" s="93"/>
      <c r="U683" s="93"/>
      <c r="V683" s="93"/>
      <c r="W683" s="93"/>
      <c r="X683" s="93"/>
      <c r="Y683" s="93"/>
      <c r="Z683" s="93"/>
      <c r="AA683" s="93"/>
      <c r="AB683" s="93"/>
    </row>
    <row r="684" spans="1:28" ht="12.75" customHeight="1">
      <c r="A684" s="149" t="s">
        <v>562</v>
      </c>
      <c r="B684" s="148">
        <v>44445</v>
      </c>
      <c r="C684" s="356">
        <v>-6057</v>
      </c>
      <c r="D684" s="427"/>
      <c r="E684" s="430"/>
      <c r="F684" s="431"/>
      <c r="G684" s="4"/>
      <c r="H684" s="93"/>
      <c r="K684" s="93"/>
      <c r="L684" s="93"/>
      <c r="M684" s="93"/>
      <c r="N684" s="93"/>
      <c r="O684" s="93"/>
      <c r="P684" s="93"/>
      <c r="Q684" s="93"/>
      <c r="R684" s="93"/>
      <c r="S684" s="93"/>
      <c r="T684" s="93"/>
      <c r="U684" s="93"/>
      <c r="V684" s="93"/>
      <c r="W684" s="93"/>
      <c r="X684" s="93"/>
      <c r="Y684" s="93"/>
      <c r="Z684" s="93"/>
      <c r="AA684" s="93"/>
      <c r="AB684" s="93"/>
    </row>
    <row r="685" spans="1:28" ht="12.75" customHeight="1">
      <c r="A685" s="120" t="s">
        <v>562</v>
      </c>
      <c r="B685" s="150">
        <v>44512</v>
      </c>
      <c r="C685" s="422">
        <v>7322</v>
      </c>
      <c r="D685" s="422">
        <f>C685+C684</f>
        <v>1265</v>
      </c>
      <c r="E685" s="423">
        <f>-D685/C684</f>
        <v>0.20884926531286116</v>
      </c>
      <c r="F685" s="344">
        <f>B685-B684</f>
        <v>67</v>
      </c>
      <c r="G685" s="4"/>
      <c r="H685" s="93"/>
      <c r="K685" s="93"/>
      <c r="L685" s="93"/>
      <c r="M685" s="93"/>
      <c r="N685" s="93"/>
      <c r="O685" s="93"/>
      <c r="P685" s="93"/>
      <c r="Q685" s="93"/>
      <c r="R685" s="93"/>
      <c r="S685" s="93"/>
      <c r="T685" s="93"/>
      <c r="U685" s="93"/>
      <c r="V685" s="93"/>
      <c r="W685" s="93"/>
      <c r="X685" s="93"/>
      <c r="Y685" s="93"/>
      <c r="Z685" s="93"/>
      <c r="AA685" s="93"/>
      <c r="AB685" s="93"/>
    </row>
    <row r="686" spans="1:28" ht="12.75" customHeight="1">
      <c r="A686" s="149" t="s">
        <v>562</v>
      </c>
      <c r="B686" s="148">
        <v>44510</v>
      </c>
      <c r="C686" s="356">
        <v>-7259</v>
      </c>
      <c r="D686" s="427"/>
      <c r="E686" s="430"/>
      <c r="F686" s="431"/>
      <c r="G686" s="4"/>
      <c r="H686" s="93"/>
      <c r="K686" s="93"/>
      <c r="L686" s="93"/>
      <c r="M686" s="93"/>
      <c r="N686" s="93"/>
      <c r="O686" s="93"/>
      <c r="P686" s="93"/>
      <c r="Q686" s="93"/>
      <c r="R686" s="93"/>
      <c r="S686" s="93"/>
      <c r="T686" s="93"/>
      <c r="U686" s="93"/>
      <c r="V686" s="93"/>
      <c r="W686" s="93"/>
      <c r="X686" s="93"/>
      <c r="Y686" s="93"/>
      <c r="Z686" s="93"/>
      <c r="AA686" s="93"/>
      <c r="AB686" s="93"/>
    </row>
    <row r="687" spans="1:28" ht="12.75" customHeight="1">
      <c r="A687" s="120" t="s">
        <v>562</v>
      </c>
      <c r="B687" s="150">
        <v>44512</v>
      </c>
      <c r="C687" s="422">
        <v>7323</v>
      </c>
      <c r="D687" s="422">
        <f>C687+C686</f>
        <v>64</v>
      </c>
      <c r="E687" s="423">
        <f>-D687/C686</f>
        <v>8.8166414106626255E-3</v>
      </c>
      <c r="F687" s="344">
        <f>B687-B686</f>
        <v>2</v>
      </c>
      <c r="G687" s="4"/>
      <c r="H687" s="93"/>
      <c r="K687" s="93"/>
      <c r="L687" s="93"/>
      <c r="M687" s="93"/>
      <c r="N687" s="93"/>
      <c r="O687" s="93"/>
      <c r="P687" s="93"/>
      <c r="Q687" s="93"/>
      <c r="R687" s="93"/>
      <c r="S687" s="93"/>
      <c r="T687" s="93"/>
      <c r="U687" s="93"/>
      <c r="V687" s="93"/>
      <c r="W687" s="93"/>
      <c r="X687" s="93"/>
      <c r="Y687" s="93"/>
      <c r="Z687" s="93"/>
      <c r="AA687" s="93"/>
      <c r="AB687" s="93"/>
    </row>
    <row r="688" spans="1:28" ht="12.75" customHeight="1">
      <c r="A688" s="149" t="s">
        <v>562</v>
      </c>
      <c r="B688" s="148">
        <v>44561</v>
      </c>
      <c r="C688" s="356">
        <v>-2994</v>
      </c>
      <c r="D688" s="427"/>
      <c r="E688" s="430"/>
      <c r="F688" s="431"/>
      <c r="G688" s="4"/>
      <c r="H688" s="93"/>
      <c r="K688" s="93"/>
      <c r="L688" s="93"/>
      <c r="M688" s="93"/>
      <c r="N688" s="93"/>
      <c r="O688" s="93"/>
      <c r="P688" s="93"/>
      <c r="Q688" s="93"/>
      <c r="R688" s="93"/>
      <c r="S688" s="93"/>
      <c r="T688" s="93"/>
      <c r="U688" s="93"/>
      <c r="V688" s="93"/>
      <c r="W688" s="93"/>
      <c r="X688" s="93"/>
      <c r="Y688" s="93"/>
      <c r="Z688" s="93"/>
      <c r="AA688" s="93"/>
      <c r="AB688" s="93"/>
    </row>
    <row r="689" spans="1:28" ht="12.75" customHeight="1">
      <c r="A689" s="120" t="s">
        <v>562</v>
      </c>
      <c r="B689" s="150">
        <v>44634</v>
      </c>
      <c r="C689" s="422">
        <v>3117</v>
      </c>
      <c r="D689" s="422">
        <f>C689+C688</f>
        <v>123</v>
      </c>
      <c r="E689" s="423">
        <f>IFERROR(-D689/C688,0)</f>
        <v>4.1082164328657314E-2</v>
      </c>
      <c r="F689" s="344">
        <f>B689-B688</f>
        <v>73</v>
      </c>
      <c r="G689" s="4"/>
      <c r="H689" s="93"/>
      <c r="K689" s="93"/>
      <c r="L689" s="93"/>
      <c r="M689" s="93"/>
      <c r="N689" s="93"/>
      <c r="O689" s="93"/>
      <c r="P689" s="93"/>
      <c r="Q689" s="93"/>
      <c r="R689" s="93"/>
      <c r="S689" s="93"/>
      <c r="T689" s="93"/>
      <c r="U689" s="93"/>
      <c r="V689" s="93"/>
      <c r="W689" s="93"/>
      <c r="X689" s="93"/>
      <c r="Y689" s="93"/>
      <c r="Z689" s="93"/>
      <c r="AA689" s="93"/>
      <c r="AB689" s="93"/>
    </row>
    <row r="690" spans="1:28" ht="12.75" customHeight="1">
      <c r="A690" s="133" t="s">
        <v>486</v>
      </c>
      <c r="B690" s="425">
        <v>44299</v>
      </c>
      <c r="C690" s="426">
        <v>-12806</v>
      </c>
      <c r="D690" s="427"/>
      <c r="E690" s="430"/>
      <c r="F690" s="431"/>
      <c r="G690" s="4"/>
      <c r="H690" s="93"/>
      <c r="K690" s="93"/>
      <c r="L690" s="93"/>
      <c r="M690" s="93"/>
      <c r="N690" s="93"/>
      <c r="O690" s="93"/>
      <c r="P690" s="93"/>
      <c r="Q690" s="93"/>
      <c r="R690" s="93"/>
      <c r="S690" s="93"/>
      <c r="T690" s="93"/>
      <c r="U690" s="93"/>
      <c r="V690" s="93"/>
      <c r="W690" s="93"/>
      <c r="X690" s="93"/>
      <c r="Y690" s="93"/>
      <c r="Z690" s="93"/>
      <c r="AA690" s="93"/>
      <c r="AB690" s="93"/>
    </row>
    <row r="691" spans="1:28" ht="12.75" customHeight="1">
      <c r="A691" s="120" t="s">
        <v>486</v>
      </c>
      <c r="B691" s="428">
        <v>44308</v>
      </c>
      <c r="C691" s="429">
        <v>13779</v>
      </c>
      <c r="D691" s="422">
        <f>C691+C690</f>
        <v>973</v>
      </c>
      <c r="E691" s="423">
        <f>-D691/C690</f>
        <v>7.5980009370607532E-2</v>
      </c>
      <c r="F691" s="344">
        <f>B691-B690</f>
        <v>9</v>
      </c>
      <c r="G691" s="4"/>
      <c r="H691" s="93"/>
      <c r="K691" s="93"/>
      <c r="L691" s="93"/>
      <c r="M691" s="93"/>
      <c r="N691" s="93"/>
      <c r="O691" s="93"/>
      <c r="P691" s="93"/>
      <c r="Q691" s="93"/>
      <c r="R691" s="93"/>
      <c r="S691" s="93"/>
      <c r="T691" s="93"/>
      <c r="U691" s="93"/>
      <c r="V691" s="93"/>
      <c r="W691" s="93"/>
      <c r="X691" s="93"/>
      <c r="Y691" s="93"/>
      <c r="Z691" s="93"/>
      <c r="AA691" s="93"/>
      <c r="AB691" s="93"/>
    </row>
    <row r="692" spans="1:28" ht="12.75" customHeight="1">
      <c r="A692" s="133" t="s">
        <v>486</v>
      </c>
      <c r="B692" s="425">
        <v>44328</v>
      </c>
      <c r="C692" s="426">
        <v>-2628</v>
      </c>
      <c r="D692" s="427"/>
      <c r="E692" s="430"/>
      <c r="F692" s="431"/>
      <c r="G692" s="4"/>
      <c r="H692" s="93"/>
      <c r="K692" s="93"/>
      <c r="L692" s="93"/>
      <c r="M692" s="93"/>
      <c r="N692" s="93"/>
      <c r="O692" s="93"/>
      <c r="P692" s="93"/>
      <c r="Q692" s="93"/>
      <c r="R692" s="93"/>
      <c r="S692" s="93"/>
      <c r="T692" s="93"/>
      <c r="U692" s="93"/>
      <c r="V692" s="93"/>
      <c r="W692" s="93"/>
      <c r="X692" s="93"/>
      <c r="Y692" s="93"/>
      <c r="Z692" s="93"/>
      <c r="AA692" s="93"/>
      <c r="AB692" s="93"/>
    </row>
    <row r="693" spans="1:28" ht="12.75" customHeight="1">
      <c r="A693" s="120" t="s">
        <v>486</v>
      </c>
      <c r="B693" s="428">
        <v>44335</v>
      </c>
      <c r="C693" s="429">
        <v>2742</v>
      </c>
      <c r="D693" s="422">
        <f>C693+C692</f>
        <v>114</v>
      </c>
      <c r="E693" s="423">
        <f>-D693/C692</f>
        <v>4.3378995433789952E-2</v>
      </c>
      <c r="F693" s="344">
        <f>B693-B692</f>
        <v>7</v>
      </c>
      <c r="G693" s="4"/>
      <c r="H693" s="93"/>
      <c r="K693" s="93"/>
      <c r="L693" s="93"/>
      <c r="M693" s="93"/>
      <c r="N693" s="93"/>
      <c r="O693" s="93"/>
      <c r="P693" s="93"/>
      <c r="Q693" s="93"/>
      <c r="R693" s="93"/>
      <c r="S693" s="93"/>
      <c r="T693" s="93"/>
      <c r="U693" s="93"/>
      <c r="V693" s="93"/>
      <c r="W693" s="93"/>
      <c r="X693" s="93"/>
      <c r="Y693" s="93"/>
      <c r="Z693" s="93"/>
      <c r="AA693" s="93"/>
      <c r="AB693" s="93"/>
    </row>
    <row r="694" spans="1:28" ht="12.75" customHeight="1">
      <c r="A694" s="133" t="s">
        <v>486</v>
      </c>
      <c r="B694" s="425">
        <v>44322</v>
      </c>
      <c r="C694" s="426">
        <v>-5756</v>
      </c>
      <c r="D694" s="427"/>
      <c r="E694" s="430"/>
      <c r="F694" s="431"/>
      <c r="G694" s="4"/>
      <c r="H694" s="93"/>
      <c r="K694" s="93"/>
      <c r="L694" s="93"/>
      <c r="M694" s="93"/>
      <c r="N694" s="93"/>
      <c r="O694" s="93"/>
      <c r="P694" s="93"/>
      <c r="Q694" s="93"/>
      <c r="R694" s="93"/>
      <c r="S694" s="93"/>
      <c r="T694" s="93"/>
      <c r="U694" s="93"/>
      <c r="V694" s="93"/>
      <c r="W694" s="93"/>
      <c r="X694" s="93"/>
      <c r="Y694" s="93"/>
      <c r="Z694" s="93"/>
      <c r="AA694" s="93"/>
      <c r="AB694" s="93"/>
    </row>
    <row r="695" spans="1:28" ht="12.75" customHeight="1">
      <c r="A695" s="120" t="s">
        <v>486</v>
      </c>
      <c r="B695" s="428">
        <v>44336</v>
      </c>
      <c r="C695" s="429">
        <v>5546</v>
      </c>
      <c r="D695" s="422">
        <f>C695+C694</f>
        <v>-210</v>
      </c>
      <c r="E695" s="423">
        <f>-D695/C694</f>
        <v>-3.648366921473245E-2</v>
      </c>
      <c r="F695" s="344">
        <f>B695-B694</f>
        <v>14</v>
      </c>
      <c r="G695" s="4"/>
      <c r="H695" s="93"/>
      <c r="K695" s="93"/>
      <c r="L695" s="93"/>
      <c r="M695" s="93"/>
      <c r="N695" s="93"/>
      <c r="O695" s="93"/>
      <c r="P695" s="93"/>
      <c r="Q695" s="93"/>
      <c r="R695" s="93"/>
      <c r="S695" s="93"/>
      <c r="T695" s="93"/>
      <c r="U695" s="93"/>
      <c r="V695" s="93"/>
      <c r="W695" s="93"/>
      <c r="X695" s="93"/>
      <c r="Y695" s="93"/>
      <c r="Z695" s="93"/>
      <c r="AA695" s="93"/>
      <c r="AB695" s="93"/>
    </row>
    <row r="696" spans="1:28" ht="12.75" customHeight="1">
      <c r="A696" s="133" t="s">
        <v>486</v>
      </c>
      <c r="B696" s="425">
        <v>44341</v>
      </c>
      <c r="C696" s="426">
        <v>-16520</v>
      </c>
      <c r="D696" s="427"/>
      <c r="E696" s="430"/>
      <c r="F696" s="431"/>
      <c r="G696" s="4"/>
      <c r="H696" s="93"/>
      <c r="K696" s="93"/>
      <c r="L696" s="93"/>
      <c r="M696" s="93"/>
      <c r="N696" s="93"/>
      <c r="O696" s="93"/>
      <c r="P696" s="93"/>
      <c r="Q696" s="93"/>
      <c r="R696" s="93"/>
      <c r="S696" s="93"/>
      <c r="T696" s="93"/>
      <c r="U696" s="93"/>
      <c r="V696" s="93"/>
      <c r="W696" s="93"/>
      <c r="X696" s="93"/>
      <c r="Y696" s="93"/>
      <c r="Z696" s="93"/>
      <c r="AA696" s="93"/>
      <c r="AB696" s="93"/>
    </row>
    <row r="697" spans="1:28" ht="12.75" customHeight="1">
      <c r="A697" s="120" t="s">
        <v>486</v>
      </c>
      <c r="B697" s="428">
        <v>44354</v>
      </c>
      <c r="C697" s="429">
        <v>17322</v>
      </c>
      <c r="D697" s="422">
        <f>C697+C696</f>
        <v>802</v>
      </c>
      <c r="E697" s="423">
        <f>-D697/C696</f>
        <v>4.8547215496368042E-2</v>
      </c>
      <c r="F697" s="344">
        <f>B697-B696</f>
        <v>13</v>
      </c>
      <c r="G697" s="4"/>
      <c r="H697" s="93"/>
      <c r="K697" s="93"/>
      <c r="L697" s="93"/>
      <c r="M697" s="93"/>
      <c r="N697" s="93"/>
      <c r="O697" s="93"/>
      <c r="P697" s="93"/>
      <c r="Q697" s="93"/>
      <c r="R697" s="93"/>
      <c r="S697" s="93"/>
      <c r="T697" s="93"/>
      <c r="U697" s="93"/>
      <c r="V697" s="93"/>
      <c r="W697" s="93"/>
      <c r="X697" s="93"/>
      <c r="Y697" s="93"/>
      <c r="Z697" s="93"/>
      <c r="AA697" s="93"/>
      <c r="AB697" s="93"/>
    </row>
    <row r="698" spans="1:28" ht="12.75" customHeight="1">
      <c r="A698" s="149" t="s">
        <v>486</v>
      </c>
      <c r="B698" s="148">
        <v>44357</v>
      </c>
      <c r="C698" s="149">
        <v>-28309</v>
      </c>
      <c r="D698" s="427"/>
      <c r="E698" s="430"/>
      <c r="F698" s="431"/>
      <c r="G698" s="4"/>
      <c r="H698" s="93"/>
      <c r="K698" s="93"/>
      <c r="L698" s="93"/>
      <c r="M698" s="93"/>
      <c r="N698" s="93"/>
      <c r="O698" s="93"/>
      <c r="P698" s="93"/>
      <c r="Q698" s="93"/>
      <c r="R698" s="93"/>
      <c r="S698" s="93"/>
      <c r="T698" s="93"/>
      <c r="U698" s="93"/>
      <c r="V698" s="93"/>
      <c r="W698" s="93"/>
      <c r="X698" s="93"/>
      <c r="Y698" s="93"/>
      <c r="Z698" s="93"/>
      <c r="AA698" s="93"/>
      <c r="AB698" s="93"/>
    </row>
    <row r="699" spans="1:28" ht="12.75" customHeight="1">
      <c r="A699" s="120" t="s">
        <v>486</v>
      </c>
      <c r="B699" s="150">
        <v>44452</v>
      </c>
      <c r="C699" s="422">
        <v>29070</v>
      </c>
      <c r="D699" s="422">
        <f>C699+C698</f>
        <v>761</v>
      </c>
      <c r="E699" s="423">
        <f>-D699/C698</f>
        <v>2.6881910346532905E-2</v>
      </c>
      <c r="F699" s="344">
        <f>B699-B698</f>
        <v>95</v>
      </c>
      <c r="G699" s="4"/>
      <c r="H699" s="93"/>
      <c r="K699" s="93"/>
      <c r="L699" s="93"/>
      <c r="M699" s="93"/>
      <c r="N699" s="93"/>
      <c r="O699" s="93"/>
      <c r="P699" s="93"/>
      <c r="Q699" s="93"/>
      <c r="R699" s="93"/>
      <c r="S699" s="93"/>
      <c r="T699" s="93"/>
      <c r="U699" s="93"/>
      <c r="V699" s="93"/>
      <c r="W699" s="93"/>
      <c r="X699" s="93"/>
      <c r="Y699" s="93"/>
      <c r="Z699" s="93"/>
      <c r="AA699" s="93"/>
      <c r="AB699" s="93"/>
    </row>
    <row r="700" spans="1:28" ht="12.75" customHeight="1">
      <c r="A700" s="149" t="s">
        <v>459</v>
      </c>
      <c r="B700" s="148">
        <v>44574</v>
      </c>
      <c r="C700" s="356">
        <v>-65022</v>
      </c>
      <c r="D700" s="427"/>
      <c r="E700" s="430"/>
      <c r="F700" s="431"/>
      <c r="G700" s="4"/>
      <c r="H700" s="93"/>
      <c r="K700" s="93"/>
      <c r="L700" s="93"/>
      <c r="M700" s="93"/>
      <c r="N700" s="93"/>
      <c r="O700" s="93"/>
      <c r="P700" s="93"/>
      <c r="Q700" s="93"/>
      <c r="R700" s="93"/>
      <c r="S700" s="93"/>
      <c r="T700" s="93"/>
      <c r="U700" s="93"/>
      <c r="V700" s="93"/>
      <c r="W700" s="93"/>
      <c r="X700" s="93"/>
      <c r="Y700" s="93"/>
      <c r="Z700" s="93"/>
      <c r="AA700" s="93"/>
      <c r="AB700" s="93"/>
    </row>
    <row r="701" spans="1:28" ht="12.75" customHeight="1">
      <c r="A701" s="120" t="s">
        <v>459</v>
      </c>
      <c r="B701" s="150">
        <v>44589</v>
      </c>
      <c r="C701" s="422">
        <v>65592</v>
      </c>
      <c r="D701" s="422">
        <f>C701+C700</f>
        <v>570</v>
      </c>
      <c r="E701" s="423">
        <f>IFERROR(-D701/C700,0)</f>
        <v>8.7662637261234667E-3</v>
      </c>
      <c r="F701" s="344">
        <f>B701-B700</f>
        <v>15</v>
      </c>
      <c r="G701" s="4"/>
      <c r="H701" s="93"/>
      <c r="K701" s="93"/>
      <c r="L701" s="93"/>
      <c r="M701" s="93"/>
      <c r="N701" s="93"/>
      <c r="O701" s="93"/>
      <c r="P701" s="93"/>
      <c r="Q701" s="93"/>
      <c r="R701" s="93"/>
      <c r="S701" s="93"/>
      <c r="T701" s="93"/>
      <c r="U701" s="93"/>
      <c r="V701" s="93"/>
      <c r="W701" s="93"/>
      <c r="X701" s="93"/>
      <c r="Y701" s="93"/>
      <c r="Z701" s="93"/>
      <c r="AA701" s="93"/>
      <c r="AB701" s="93"/>
    </row>
    <row r="702" spans="1:28" ht="12.75" customHeight="1">
      <c r="A702" s="149" t="s">
        <v>530</v>
      </c>
      <c r="B702" s="148">
        <v>44362</v>
      </c>
      <c r="C702" s="149">
        <v>-14918</v>
      </c>
      <c r="D702" s="427"/>
      <c r="E702" s="430"/>
      <c r="F702" s="431"/>
      <c r="G702" s="4"/>
      <c r="H702" s="93"/>
      <c r="K702" s="93"/>
      <c r="L702" s="93"/>
      <c r="M702" s="93"/>
      <c r="N702" s="93"/>
      <c r="O702" s="93"/>
      <c r="P702" s="93"/>
      <c r="Q702" s="93"/>
      <c r="R702" s="93"/>
      <c r="S702" s="93"/>
      <c r="T702" s="93"/>
      <c r="U702" s="93"/>
      <c r="V702" s="93"/>
      <c r="W702" s="93"/>
      <c r="X702" s="93"/>
      <c r="Y702" s="93"/>
      <c r="Z702" s="93"/>
      <c r="AA702" s="93"/>
      <c r="AB702" s="93"/>
    </row>
    <row r="703" spans="1:28" ht="12.75" customHeight="1">
      <c r="A703" s="120" t="s">
        <v>530</v>
      </c>
      <c r="B703" s="150">
        <v>44376</v>
      </c>
      <c r="C703" s="422">
        <v>15124</v>
      </c>
      <c r="D703" s="422">
        <f>C703+C702</f>
        <v>206</v>
      </c>
      <c r="E703" s="423">
        <f>-D703/C702</f>
        <v>1.3808821557849578E-2</v>
      </c>
      <c r="F703" s="344">
        <f>B703-B702</f>
        <v>14</v>
      </c>
      <c r="G703" s="4"/>
      <c r="H703" s="93"/>
      <c r="K703" s="93"/>
      <c r="L703" s="93"/>
      <c r="M703" s="93"/>
      <c r="N703" s="93"/>
      <c r="O703" s="93"/>
      <c r="P703" s="93"/>
      <c r="Q703" s="93"/>
      <c r="R703" s="93"/>
      <c r="S703" s="93"/>
      <c r="T703" s="93"/>
      <c r="U703" s="93"/>
      <c r="V703" s="93"/>
      <c r="W703" s="93"/>
      <c r="X703" s="93"/>
      <c r="Y703" s="93"/>
      <c r="Z703" s="93"/>
      <c r="AA703" s="93"/>
      <c r="AB703" s="93"/>
    </row>
    <row r="704" spans="1:28" ht="12.75" customHeight="1">
      <c r="A704" s="133" t="s">
        <v>496</v>
      </c>
      <c r="B704" s="425">
        <v>44333</v>
      </c>
      <c r="C704" s="426">
        <v>-6783</v>
      </c>
      <c r="D704" s="427"/>
      <c r="E704" s="430"/>
      <c r="F704" s="431"/>
      <c r="G704" s="4"/>
      <c r="H704" s="93"/>
      <c r="K704" s="93"/>
      <c r="L704" s="93"/>
      <c r="M704" s="93"/>
      <c r="N704" s="93"/>
      <c r="O704" s="93"/>
      <c r="P704" s="93"/>
      <c r="Q704" s="93"/>
      <c r="R704" s="93"/>
      <c r="S704" s="93"/>
      <c r="T704" s="93"/>
      <c r="U704" s="93"/>
      <c r="V704" s="93"/>
      <c r="W704" s="93"/>
      <c r="X704" s="93"/>
      <c r="Y704" s="93"/>
      <c r="Z704" s="93"/>
      <c r="AA704" s="93"/>
      <c r="AB704" s="93"/>
    </row>
    <row r="705" spans="1:28" ht="12.75" customHeight="1">
      <c r="A705" s="120" t="s">
        <v>496</v>
      </c>
      <c r="B705" s="428">
        <v>44334</v>
      </c>
      <c r="C705" s="429">
        <v>6958</v>
      </c>
      <c r="D705" s="422">
        <f>C705+C704</f>
        <v>175</v>
      </c>
      <c r="E705" s="423">
        <f>-D705/C704</f>
        <v>2.5799793601651185E-2</v>
      </c>
      <c r="F705" s="344">
        <f>B705-B704</f>
        <v>1</v>
      </c>
      <c r="G705" s="4"/>
      <c r="H705" s="93"/>
      <c r="K705" s="93"/>
      <c r="L705" s="93"/>
      <c r="M705" s="93"/>
      <c r="N705" s="93"/>
      <c r="O705" s="93"/>
      <c r="P705" s="93"/>
      <c r="Q705" s="93"/>
      <c r="R705" s="93"/>
      <c r="S705" s="93"/>
      <c r="T705" s="93"/>
      <c r="U705" s="93"/>
      <c r="V705" s="93"/>
      <c r="W705" s="93"/>
      <c r="X705" s="93"/>
      <c r="Y705" s="93"/>
      <c r="Z705" s="93"/>
      <c r="AA705" s="93"/>
      <c r="AB705" s="93"/>
    </row>
    <row r="706" spans="1:28" ht="12.75" customHeight="1">
      <c r="A706" s="149" t="s">
        <v>496</v>
      </c>
      <c r="B706" s="148">
        <v>44327</v>
      </c>
      <c r="C706" s="149">
        <v>-7659</v>
      </c>
      <c r="D706" s="427"/>
      <c r="E706" s="430"/>
      <c r="F706" s="431"/>
      <c r="G706" s="4"/>
      <c r="H706" s="93"/>
      <c r="K706" s="93"/>
      <c r="L706" s="93"/>
      <c r="M706" s="93"/>
      <c r="N706" s="93"/>
      <c r="O706" s="93"/>
      <c r="P706" s="93"/>
      <c r="Q706" s="93"/>
      <c r="R706" s="93"/>
      <c r="S706" s="93"/>
      <c r="T706" s="93"/>
      <c r="U706" s="93"/>
      <c r="V706" s="93"/>
      <c r="W706" s="93"/>
      <c r="X706" s="93"/>
      <c r="Y706" s="93"/>
      <c r="Z706" s="93"/>
      <c r="AA706" s="93"/>
      <c r="AB706" s="93"/>
    </row>
    <row r="707" spans="1:28" ht="12.75" customHeight="1">
      <c r="A707" s="120" t="s">
        <v>496</v>
      </c>
      <c r="B707" s="150">
        <v>44377</v>
      </c>
      <c r="C707" s="422">
        <v>7742</v>
      </c>
      <c r="D707" s="422">
        <f>C707+C706</f>
        <v>83</v>
      </c>
      <c r="E707" s="423">
        <f>-D707/C706</f>
        <v>1.0836923880402142E-2</v>
      </c>
      <c r="F707" s="344">
        <f>B707-B706</f>
        <v>50</v>
      </c>
      <c r="G707" s="4"/>
      <c r="H707" s="93"/>
      <c r="K707" s="93"/>
      <c r="L707" s="93"/>
      <c r="M707" s="93"/>
      <c r="N707" s="93"/>
      <c r="O707" s="93"/>
      <c r="P707" s="93"/>
      <c r="Q707" s="93"/>
      <c r="R707" s="93"/>
      <c r="S707" s="93"/>
      <c r="T707" s="93"/>
      <c r="U707" s="93"/>
      <c r="V707" s="93"/>
      <c r="W707" s="93"/>
      <c r="X707" s="93"/>
      <c r="Y707" s="93"/>
      <c r="Z707" s="93"/>
      <c r="AA707" s="93"/>
      <c r="AB707" s="93"/>
    </row>
    <row r="708" spans="1:28" ht="12.75" customHeight="1">
      <c r="A708" s="149" t="s">
        <v>496</v>
      </c>
      <c r="B708" s="148">
        <v>44323</v>
      </c>
      <c r="C708" s="149">
        <v>-7884</v>
      </c>
      <c r="D708" s="427"/>
      <c r="E708" s="430"/>
      <c r="F708" s="431"/>
      <c r="G708" s="4"/>
      <c r="H708" s="93"/>
      <c r="K708" s="93"/>
      <c r="L708" s="93"/>
      <c r="M708" s="93"/>
      <c r="N708" s="93"/>
      <c r="O708" s="93"/>
      <c r="P708" s="93"/>
      <c r="Q708" s="93"/>
      <c r="R708" s="93"/>
      <c r="S708" s="93"/>
      <c r="T708" s="93"/>
      <c r="U708" s="93"/>
      <c r="V708" s="93"/>
      <c r="W708" s="93"/>
      <c r="X708" s="93"/>
      <c r="Y708" s="93"/>
      <c r="Z708" s="93"/>
      <c r="AA708" s="93"/>
      <c r="AB708" s="93"/>
    </row>
    <row r="709" spans="1:28" ht="12.75" customHeight="1">
      <c r="A709" s="120" t="s">
        <v>496</v>
      </c>
      <c r="B709" s="150">
        <v>44382</v>
      </c>
      <c r="C709" s="422">
        <v>8104</v>
      </c>
      <c r="D709" s="422">
        <f>C709+C708</f>
        <v>220</v>
      </c>
      <c r="E709" s="423">
        <f>-D709/C708</f>
        <v>2.7904616945712835E-2</v>
      </c>
      <c r="F709" s="344">
        <f>B709-B708</f>
        <v>59</v>
      </c>
      <c r="G709" s="4"/>
      <c r="H709" s="93"/>
      <c r="K709" s="93"/>
      <c r="L709" s="93"/>
      <c r="M709" s="93"/>
      <c r="N709" s="93"/>
      <c r="O709" s="93"/>
      <c r="P709" s="93"/>
      <c r="Q709" s="93"/>
      <c r="R709" s="93"/>
      <c r="S709" s="93"/>
      <c r="T709" s="93"/>
      <c r="U709" s="93"/>
      <c r="V709" s="93"/>
      <c r="W709" s="93"/>
      <c r="X709" s="93"/>
      <c r="Y709" s="93"/>
      <c r="Z709" s="93"/>
      <c r="AA709" s="93"/>
      <c r="AB709" s="93"/>
    </row>
    <row r="710" spans="1:28" ht="12.75" customHeight="1">
      <c r="A710" s="149" t="s">
        <v>523</v>
      </c>
      <c r="B710" s="148">
        <v>44356</v>
      </c>
      <c r="C710" s="149">
        <v>-20424</v>
      </c>
      <c r="D710" s="427"/>
      <c r="E710" s="420"/>
      <c r="F710" s="421"/>
      <c r="G710" s="4"/>
      <c r="H710" s="93"/>
      <c r="K710" s="93"/>
      <c r="L710" s="93"/>
      <c r="M710" s="93"/>
      <c r="N710" s="93"/>
      <c r="O710" s="93"/>
      <c r="P710" s="93"/>
      <c r="Q710" s="93"/>
      <c r="R710" s="93"/>
      <c r="S710" s="93"/>
      <c r="T710" s="93"/>
      <c r="U710" s="93"/>
      <c r="V710" s="93"/>
      <c r="W710" s="93"/>
      <c r="X710" s="93"/>
      <c r="Y710" s="93"/>
      <c r="Z710" s="93"/>
      <c r="AA710" s="93"/>
      <c r="AB710" s="93"/>
    </row>
    <row r="711" spans="1:28" ht="12.75" customHeight="1">
      <c r="A711" s="120" t="s">
        <v>523</v>
      </c>
      <c r="B711" s="150">
        <v>44363</v>
      </c>
      <c r="C711" s="422">
        <v>21203</v>
      </c>
      <c r="D711" s="422">
        <f>C711+C710</f>
        <v>779</v>
      </c>
      <c r="E711" s="423">
        <f>-D711/C710</f>
        <v>3.8141402271837058E-2</v>
      </c>
      <c r="F711" s="344">
        <f>B711-B710</f>
        <v>7</v>
      </c>
      <c r="G711" s="4"/>
      <c r="H711" s="93"/>
      <c r="K711" s="93"/>
      <c r="L711" s="93"/>
      <c r="M711" s="93"/>
      <c r="N711" s="93"/>
      <c r="O711" s="93"/>
      <c r="P711" s="93"/>
      <c r="Q711" s="93"/>
      <c r="R711" s="93"/>
      <c r="S711" s="93"/>
      <c r="T711" s="93"/>
      <c r="U711" s="93"/>
      <c r="V711" s="93"/>
      <c r="W711" s="93"/>
      <c r="X711" s="93"/>
      <c r="Y711" s="93"/>
      <c r="Z711" s="93"/>
      <c r="AA711" s="93"/>
      <c r="AB711" s="93"/>
    </row>
    <row r="712" spans="1:28" ht="12.75" customHeight="1">
      <c r="A712" s="149" t="s">
        <v>531</v>
      </c>
      <c r="B712" s="148">
        <v>44364</v>
      </c>
      <c r="C712" s="356">
        <v>-11389</v>
      </c>
      <c r="D712" s="356"/>
      <c r="E712" s="430"/>
      <c r="F712" s="432"/>
      <c r="G712" s="4"/>
      <c r="H712" s="93"/>
      <c r="K712" s="93"/>
      <c r="L712" s="93"/>
      <c r="M712" s="93"/>
      <c r="N712" s="93"/>
      <c r="O712" s="93"/>
      <c r="P712" s="93"/>
      <c r="Q712" s="93"/>
      <c r="R712" s="93"/>
      <c r="S712" s="93"/>
      <c r="T712" s="93"/>
      <c r="U712" s="93"/>
      <c r="V712" s="93"/>
      <c r="W712" s="93"/>
      <c r="X712" s="93"/>
      <c r="Y712" s="93"/>
      <c r="Z712" s="93"/>
      <c r="AA712" s="93"/>
      <c r="AB712" s="93"/>
    </row>
    <row r="713" spans="1:28" ht="12.75" customHeight="1">
      <c r="A713" s="120" t="s">
        <v>531</v>
      </c>
      <c r="B713" s="150">
        <v>44879</v>
      </c>
      <c r="C713" s="422">
        <v>12088</v>
      </c>
      <c r="D713" s="422">
        <f>C713+C712</f>
        <v>699</v>
      </c>
      <c r="E713" s="423">
        <f>IFERROR(-D713/C712,0)</f>
        <v>6.1375010975502679E-2</v>
      </c>
      <c r="F713" s="344">
        <f>B713-B712</f>
        <v>515</v>
      </c>
      <c r="G713" s="4"/>
      <c r="H713" s="93"/>
      <c r="K713" s="93"/>
      <c r="L713" s="93"/>
      <c r="M713" s="93"/>
      <c r="N713" s="93"/>
      <c r="O713" s="93"/>
      <c r="P713" s="93"/>
      <c r="Q713" s="93"/>
      <c r="R713" s="93"/>
      <c r="S713" s="93"/>
      <c r="T713" s="93"/>
      <c r="U713" s="93"/>
      <c r="V713" s="93"/>
      <c r="W713" s="93"/>
      <c r="X713" s="93"/>
      <c r="Y713" s="93"/>
      <c r="Z713" s="93"/>
      <c r="AA713" s="93"/>
      <c r="AB713" s="93"/>
    </row>
    <row r="714" spans="1:28" ht="12.75" customHeight="1">
      <c r="A714" s="149" t="s">
        <v>531</v>
      </c>
      <c r="B714" s="148">
        <v>44364</v>
      </c>
      <c r="C714" s="356">
        <v>-11388</v>
      </c>
      <c r="D714" s="356"/>
      <c r="E714" s="420"/>
      <c r="F714" s="421"/>
      <c r="G714" s="4"/>
      <c r="H714" s="93"/>
      <c r="K714" s="93"/>
      <c r="L714" s="93"/>
      <c r="M714" s="93"/>
      <c r="N714" s="93"/>
      <c r="O714" s="93"/>
      <c r="P714" s="93"/>
      <c r="Q714" s="93"/>
      <c r="R714" s="93"/>
      <c r="S714" s="93"/>
      <c r="T714" s="93"/>
      <c r="U714" s="93"/>
      <c r="V714" s="93"/>
      <c r="W714" s="93"/>
      <c r="X714" s="93"/>
      <c r="Y714" s="93"/>
      <c r="Z714" s="93"/>
      <c r="AA714" s="93"/>
      <c r="AB714" s="93"/>
    </row>
    <row r="715" spans="1:28" ht="12.75" customHeight="1">
      <c r="A715" s="120" t="s">
        <v>531</v>
      </c>
      <c r="B715" s="150">
        <v>44880</v>
      </c>
      <c r="C715" s="422">
        <v>12137</v>
      </c>
      <c r="D715" s="422">
        <f>C715+C714</f>
        <v>749</v>
      </c>
      <c r="E715" s="423">
        <f>IFERROR(-D715/C714,0)</f>
        <v>6.5770987003863718E-2</v>
      </c>
      <c r="F715" s="344">
        <f>B715-B714</f>
        <v>516</v>
      </c>
      <c r="G715" s="4"/>
      <c r="H715" s="93"/>
      <c r="K715" s="93"/>
      <c r="L715" s="93"/>
      <c r="M715" s="93"/>
      <c r="N715" s="93"/>
      <c r="O715" s="93"/>
      <c r="P715" s="93"/>
      <c r="Q715" s="93"/>
      <c r="R715" s="93"/>
      <c r="S715" s="93"/>
      <c r="T715" s="93"/>
      <c r="U715" s="93"/>
      <c r="V715" s="93"/>
      <c r="W715" s="93"/>
      <c r="X715" s="93"/>
      <c r="Y715" s="93"/>
      <c r="Z715" s="93"/>
      <c r="AA715" s="93"/>
      <c r="AB715" s="93"/>
    </row>
    <row r="716" spans="1:28" ht="12.75" customHeight="1">
      <c r="A716" s="149" t="s">
        <v>627</v>
      </c>
      <c r="B716" s="148">
        <v>44875</v>
      </c>
      <c r="C716" s="356">
        <v>-14904</v>
      </c>
      <c r="D716" s="356"/>
      <c r="E716" s="430"/>
      <c r="F716" s="432"/>
      <c r="G716" s="4"/>
      <c r="H716" s="93"/>
      <c r="K716" s="93"/>
      <c r="L716" s="93"/>
      <c r="M716" s="93"/>
      <c r="N716" s="93"/>
      <c r="O716" s="93"/>
      <c r="P716" s="93"/>
      <c r="Q716" s="93"/>
      <c r="R716" s="93"/>
      <c r="S716" s="93"/>
      <c r="T716" s="93"/>
      <c r="U716" s="93"/>
      <c r="V716" s="93"/>
      <c r="W716" s="93"/>
      <c r="X716" s="93"/>
      <c r="Y716" s="93"/>
      <c r="Z716" s="93"/>
      <c r="AA716" s="93"/>
      <c r="AB716" s="93"/>
    </row>
    <row r="717" spans="1:28" ht="12.75" customHeight="1">
      <c r="A717" s="120" t="s">
        <v>627</v>
      </c>
      <c r="B717" s="150">
        <v>44876</v>
      </c>
      <c r="C717" s="422">
        <v>21218</v>
      </c>
      <c r="D717" s="422">
        <f>C717+C716</f>
        <v>6314</v>
      </c>
      <c r="E717" s="423">
        <f>IFERROR(-D717/C716,0)</f>
        <v>0.42364465915190552</v>
      </c>
      <c r="F717" s="344">
        <f>B717-B716</f>
        <v>1</v>
      </c>
      <c r="G717" s="4"/>
      <c r="H717" s="93"/>
      <c r="K717" s="93"/>
      <c r="L717" s="93"/>
      <c r="M717" s="93"/>
      <c r="N717" s="93"/>
      <c r="O717" s="93"/>
      <c r="P717" s="93"/>
      <c r="Q717" s="93"/>
      <c r="R717" s="93"/>
      <c r="S717" s="93"/>
      <c r="T717" s="93"/>
      <c r="U717" s="93"/>
      <c r="V717" s="93"/>
      <c r="W717" s="93"/>
      <c r="X717" s="93"/>
      <c r="Y717" s="93"/>
      <c r="Z717" s="93"/>
      <c r="AA717" s="93"/>
      <c r="AB717" s="93"/>
    </row>
    <row r="718" spans="1:28" ht="12.75" customHeight="1">
      <c r="A718" s="149" t="s">
        <v>580</v>
      </c>
      <c r="B718" s="148">
        <v>44516</v>
      </c>
      <c r="C718" s="356">
        <v>-3274</v>
      </c>
      <c r="D718" s="427"/>
      <c r="E718" s="430"/>
      <c r="F718" s="431"/>
      <c r="G718" s="4"/>
      <c r="H718" s="93"/>
      <c r="K718" s="93"/>
      <c r="L718" s="93"/>
      <c r="M718" s="93"/>
      <c r="N718" s="93"/>
      <c r="O718" s="93"/>
      <c r="P718" s="93"/>
      <c r="Q718" s="93"/>
      <c r="R718" s="93"/>
      <c r="S718" s="93"/>
      <c r="T718" s="93"/>
      <c r="U718" s="93"/>
      <c r="V718" s="93"/>
      <c r="W718" s="93"/>
      <c r="X718" s="93"/>
      <c r="Y718" s="93"/>
      <c r="Z718" s="93"/>
      <c r="AA718" s="93"/>
      <c r="AB718" s="93"/>
    </row>
    <row r="719" spans="1:28" ht="12.75" customHeight="1">
      <c r="A719" s="120" t="s">
        <v>580</v>
      </c>
      <c r="B719" s="150">
        <v>44538</v>
      </c>
      <c r="C719" s="422">
        <v>3396</v>
      </c>
      <c r="D719" s="422">
        <f>C719+C718</f>
        <v>122</v>
      </c>
      <c r="E719" s="423">
        <f>-D719/C718</f>
        <v>3.7263286499694563E-2</v>
      </c>
      <c r="F719" s="344">
        <f>B719-B718</f>
        <v>22</v>
      </c>
      <c r="G719" s="4"/>
      <c r="H719" s="93"/>
      <c r="K719" s="93"/>
      <c r="L719" s="93"/>
      <c r="M719" s="93"/>
      <c r="N719" s="93"/>
      <c r="O719" s="93"/>
      <c r="P719" s="93"/>
      <c r="Q719" s="93"/>
      <c r="R719" s="93"/>
      <c r="S719" s="93"/>
      <c r="T719" s="93"/>
      <c r="U719" s="93"/>
      <c r="V719" s="93"/>
      <c r="W719" s="93"/>
      <c r="X719" s="93"/>
      <c r="Y719" s="93"/>
      <c r="Z719" s="93"/>
      <c r="AA719" s="93"/>
      <c r="AB719" s="93"/>
    </row>
    <row r="720" spans="1:28" ht="12.75" customHeight="1">
      <c r="A720" s="149" t="s">
        <v>537</v>
      </c>
      <c r="B720" s="148">
        <v>44371</v>
      </c>
      <c r="C720" s="149">
        <v>-14980</v>
      </c>
      <c r="D720" s="427"/>
      <c r="E720" s="430"/>
      <c r="F720" s="431"/>
      <c r="G720" s="4"/>
      <c r="H720" s="93"/>
      <c r="K720" s="93"/>
      <c r="L720" s="93"/>
      <c r="M720" s="93"/>
      <c r="N720" s="93"/>
      <c r="O720" s="93"/>
      <c r="P720" s="93"/>
      <c r="Q720" s="93"/>
      <c r="R720" s="93"/>
      <c r="S720" s="93"/>
      <c r="T720" s="93"/>
      <c r="U720" s="93"/>
      <c r="V720" s="93"/>
      <c r="W720" s="93"/>
      <c r="X720" s="93"/>
      <c r="Y720" s="93"/>
      <c r="Z720" s="93"/>
      <c r="AA720" s="93"/>
      <c r="AB720" s="93"/>
    </row>
    <row r="721" spans="1:28" ht="12.75" customHeight="1">
      <c r="A721" s="120" t="s">
        <v>537</v>
      </c>
      <c r="B721" s="150">
        <v>44375</v>
      </c>
      <c r="C721" s="422">
        <v>20524</v>
      </c>
      <c r="D721" s="422">
        <f>C721+C720</f>
        <v>5544</v>
      </c>
      <c r="E721" s="423">
        <f>-D721/C720</f>
        <v>0.37009345794392523</v>
      </c>
      <c r="F721" s="344">
        <f>B721-B720</f>
        <v>4</v>
      </c>
      <c r="G721" s="4"/>
      <c r="H721" s="93"/>
      <c r="K721" s="93"/>
      <c r="L721" s="93"/>
      <c r="M721" s="93"/>
      <c r="N721" s="93"/>
      <c r="O721" s="93"/>
      <c r="P721" s="93"/>
      <c r="Q721" s="93"/>
      <c r="R721" s="93"/>
      <c r="S721" s="93"/>
      <c r="T721" s="93"/>
      <c r="U721" s="93"/>
      <c r="V721" s="93"/>
      <c r="W721" s="93"/>
      <c r="X721" s="93"/>
      <c r="Y721" s="93"/>
      <c r="Z721" s="93"/>
      <c r="AA721" s="93"/>
      <c r="AB721" s="93"/>
    </row>
    <row r="722" spans="1:28" ht="12.75" customHeight="1">
      <c r="A722" s="149" t="s">
        <v>624</v>
      </c>
      <c r="B722" s="148">
        <v>44805</v>
      </c>
      <c r="C722" s="356">
        <v>-14996</v>
      </c>
      <c r="D722" s="356"/>
      <c r="E722" s="430"/>
      <c r="F722" s="431"/>
      <c r="G722" s="4"/>
      <c r="H722" s="93"/>
      <c r="K722" s="93"/>
      <c r="L722" s="93"/>
      <c r="M722" s="93"/>
      <c r="N722" s="93"/>
      <c r="O722" s="93"/>
      <c r="P722" s="93"/>
      <c r="Q722" s="93"/>
      <c r="R722" s="93"/>
      <c r="S722" s="93"/>
      <c r="T722" s="93"/>
      <c r="U722" s="93"/>
      <c r="V722" s="93"/>
      <c r="W722" s="93"/>
      <c r="X722" s="93"/>
      <c r="Y722" s="93"/>
      <c r="Z722" s="93"/>
      <c r="AA722" s="93"/>
      <c r="AB722" s="93"/>
    </row>
    <row r="723" spans="1:28" ht="12.75" customHeight="1">
      <c r="A723" s="120" t="s">
        <v>624</v>
      </c>
      <c r="B723" s="150">
        <v>44817</v>
      </c>
      <c r="C723" s="422">
        <v>19530</v>
      </c>
      <c r="D723" s="422">
        <f>C723+C722</f>
        <v>4534</v>
      </c>
      <c r="E723" s="423">
        <f>IFERROR(-D723/C722,0)</f>
        <v>0.30234729261136301</v>
      </c>
      <c r="F723" s="344">
        <f>B723-B722</f>
        <v>12</v>
      </c>
      <c r="G723" s="4"/>
      <c r="H723" s="93"/>
      <c r="K723" s="93"/>
      <c r="L723" s="93"/>
      <c r="M723" s="93"/>
      <c r="N723" s="93"/>
      <c r="O723" s="93"/>
      <c r="P723" s="93"/>
      <c r="Q723" s="93"/>
      <c r="R723" s="93"/>
      <c r="S723" s="93"/>
      <c r="T723" s="93"/>
      <c r="U723" s="93"/>
      <c r="V723" s="93"/>
      <c r="W723" s="93"/>
      <c r="X723" s="93"/>
      <c r="Y723" s="93"/>
      <c r="Z723" s="93"/>
      <c r="AA723" s="93"/>
      <c r="AB723" s="93"/>
    </row>
    <row r="724" spans="1:28" ht="12.75" customHeight="1">
      <c r="A724" s="133" t="s">
        <v>495</v>
      </c>
      <c r="B724" s="425">
        <v>44321</v>
      </c>
      <c r="C724" s="426">
        <v>-4956</v>
      </c>
      <c r="D724" s="427"/>
      <c r="E724" s="430"/>
      <c r="F724" s="431"/>
      <c r="G724" s="4"/>
      <c r="H724" s="93"/>
      <c r="M724" s="93"/>
      <c r="O724" s="93"/>
      <c r="P724" s="93"/>
      <c r="Q724" s="93"/>
      <c r="R724" s="93"/>
      <c r="S724" s="93"/>
      <c r="T724" s="93"/>
      <c r="U724" s="93"/>
      <c r="V724" s="93"/>
      <c r="W724" s="93"/>
      <c r="X724" s="93"/>
      <c r="Y724" s="93"/>
      <c r="Z724" s="93"/>
      <c r="AA724" s="93"/>
      <c r="AB724" s="93"/>
    </row>
    <row r="725" spans="1:28" ht="12.75" customHeight="1">
      <c r="A725" s="120" t="s">
        <v>495</v>
      </c>
      <c r="B725" s="428">
        <v>44326</v>
      </c>
      <c r="C725" s="429">
        <v>5379</v>
      </c>
      <c r="D725" s="422">
        <f>C725+C724</f>
        <v>423</v>
      </c>
      <c r="E725" s="423">
        <f>-D725/C724</f>
        <v>8.5351089588377727E-2</v>
      </c>
      <c r="F725" s="344">
        <f>B725-B724</f>
        <v>5</v>
      </c>
      <c r="G725" s="4"/>
      <c r="H725" s="93"/>
      <c r="M725" s="93"/>
      <c r="O725" s="93"/>
      <c r="P725" s="93"/>
      <c r="Q725" s="93"/>
      <c r="R725" s="93"/>
      <c r="S725" s="93"/>
      <c r="T725" s="93"/>
      <c r="U725" s="93"/>
      <c r="V725" s="93"/>
      <c r="W725" s="93"/>
      <c r="X725" s="93"/>
      <c r="Y725" s="93"/>
      <c r="Z725" s="93"/>
      <c r="AA725" s="93"/>
      <c r="AB725" s="93"/>
    </row>
    <row r="726" spans="1:28" ht="12.75" customHeight="1">
      <c r="A726" s="149" t="s">
        <v>546</v>
      </c>
      <c r="B726" s="148">
        <v>44383</v>
      </c>
      <c r="C726" s="149">
        <v>-4587</v>
      </c>
      <c r="D726" s="427"/>
      <c r="E726" s="430"/>
      <c r="F726" s="431"/>
      <c r="G726" s="4"/>
      <c r="H726" s="93"/>
      <c r="K726" s="93"/>
      <c r="L726" s="93"/>
      <c r="M726" s="93"/>
      <c r="N726" s="93"/>
      <c r="O726" s="93"/>
      <c r="P726" s="93"/>
      <c r="Q726" s="93"/>
      <c r="R726" s="93"/>
      <c r="S726" s="93"/>
      <c r="T726" s="93"/>
      <c r="U726" s="93"/>
      <c r="V726" s="93"/>
      <c r="W726" s="93"/>
      <c r="X726" s="93"/>
      <c r="Y726" s="93"/>
      <c r="Z726" s="93"/>
      <c r="AA726" s="93"/>
      <c r="AB726" s="93"/>
    </row>
    <row r="727" spans="1:28" ht="12.75" customHeight="1">
      <c r="A727" s="120" t="s">
        <v>546</v>
      </c>
      <c r="B727" s="150">
        <v>44412</v>
      </c>
      <c r="C727" s="422">
        <v>4845</v>
      </c>
      <c r="D727" s="422">
        <f>C727+C726</f>
        <v>258</v>
      </c>
      <c r="E727" s="423">
        <f>-D727/C726</f>
        <v>5.6245912361020271E-2</v>
      </c>
      <c r="F727" s="344">
        <f>B727-B726</f>
        <v>29</v>
      </c>
      <c r="G727" s="4"/>
      <c r="H727" s="93"/>
      <c r="K727" s="93"/>
      <c r="L727" s="93"/>
      <c r="M727" s="93"/>
      <c r="N727" s="93"/>
      <c r="O727" s="93"/>
      <c r="P727" s="93"/>
      <c r="Q727" s="93"/>
      <c r="R727" s="93"/>
      <c r="S727" s="93"/>
      <c r="T727" s="93"/>
      <c r="U727" s="93"/>
      <c r="V727" s="93"/>
      <c r="W727" s="93"/>
      <c r="X727" s="93"/>
      <c r="Y727" s="93"/>
      <c r="Z727" s="93"/>
      <c r="AA727" s="93"/>
      <c r="AB727" s="93"/>
    </row>
    <row r="728" spans="1:28" ht="12.75" customHeight="1">
      <c r="A728" s="149" t="s">
        <v>615</v>
      </c>
      <c r="B728" s="148">
        <v>44769</v>
      </c>
      <c r="C728" s="356">
        <v>-5607</v>
      </c>
      <c r="D728" s="356"/>
      <c r="E728" s="430"/>
      <c r="F728" s="431"/>
      <c r="G728" s="4"/>
      <c r="H728" s="93"/>
      <c r="K728" s="93"/>
      <c r="L728" s="93"/>
      <c r="M728" s="93"/>
      <c r="N728" s="93"/>
      <c r="O728" s="93"/>
      <c r="P728" s="93"/>
      <c r="Q728" s="93"/>
      <c r="R728" s="93"/>
      <c r="S728" s="93"/>
      <c r="T728" s="93"/>
      <c r="U728" s="93"/>
      <c r="V728" s="93"/>
      <c r="W728" s="93"/>
      <c r="X728" s="93"/>
      <c r="Y728" s="93"/>
      <c r="Z728" s="93"/>
      <c r="AA728" s="93"/>
      <c r="AB728" s="93"/>
    </row>
    <row r="729" spans="1:28" ht="12.75" customHeight="1">
      <c r="A729" s="120" t="s">
        <v>615</v>
      </c>
      <c r="B729" s="150">
        <v>44818</v>
      </c>
      <c r="C729" s="422">
        <v>5644</v>
      </c>
      <c r="D729" s="422">
        <f>C729+C728</f>
        <v>37</v>
      </c>
      <c r="E729" s="423">
        <f>IFERROR(-D729/C728,0)</f>
        <v>6.5988942393436778E-3</v>
      </c>
      <c r="F729" s="344">
        <f>B729-B728</f>
        <v>49</v>
      </c>
      <c r="G729" s="4"/>
      <c r="H729" s="93"/>
      <c r="K729" s="93"/>
      <c r="L729" s="93"/>
      <c r="M729" s="93"/>
      <c r="N729" s="93"/>
      <c r="O729" s="93"/>
      <c r="P729" s="93"/>
      <c r="Q729" s="93"/>
      <c r="R729" s="93"/>
      <c r="S729" s="93"/>
      <c r="T729" s="93"/>
      <c r="U729" s="93"/>
      <c r="V729" s="93"/>
      <c r="W729" s="93"/>
      <c r="X729" s="93"/>
      <c r="Y729" s="93"/>
      <c r="Z729" s="93"/>
      <c r="AA729" s="93"/>
      <c r="AB729" s="93"/>
    </row>
    <row r="730" spans="1:28" ht="12.75" customHeight="1">
      <c r="A730" s="149" t="s">
        <v>556</v>
      </c>
      <c r="B730" s="148">
        <v>44407</v>
      </c>
      <c r="C730" s="356">
        <v>-2253</v>
      </c>
      <c r="D730" s="427"/>
      <c r="E730" s="430"/>
      <c r="F730" s="431"/>
      <c r="G730" s="4"/>
      <c r="H730" s="93"/>
      <c r="K730" s="93"/>
      <c r="L730" s="93"/>
      <c r="M730" s="93"/>
      <c r="N730" s="93"/>
      <c r="O730" s="93"/>
      <c r="P730" s="93"/>
      <c r="Q730" s="93"/>
      <c r="R730" s="93"/>
      <c r="S730" s="93"/>
      <c r="T730" s="93"/>
      <c r="U730" s="93"/>
      <c r="V730" s="93"/>
      <c r="W730" s="93"/>
      <c r="X730" s="93"/>
      <c r="Y730" s="93"/>
      <c r="Z730" s="93"/>
      <c r="AA730" s="93"/>
      <c r="AB730" s="93"/>
    </row>
    <row r="731" spans="1:28" ht="12.75" customHeight="1">
      <c r="A731" s="120" t="s">
        <v>556</v>
      </c>
      <c r="B731" s="150">
        <v>44509</v>
      </c>
      <c r="C731" s="422">
        <v>2268</v>
      </c>
      <c r="D731" s="422">
        <f>C731+C730</f>
        <v>15</v>
      </c>
      <c r="E731" s="423">
        <f>-D731/C730</f>
        <v>6.6577896138482022E-3</v>
      </c>
      <c r="F731" s="344">
        <f>B731-B730</f>
        <v>102</v>
      </c>
      <c r="G731" s="4"/>
      <c r="H731" s="93"/>
      <c r="K731" s="93"/>
      <c r="L731" s="93"/>
      <c r="M731" s="93"/>
      <c r="N731" s="93"/>
      <c r="O731" s="93"/>
      <c r="P731" s="93"/>
      <c r="Q731" s="93"/>
      <c r="R731" s="93"/>
      <c r="S731" s="93"/>
      <c r="T731" s="93"/>
      <c r="U731" s="93"/>
      <c r="V731" s="93"/>
      <c r="W731" s="93"/>
      <c r="X731" s="93"/>
      <c r="Y731" s="93"/>
      <c r="Z731" s="93"/>
      <c r="AA731" s="93"/>
      <c r="AB731" s="93"/>
    </row>
    <row r="732" spans="1:28" ht="12.75" customHeight="1">
      <c r="A732" s="149" t="s">
        <v>609</v>
      </c>
      <c r="B732" s="148">
        <v>44687</v>
      </c>
      <c r="C732" s="356">
        <v>-6082</v>
      </c>
      <c r="D732" s="427"/>
      <c r="E732" s="430"/>
      <c r="F732" s="431"/>
      <c r="G732" s="4"/>
      <c r="H732" s="93"/>
      <c r="K732" s="93"/>
      <c r="L732" s="93"/>
      <c r="M732" s="93"/>
      <c r="N732" s="93"/>
      <c r="O732" s="93"/>
      <c r="P732" s="93"/>
      <c r="Q732" s="93"/>
      <c r="R732" s="93"/>
      <c r="S732" s="93"/>
      <c r="T732" s="93"/>
      <c r="U732" s="93"/>
      <c r="V732" s="93"/>
      <c r="W732" s="93"/>
      <c r="X732" s="93"/>
      <c r="Y732" s="93"/>
      <c r="Z732" s="93"/>
      <c r="AA732" s="93"/>
      <c r="AB732" s="93"/>
    </row>
    <row r="733" spans="1:28" ht="12.75" customHeight="1">
      <c r="A733" s="120" t="s">
        <v>609</v>
      </c>
      <c r="B733" s="150">
        <v>44699</v>
      </c>
      <c r="C733" s="422">
        <v>6219</v>
      </c>
      <c r="D733" s="422">
        <f>C733+C732</f>
        <v>137</v>
      </c>
      <c r="E733" s="423">
        <f>IFERROR(-D733/C732,0)</f>
        <v>2.2525485037816508E-2</v>
      </c>
      <c r="F733" s="344">
        <f>B733-B732</f>
        <v>12</v>
      </c>
      <c r="G733" s="4"/>
      <c r="H733" s="93"/>
      <c r="K733" s="93"/>
      <c r="L733" s="93"/>
      <c r="M733" s="93"/>
      <c r="N733" s="93"/>
      <c r="O733" s="93"/>
      <c r="P733" s="93"/>
      <c r="Q733" s="93"/>
      <c r="R733" s="93"/>
      <c r="S733" s="93"/>
      <c r="T733" s="93"/>
      <c r="U733" s="93"/>
      <c r="V733" s="93"/>
      <c r="W733" s="93"/>
      <c r="X733" s="93"/>
      <c r="Y733" s="93"/>
      <c r="Z733" s="93"/>
      <c r="AA733" s="93"/>
      <c r="AB733" s="93"/>
    </row>
    <row r="734" spans="1:28" ht="12.75" customHeight="1">
      <c r="A734" s="149" t="s">
        <v>614</v>
      </c>
      <c r="B734" s="148">
        <v>44769</v>
      </c>
      <c r="C734" s="356">
        <v>-6257</v>
      </c>
      <c r="D734" s="356"/>
      <c r="E734" s="420"/>
      <c r="F734" s="421"/>
      <c r="G734" s="4"/>
      <c r="H734" s="93"/>
      <c r="K734" s="93"/>
      <c r="L734" s="93"/>
      <c r="M734" s="93"/>
      <c r="N734" s="93"/>
      <c r="O734" s="93"/>
      <c r="P734" s="93"/>
      <c r="Q734" s="93"/>
      <c r="R734" s="93"/>
      <c r="S734" s="93"/>
      <c r="T734" s="93"/>
      <c r="U734" s="93"/>
      <c r="V734" s="93"/>
      <c r="W734" s="93"/>
      <c r="X734" s="93"/>
      <c r="Y734" s="93"/>
      <c r="Z734" s="93"/>
      <c r="AA734" s="93"/>
      <c r="AB734" s="93"/>
    </row>
    <row r="735" spans="1:28" ht="12.75" customHeight="1">
      <c r="A735" s="120" t="s">
        <v>614</v>
      </c>
      <c r="B735" s="150">
        <v>44796</v>
      </c>
      <c r="C735" s="422">
        <v>6688</v>
      </c>
      <c r="D735" s="422">
        <f>C735+C734</f>
        <v>431</v>
      </c>
      <c r="E735" s="423">
        <f>IFERROR(-D735/C734,0)</f>
        <v>6.8882851206648554E-2</v>
      </c>
      <c r="F735" s="344">
        <f>B735-B734</f>
        <v>27</v>
      </c>
      <c r="G735" s="4"/>
      <c r="H735" s="93"/>
      <c r="K735" s="93"/>
      <c r="L735" s="93"/>
      <c r="M735" s="93"/>
      <c r="N735" s="93"/>
      <c r="O735" s="93"/>
      <c r="P735" s="93"/>
      <c r="Q735" s="93"/>
      <c r="R735" s="93"/>
      <c r="S735" s="93"/>
      <c r="T735" s="93"/>
      <c r="U735" s="93"/>
      <c r="V735" s="93"/>
      <c r="W735" s="93"/>
      <c r="X735" s="93"/>
      <c r="Y735" s="93"/>
      <c r="Z735" s="93"/>
      <c r="AA735" s="93"/>
      <c r="AB735" s="93"/>
    </row>
    <row r="736" spans="1:28" ht="12.75" customHeight="1">
      <c r="A736" s="149" t="s">
        <v>614</v>
      </c>
      <c r="B736" s="148">
        <v>44767</v>
      </c>
      <c r="C736" s="356">
        <v>-6508</v>
      </c>
      <c r="D736" s="356"/>
      <c r="E736" s="420"/>
      <c r="F736" s="424"/>
      <c r="G736" s="4"/>
      <c r="H736" s="93"/>
      <c r="K736" s="93"/>
      <c r="L736" s="93"/>
      <c r="M736" s="93"/>
      <c r="N736" s="93"/>
      <c r="O736" s="93"/>
      <c r="P736" s="93"/>
      <c r="Q736" s="93"/>
      <c r="R736" s="93"/>
      <c r="S736" s="93"/>
      <c r="T736" s="93"/>
      <c r="U736" s="93"/>
      <c r="V736" s="93"/>
      <c r="W736" s="93"/>
      <c r="X736" s="93"/>
      <c r="Y736" s="93"/>
      <c r="Z736" s="93"/>
      <c r="AA736" s="93"/>
      <c r="AB736" s="93"/>
    </row>
    <row r="737" spans="1:28" ht="12.75" customHeight="1">
      <c r="A737" s="120" t="s">
        <v>614</v>
      </c>
      <c r="B737" s="150">
        <v>44797</v>
      </c>
      <c r="C737" s="422">
        <v>6983</v>
      </c>
      <c r="D737" s="422">
        <f>C737+C736</f>
        <v>475</v>
      </c>
      <c r="E737" s="423">
        <f>IFERROR(-D737/C736,0)</f>
        <v>7.2987092808850643E-2</v>
      </c>
      <c r="F737" s="344">
        <f>B737-B736</f>
        <v>30</v>
      </c>
      <c r="G737" s="4"/>
      <c r="H737" s="93"/>
      <c r="K737" s="93"/>
      <c r="L737" s="93"/>
      <c r="M737" s="93"/>
      <c r="N737" s="93"/>
      <c r="O737" s="93"/>
      <c r="P737" s="93"/>
      <c r="Q737" s="93"/>
      <c r="R737" s="93"/>
      <c r="S737" s="93"/>
      <c r="T737" s="93"/>
      <c r="U737" s="93"/>
      <c r="V737" s="93"/>
      <c r="W737" s="93"/>
      <c r="X737" s="93"/>
      <c r="Y737" s="93"/>
      <c r="Z737" s="93"/>
      <c r="AA737" s="93"/>
      <c r="AB737" s="93"/>
    </row>
    <row r="738" spans="1:28" ht="12.75" customHeight="1">
      <c r="A738" s="133" t="s">
        <v>509</v>
      </c>
      <c r="B738" s="425">
        <v>44341</v>
      </c>
      <c r="C738" s="426">
        <v>-17621</v>
      </c>
      <c r="D738" s="427"/>
      <c r="E738" s="420"/>
      <c r="F738" s="424"/>
      <c r="G738" s="4"/>
      <c r="H738" s="93"/>
      <c r="K738" s="93"/>
      <c r="L738" s="93"/>
      <c r="M738" s="93"/>
      <c r="N738" s="93"/>
      <c r="O738" s="93"/>
      <c r="P738" s="93"/>
      <c r="Q738" s="93"/>
      <c r="R738" s="93"/>
      <c r="S738" s="93"/>
      <c r="T738" s="93"/>
      <c r="U738" s="93"/>
      <c r="V738" s="93"/>
      <c r="W738" s="93"/>
      <c r="X738" s="93"/>
      <c r="Y738" s="93"/>
      <c r="Z738" s="93"/>
      <c r="AA738" s="93"/>
      <c r="AB738" s="93"/>
    </row>
    <row r="739" spans="1:28" ht="12.75" customHeight="1">
      <c r="A739" s="120" t="s">
        <v>509</v>
      </c>
      <c r="B739" s="428">
        <v>44361</v>
      </c>
      <c r="C739" s="429">
        <v>17831</v>
      </c>
      <c r="D739" s="422">
        <f>C739+C738</f>
        <v>210</v>
      </c>
      <c r="E739" s="423">
        <f>-D739/C738</f>
        <v>1.1917598320186141E-2</v>
      </c>
      <c r="F739" s="344">
        <f>B739-B738</f>
        <v>20</v>
      </c>
      <c r="G739" s="4"/>
      <c r="H739" s="93"/>
      <c r="K739" s="93"/>
      <c r="L739" s="93"/>
      <c r="M739" s="93"/>
      <c r="N739" s="93"/>
      <c r="O739" s="93"/>
      <c r="P739" s="93"/>
      <c r="Q739" s="93"/>
      <c r="R739" s="93"/>
      <c r="S739" s="93"/>
      <c r="T739" s="93"/>
      <c r="U739" s="93"/>
      <c r="V739" s="93"/>
      <c r="W739" s="93"/>
      <c r="X739" s="93"/>
      <c r="Y739" s="93"/>
      <c r="Z739" s="93"/>
      <c r="AA739" s="93"/>
      <c r="AB739" s="93"/>
    </row>
    <row r="740" spans="1:28" ht="12.75" customHeight="1">
      <c r="A740" s="149" t="s">
        <v>587</v>
      </c>
      <c r="B740" s="148">
        <v>44572</v>
      </c>
      <c r="C740" s="356">
        <v>-9511</v>
      </c>
      <c r="D740" s="427"/>
      <c r="E740" s="420"/>
      <c r="F740" s="424"/>
      <c r="G740" s="4"/>
      <c r="H740" s="93"/>
      <c r="K740" s="93"/>
      <c r="L740" s="93"/>
      <c r="M740" s="93"/>
      <c r="N740" s="93"/>
      <c r="O740" s="93"/>
      <c r="P740" s="93"/>
      <c r="Q740" s="93"/>
      <c r="R740" s="93"/>
      <c r="S740" s="93"/>
      <c r="T740" s="93"/>
      <c r="U740" s="93"/>
      <c r="V740" s="93"/>
      <c r="W740" s="93"/>
      <c r="X740" s="93"/>
      <c r="Y740" s="93"/>
      <c r="Z740" s="93"/>
      <c r="AA740" s="93"/>
      <c r="AB740" s="93"/>
    </row>
    <row r="741" spans="1:28" ht="12.75" customHeight="1">
      <c r="A741" s="120" t="s">
        <v>587</v>
      </c>
      <c r="B741" s="150">
        <v>44614</v>
      </c>
      <c r="C741" s="422">
        <v>9710</v>
      </c>
      <c r="D741" s="422">
        <f>C741+C740</f>
        <v>199</v>
      </c>
      <c r="E741" s="423">
        <f>IFERROR(-D741/C740,0)</f>
        <v>2.092314162548628E-2</v>
      </c>
      <c r="F741" s="344">
        <f>B741-B740</f>
        <v>42</v>
      </c>
      <c r="G741" s="4"/>
      <c r="H741" s="93"/>
      <c r="K741" s="93"/>
      <c r="L741" s="93"/>
      <c r="M741" s="93"/>
      <c r="N741" s="93"/>
      <c r="O741" s="93"/>
      <c r="P741" s="93"/>
      <c r="Q741" s="93"/>
      <c r="R741" s="93"/>
      <c r="S741" s="93"/>
      <c r="T741" s="93"/>
      <c r="U741" s="93"/>
      <c r="V741" s="93"/>
      <c r="W741" s="93"/>
      <c r="X741" s="93"/>
      <c r="Y741" s="93"/>
      <c r="Z741" s="93"/>
      <c r="AA741" s="93"/>
      <c r="AB741" s="93"/>
    </row>
    <row r="742" spans="1:28" ht="12.75" customHeight="1">
      <c r="A742" s="149" t="s">
        <v>587</v>
      </c>
      <c r="B742" s="148">
        <v>44616</v>
      </c>
      <c r="C742" s="356">
        <v>-4806</v>
      </c>
      <c r="D742" s="427"/>
      <c r="E742" s="420"/>
      <c r="F742" s="424"/>
      <c r="G742" s="4"/>
      <c r="H742" s="93"/>
      <c r="K742" s="93"/>
      <c r="L742" s="93"/>
      <c r="M742" s="93"/>
      <c r="N742" s="93"/>
      <c r="O742" s="93"/>
      <c r="P742" s="93"/>
      <c r="Q742" s="93"/>
      <c r="R742" s="93"/>
      <c r="S742" s="93"/>
      <c r="T742" s="93"/>
      <c r="U742" s="93"/>
      <c r="V742" s="93"/>
      <c r="W742" s="93"/>
      <c r="X742" s="93"/>
      <c r="Y742" s="93"/>
      <c r="Z742" s="93"/>
      <c r="AA742" s="93"/>
      <c r="AB742" s="93"/>
    </row>
    <row r="743" spans="1:28" ht="12.75" customHeight="1">
      <c r="A743" s="120" t="s">
        <v>587</v>
      </c>
      <c r="B743" s="150">
        <v>44620</v>
      </c>
      <c r="C743" s="422">
        <v>4833</v>
      </c>
      <c r="D743" s="422">
        <f>C743+C742</f>
        <v>27</v>
      </c>
      <c r="E743" s="423">
        <f>IFERROR(-D743/C742,0)</f>
        <v>5.6179775280898875E-3</v>
      </c>
      <c r="F743" s="344">
        <f>B743-B742</f>
        <v>4</v>
      </c>
      <c r="G743" s="4"/>
      <c r="H743" s="93"/>
      <c r="K743" s="93"/>
      <c r="L743" s="93"/>
      <c r="M743" s="93"/>
      <c r="N743" s="93"/>
      <c r="O743" s="93"/>
      <c r="P743" s="93"/>
      <c r="Q743" s="93"/>
      <c r="R743" s="93"/>
      <c r="S743" s="93"/>
      <c r="T743" s="93"/>
      <c r="U743" s="93"/>
      <c r="V743" s="93"/>
      <c r="W743" s="93"/>
      <c r="X743" s="93"/>
      <c r="Y743" s="93"/>
      <c r="Z743" s="93"/>
      <c r="AA743" s="93"/>
      <c r="AB743" s="93"/>
    </row>
    <row r="744" spans="1:28" ht="12.75" customHeight="1">
      <c r="A744" s="149" t="s">
        <v>587</v>
      </c>
      <c r="B744" s="148">
        <v>44656</v>
      </c>
      <c r="C744" s="356">
        <v>-4981</v>
      </c>
      <c r="D744" s="356"/>
      <c r="E744" s="420"/>
      <c r="F744" s="424"/>
      <c r="G744" s="4"/>
      <c r="H744" s="93"/>
      <c r="K744" s="93"/>
      <c r="L744" s="93"/>
      <c r="M744" s="93"/>
      <c r="N744" s="93"/>
      <c r="O744" s="93"/>
      <c r="P744" s="93"/>
      <c r="Q744" s="93"/>
      <c r="R744" s="93"/>
      <c r="S744" s="93"/>
      <c r="T744" s="93"/>
      <c r="U744" s="93"/>
      <c r="V744" s="93"/>
      <c r="W744" s="93"/>
      <c r="X744" s="93"/>
      <c r="Y744" s="93"/>
      <c r="Z744" s="93"/>
      <c r="AA744" s="93"/>
      <c r="AB744" s="93"/>
    </row>
    <row r="745" spans="1:28" ht="12.75" customHeight="1">
      <c r="A745" s="120" t="s">
        <v>587</v>
      </c>
      <c r="B745" s="150">
        <v>44769</v>
      </c>
      <c r="C745" s="422">
        <v>5354</v>
      </c>
      <c r="D745" s="422">
        <f>C745+C744</f>
        <v>373</v>
      </c>
      <c r="E745" s="423">
        <f>IFERROR(-D745/C744,0)</f>
        <v>7.4884561333065647E-2</v>
      </c>
      <c r="F745" s="344">
        <f>B745-B744</f>
        <v>113</v>
      </c>
      <c r="G745" s="4"/>
      <c r="H745" s="93"/>
      <c r="K745" s="93"/>
      <c r="L745" s="93"/>
      <c r="M745" s="93"/>
      <c r="N745" s="93"/>
      <c r="O745" s="93"/>
      <c r="P745" s="93"/>
      <c r="Q745" s="93"/>
      <c r="R745" s="93"/>
      <c r="S745" s="93"/>
      <c r="T745" s="93"/>
      <c r="U745" s="93"/>
      <c r="V745" s="93"/>
      <c r="W745" s="93"/>
      <c r="X745" s="93"/>
      <c r="Y745" s="93"/>
      <c r="Z745" s="93"/>
      <c r="AA745" s="93"/>
      <c r="AB745" s="93"/>
    </row>
    <row r="746" spans="1:28" ht="12.75" customHeight="1">
      <c r="A746" s="149" t="s">
        <v>587</v>
      </c>
      <c r="B746" s="148">
        <v>44656</v>
      </c>
      <c r="C746" s="356">
        <v>-4981</v>
      </c>
      <c r="D746" s="356"/>
      <c r="E746" s="420"/>
      <c r="F746" s="424"/>
      <c r="G746" s="4"/>
      <c r="H746" s="93"/>
      <c r="K746" s="93"/>
      <c r="L746" s="93"/>
      <c r="M746" s="93"/>
      <c r="N746" s="93"/>
      <c r="O746" s="93"/>
      <c r="P746" s="93"/>
      <c r="Q746" s="93"/>
      <c r="R746" s="93"/>
      <c r="S746" s="93"/>
      <c r="T746" s="93"/>
      <c r="U746" s="93"/>
      <c r="V746" s="93"/>
      <c r="W746" s="93"/>
      <c r="X746" s="93"/>
      <c r="Y746" s="93"/>
      <c r="Z746" s="93"/>
      <c r="AA746" s="93"/>
      <c r="AB746" s="93"/>
    </row>
    <row r="747" spans="1:28" ht="12.75" customHeight="1">
      <c r="A747" s="120" t="s">
        <v>587</v>
      </c>
      <c r="B747" s="150">
        <v>44775</v>
      </c>
      <c r="C747" s="422">
        <v>5363</v>
      </c>
      <c r="D747" s="422">
        <f>C747+C746</f>
        <v>382</v>
      </c>
      <c r="E747" s="423">
        <f>IFERROR(-D747/C746,0)</f>
        <v>7.6691427424212005E-2</v>
      </c>
      <c r="F747" s="344">
        <f>B747-B746</f>
        <v>119</v>
      </c>
      <c r="G747" s="4"/>
      <c r="H747" s="93"/>
      <c r="K747" s="93"/>
      <c r="L747" s="93"/>
      <c r="M747" s="93"/>
      <c r="N747" s="93"/>
      <c r="O747" s="93"/>
      <c r="P747" s="93"/>
      <c r="Q747" s="93"/>
      <c r="R747" s="93"/>
      <c r="S747" s="93"/>
      <c r="T747" s="93"/>
      <c r="U747" s="93"/>
      <c r="V747" s="93"/>
      <c r="W747" s="93"/>
      <c r="X747" s="93"/>
      <c r="Y747" s="93"/>
      <c r="Z747" s="93"/>
      <c r="AA747" s="93"/>
      <c r="AB747" s="93"/>
    </row>
    <row r="748" spans="1:28" ht="12.75" customHeight="1">
      <c r="A748" s="149" t="s">
        <v>598</v>
      </c>
      <c r="B748" s="148">
        <v>44651</v>
      </c>
      <c r="C748" s="356">
        <v>-46731</v>
      </c>
      <c r="D748" s="427"/>
      <c r="E748" s="420"/>
      <c r="F748" s="424"/>
      <c r="G748" s="4"/>
      <c r="H748" s="93"/>
      <c r="K748" s="93"/>
      <c r="L748" s="93"/>
      <c r="M748" s="93"/>
      <c r="N748" s="93"/>
      <c r="O748" s="93"/>
      <c r="P748" s="93"/>
      <c r="Q748" s="93"/>
      <c r="R748" s="93"/>
      <c r="S748" s="93"/>
      <c r="T748" s="93"/>
      <c r="U748" s="93"/>
      <c r="V748" s="93"/>
      <c r="W748" s="93"/>
      <c r="X748" s="93"/>
      <c r="Y748" s="93"/>
      <c r="Z748" s="93"/>
      <c r="AA748" s="93"/>
      <c r="AB748" s="93"/>
    </row>
    <row r="749" spans="1:28" ht="12.75" customHeight="1">
      <c r="A749" s="120" t="s">
        <v>598</v>
      </c>
      <c r="B749" s="150">
        <v>44686</v>
      </c>
      <c r="C749" s="422">
        <v>48184</v>
      </c>
      <c r="D749" s="422">
        <f>C749+C748</f>
        <v>1453</v>
      </c>
      <c r="E749" s="423">
        <f>IFERROR(-D749/C748,0)</f>
        <v>3.1092850570285251E-2</v>
      </c>
      <c r="F749" s="344">
        <f>B749-B748</f>
        <v>35</v>
      </c>
      <c r="G749" s="4"/>
      <c r="H749" s="93"/>
      <c r="K749" s="93"/>
      <c r="L749" s="93"/>
      <c r="M749" s="93"/>
      <c r="N749" s="93"/>
      <c r="O749" s="93"/>
      <c r="P749" s="93"/>
      <c r="Q749" s="93"/>
      <c r="R749" s="93"/>
      <c r="S749" s="93"/>
      <c r="T749" s="93"/>
      <c r="U749" s="93"/>
      <c r="V749" s="93"/>
      <c r="W749" s="93"/>
      <c r="X749" s="93"/>
      <c r="Y749" s="93"/>
      <c r="Z749" s="93"/>
      <c r="AA749" s="93"/>
      <c r="AB749" s="93"/>
    </row>
    <row r="750" spans="1:28" ht="12.75" customHeight="1">
      <c r="A750" s="149" t="s">
        <v>598</v>
      </c>
      <c r="B750" s="148">
        <v>44687</v>
      </c>
      <c r="C750" s="356">
        <v>-6059</v>
      </c>
      <c r="D750" s="356"/>
      <c r="E750" s="420"/>
      <c r="F750" s="424"/>
      <c r="G750" s="4"/>
      <c r="H750" s="93"/>
      <c r="K750" s="93"/>
      <c r="L750" s="93"/>
      <c r="M750" s="93"/>
      <c r="N750" s="93"/>
      <c r="O750" s="93"/>
      <c r="P750" s="93"/>
      <c r="Q750" s="93"/>
      <c r="R750" s="93"/>
      <c r="S750" s="93"/>
      <c r="T750" s="93"/>
      <c r="U750" s="93"/>
      <c r="V750" s="93"/>
      <c r="W750" s="93"/>
      <c r="X750" s="93"/>
      <c r="Y750" s="93"/>
      <c r="Z750" s="93"/>
      <c r="AA750" s="93"/>
      <c r="AB750" s="93"/>
    </row>
    <row r="751" spans="1:28" ht="12.75" customHeight="1">
      <c r="A751" s="120" t="s">
        <v>598</v>
      </c>
      <c r="B751" s="150">
        <v>44727</v>
      </c>
      <c r="C751" s="422">
        <v>7220</v>
      </c>
      <c r="D751" s="422">
        <f>C751+C750</f>
        <v>1161</v>
      </c>
      <c r="E751" s="423">
        <f>IFERROR(-D751/C750,0)</f>
        <v>0.19161577818121803</v>
      </c>
      <c r="F751" s="344">
        <f>B751-B750</f>
        <v>40</v>
      </c>
      <c r="G751" s="4"/>
      <c r="H751" s="93"/>
      <c r="K751" s="93"/>
      <c r="L751" s="93"/>
      <c r="M751" s="93"/>
      <c r="N751" s="93"/>
      <c r="O751" s="93"/>
      <c r="P751" s="93"/>
      <c r="Q751" s="93"/>
      <c r="R751" s="93"/>
      <c r="S751" s="93"/>
      <c r="T751" s="93"/>
      <c r="U751" s="93"/>
      <c r="V751" s="93"/>
      <c r="W751" s="93"/>
      <c r="X751" s="93"/>
      <c r="Y751" s="93"/>
      <c r="Z751" s="93"/>
      <c r="AA751" s="93"/>
      <c r="AB751" s="93"/>
    </row>
    <row r="752" spans="1:28" ht="12.75" customHeight="1">
      <c r="A752" s="149" t="s">
        <v>598</v>
      </c>
      <c r="B752" s="148">
        <v>44796</v>
      </c>
      <c r="C752" s="356">
        <v>-3956</v>
      </c>
      <c r="D752" s="356"/>
      <c r="E752" s="420"/>
      <c r="F752" s="424"/>
      <c r="G752" s="4"/>
      <c r="H752" s="93"/>
      <c r="K752" s="93"/>
      <c r="L752" s="93"/>
      <c r="M752" s="93"/>
      <c r="N752" s="93"/>
      <c r="O752" s="93"/>
      <c r="P752" s="93"/>
      <c r="Q752" s="93"/>
      <c r="R752" s="93"/>
      <c r="S752" s="93"/>
      <c r="T752" s="93"/>
      <c r="U752" s="93"/>
      <c r="V752" s="93"/>
      <c r="W752" s="93"/>
      <c r="X752" s="93"/>
      <c r="Y752" s="93"/>
      <c r="Z752" s="93"/>
      <c r="AA752" s="93"/>
      <c r="AB752" s="93"/>
    </row>
    <row r="753" spans="1:28" ht="12.75" customHeight="1">
      <c r="A753" s="120" t="s">
        <v>598</v>
      </c>
      <c r="B753" s="150">
        <v>44907</v>
      </c>
      <c r="C753" s="422">
        <v>4181</v>
      </c>
      <c r="D753" s="422">
        <v>225</v>
      </c>
      <c r="E753" s="423">
        <f>IFERROR(-D753/C752,0)</f>
        <v>5.6875631951466124E-2</v>
      </c>
      <c r="F753" s="344">
        <f>B753-B752</f>
        <v>111</v>
      </c>
      <c r="G753" s="4"/>
      <c r="H753" s="93"/>
      <c r="K753" s="93"/>
      <c r="L753" s="93"/>
      <c r="M753" s="93"/>
      <c r="N753" s="93"/>
      <c r="O753" s="93"/>
      <c r="P753" s="93"/>
      <c r="Q753" s="93"/>
      <c r="R753" s="93"/>
      <c r="S753" s="93"/>
      <c r="T753" s="93"/>
      <c r="U753" s="93"/>
      <c r="V753" s="93"/>
      <c r="W753" s="93"/>
      <c r="X753" s="93"/>
      <c r="Y753" s="93"/>
      <c r="Z753" s="93"/>
      <c r="AA753" s="93"/>
      <c r="AB753" s="93"/>
    </row>
    <row r="754" spans="1:28" ht="12.75" customHeight="1">
      <c r="A754" s="149" t="s">
        <v>598</v>
      </c>
      <c r="B754" s="148">
        <v>44768</v>
      </c>
      <c r="C754" s="356">
        <v>-12754</v>
      </c>
      <c r="D754" s="356"/>
      <c r="E754" s="420"/>
      <c r="F754" s="424"/>
      <c r="G754" s="4"/>
      <c r="H754" s="93"/>
      <c r="K754" s="93"/>
      <c r="L754" s="93"/>
      <c r="M754" s="93"/>
      <c r="N754" s="93"/>
      <c r="O754" s="93"/>
      <c r="P754" s="93"/>
      <c r="Q754" s="93"/>
      <c r="R754" s="93"/>
      <c r="S754" s="93"/>
      <c r="T754" s="93"/>
      <c r="U754" s="93"/>
      <c r="V754" s="93"/>
      <c r="W754" s="93"/>
      <c r="X754" s="93"/>
      <c r="Y754" s="93"/>
      <c r="Z754" s="93"/>
      <c r="AA754" s="93"/>
      <c r="AB754" s="93"/>
    </row>
    <row r="755" spans="1:28" ht="12.75" customHeight="1">
      <c r="A755" s="120" t="s">
        <v>598</v>
      </c>
      <c r="B755" s="150">
        <v>44949</v>
      </c>
      <c r="C755" s="422">
        <v>13417</v>
      </c>
      <c r="D755" s="422">
        <f>C755+C754</f>
        <v>663</v>
      </c>
      <c r="E755" s="423">
        <f>IFERROR(-D755/C754,0)</f>
        <v>5.1983691390936178E-2</v>
      </c>
      <c r="F755" s="344">
        <f>B755-B754</f>
        <v>181</v>
      </c>
      <c r="G755" s="4"/>
      <c r="H755" s="93"/>
      <c r="K755" s="93"/>
      <c r="L755" s="93"/>
      <c r="M755" s="93"/>
      <c r="N755" s="93"/>
      <c r="O755" s="93"/>
      <c r="P755" s="93"/>
      <c r="Q755" s="93"/>
      <c r="R755" s="93"/>
      <c r="S755" s="93"/>
      <c r="T755" s="93"/>
      <c r="U755" s="93"/>
      <c r="V755" s="93"/>
      <c r="W755" s="93"/>
      <c r="X755" s="93"/>
      <c r="Y755" s="93"/>
      <c r="Z755" s="93"/>
      <c r="AA755" s="93"/>
      <c r="AB755" s="93"/>
    </row>
    <row r="756" spans="1:28" ht="12.75" customHeight="1">
      <c r="A756" s="149" t="s">
        <v>598</v>
      </c>
      <c r="B756" s="148">
        <v>44994</v>
      </c>
      <c r="C756" s="356">
        <v>-5507</v>
      </c>
      <c r="D756" s="356"/>
      <c r="E756" s="420"/>
      <c r="F756" s="424"/>
      <c r="G756" s="4"/>
      <c r="H756" s="93"/>
      <c r="K756" s="93"/>
      <c r="L756" s="93"/>
      <c r="M756" s="93"/>
      <c r="N756" s="93"/>
      <c r="O756" s="93"/>
      <c r="P756" s="93"/>
      <c r="Q756" s="93"/>
      <c r="R756" s="93"/>
      <c r="S756" s="93"/>
      <c r="T756" s="93"/>
      <c r="U756" s="93"/>
      <c r="V756" s="93"/>
      <c r="W756" s="93"/>
      <c r="X756" s="93"/>
      <c r="Y756" s="93"/>
      <c r="Z756" s="93"/>
      <c r="AA756" s="93"/>
      <c r="AB756" s="93"/>
    </row>
    <row r="757" spans="1:28" ht="12.75" customHeight="1">
      <c r="A757" s="120" t="s">
        <v>598</v>
      </c>
      <c r="B757" s="150">
        <v>44993</v>
      </c>
      <c r="C757" s="422">
        <v>5563</v>
      </c>
      <c r="D757" s="422">
        <f>C757+C756</f>
        <v>56</v>
      </c>
      <c r="E757" s="423">
        <f>IFERROR(-D757/C756,0)</f>
        <v>1.0168875976030507E-2</v>
      </c>
      <c r="F757" s="344">
        <f>B757-B756</f>
        <v>-1</v>
      </c>
      <c r="G757" s="4"/>
      <c r="H757" s="93"/>
      <c r="K757" s="93"/>
      <c r="L757" s="93"/>
      <c r="M757" s="93"/>
      <c r="N757" s="93"/>
      <c r="O757" s="93"/>
      <c r="P757" s="93"/>
      <c r="Q757" s="93"/>
      <c r="R757" s="93"/>
      <c r="S757" s="93"/>
      <c r="T757" s="93"/>
      <c r="U757" s="93"/>
      <c r="V757" s="93"/>
      <c r="W757" s="93"/>
      <c r="X757" s="93"/>
      <c r="Y757" s="93"/>
      <c r="Z757" s="93"/>
      <c r="AA757" s="93"/>
      <c r="AB757" s="93"/>
    </row>
    <row r="758" spans="1:28" ht="12.75" customHeight="1">
      <c r="A758" s="149" t="s">
        <v>616</v>
      </c>
      <c r="B758" s="148">
        <v>44769</v>
      </c>
      <c r="C758" s="356">
        <v>-6498</v>
      </c>
      <c r="D758" s="356"/>
      <c r="E758" s="420"/>
      <c r="F758" s="424"/>
      <c r="G758" s="4"/>
      <c r="H758" s="93"/>
      <c r="K758" s="93"/>
      <c r="L758" s="93"/>
      <c r="M758" s="93"/>
      <c r="N758" s="93"/>
      <c r="O758" s="93"/>
      <c r="P758" s="93"/>
      <c r="Q758" s="93"/>
      <c r="R758" s="93"/>
      <c r="S758" s="93"/>
      <c r="T758" s="93"/>
      <c r="U758" s="93"/>
      <c r="V758" s="93"/>
      <c r="W758" s="93"/>
      <c r="X758" s="93"/>
      <c r="Y758" s="93"/>
      <c r="Z758" s="93"/>
      <c r="AA758" s="93"/>
      <c r="AB758" s="93"/>
    </row>
    <row r="759" spans="1:28" ht="12.75" customHeight="1">
      <c r="A759" s="120" t="s">
        <v>616</v>
      </c>
      <c r="B759" s="150">
        <v>44803</v>
      </c>
      <c r="C759" s="422">
        <v>6683</v>
      </c>
      <c r="D759" s="422">
        <f>C759+C758</f>
        <v>185</v>
      </c>
      <c r="E759" s="423">
        <f>IFERROR(-D759/C758,0)</f>
        <v>2.8470298553401045E-2</v>
      </c>
      <c r="F759" s="344">
        <f>B759-B758</f>
        <v>34</v>
      </c>
      <c r="G759" s="4"/>
      <c r="H759" s="93"/>
      <c r="K759" s="93"/>
      <c r="L759" s="93"/>
      <c r="M759" s="93"/>
      <c r="N759" s="93"/>
      <c r="O759" s="93"/>
      <c r="P759" s="93"/>
      <c r="Q759" s="93"/>
      <c r="R759" s="93"/>
      <c r="S759" s="93"/>
      <c r="T759" s="93"/>
      <c r="U759" s="93"/>
      <c r="V759" s="93"/>
      <c r="W759" s="93"/>
      <c r="X759" s="93"/>
      <c r="Y759" s="93"/>
      <c r="Z759" s="93"/>
      <c r="AA759" s="93"/>
      <c r="AB759" s="93"/>
    </row>
    <row r="760" spans="1:28" ht="12.75" customHeight="1">
      <c r="A760" s="149" t="s">
        <v>544</v>
      </c>
      <c r="B760" s="148">
        <v>44383</v>
      </c>
      <c r="C760" s="149">
        <v>-7379</v>
      </c>
      <c r="D760" s="427"/>
      <c r="E760" s="420"/>
      <c r="F760" s="424"/>
      <c r="G760" s="4"/>
      <c r="H760" s="93"/>
      <c r="K760" s="93"/>
      <c r="L760" s="93"/>
      <c r="M760" s="93"/>
      <c r="N760" s="93"/>
      <c r="O760" s="93"/>
      <c r="P760" s="93"/>
      <c r="Q760" s="93"/>
      <c r="R760" s="93"/>
      <c r="S760" s="93"/>
      <c r="T760" s="93"/>
      <c r="U760" s="93"/>
      <c r="V760" s="93"/>
      <c r="W760" s="93"/>
      <c r="X760" s="93"/>
      <c r="Y760" s="93"/>
      <c r="Z760" s="93"/>
      <c r="AA760" s="93"/>
      <c r="AB760" s="93"/>
    </row>
    <row r="761" spans="1:28" ht="12.75" customHeight="1">
      <c r="A761" s="120" t="s">
        <v>544</v>
      </c>
      <c r="B761" s="150">
        <v>44473</v>
      </c>
      <c r="C761" s="422">
        <v>7792</v>
      </c>
      <c r="D761" s="422">
        <f>C761+C760</f>
        <v>413</v>
      </c>
      <c r="E761" s="423">
        <f>-D761/C760</f>
        <v>5.5969643583141347E-2</v>
      </c>
      <c r="F761" s="344">
        <f>B761-B760</f>
        <v>90</v>
      </c>
      <c r="G761" s="4"/>
      <c r="H761" s="93"/>
      <c r="K761" s="93"/>
      <c r="L761" s="93"/>
      <c r="M761" s="93"/>
      <c r="N761" s="93"/>
      <c r="O761" s="93"/>
      <c r="P761" s="93"/>
      <c r="Q761" s="93"/>
      <c r="R761" s="93"/>
      <c r="S761" s="93"/>
      <c r="T761" s="93"/>
      <c r="U761" s="93"/>
      <c r="V761" s="93"/>
      <c r="W761" s="93"/>
      <c r="X761" s="93"/>
      <c r="Y761" s="93"/>
      <c r="Z761" s="93"/>
      <c r="AA761" s="93"/>
      <c r="AB761" s="93"/>
    </row>
    <row r="762" spans="1:28" ht="12.75" customHeight="1">
      <c r="A762" s="134" t="s">
        <v>483</v>
      </c>
      <c r="B762" s="425">
        <v>44267</v>
      </c>
      <c r="C762" s="426">
        <v>-24462.1</v>
      </c>
      <c r="D762" s="427"/>
      <c r="E762" s="420"/>
      <c r="F762" s="424"/>
      <c r="G762" s="4"/>
      <c r="H762" s="93"/>
      <c r="K762" s="93"/>
      <c r="L762" s="93"/>
      <c r="M762" s="93"/>
      <c r="N762" s="93"/>
      <c r="O762" s="93"/>
      <c r="P762" s="93"/>
      <c r="Q762" s="93"/>
      <c r="R762" s="93"/>
      <c r="S762" s="93"/>
      <c r="T762" s="93"/>
      <c r="U762" s="93"/>
      <c r="V762" s="93"/>
      <c r="W762" s="93"/>
      <c r="X762" s="93"/>
      <c r="Y762" s="93"/>
      <c r="Z762" s="93"/>
      <c r="AA762" s="93"/>
      <c r="AB762" s="93"/>
    </row>
    <row r="763" spans="1:28" ht="12.75" customHeight="1">
      <c r="A763" s="120" t="s">
        <v>483</v>
      </c>
      <c r="B763" s="428">
        <v>44326</v>
      </c>
      <c r="C763" s="429">
        <v>25074</v>
      </c>
      <c r="D763" s="422">
        <f>C763+C762</f>
        <v>611.90000000000146</v>
      </c>
      <c r="E763" s="423">
        <f>-D763/C762</f>
        <v>2.5014205648738314E-2</v>
      </c>
      <c r="F763" s="344">
        <f>B763-B762</f>
        <v>59</v>
      </c>
      <c r="G763" s="4"/>
      <c r="H763" s="93"/>
      <c r="K763" s="93"/>
      <c r="L763" s="93"/>
      <c r="M763" s="93"/>
      <c r="N763" s="93"/>
      <c r="O763" s="93"/>
      <c r="P763" s="93"/>
      <c r="Q763" s="93"/>
      <c r="R763" s="93"/>
      <c r="S763" s="93"/>
      <c r="T763" s="93"/>
      <c r="U763" s="93"/>
      <c r="V763" s="93"/>
      <c r="W763" s="93"/>
      <c r="X763" s="93"/>
      <c r="Y763" s="93"/>
      <c r="Z763" s="93"/>
      <c r="AA763" s="93"/>
      <c r="AB763" s="93"/>
    </row>
    <row r="764" spans="1:28" ht="12.75" customHeight="1">
      <c r="A764" s="149" t="s">
        <v>483</v>
      </c>
      <c r="B764" s="148">
        <v>44657</v>
      </c>
      <c r="C764" s="356">
        <v>-11023</v>
      </c>
      <c r="D764" s="427"/>
      <c r="E764" s="420"/>
      <c r="F764" s="424"/>
      <c r="G764" s="4"/>
      <c r="H764" s="93"/>
      <c r="K764" s="93"/>
      <c r="L764" s="93"/>
      <c r="M764" s="93"/>
      <c r="N764" s="93"/>
      <c r="O764" s="93"/>
      <c r="P764" s="93"/>
      <c r="Q764" s="93"/>
      <c r="R764" s="93"/>
      <c r="S764" s="93"/>
      <c r="T764" s="93"/>
      <c r="U764" s="93"/>
      <c r="V764" s="93"/>
      <c r="W764" s="93"/>
      <c r="X764" s="93"/>
      <c r="Y764" s="93"/>
      <c r="Z764" s="93"/>
      <c r="AA764" s="93"/>
      <c r="AB764" s="93"/>
    </row>
    <row r="765" spans="1:28" ht="12.75" customHeight="1">
      <c r="A765" s="120" t="s">
        <v>483</v>
      </c>
      <c r="B765" s="150">
        <v>44699</v>
      </c>
      <c r="C765" s="422">
        <v>12807</v>
      </c>
      <c r="D765" s="422">
        <f>C765+C764</f>
        <v>1784</v>
      </c>
      <c r="E765" s="423">
        <f>IFERROR(-D765/C764,0)</f>
        <v>0.16184341830717591</v>
      </c>
      <c r="F765" s="344">
        <f>B765-B764</f>
        <v>42</v>
      </c>
      <c r="G765" s="4"/>
      <c r="H765" s="93"/>
      <c r="K765" s="93"/>
      <c r="L765" s="93"/>
      <c r="M765" s="93"/>
      <c r="N765" s="93"/>
      <c r="O765" s="93"/>
      <c r="P765" s="93"/>
      <c r="Q765" s="93"/>
      <c r="R765" s="93"/>
      <c r="S765" s="93"/>
      <c r="T765" s="93"/>
      <c r="U765" s="93"/>
      <c r="V765" s="93"/>
      <c r="W765" s="93"/>
      <c r="X765" s="93"/>
      <c r="Y765" s="93"/>
      <c r="Z765" s="93"/>
      <c r="AA765" s="93"/>
      <c r="AB765" s="93"/>
    </row>
    <row r="766" spans="1:28" ht="12.75" customHeight="1">
      <c r="A766" s="149" t="s">
        <v>535</v>
      </c>
      <c r="B766" s="148">
        <v>44369</v>
      </c>
      <c r="C766" s="149">
        <v>-14718</v>
      </c>
      <c r="D766" s="427"/>
      <c r="E766" s="420"/>
      <c r="F766" s="424"/>
      <c r="G766" s="4"/>
      <c r="H766" s="93"/>
      <c r="K766" s="93"/>
      <c r="L766" s="93"/>
      <c r="M766" s="93"/>
      <c r="N766" s="93"/>
      <c r="O766" s="93"/>
      <c r="P766" s="93"/>
      <c r="Q766" s="93"/>
      <c r="R766" s="93"/>
      <c r="S766" s="93"/>
      <c r="T766" s="93"/>
      <c r="U766" s="93"/>
      <c r="V766" s="93"/>
      <c r="W766" s="93"/>
      <c r="X766" s="93"/>
      <c r="Y766" s="93"/>
      <c r="Z766" s="93"/>
      <c r="AA766" s="93"/>
      <c r="AB766" s="93"/>
    </row>
    <row r="767" spans="1:28" ht="12.75" customHeight="1">
      <c r="A767" s="120" t="s">
        <v>535</v>
      </c>
      <c r="B767" s="150">
        <v>44375</v>
      </c>
      <c r="C767" s="422">
        <v>15134</v>
      </c>
      <c r="D767" s="422">
        <f>C767+C766</f>
        <v>416</v>
      </c>
      <c r="E767" s="423">
        <f>-D767/C766</f>
        <v>2.8264709879059654E-2</v>
      </c>
      <c r="F767" s="344">
        <f>B767-B766</f>
        <v>6</v>
      </c>
      <c r="G767" s="4"/>
      <c r="H767" s="93"/>
      <c r="K767" s="93"/>
      <c r="L767" s="93"/>
      <c r="M767" s="93"/>
      <c r="N767" s="93"/>
      <c r="O767" s="93"/>
      <c r="P767" s="93"/>
      <c r="Q767" s="93"/>
      <c r="R767" s="93"/>
      <c r="S767" s="93"/>
      <c r="T767" s="93"/>
      <c r="U767" s="93"/>
      <c r="V767" s="93"/>
      <c r="W767" s="93"/>
      <c r="X767" s="93"/>
      <c r="Y767" s="93"/>
      <c r="Z767" s="93"/>
      <c r="AA767" s="93"/>
      <c r="AB767" s="93"/>
    </row>
    <row r="768" spans="1:28" ht="12.75" customHeight="1">
      <c r="A768" s="134" t="s">
        <v>472</v>
      </c>
      <c r="B768" s="425">
        <v>44153</v>
      </c>
      <c r="C768" s="426">
        <v>-15000</v>
      </c>
      <c r="D768" s="427"/>
      <c r="E768" s="420"/>
      <c r="F768" s="424"/>
      <c r="G768" s="4"/>
      <c r="H768" s="93"/>
      <c r="K768" s="93"/>
      <c r="L768" s="93"/>
      <c r="M768" s="93"/>
      <c r="N768" s="93"/>
      <c r="O768" s="93"/>
      <c r="P768" s="93"/>
      <c r="Q768" s="93"/>
      <c r="R768" s="93"/>
      <c r="S768" s="93"/>
      <c r="T768" s="93"/>
      <c r="U768" s="93"/>
      <c r="V768" s="93"/>
      <c r="W768" s="93"/>
      <c r="X768" s="93"/>
      <c r="Y768" s="93"/>
      <c r="Z768" s="93"/>
      <c r="AA768" s="93"/>
      <c r="AB768" s="93"/>
    </row>
    <row r="769" spans="1:28" ht="12.75" customHeight="1">
      <c r="A769" s="120" t="s">
        <v>472</v>
      </c>
      <c r="B769" s="428">
        <v>44155</v>
      </c>
      <c r="C769" s="429">
        <v>17481.41</v>
      </c>
      <c r="D769" s="422">
        <f>C769+C768</f>
        <v>2481.41</v>
      </c>
      <c r="E769" s="423">
        <f>-D769/C768</f>
        <v>0.16542733333333332</v>
      </c>
      <c r="F769" s="344">
        <f>B769-B768</f>
        <v>2</v>
      </c>
      <c r="G769" s="4"/>
      <c r="H769" s="93"/>
      <c r="K769" s="93"/>
      <c r="L769" s="93"/>
      <c r="M769" s="93"/>
      <c r="N769" s="93"/>
      <c r="O769" s="93"/>
      <c r="P769" s="93"/>
      <c r="Q769" s="93"/>
      <c r="R769" s="93"/>
      <c r="S769" s="93"/>
      <c r="T769" s="93"/>
      <c r="U769" s="93"/>
      <c r="V769" s="93"/>
      <c r="W769" s="93"/>
      <c r="X769" s="93"/>
      <c r="Y769" s="93"/>
      <c r="Z769" s="93"/>
      <c r="AA769" s="93"/>
      <c r="AB769" s="93"/>
    </row>
    <row r="770" spans="1:28" ht="12.75" customHeight="1">
      <c r="A770" s="149" t="s">
        <v>527</v>
      </c>
      <c r="B770" s="148">
        <v>44361</v>
      </c>
      <c r="C770" s="149">
        <v>-7584</v>
      </c>
      <c r="D770" s="427"/>
      <c r="E770" s="420"/>
      <c r="F770" s="424"/>
      <c r="G770" s="4"/>
      <c r="H770" s="93"/>
      <c r="K770" s="93"/>
      <c r="L770" s="93"/>
      <c r="M770" s="93"/>
      <c r="N770" s="93"/>
      <c r="O770" s="93"/>
      <c r="P770" s="93"/>
      <c r="Q770" s="93"/>
      <c r="R770" s="93"/>
      <c r="S770" s="93"/>
      <c r="T770" s="93"/>
      <c r="U770" s="93"/>
      <c r="V770" s="93"/>
      <c r="W770" s="93"/>
      <c r="X770" s="93"/>
      <c r="Y770" s="93"/>
      <c r="Z770" s="93"/>
      <c r="AA770" s="93"/>
      <c r="AB770" s="93"/>
    </row>
    <row r="771" spans="1:28" ht="12.75" customHeight="1">
      <c r="A771" s="120" t="s">
        <v>527</v>
      </c>
      <c r="B771" s="150">
        <v>44364</v>
      </c>
      <c r="C771" s="422">
        <v>8042</v>
      </c>
      <c r="D771" s="422">
        <f>C771+C770</f>
        <v>458</v>
      </c>
      <c r="E771" s="423">
        <f>-D771/C770</f>
        <v>6.0390295358649787E-2</v>
      </c>
      <c r="F771" s="344">
        <f>B771-B770</f>
        <v>3</v>
      </c>
      <c r="G771" s="4"/>
      <c r="H771" s="93"/>
      <c r="K771" s="93"/>
      <c r="L771" s="93"/>
      <c r="M771" s="93"/>
      <c r="N771" s="93"/>
      <c r="O771" s="93"/>
      <c r="P771" s="93"/>
      <c r="Q771" s="93"/>
      <c r="R771" s="93"/>
      <c r="S771" s="93"/>
      <c r="T771" s="93"/>
      <c r="U771" s="93"/>
      <c r="V771" s="93"/>
      <c r="W771" s="93"/>
      <c r="X771" s="93"/>
      <c r="Y771" s="93"/>
      <c r="Z771" s="93"/>
      <c r="AA771" s="93"/>
      <c r="AB771" s="93"/>
    </row>
    <row r="772" spans="1:28" ht="12.75" customHeight="1">
      <c r="A772" s="149" t="s">
        <v>527</v>
      </c>
      <c r="B772" s="148">
        <v>44382</v>
      </c>
      <c r="C772" s="356">
        <v>-8785</v>
      </c>
      <c r="D772" s="427"/>
      <c r="E772" s="420"/>
      <c r="F772" s="424"/>
      <c r="G772" s="4"/>
      <c r="H772" s="93"/>
      <c r="K772" s="93"/>
      <c r="L772" s="93"/>
      <c r="M772" s="93"/>
      <c r="N772" s="93"/>
      <c r="O772" s="93"/>
      <c r="P772" s="93"/>
      <c r="Q772" s="93"/>
      <c r="R772" s="93"/>
      <c r="S772" s="93"/>
      <c r="T772" s="93"/>
      <c r="U772" s="93"/>
      <c r="V772" s="93"/>
      <c r="W772" s="93"/>
      <c r="X772" s="93"/>
      <c r="Y772" s="93"/>
      <c r="Z772" s="93"/>
      <c r="AA772" s="93"/>
      <c r="AB772" s="93"/>
    </row>
    <row r="773" spans="1:28" ht="12.75" customHeight="1">
      <c r="A773" s="120" t="s">
        <v>527</v>
      </c>
      <c r="B773" s="150">
        <v>44564</v>
      </c>
      <c r="C773" s="422">
        <v>7792</v>
      </c>
      <c r="D773" s="422">
        <f>C773+C772</f>
        <v>-993</v>
      </c>
      <c r="E773" s="423">
        <f>-D773/C772</f>
        <v>-0.11303357996585088</v>
      </c>
      <c r="F773" s="344">
        <f>B773-B772</f>
        <v>182</v>
      </c>
      <c r="G773" s="4"/>
      <c r="H773" s="93"/>
      <c r="K773" s="93"/>
      <c r="L773" s="93"/>
      <c r="M773" s="93"/>
      <c r="N773" s="93"/>
      <c r="O773" s="93"/>
      <c r="P773" s="93"/>
      <c r="Q773" s="93"/>
      <c r="R773" s="93"/>
      <c r="S773" s="93"/>
      <c r="T773" s="93"/>
      <c r="U773" s="93"/>
      <c r="V773" s="93"/>
      <c r="W773" s="93"/>
      <c r="X773" s="93"/>
      <c r="Y773" s="93"/>
      <c r="Z773" s="93"/>
      <c r="AA773" s="93"/>
      <c r="AB773" s="93"/>
    </row>
    <row r="774" spans="1:28" ht="12.75" customHeight="1">
      <c r="A774" s="149" t="s">
        <v>581</v>
      </c>
      <c r="B774" s="148">
        <v>44517</v>
      </c>
      <c r="C774" s="356">
        <v>-6958</v>
      </c>
      <c r="D774" s="427"/>
      <c r="E774" s="420"/>
      <c r="F774" s="424"/>
      <c r="G774" s="4"/>
      <c r="H774" s="93"/>
      <c r="K774" s="93"/>
      <c r="L774" s="93"/>
      <c r="M774" s="93"/>
      <c r="N774" s="93"/>
      <c r="O774" s="93"/>
      <c r="P774" s="93"/>
      <c r="Q774" s="93"/>
      <c r="R774" s="93"/>
      <c r="S774" s="93"/>
      <c r="T774" s="93"/>
      <c r="U774" s="93"/>
      <c r="V774" s="93"/>
      <c r="W774" s="93"/>
      <c r="X774" s="93"/>
      <c r="Y774" s="93"/>
      <c r="Z774" s="93"/>
      <c r="AA774" s="93"/>
      <c r="AB774" s="93"/>
    </row>
    <row r="775" spans="1:28" ht="12.75" customHeight="1">
      <c r="A775" s="120" t="s">
        <v>581</v>
      </c>
      <c r="B775" s="150">
        <v>44537</v>
      </c>
      <c r="C775" s="422">
        <v>6968</v>
      </c>
      <c r="D775" s="422">
        <f>C775+C774</f>
        <v>10</v>
      </c>
      <c r="E775" s="423">
        <f>-D775/C774</f>
        <v>1.4371945961483186E-3</v>
      </c>
      <c r="F775" s="344">
        <f>B775-B774</f>
        <v>20</v>
      </c>
      <c r="G775" s="4"/>
      <c r="H775" s="93"/>
      <c r="K775" s="93"/>
      <c r="L775" s="93"/>
      <c r="M775" s="93"/>
      <c r="N775" s="93"/>
      <c r="O775" s="93"/>
      <c r="P775" s="93"/>
      <c r="Q775" s="93"/>
      <c r="R775" s="93"/>
      <c r="S775" s="93"/>
      <c r="T775" s="93"/>
      <c r="U775" s="93"/>
      <c r="V775" s="93"/>
      <c r="W775" s="93"/>
      <c r="X775" s="93"/>
      <c r="Y775" s="93"/>
      <c r="Z775" s="93"/>
      <c r="AA775" s="93"/>
      <c r="AB775" s="93"/>
    </row>
    <row r="776" spans="1:28" ht="12.75" customHeight="1">
      <c r="A776" s="149" t="s">
        <v>545</v>
      </c>
      <c r="B776" s="148">
        <v>44383</v>
      </c>
      <c r="C776" s="149">
        <v>-5517</v>
      </c>
      <c r="D776" s="427"/>
      <c r="E776" s="420"/>
      <c r="F776" s="424"/>
      <c r="G776" s="4"/>
      <c r="H776" s="93"/>
      <c r="K776" s="93"/>
      <c r="L776" s="93"/>
      <c r="M776" s="93"/>
      <c r="N776" s="93"/>
      <c r="O776" s="93"/>
      <c r="P776" s="93"/>
      <c r="Q776" s="93"/>
      <c r="R776" s="93"/>
      <c r="S776" s="93"/>
      <c r="T776" s="93"/>
      <c r="U776" s="93"/>
      <c r="V776" s="93"/>
      <c r="W776" s="93"/>
      <c r="X776" s="93"/>
      <c r="Y776" s="93"/>
      <c r="Z776" s="93"/>
      <c r="AA776" s="93"/>
      <c r="AB776" s="93"/>
    </row>
    <row r="777" spans="1:28" ht="12.75" customHeight="1">
      <c r="A777" s="120" t="s">
        <v>545</v>
      </c>
      <c r="B777" s="150">
        <v>44487</v>
      </c>
      <c r="C777" s="422">
        <v>5844</v>
      </c>
      <c r="D777" s="422">
        <f>C777+C776</f>
        <v>327</v>
      </c>
      <c r="E777" s="423">
        <f>-D777/C776</f>
        <v>5.9271343121261554E-2</v>
      </c>
      <c r="F777" s="344">
        <f>B777-B776</f>
        <v>104</v>
      </c>
      <c r="G777" s="4"/>
      <c r="H777" s="93"/>
      <c r="K777" s="93"/>
      <c r="L777" s="93"/>
      <c r="M777" s="93"/>
      <c r="N777" s="93"/>
      <c r="O777" s="93"/>
      <c r="P777" s="93"/>
      <c r="Q777" s="93"/>
      <c r="R777" s="93"/>
      <c r="S777" s="93"/>
      <c r="T777" s="93"/>
      <c r="U777" s="93"/>
      <c r="V777" s="93"/>
      <c r="W777" s="93"/>
      <c r="X777" s="93"/>
      <c r="Y777" s="93"/>
      <c r="Z777" s="93"/>
      <c r="AA777" s="93"/>
      <c r="AB777" s="93"/>
    </row>
    <row r="778" spans="1:28" ht="12.75" customHeight="1">
      <c r="A778" s="134" t="s">
        <v>492</v>
      </c>
      <c r="B778" s="425">
        <v>44320</v>
      </c>
      <c r="C778" s="426">
        <v>-12014</v>
      </c>
      <c r="D778" s="356"/>
      <c r="E778" s="420"/>
      <c r="F778" s="424"/>
      <c r="G778" s="4"/>
      <c r="H778" s="93"/>
      <c r="K778" s="93"/>
      <c r="L778" s="93"/>
      <c r="M778" s="93"/>
      <c r="N778" s="93"/>
      <c r="O778" s="93"/>
      <c r="P778" s="93"/>
      <c r="Q778" s="93"/>
      <c r="R778" s="93"/>
      <c r="S778" s="93"/>
      <c r="T778" s="93"/>
      <c r="U778" s="93"/>
      <c r="V778" s="93"/>
      <c r="W778" s="93"/>
      <c r="X778" s="93"/>
      <c r="Y778" s="93"/>
      <c r="Z778" s="93"/>
      <c r="AA778" s="93"/>
      <c r="AB778" s="93"/>
    </row>
    <row r="779" spans="1:28" ht="12.75" customHeight="1">
      <c r="A779" s="120" t="s">
        <v>492</v>
      </c>
      <c r="B779" s="428">
        <v>44322</v>
      </c>
      <c r="C779" s="429">
        <v>12037</v>
      </c>
      <c r="D779" s="422">
        <f>C779+C778</f>
        <v>23</v>
      </c>
      <c r="E779" s="423">
        <f>-D779/C778</f>
        <v>1.914433161311803E-3</v>
      </c>
      <c r="F779" s="344">
        <f>B779-B778</f>
        <v>2</v>
      </c>
      <c r="G779" s="4"/>
      <c r="H779" s="93"/>
      <c r="K779" s="93"/>
      <c r="L779" s="93"/>
      <c r="M779" s="93"/>
      <c r="N779" s="93"/>
      <c r="O779" s="93"/>
      <c r="P779" s="93"/>
      <c r="Q779" s="93"/>
      <c r="R779" s="93"/>
      <c r="S779" s="93"/>
      <c r="T779" s="93"/>
      <c r="U779" s="93"/>
      <c r="V779" s="93"/>
      <c r="W779" s="93"/>
      <c r="X779" s="93"/>
      <c r="Y779" s="93"/>
      <c r="Z779" s="93"/>
      <c r="AA779" s="93"/>
      <c r="AB779" s="93"/>
    </row>
    <row r="780" spans="1:28" ht="12.75" customHeight="1">
      <c r="A780" s="133" t="s">
        <v>499</v>
      </c>
      <c r="B780" s="425">
        <v>44327</v>
      </c>
      <c r="C780" s="426">
        <v>-14017</v>
      </c>
      <c r="D780" s="356"/>
      <c r="E780" s="420"/>
      <c r="F780" s="424"/>
      <c r="G780" s="4"/>
      <c r="H780" s="93"/>
      <c r="K780" s="93"/>
      <c r="L780" s="93"/>
      <c r="M780" s="93"/>
      <c r="N780" s="93"/>
      <c r="O780" s="93"/>
      <c r="P780" s="93"/>
      <c r="Q780" s="93"/>
      <c r="R780" s="93"/>
      <c r="S780" s="93"/>
      <c r="T780" s="93"/>
      <c r="U780" s="93"/>
      <c r="V780" s="93"/>
      <c r="W780" s="93"/>
      <c r="X780" s="93"/>
      <c r="Y780" s="93"/>
      <c r="Z780" s="93"/>
      <c r="AA780" s="93"/>
      <c r="AB780" s="93"/>
    </row>
    <row r="781" spans="1:28" ht="12.75" customHeight="1">
      <c r="A781" s="120" t="s">
        <v>499</v>
      </c>
      <c r="B781" s="428">
        <v>44334</v>
      </c>
      <c r="C781" s="429">
        <v>14635</v>
      </c>
      <c r="D781" s="422">
        <f>C781+C780</f>
        <v>618</v>
      </c>
      <c r="E781" s="423">
        <f>-D781/C780</f>
        <v>4.4089320111293427E-2</v>
      </c>
      <c r="F781" s="344">
        <f>B781-B780</f>
        <v>7</v>
      </c>
      <c r="G781" s="4"/>
      <c r="H781" s="93"/>
      <c r="K781" s="93"/>
      <c r="L781" s="93"/>
      <c r="M781" s="93"/>
      <c r="N781" s="93"/>
      <c r="O781" s="93"/>
      <c r="P781" s="93"/>
      <c r="Q781" s="93"/>
      <c r="R781" s="93"/>
      <c r="S781" s="93"/>
      <c r="T781" s="93"/>
      <c r="U781" s="93"/>
      <c r="V781" s="93"/>
      <c r="W781" s="93"/>
      <c r="X781" s="93"/>
      <c r="Y781" s="93"/>
      <c r="Z781" s="93"/>
      <c r="AA781" s="93"/>
      <c r="AB781" s="93"/>
    </row>
    <row r="782" spans="1:28" ht="12.75" customHeight="1">
      <c r="A782" s="149" t="s">
        <v>467</v>
      </c>
      <c r="B782" s="148">
        <v>44375</v>
      </c>
      <c r="C782" s="149">
        <v>-19023</v>
      </c>
      <c r="D782" s="356"/>
      <c r="E782" s="420"/>
      <c r="F782" s="424"/>
      <c r="G782" s="4"/>
      <c r="H782" s="93"/>
      <c r="K782" s="93"/>
      <c r="L782" s="93"/>
      <c r="M782" s="93"/>
      <c r="N782" s="93"/>
      <c r="O782" s="93"/>
      <c r="P782" s="93"/>
      <c r="Q782" s="93"/>
      <c r="R782" s="93"/>
      <c r="S782" s="93"/>
      <c r="T782" s="93"/>
      <c r="U782" s="93"/>
      <c r="V782" s="93"/>
      <c r="W782" s="93"/>
      <c r="X782" s="93"/>
      <c r="Y782" s="93"/>
      <c r="Z782" s="93"/>
      <c r="AA782" s="93"/>
      <c r="AB782" s="93"/>
    </row>
    <row r="783" spans="1:28" ht="12.75" customHeight="1">
      <c r="A783" s="120" t="s">
        <v>467</v>
      </c>
      <c r="B783" s="150">
        <v>44382</v>
      </c>
      <c r="C783" s="422">
        <v>19430</v>
      </c>
      <c r="D783" s="422">
        <f>C783+C782</f>
        <v>407</v>
      </c>
      <c r="E783" s="423">
        <f>-D783/C782</f>
        <v>2.1395153235556956E-2</v>
      </c>
      <c r="F783" s="344">
        <f>B783-B782</f>
        <v>7</v>
      </c>
      <c r="G783" s="4"/>
      <c r="H783" s="93"/>
      <c r="K783" s="93"/>
      <c r="L783" s="93"/>
      <c r="M783" s="93"/>
      <c r="N783" s="93"/>
      <c r="O783" s="93"/>
      <c r="P783" s="93"/>
      <c r="Q783" s="93"/>
      <c r="R783" s="93"/>
      <c r="S783" s="93"/>
      <c r="T783" s="93"/>
      <c r="U783" s="93"/>
      <c r="V783" s="93"/>
      <c r="W783" s="93"/>
      <c r="X783" s="93"/>
      <c r="Y783" s="93"/>
      <c r="Z783" s="93"/>
      <c r="AA783" s="93"/>
      <c r="AB783" s="93"/>
    </row>
    <row r="784" spans="1:28" ht="12.75" customHeight="1">
      <c r="A784" s="149" t="s">
        <v>467</v>
      </c>
      <c r="B784" s="148">
        <v>44572</v>
      </c>
      <c r="C784" s="356">
        <v>-24489</v>
      </c>
      <c r="D784" s="356"/>
      <c r="E784" s="420"/>
      <c r="F784" s="424"/>
      <c r="G784" s="4"/>
      <c r="H784" s="93"/>
      <c r="K784" s="93"/>
      <c r="L784" s="93"/>
      <c r="M784" s="93"/>
      <c r="N784" s="93"/>
      <c r="O784" s="93"/>
      <c r="P784" s="93"/>
      <c r="Q784" s="93"/>
      <c r="R784" s="93"/>
      <c r="S784" s="93"/>
      <c r="T784" s="93"/>
      <c r="U784" s="93"/>
      <c r="V784" s="93"/>
      <c r="W784" s="93"/>
      <c r="X784" s="93"/>
      <c r="Y784" s="93"/>
      <c r="Z784" s="93"/>
      <c r="AA784" s="93"/>
      <c r="AB784" s="93"/>
    </row>
    <row r="785" spans="1:28" ht="12.75" customHeight="1">
      <c r="A785" s="120" t="s">
        <v>467</v>
      </c>
      <c r="B785" s="150">
        <v>44573</v>
      </c>
      <c r="C785" s="422">
        <v>24899</v>
      </c>
      <c r="D785" s="422">
        <f>C785+C784</f>
        <v>410</v>
      </c>
      <c r="E785" s="423">
        <f>-D785/C784</f>
        <v>1.6742210788517294E-2</v>
      </c>
      <c r="F785" s="344">
        <f>B785-B784</f>
        <v>1</v>
      </c>
      <c r="G785" s="4"/>
      <c r="H785" s="93"/>
      <c r="K785" s="93"/>
      <c r="L785" s="93"/>
      <c r="M785" s="93"/>
      <c r="N785" s="93"/>
      <c r="O785" s="93"/>
      <c r="P785" s="93"/>
      <c r="Q785" s="93"/>
      <c r="R785" s="93"/>
      <c r="S785" s="93"/>
      <c r="T785" s="93"/>
      <c r="U785" s="93"/>
      <c r="V785" s="93"/>
      <c r="W785" s="93"/>
      <c r="X785" s="93"/>
      <c r="Y785" s="93"/>
      <c r="Z785" s="93"/>
      <c r="AA785" s="93"/>
      <c r="AB785" s="93"/>
    </row>
    <row r="786" spans="1:28" ht="12.75" customHeight="1">
      <c r="A786" s="149" t="s">
        <v>490</v>
      </c>
      <c r="B786" s="148">
        <v>44314</v>
      </c>
      <c r="C786" s="149">
        <v>-12014</v>
      </c>
      <c r="D786" s="356"/>
      <c r="E786" s="420"/>
      <c r="F786" s="424"/>
      <c r="G786" s="4"/>
      <c r="H786" s="93"/>
      <c r="K786" s="93"/>
      <c r="L786" s="93"/>
      <c r="M786" s="93"/>
      <c r="N786" s="93"/>
      <c r="O786" s="93"/>
      <c r="P786" s="93"/>
      <c r="Q786" s="93"/>
      <c r="R786" s="93"/>
      <c r="S786" s="93"/>
      <c r="T786" s="93"/>
      <c r="U786" s="93"/>
      <c r="V786" s="93"/>
      <c r="W786" s="93"/>
      <c r="X786" s="93"/>
      <c r="Y786" s="93"/>
      <c r="Z786" s="93"/>
      <c r="AA786" s="93"/>
      <c r="AB786" s="93"/>
    </row>
    <row r="787" spans="1:28" ht="12.75" customHeight="1">
      <c r="A787" s="120" t="s">
        <v>490</v>
      </c>
      <c r="B787" s="150">
        <v>44365</v>
      </c>
      <c r="C787" s="422">
        <v>12087</v>
      </c>
      <c r="D787" s="422">
        <f>C787+C786</f>
        <v>73</v>
      </c>
      <c r="E787" s="423">
        <f>-D787/C786</f>
        <v>6.0762443815548526E-3</v>
      </c>
      <c r="F787" s="344">
        <f>B787-B786</f>
        <v>51</v>
      </c>
      <c r="G787" s="4"/>
      <c r="H787" s="93"/>
      <c r="K787" s="93"/>
      <c r="L787" s="93"/>
      <c r="M787" s="93"/>
      <c r="N787" s="93"/>
      <c r="O787" s="93"/>
      <c r="P787" s="93"/>
      <c r="Q787" s="93"/>
      <c r="R787" s="93"/>
      <c r="S787" s="93"/>
      <c r="T787" s="93"/>
      <c r="U787" s="93"/>
      <c r="V787" s="93"/>
      <c r="W787" s="93"/>
      <c r="X787" s="93"/>
      <c r="Y787" s="93"/>
      <c r="Z787" s="93"/>
      <c r="AA787" s="93"/>
      <c r="AB787" s="93"/>
    </row>
    <row r="788" spans="1:28" ht="12.75" customHeight="1">
      <c r="A788" s="149" t="s">
        <v>490</v>
      </c>
      <c r="B788" s="148">
        <v>44810</v>
      </c>
      <c r="C788" s="356">
        <v>-5135</v>
      </c>
      <c r="D788" s="356"/>
      <c r="E788" s="420"/>
      <c r="F788" s="424"/>
      <c r="G788" s="4"/>
      <c r="H788" s="93"/>
      <c r="K788" s="93"/>
      <c r="L788" s="93"/>
      <c r="M788" s="93"/>
      <c r="N788" s="93"/>
      <c r="O788" s="93"/>
      <c r="P788" s="93"/>
      <c r="Q788" s="93"/>
      <c r="R788" s="93"/>
      <c r="S788" s="93"/>
      <c r="T788" s="93"/>
      <c r="U788" s="93"/>
      <c r="V788" s="93"/>
      <c r="W788" s="93"/>
      <c r="X788" s="93"/>
      <c r="Y788" s="93"/>
      <c r="Z788" s="93"/>
      <c r="AA788" s="93"/>
      <c r="AB788" s="93"/>
    </row>
    <row r="789" spans="1:28" ht="12.75" customHeight="1">
      <c r="A789" s="120" t="s">
        <v>490</v>
      </c>
      <c r="B789" s="150">
        <v>44943</v>
      </c>
      <c r="C789" s="422">
        <v>5315</v>
      </c>
      <c r="D789" s="422">
        <f>C789+C788</f>
        <v>180</v>
      </c>
      <c r="E789" s="423">
        <f>IFERROR(-D789/C788,0)</f>
        <v>3.5053554040895815E-2</v>
      </c>
      <c r="F789" s="344">
        <f>B789-B788</f>
        <v>133</v>
      </c>
      <c r="G789" s="4"/>
      <c r="H789" s="93"/>
      <c r="K789" s="93"/>
      <c r="L789" s="93"/>
      <c r="M789" s="93"/>
      <c r="N789" s="93"/>
      <c r="O789" s="93"/>
      <c r="P789" s="93"/>
      <c r="Q789" s="93"/>
      <c r="R789" s="93"/>
      <c r="S789" s="93"/>
      <c r="T789" s="93"/>
      <c r="U789" s="93"/>
      <c r="V789" s="93"/>
      <c r="W789" s="93"/>
      <c r="X789" s="93"/>
      <c r="Y789" s="93"/>
      <c r="Z789" s="93"/>
      <c r="AA789" s="93"/>
      <c r="AB789" s="93"/>
    </row>
    <row r="790" spans="1:28" ht="12.75" customHeight="1">
      <c r="A790" s="149" t="s">
        <v>490</v>
      </c>
      <c r="B790" s="148">
        <v>44805</v>
      </c>
      <c r="C790" s="356">
        <v>-10512</v>
      </c>
      <c r="D790" s="356"/>
      <c r="E790" s="420"/>
      <c r="F790" s="424"/>
      <c r="G790" s="4"/>
      <c r="H790" s="93"/>
      <c r="K790" s="93"/>
      <c r="L790" s="93"/>
      <c r="M790" s="93"/>
      <c r="N790" s="93"/>
      <c r="O790" s="93"/>
      <c r="P790" s="93"/>
      <c r="Q790" s="93"/>
      <c r="R790" s="93"/>
      <c r="S790" s="93"/>
      <c r="T790" s="93"/>
      <c r="U790" s="93"/>
      <c r="V790" s="93"/>
      <c r="W790" s="93"/>
      <c r="X790" s="93"/>
      <c r="Y790" s="93"/>
      <c r="Z790" s="93"/>
      <c r="AA790" s="93"/>
      <c r="AB790" s="93"/>
    </row>
    <row r="791" spans="1:28" ht="12.75" customHeight="1">
      <c r="A791" s="120" t="s">
        <v>490</v>
      </c>
      <c r="B791" s="150">
        <v>44943</v>
      </c>
      <c r="C791" s="422">
        <v>10629</v>
      </c>
      <c r="D791" s="422">
        <f>C791+C790</f>
        <v>117</v>
      </c>
      <c r="E791" s="423">
        <f>IFERROR(-D791/C790,0)</f>
        <v>1.1130136986301369E-2</v>
      </c>
      <c r="F791" s="344">
        <f>B791-B790</f>
        <v>138</v>
      </c>
      <c r="G791" s="4"/>
      <c r="H791" s="93"/>
      <c r="K791" s="93"/>
      <c r="L791" s="93"/>
      <c r="M791" s="93"/>
      <c r="N791" s="93"/>
      <c r="O791" s="93"/>
      <c r="P791" s="93"/>
      <c r="Q791" s="93"/>
      <c r="R791" s="93"/>
      <c r="S791" s="93"/>
      <c r="T791" s="93"/>
      <c r="U791" s="93"/>
      <c r="V791" s="93"/>
      <c r="W791" s="93"/>
      <c r="X791" s="93"/>
      <c r="Y791" s="93"/>
      <c r="Z791" s="93"/>
      <c r="AA791" s="93"/>
      <c r="AB791" s="93"/>
    </row>
    <row r="792" spans="1:28" ht="12.75" customHeight="1">
      <c r="A792" s="149" t="s">
        <v>570</v>
      </c>
      <c r="B792" s="148">
        <v>44463</v>
      </c>
      <c r="C792" s="356">
        <v>-15854</v>
      </c>
      <c r="D792" s="356"/>
      <c r="E792" s="420"/>
      <c r="F792" s="424"/>
      <c r="G792" s="4"/>
      <c r="H792" s="93"/>
      <c r="K792" s="93"/>
      <c r="L792" s="93"/>
      <c r="M792" s="93"/>
      <c r="N792" s="93"/>
      <c r="O792" s="93"/>
      <c r="P792" s="93"/>
      <c r="Q792" s="93"/>
      <c r="R792" s="93"/>
      <c r="S792" s="93"/>
      <c r="T792" s="93"/>
      <c r="U792" s="93"/>
      <c r="V792" s="93"/>
      <c r="W792" s="93"/>
      <c r="X792" s="93"/>
      <c r="Y792" s="93"/>
      <c r="Z792" s="93"/>
      <c r="AA792" s="93"/>
      <c r="AB792" s="93"/>
    </row>
    <row r="793" spans="1:28" ht="12.75" customHeight="1">
      <c r="A793" s="120" t="s">
        <v>570</v>
      </c>
      <c r="B793" s="150">
        <v>44502</v>
      </c>
      <c r="C793" s="422">
        <v>17282</v>
      </c>
      <c r="D793" s="422">
        <f>C793+C792</f>
        <v>1428</v>
      </c>
      <c r="E793" s="423">
        <f>-D793/C792</f>
        <v>9.007190614355999E-2</v>
      </c>
      <c r="F793" s="344">
        <f>B793-B792</f>
        <v>39</v>
      </c>
      <c r="G793" s="4"/>
      <c r="H793" s="93"/>
      <c r="K793" s="93"/>
      <c r="L793" s="93"/>
      <c r="M793" s="93"/>
      <c r="N793" s="93"/>
      <c r="O793" s="93"/>
      <c r="P793" s="93"/>
      <c r="Q793" s="93"/>
      <c r="R793" s="93"/>
      <c r="S793" s="93"/>
      <c r="T793" s="93"/>
      <c r="U793" s="93"/>
      <c r="V793" s="93"/>
      <c r="W793" s="93"/>
      <c r="X793" s="93"/>
      <c r="Y793" s="93"/>
      <c r="Z793" s="93"/>
      <c r="AA793" s="93"/>
      <c r="AB793" s="93"/>
    </row>
    <row r="794" spans="1:28" ht="12.75" customHeight="1">
      <c r="A794" s="149" t="s">
        <v>566</v>
      </c>
      <c r="B794" s="148">
        <v>44460</v>
      </c>
      <c r="C794" s="149">
        <v>-10427</v>
      </c>
      <c r="D794" s="356"/>
      <c r="E794" s="420"/>
      <c r="F794" s="424"/>
      <c r="G794" s="4"/>
      <c r="H794" s="93"/>
      <c r="K794" s="93"/>
      <c r="L794" s="93"/>
      <c r="M794" s="93"/>
      <c r="N794" s="93"/>
      <c r="O794" s="93"/>
      <c r="P794" s="93"/>
      <c r="Q794" s="93"/>
      <c r="R794" s="93"/>
      <c r="S794" s="93"/>
      <c r="T794" s="93"/>
      <c r="U794" s="93"/>
      <c r="V794" s="93"/>
      <c r="W794" s="93"/>
      <c r="X794" s="93"/>
      <c r="Y794" s="93"/>
      <c r="Z794" s="93"/>
      <c r="AA794" s="93"/>
      <c r="AB794" s="93"/>
    </row>
    <row r="795" spans="1:28" ht="12.75" customHeight="1">
      <c r="A795" s="120" t="s">
        <v>566</v>
      </c>
      <c r="B795" s="150">
        <v>44461</v>
      </c>
      <c r="C795" s="422">
        <v>10774</v>
      </c>
      <c r="D795" s="422">
        <f>C795+C794</f>
        <v>347</v>
      </c>
      <c r="E795" s="423">
        <f>-D795/C794</f>
        <v>3.3278987244653301E-2</v>
      </c>
      <c r="F795" s="344">
        <f>B795-B794</f>
        <v>1</v>
      </c>
      <c r="G795" s="4"/>
      <c r="H795" s="93"/>
      <c r="K795" s="93"/>
      <c r="L795" s="93"/>
      <c r="M795" s="93"/>
      <c r="N795" s="93"/>
      <c r="O795" s="93"/>
      <c r="P795" s="93"/>
      <c r="Q795" s="93"/>
      <c r="R795" s="93"/>
      <c r="S795" s="93"/>
      <c r="T795" s="93"/>
      <c r="U795" s="93"/>
      <c r="V795" s="93"/>
      <c r="W795" s="93"/>
      <c r="X795" s="93"/>
      <c r="Y795" s="93"/>
      <c r="Z795" s="93"/>
      <c r="AA795" s="93"/>
      <c r="AB795" s="93"/>
    </row>
    <row r="796" spans="1:28" ht="12.75" customHeight="1">
      <c r="A796" s="133" t="s">
        <v>487</v>
      </c>
      <c r="B796" s="425">
        <v>44299</v>
      </c>
      <c r="C796" s="426">
        <v>-13612</v>
      </c>
      <c r="D796" s="356"/>
      <c r="E796" s="420"/>
      <c r="F796" s="424"/>
      <c r="G796" s="4"/>
      <c r="H796" s="93"/>
      <c r="K796" s="93"/>
      <c r="L796" s="93"/>
      <c r="M796" s="93"/>
      <c r="N796" s="93"/>
      <c r="O796" s="93"/>
      <c r="P796" s="93"/>
      <c r="Q796" s="93"/>
      <c r="R796" s="93"/>
      <c r="S796" s="93"/>
      <c r="T796" s="93"/>
      <c r="U796" s="93"/>
      <c r="V796" s="93"/>
      <c r="W796" s="93"/>
      <c r="X796" s="93"/>
      <c r="Y796" s="93"/>
      <c r="Z796" s="93"/>
      <c r="AA796" s="93"/>
      <c r="AB796" s="93"/>
    </row>
    <row r="797" spans="1:28" ht="12.75" customHeight="1">
      <c r="A797" s="120" t="s">
        <v>487</v>
      </c>
      <c r="B797" s="428">
        <v>44308</v>
      </c>
      <c r="C797" s="429">
        <v>14073</v>
      </c>
      <c r="D797" s="422">
        <f>C797+C796</f>
        <v>461</v>
      </c>
      <c r="E797" s="423">
        <f>-D797/C796</f>
        <v>3.3867176021157804E-2</v>
      </c>
      <c r="F797" s="344">
        <f>B797-B796</f>
        <v>9</v>
      </c>
      <c r="G797" s="4"/>
      <c r="H797" s="93"/>
      <c r="K797" s="93"/>
      <c r="L797" s="93"/>
      <c r="M797" s="93"/>
      <c r="N797" s="93"/>
      <c r="O797" s="93"/>
      <c r="P797" s="93"/>
      <c r="Q797" s="93"/>
      <c r="R797" s="93"/>
      <c r="S797" s="93"/>
      <c r="T797" s="93"/>
      <c r="U797" s="93"/>
      <c r="V797" s="93"/>
      <c r="W797" s="93"/>
      <c r="X797" s="93"/>
      <c r="Y797" s="93"/>
      <c r="Z797" s="93"/>
      <c r="AA797" s="93"/>
      <c r="AB797" s="93"/>
    </row>
    <row r="798" spans="1:28" ht="12.75" customHeight="1">
      <c r="A798" s="134" t="s">
        <v>487</v>
      </c>
      <c r="B798" s="425">
        <v>44334</v>
      </c>
      <c r="C798" s="426">
        <v>-15769</v>
      </c>
      <c r="D798" s="356"/>
      <c r="E798" s="420"/>
      <c r="F798" s="424"/>
      <c r="G798" s="4"/>
      <c r="H798" s="93"/>
      <c r="K798" s="93"/>
      <c r="L798" s="93"/>
      <c r="M798" s="93"/>
      <c r="N798" s="93"/>
      <c r="O798" s="93"/>
      <c r="P798" s="93"/>
      <c r="Q798" s="93"/>
      <c r="R798" s="93"/>
      <c r="S798" s="93"/>
      <c r="T798" s="93"/>
      <c r="U798" s="93"/>
      <c r="V798" s="93"/>
      <c r="W798" s="93"/>
      <c r="X798" s="93"/>
      <c r="Y798" s="93"/>
      <c r="Z798" s="93"/>
      <c r="AA798" s="93"/>
      <c r="AB798" s="93"/>
    </row>
    <row r="799" spans="1:28" ht="12.75" customHeight="1">
      <c r="A799" s="120" t="s">
        <v>487</v>
      </c>
      <c r="B799" s="428">
        <v>44347</v>
      </c>
      <c r="C799" s="429">
        <v>16458</v>
      </c>
      <c r="D799" s="422">
        <f>C799+C798</f>
        <v>689</v>
      </c>
      <c r="E799" s="423">
        <f>-D799/C798</f>
        <v>4.3693322341302555E-2</v>
      </c>
      <c r="F799" s="344">
        <f>B799-B798</f>
        <v>13</v>
      </c>
      <c r="G799" s="4"/>
      <c r="H799" s="93"/>
      <c r="K799" s="93"/>
      <c r="L799" s="93"/>
      <c r="M799" s="93"/>
      <c r="N799" s="93"/>
      <c r="O799" s="93"/>
      <c r="P799" s="93"/>
      <c r="Q799" s="93"/>
      <c r="R799" s="93"/>
      <c r="S799" s="93"/>
      <c r="T799" s="93"/>
      <c r="U799" s="93"/>
      <c r="V799" s="93"/>
      <c r="W799" s="93"/>
      <c r="X799" s="93"/>
      <c r="Y799" s="93"/>
      <c r="Z799" s="93"/>
      <c r="AA799" s="93"/>
      <c r="AB799" s="93"/>
    </row>
    <row r="800" spans="1:28" ht="12.75" customHeight="1">
      <c r="A800" s="133" t="s">
        <v>507</v>
      </c>
      <c r="B800" s="425">
        <v>44335</v>
      </c>
      <c r="C800" s="426">
        <v>-21025</v>
      </c>
      <c r="D800" s="356"/>
      <c r="E800" s="420"/>
      <c r="F800" s="424"/>
      <c r="G800" s="4"/>
      <c r="H800" s="93"/>
      <c r="K800" s="93"/>
      <c r="L800" s="93"/>
      <c r="M800" s="93"/>
      <c r="N800" s="93"/>
      <c r="O800" s="93"/>
      <c r="P800" s="93"/>
      <c r="Q800" s="93"/>
      <c r="R800" s="93"/>
      <c r="S800" s="93"/>
      <c r="T800" s="93"/>
      <c r="U800" s="93"/>
      <c r="V800" s="93"/>
      <c r="W800" s="93"/>
      <c r="X800" s="93"/>
      <c r="Y800" s="93"/>
      <c r="Z800" s="93"/>
      <c r="AA800" s="93"/>
      <c r="AB800" s="93"/>
    </row>
    <row r="801" spans="1:28" ht="12.75" customHeight="1">
      <c r="A801" s="120" t="s">
        <v>507</v>
      </c>
      <c r="B801" s="428">
        <v>44337</v>
      </c>
      <c r="C801" s="429">
        <v>21228</v>
      </c>
      <c r="D801" s="422">
        <f>C801+C800</f>
        <v>203</v>
      </c>
      <c r="E801" s="423">
        <f>-D801/C800</f>
        <v>9.655172413793104E-3</v>
      </c>
      <c r="F801" s="344">
        <f>B801-B800</f>
        <v>2</v>
      </c>
      <c r="G801" s="4"/>
      <c r="H801" s="93"/>
      <c r="K801" s="93"/>
      <c r="L801" s="93"/>
      <c r="M801" s="93"/>
      <c r="N801" s="93"/>
      <c r="O801" s="93"/>
      <c r="P801" s="93"/>
      <c r="Q801" s="93"/>
      <c r="R801" s="93"/>
      <c r="S801" s="93"/>
      <c r="T801" s="93"/>
      <c r="U801" s="93"/>
      <c r="V801" s="93"/>
      <c r="W801" s="93"/>
      <c r="X801" s="93"/>
      <c r="Y801" s="93"/>
      <c r="Z801" s="93"/>
      <c r="AA801" s="93"/>
      <c r="AB801" s="93"/>
    </row>
    <row r="802" spans="1:28" ht="12.75" customHeight="1">
      <c r="A802" s="134" t="s">
        <v>507</v>
      </c>
      <c r="B802" s="425">
        <v>44348</v>
      </c>
      <c r="C802" s="426">
        <v>-21275</v>
      </c>
      <c r="D802" s="356"/>
      <c r="E802" s="420"/>
      <c r="F802" s="424"/>
      <c r="G802" s="4"/>
      <c r="H802" s="93"/>
      <c r="K802" s="93"/>
      <c r="L802" s="93"/>
      <c r="M802" s="93"/>
      <c r="N802" s="93"/>
      <c r="O802" s="93"/>
      <c r="P802" s="93"/>
      <c r="Q802" s="93"/>
      <c r="R802" s="93"/>
      <c r="S802" s="93"/>
      <c r="T802" s="93"/>
      <c r="U802" s="93"/>
      <c r="V802" s="93"/>
      <c r="W802" s="93"/>
      <c r="X802" s="93"/>
      <c r="Y802" s="93"/>
      <c r="Z802" s="93"/>
      <c r="AA802" s="93"/>
      <c r="AB802" s="93"/>
    </row>
    <row r="803" spans="1:28" ht="12.75" customHeight="1">
      <c r="A803" s="120" t="s">
        <v>507</v>
      </c>
      <c r="B803" s="428">
        <v>44349</v>
      </c>
      <c r="C803" s="429">
        <v>21727</v>
      </c>
      <c r="D803" s="422">
        <f>C803+C802</f>
        <v>452</v>
      </c>
      <c r="E803" s="423">
        <f>-D803/C802</f>
        <v>2.1245593419506464E-2</v>
      </c>
      <c r="F803" s="344">
        <f>B803-B802</f>
        <v>1</v>
      </c>
      <c r="G803" s="4"/>
      <c r="H803" s="93"/>
      <c r="K803" s="93"/>
      <c r="L803" s="93"/>
      <c r="M803" s="93"/>
      <c r="N803" s="93"/>
      <c r="O803" s="93"/>
      <c r="P803" s="93"/>
      <c r="Q803" s="93"/>
      <c r="R803" s="93"/>
      <c r="S803" s="93"/>
      <c r="T803" s="93"/>
      <c r="U803" s="93"/>
      <c r="V803" s="93"/>
      <c r="W803" s="93"/>
      <c r="X803" s="93"/>
      <c r="Y803" s="93"/>
      <c r="Z803" s="93"/>
      <c r="AA803" s="93"/>
      <c r="AB803" s="93"/>
    </row>
    <row r="804" spans="1:28" ht="12.75" customHeight="1">
      <c r="A804" s="149" t="s">
        <v>507</v>
      </c>
      <c r="B804" s="148">
        <v>44371</v>
      </c>
      <c r="C804" s="149">
        <v>-24404</v>
      </c>
      <c r="D804" s="356"/>
      <c r="E804" s="420"/>
      <c r="F804" s="424"/>
      <c r="G804" s="4"/>
      <c r="H804" s="93"/>
      <c r="K804" s="93"/>
      <c r="L804" s="93"/>
      <c r="M804" s="93"/>
      <c r="N804" s="93"/>
      <c r="O804" s="93"/>
      <c r="P804" s="93"/>
      <c r="Q804" s="93"/>
      <c r="R804" s="93"/>
      <c r="S804" s="93"/>
      <c r="T804" s="93"/>
      <c r="U804" s="93"/>
      <c r="V804" s="93"/>
      <c r="W804" s="93"/>
      <c r="X804" s="93"/>
      <c r="Y804" s="93"/>
      <c r="Z804" s="93"/>
      <c r="AA804" s="93"/>
      <c r="AB804" s="93"/>
    </row>
    <row r="805" spans="1:28" ht="12.75" customHeight="1">
      <c r="A805" s="120" t="s">
        <v>507</v>
      </c>
      <c r="B805" s="150">
        <v>44372</v>
      </c>
      <c r="C805" s="422">
        <v>24413</v>
      </c>
      <c r="D805" s="422">
        <f>C805+C804</f>
        <v>9</v>
      </c>
      <c r="E805" s="423">
        <f>-D805/C804</f>
        <v>3.6879200131126046E-4</v>
      </c>
      <c r="F805" s="344">
        <f>B805-B804</f>
        <v>1</v>
      </c>
      <c r="G805" s="4"/>
      <c r="H805" s="93"/>
      <c r="K805" s="93"/>
      <c r="L805" s="93"/>
      <c r="M805" s="93"/>
      <c r="N805" s="93"/>
      <c r="O805" s="93"/>
      <c r="P805" s="93"/>
      <c r="Q805" s="93"/>
      <c r="R805" s="93"/>
      <c r="S805" s="93"/>
      <c r="T805" s="93"/>
      <c r="U805" s="93"/>
      <c r="V805" s="93"/>
      <c r="W805" s="93"/>
      <c r="X805" s="93"/>
      <c r="Y805" s="93"/>
      <c r="Z805" s="93"/>
      <c r="AA805" s="93"/>
      <c r="AB805" s="93"/>
    </row>
    <row r="806" spans="1:28" ht="12.75" customHeight="1">
      <c r="A806" s="149" t="s">
        <v>507</v>
      </c>
      <c r="B806" s="148">
        <v>44375</v>
      </c>
      <c r="C806" s="149">
        <v>-20925</v>
      </c>
      <c r="D806" s="356"/>
      <c r="E806" s="420"/>
      <c r="F806" s="424"/>
      <c r="G806" s="4"/>
      <c r="H806" s="93"/>
      <c r="K806" s="93"/>
      <c r="L806" s="93"/>
      <c r="M806" s="93"/>
      <c r="N806" s="93"/>
      <c r="O806" s="93"/>
      <c r="P806" s="93"/>
      <c r="Q806" s="93"/>
      <c r="R806" s="93"/>
      <c r="S806" s="93"/>
      <c r="T806" s="93"/>
      <c r="U806" s="93"/>
      <c r="V806" s="93"/>
      <c r="W806" s="93"/>
      <c r="X806" s="93"/>
      <c r="Y806" s="93"/>
      <c r="Z806" s="93"/>
      <c r="AA806" s="93"/>
      <c r="AB806" s="93"/>
    </row>
    <row r="807" spans="1:28" ht="12.75" customHeight="1">
      <c r="A807" s="120" t="s">
        <v>507</v>
      </c>
      <c r="B807" s="150">
        <v>44455</v>
      </c>
      <c r="C807" s="422">
        <v>21378</v>
      </c>
      <c r="D807" s="422">
        <f>C807+C806</f>
        <v>453</v>
      </c>
      <c r="E807" s="423">
        <f>-D807/C806</f>
        <v>2.1648745519713262E-2</v>
      </c>
      <c r="F807" s="344">
        <f>B807-B806</f>
        <v>80</v>
      </c>
      <c r="G807" s="4"/>
      <c r="H807" s="93"/>
      <c r="K807" s="93"/>
      <c r="L807" s="93"/>
      <c r="M807" s="93"/>
      <c r="N807" s="93"/>
      <c r="O807" s="93"/>
      <c r="P807" s="93"/>
      <c r="Q807" s="93"/>
      <c r="R807" s="93"/>
      <c r="S807" s="93"/>
      <c r="T807" s="93"/>
      <c r="U807" s="93"/>
      <c r="V807" s="93"/>
      <c r="W807" s="93"/>
      <c r="X807" s="93"/>
      <c r="Y807" s="93"/>
      <c r="Z807" s="93"/>
      <c r="AA807" s="93"/>
      <c r="AB807" s="93"/>
    </row>
    <row r="808" spans="1:28" ht="12.75" customHeight="1">
      <c r="A808" s="149" t="s">
        <v>507</v>
      </c>
      <c r="B808" s="148">
        <v>44379</v>
      </c>
      <c r="C808" s="149">
        <v>-8810</v>
      </c>
      <c r="D808" s="356"/>
      <c r="E808" s="420"/>
      <c r="F808" s="424"/>
      <c r="G808" s="4"/>
      <c r="H808" s="93"/>
      <c r="K808" s="93"/>
      <c r="L808" s="93"/>
      <c r="M808" s="93"/>
      <c r="N808" s="93"/>
      <c r="O808" s="93"/>
      <c r="P808" s="93"/>
      <c r="Q808" s="93"/>
      <c r="R808" s="93"/>
      <c r="S808" s="93"/>
      <c r="T808" s="93"/>
      <c r="U808" s="93"/>
      <c r="V808" s="93"/>
      <c r="W808" s="93"/>
      <c r="X808" s="93"/>
      <c r="Y808" s="93"/>
      <c r="Z808" s="93"/>
      <c r="AA808" s="93"/>
      <c r="AB808" s="93"/>
    </row>
    <row r="809" spans="1:28" ht="12.75" customHeight="1">
      <c r="A809" s="120" t="s">
        <v>507</v>
      </c>
      <c r="B809" s="150">
        <v>44455</v>
      </c>
      <c r="C809" s="422">
        <v>10689</v>
      </c>
      <c r="D809" s="422">
        <f>C809+C808</f>
        <v>1879</v>
      </c>
      <c r="E809" s="423">
        <f>-D809/C808</f>
        <v>0.21328036322360955</v>
      </c>
      <c r="F809" s="344">
        <f>B809-B808</f>
        <v>76</v>
      </c>
      <c r="G809" s="4"/>
      <c r="H809" s="93"/>
      <c r="K809" s="93"/>
      <c r="L809" s="93"/>
      <c r="M809" s="93"/>
      <c r="N809" s="93"/>
      <c r="O809" s="93"/>
      <c r="P809" s="93"/>
      <c r="Q809" s="93"/>
      <c r="R809" s="93"/>
      <c r="S809" s="93"/>
      <c r="T809" s="93"/>
      <c r="U809" s="93"/>
      <c r="V809" s="93"/>
      <c r="W809" s="93"/>
      <c r="X809" s="93"/>
      <c r="Y809" s="93"/>
      <c r="Z809" s="93"/>
      <c r="AA809" s="93"/>
      <c r="AB809" s="93"/>
    </row>
    <row r="810" spans="1:28" ht="12.75" customHeight="1">
      <c r="A810" s="149" t="s">
        <v>507</v>
      </c>
      <c r="B810" s="148">
        <v>44376</v>
      </c>
      <c r="C810" s="149">
        <v>-10312</v>
      </c>
      <c r="D810" s="356"/>
      <c r="E810" s="420"/>
      <c r="F810" s="424"/>
      <c r="G810" s="4"/>
      <c r="H810" s="93"/>
      <c r="K810" s="93"/>
      <c r="L810" s="93"/>
      <c r="M810" s="93"/>
      <c r="N810" s="93"/>
      <c r="O810" s="93"/>
      <c r="P810" s="93"/>
      <c r="Q810" s="93"/>
      <c r="R810" s="93"/>
      <c r="S810" s="93"/>
      <c r="T810" s="93"/>
      <c r="U810" s="93"/>
      <c r="V810" s="93"/>
      <c r="W810" s="93"/>
      <c r="X810" s="93"/>
      <c r="Y810" s="93"/>
      <c r="Z810" s="93"/>
      <c r="AA810" s="93"/>
      <c r="AB810" s="93"/>
    </row>
    <row r="811" spans="1:28" ht="12.75" customHeight="1">
      <c r="A811" s="120" t="s">
        <v>507</v>
      </c>
      <c r="B811" s="150">
        <v>44455</v>
      </c>
      <c r="C811" s="422">
        <v>10689</v>
      </c>
      <c r="D811" s="422">
        <f>C811+C810</f>
        <v>377</v>
      </c>
      <c r="E811" s="423">
        <f>-D811/C810</f>
        <v>3.6559348332040338E-2</v>
      </c>
      <c r="F811" s="344">
        <f>B811-B810</f>
        <v>79</v>
      </c>
      <c r="G811" s="4"/>
      <c r="H811" s="93"/>
      <c r="K811" s="93"/>
      <c r="L811" s="93"/>
      <c r="M811" s="93"/>
      <c r="N811" s="93"/>
      <c r="O811" s="93"/>
      <c r="P811" s="93"/>
      <c r="Q811" s="93"/>
      <c r="R811" s="93"/>
      <c r="S811" s="93"/>
      <c r="T811" s="93"/>
      <c r="U811" s="93"/>
      <c r="V811" s="93"/>
      <c r="W811" s="93"/>
      <c r="X811" s="93"/>
      <c r="Y811" s="93"/>
      <c r="Z811" s="93"/>
      <c r="AA811" s="93"/>
      <c r="AB811" s="93"/>
    </row>
    <row r="812" spans="1:28" ht="12.75" customHeight="1">
      <c r="A812" s="149" t="s">
        <v>507</v>
      </c>
      <c r="B812" s="148">
        <v>44572</v>
      </c>
      <c r="C812" s="356">
        <v>-64026</v>
      </c>
      <c r="D812" s="356"/>
      <c r="E812" s="420"/>
      <c r="F812" s="424"/>
      <c r="G812" s="4"/>
      <c r="H812" s="93"/>
      <c r="K812" s="93"/>
      <c r="L812" s="93"/>
      <c r="M812" s="93"/>
      <c r="N812" s="93"/>
      <c r="O812" s="93"/>
      <c r="P812" s="93"/>
      <c r="Q812" s="93"/>
      <c r="R812" s="93"/>
      <c r="S812" s="93"/>
      <c r="T812" s="93"/>
      <c r="U812" s="93"/>
      <c r="V812" s="93"/>
      <c r="W812" s="93"/>
      <c r="X812" s="93"/>
      <c r="Y812" s="93"/>
      <c r="Z812" s="93"/>
      <c r="AA812" s="93"/>
      <c r="AB812" s="93"/>
    </row>
    <row r="813" spans="1:28" ht="12.75" customHeight="1">
      <c r="A813" s="120" t="s">
        <v>507</v>
      </c>
      <c r="B813" s="150">
        <v>44573</v>
      </c>
      <c r="C813" s="422">
        <v>63434</v>
      </c>
      <c r="D813" s="422">
        <f>C813+C812</f>
        <v>-592</v>
      </c>
      <c r="E813" s="423">
        <f>-D813/C812</f>
        <v>-9.2462437134913939E-3</v>
      </c>
      <c r="F813" s="344">
        <f>B813-B812</f>
        <v>1</v>
      </c>
      <c r="G813" s="4"/>
      <c r="H813" s="93"/>
      <c r="K813" s="93"/>
      <c r="L813" s="93"/>
      <c r="M813" s="93"/>
      <c r="N813" s="93"/>
      <c r="O813" s="93"/>
      <c r="P813" s="93"/>
      <c r="Q813" s="93"/>
      <c r="R813" s="93"/>
      <c r="S813" s="93"/>
      <c r="T813" s="93"/>
      <c r="U813" s="93"/>
      <c r="V813" s="93"/>
      <c r="W813" s="93"/>
      <c r="X813" s="93"/>
      <c r="Y813" s="93"/>
      <c r="Z813" s="93"/>
      <c r="AA813" s="93"/>
      <c r="AB813" s="93"/>
    </row>
    <row r="814" spans="1:28" ht="12.75" customHeight="1">
      <c r="A814" s="133" t="s">
        <v>493</v>
      </c>
      <c r="B814" s="425">
        <v>44320</v>
      </c>
      <c r="C814" s="426">
        <v>-5367</v>
      </c>
      <c r="D814" s="356"/>
      <c r="E814" s="420"/>
      <c r="F814" s="424"/>
      <c r="G814" s="4"/>
      <c r="H814" s="93"/>
      <c r="K814" s="93"/>
      <c r="L814" s="93"/>
      <c r="M814" s="93"/>
      <c r="N814" s="93"/>
      <c r="O814" s="93"/>
      <c r="P814" s="93"/>
      <c r="Q814" s="93"/>
      <c r="R814" s="93"/>
      <c r="S814" s="93"/>
      <c r="T814" s="93"/>
      <c r="U814" s="93"/>
      <c r="V814" s="93"/>
      <c r="W814" s="93"/>
      <c r="X814" s="93"/>
      <c r="Y814" s="93"/>
      <c r="Z814" s="93"/>
      <c r="AA814" s="93"/>
      <c r="AB814" s="93"/>
    </row>
    <row r="815" spans="1:28" ht="12.75" customHeight="1">
      <c r="A815" s="120" t="s">
        <v>493</v>
      </c>
      <c r="B815" s="428">
        <v>44340</v>
      </c>
      <c r="C815" s="429">
        <v>5609</v>
      </c>
      <c r="D815" s="422">
        <f>C815+C814</f>
        <v>242</v>
      </c>
      <c r="E815" s="423">
        <f>-D815/C814</f>
        <v>4.5090367057946709E-2</v>
      </c>
      <c r="F815" s="344">
        <f>B815-B814</f>
        <v>20</v>
      </c>
      <c r="G815" s="4"/>
      <c r="H815" s="93"/>
      <c r="K815" s="93"/>
      <c r="L815" s="93"/>
      <c r="M815" s="93"/>
      <c r="N815" s="93"/>
      <c r="O815" s="93"/>
      <c r="P815" s="93"/>
      <c r="Q815" s="93"/>
      <c r="R815" s="93"/>
      <c r="S815" s="93"/>
      <c r="T815" s="93"/>
      <c r="U815" s="93"/>
      <c r="V815" s="93"/>
      <c r="W815" s="93"/>
      <c r="X815" s="93"/>
      <c r="Y815" s="93"/>
      <c r="Z815" s="93"/>
      <c r="AA815" s="93"/>
      <c r="AB815" s="93"/>
    </row>
    <row r="816" spans="1:28" ht="12.75" customHeight="1">
      <c r="A816" s="149" t="s">
        <v>571</v>
      </c>
      <c r="B816" s="148">
        <v>44469</v>
      </c>
      <c r="C816" s="149">
        <v>-6458</v>
      </c>
      <c r="D816" s="356"/>
      <c r="E816" s="420"/>
      <c r="F816" s="424"/>
      <c r="G816" s="4"/>
      <c r="H816" s="93"/>
      <c r="K816" s="93"/>
      <c r="L816" s="93"/>
      <c r="M816" s="93"/>
      <c r="N816" s="93"/>
      <c r="O816" s="93"/>
      <c r="P816" s="93"/>
      <c r="Q816" s="93"/>
      <c r="R816" s="93"/>
      <c r="S816" s="93"/>
      <c r="T816" s="93"/>
      <c r="U816" s="93"/>
      <c r="V816" s="93"/>
      <c r="W816" s="93"/>
      <c r="X816" s="93"/>
      <c r="Y816" s="93"/>
      <c r="Z816" s="93"/>
      <c r="AA816" s="93"/>
      <c r="AB816" s="93"/>
    </row>
    <row r="817" spans="1:28" ht="12.75" customHeight="1">
      <c r="A817" s="120" t="s">
        <v>571</v>
      </c>
      <c r="B817" s="150">
        <v>44477</v>
      </c>
      <c r="C817" s="422">
        <v>6893</v>
      </c>
      <c r="D817" s="422">
        <f>C817+C816</f>
        <v>435</v>
      </c>
      <c r="E817" s="423">
        <f>-D817/C816</f>
        <v>6.73583152678848E-2</v>
      </c>
      <c r="F817" s="344">
        <f>B817-B816</f>
        <v>8</v>
      </c>
      <c r="G817" s="4"/>
      <c r="H817" s="93"/>
      <c r="K817" s="93"/>
      <c r="L817" s="93"/>
      <c r="M817" s="93"/>
      <c r="N817" s="93"/>
      <c r="O817" s="93"/>
      <c r="P817" s="93"/>
      <c r="Q817" s="93"/>
      <c r="R817" s="93"/>
      <c r="S817" s="93"/>
      <c r="T817" s="93"/>
      <c r="U817" s="93"/>
      <c r="V817" s="93"/>
      <c r="W817" s="93"/>
      <c r="X817" s="93"/>
      <c r="Y817" s="93"/>
      <c r="Z817" s="93"/>
      <c r="AA817" s="93"/>
      <c r="AB817" s="93"/>
    </row>
    <row r="818" spans="1:28" ht="12.75" customHeight="1">
      <c r="A818" s="149" t="s">
        <v>571</v>
      </c>
      <c r="B818" s="148">
        <v>44490</v>
      </c>
      <c r="C818" s="356">
        <v>-7659</v>
      </c>
      <c r="D818" s="356"/>
      <c r="E818" s="420"/>
      <c r="F818" s="424"/>
      <c r="G818" s="4"/>
      <c r="H818" s="93"/>
      <c r="K818" s="93"/>
      <c r="L818" s="93"/>
      <c r="M818" s="93"/>
      <c r="N818" s="93"/>
      <c r="O818" s="93"/>
      <c r="P818" s="93"/>
      <c r="Q818" s="93"/>
      <c r="R818" s="93"/>
      <c r="S818" s="93"/>
      <c r="T818" s="93"/>
      <c r="U818" s="93"/>
      <c r="V818" s="93"/>
      <c r="W818" s="93"/>
      <c r="X818" s="93"/>
      <c r="Y818" s="93"/>
      <c r="Z818" s="93"/>
      <c r="AA818" s="93"/>
      <c r="AB818" s="93"/>
    </row>
    <row r="819" spans="1:28" ht="12.75" customHeight="1">
      <c r="A819" s="120" t="s">
        <v>571</v>
      </c>
      <c r="B819" s="150">
        <v>44509</v>
      </c>
      <c r="C819" s="422">
        <v>7852</v>
      </c>
      <c r="D819" s="422">
        <f>C819+C818</f>
        <v>193</v>
      </c>
      <c r="E819" s="423">
        <f>-D819/C818</f>
        <v>2.5199112155633894E-2</v>
      </c>
      <c r="F819" s="344">
        <f>B819-B818</f>
        <v>19</v>
      </c>
      <c r="G819" s="4"/>
      <c r="H819" s="93"/>
      <c r="K819" s="93"/>
      <c r="L819" s="93"/>
      <c r="M819" s="93"/>
      <c r="N819" s="93"/>
      <c r="O819" s="93"/>
      <c r="P819" s="93"/>
      <c r="Q819" s="93"/>
      <c r="R819" s="93"/>
      <c r="S819" s="93"/>
      <c r="T819" s="93"/>
      <c r="U819" s="93"/>
      <c r="V819" s="93"/>
      <c r="W819" s="93"/>
      <c r="X819" s="93"/>
      <c r="Y819" s="93"/>
      <c r="Z819" s="93"/>
      <c r="AA819" s="93"/>
      <c r="AB819" s="93"/>
    </row>
    <row r="820" spans="1:28" ht="12.75" customHeight="1">
      <c r="A820" s="149" t="s">
        <v>583</v>
      </c>
      <c r="B820" s="148">
        <v>44536</v>
      </c>
      <c r="C820" s="356">
        <v>-7609</v>
      </c>
      <c r="D820" s="356"/>
      <c r="E820" s="420"/>
      <c r="F820" s="424"/>
      <c r="G820" s="4"/>
      <c r="H820" s="93"/>
      <c r="K820" s="93"/>
      <c r="L820" s="93"/>
      <c r="M820" s="93"/>
      <c r="N820" s="93"/>
      <c r="O820" s="93"/>
      <c r="P820" s="93"/>
      <c r="Q820" s="93"/>
      <c r="R820" s="93"/>
      <c r="S820" s="93"/>
      <c r="T820" s="93"/>
      <c r="U820" s="93"/>
      <c r="V820" s="93"/>
      <c r="W820" s="93"/>
      <c r="X820" s="93"/>
      <c r="Y820" s="93"/>
      <c r="Z820" s="93"/>
      <c r="AA820" s="93"/>
      <c r="AB820" s="93"/>
    </row>
    <row r="821" spans="1:28" ht="12.75" customHeight="1">
      <c r="A821" s="120" t="s">
        <v>583</v>
      </c>
      <c r="B821" s="150">
        <v>44537</v>
      </c>
      <c r="C821" s="422">
        <v>7742</v>
      </c>
      <c r="D821" s="422">
        <f>C821+C820</f>
        <v>133</v>
      </c>
      <c r="E821" s="423">
        <f>-D821/C820</f>
        <v>1.7479300827966882E-2</v>
      </c>
      <c r="F821" s="344">
        <f>B821-B820</f>
        <v>1</v>
      </c>
      <c r="G821" s="4"/>
      <c r="H821" s="93"/>
      <c r="K821" s="93"/>
      <c r="L821" s="93"/>
      <c r="M821" s="93"/>
      <c r="N821" s="93"/>
      <c r="O821" s="93"/>
      <c r="P821" s="93"/>
      <c r="Q821" s="93"/>
      <c r="R821" s="93"/>
      <c r="S821" s="93"/>
      <c r="T821" s="93"/>
      <c r="U821" s="93"/>
      <c r="V821" s="93"/>
      <c r="W821" s="93"/>
      <c r="X821" s="93"/>
      <c r="Y821" s="93"/>
      <c r="Z821" s="93"/>
      <c r="AA821" s="93"/>
      <c r="AB821" s="93"/>
    </row>
    <row r="822" spans="1:28" ht="12.75" customHeight="1">
      <c r="A822" s="149" t="s">
        <v>565</v>
      </c>
      <c r="B822" s="148">
        <v>44459</v>
      </c>
      <c r="C822" s="149">
        <v>-10813</v>
      </c>
      <c r="D822" s="356"/>
      <c r="E822" s="420"/>
      <c r="F822" s="424"/>
      <c r="G822" s="4"/>
      <c r="H822" s="93"/>
      <c r="K822" s="93"/>
      <c r="L822" s="93"/>
      <c r="M822" s="93"/>
      <c r="N822" s="93"/>
      <c r="O822" s="93"/>
      <c r="P822" s="93"/>
      <c r="Q822" s="93"/>
      <c r="R822" s="93"/>
      <c r="S822" s="93"/>
      <c r="T822" s="93"/>
      <c r="U822" s="93"/>
      <c r="V822" s="93"/>
      <c r="W822" s="93"/>
      <c r="X822" s="93"/>
      <c r="Y822" s="93"/>
      <c r="Z822" s="93"/>
      <c r="AA822" s="93"/>
      <c r="AB822" s="93"/>
    </row>
    <row r="823" spans="1:28" ht="12.75" customHeight="1">
      <c r="A823" s="120" t="s">
        <v>565</v>
      </c>
      <c r="B823" s="150">
        <v>44462</v>
      </c>
      <c r="C823" s="422">
        <v>11158</v>
      </c>
      <c r="D823" s="422">
        <f>C823+C822</f>
        <v>345</v>
      </c>
      <c r="E823" s="423">
        <f>-D823/C822</f>
        <v>3.1906039027097016E-2</v>
      </c>
      <c r="F823" s="344">
        <f>B823-B822</f>
        <v>3</v>
      </c>
      <c r="G823" s="4"/>
      <c r="H823" s="93"/>
      <c r="K823" s="93"/>
      <c r="L823" s="93"/>
      <c r="M823" s="93"/>
      <c r="N823" s="93"/>
      <c r="O823" s="93"/>
      <c r="P823" s="93"/>
      <c r="Q823" s="93"/>
      <c r="R823" s="93"/>
      <c r="S823" s="93"/>
      <c r="T823" s="93"/>
      <c r="U823" s="93"/>
      <c r="V823" s="93"/>
      <c r="W823" s="93"/>
      <c r="X823" s="93"/>
      <c r="Y823" s="93"/>
      <c r="Z823" s="93"/>
      <c r="AA823" s="93"/>
      <c r="AB823" s="93"/>
    </row>
    <row r="824" spans="1:28" ht="12.75" customHeight="1">
      <c r="A824" s="149" t="s">
        <v>565</v>
      </c>
      <c r="B824" s="148">
        <v>44461</v>
      </c>
      <c r="C824" s="356">
        <v>-11013</v>
      </c>
      <c r="D824" s="356"/>
      <c r="E824" s="420"/>
      <c r="F824" s="424"/>
      <c r="G824" s="4"/>
      <c r="H824" s="93"/>
      <c r="K824" s="93"/>
      <c r="L824" s="93"/>
      <c r="M824" s="93"/>
      <c r="N824" s="93"/>
      <c r="O824" s="93"/>
      <c r="P824" s="93"/>
      <c r="Q824" s="93"/>
      <c r="R824" s="93"/>
      <c r="S824" s="93"/>
      <c r="T824" s="93"/>
      <c r="U824" s="93"/>
      <c r="V824" s="93"/>
      <c r="W824" s="93"/>
      <c r="X824" s="93"/>
      <c r="Y824" s="93"/>
      <c r="Z824" s="93"/>
      <c r="AA824" s="93"/>
      <c r="AB824" s="93"/>
    </row>
    <row r="825" spans="1:28" ht="12.75" customHeight="1">
      <c r="A825" s="120" t="s">
        <v>565</v>
      </c>
      <c r="B825" s="150">
        <v>44512</v>
      </c>
      <c r="C825" s="422">
        <v>11108</v>
      </c>
      <c r="D825" s="422">
        <f>C825+C824</f>
        <v>95</v>
      </c>
      <c r="E825" s="423">
        <f>-D825/C824</f>
        <v>8.626169072913829E-3</v>
      </c>
      <c r="F825" s="344">
        <f>B825-B824</f>
        <v>51</v>
      </c>
      <c r="G825" s="4"/>
      <c r="H825" s="93"/>
      <c r="K825" s="93"/>
      <c r="L825" s="93"/>
      <c r="M825" s="93"/>
      <c r="N825" s="93"/>
      <c r="O825" s="93"/>
      <c r="P825" s="93"/>
      <c r="Q825" s="93"/>
      <c r="R825" s="93"/>
      <c r="S825" s="93"/>
      <c r="T825" s="93"/>
      <c r="U825" s="93"/>
      <c r="V825" s="93"/>
      <c r="W825" s="93"/>
      <c r="X825" s="93"/>
      <c r="Y825" s="93"/>
      <c r="Z825" s="93"/>
      <c r="AA825" s="93"/>
      <c r="AB825" s="93"/>
    </row>
    <row r="826" spans="1:28" ht="12.75" customHeight="1">
      <c r="A826" s="134" t="s">
        <v>475</v>
      </c>
      <c r="B826" s="425">
        <v>44225</v>
      </c>
      <c r="C826" s="426">
        <v>-14900</v>
      </c>
      <c r="D826" s="356"/>
      <c r="E826" s="420"/>
      <c r="F826" s="424"/>
      <c r="G826" s="4"/>
      <c r="H826" s="93"/>
      <c r="K826" s="93"/>
      <c r="L826" s="93"/>
      <c r="M826" s="93"/>
      <c r="N826" s="93"/>
      <c r="O826" s="93"/>
      <c r="P826" s="93"/>
      <c r="Q826" s="93"/>
      <c r="R826" s="93"/>
      <c r="S826" s="93"/>
      <c r="T826" s="93"/>
      <c r="U826" s="93"/>
      <c r="V826" s="93"/>
      <c r="W826" s="93"/>
      <c r="X826" s="93"/>
      <c r="Y826" s="93"/>
      <c r="Z826" s="93"/>
      <c r="AA826" s="93"/>
      <c r="AB826" s="93"/>
    </row>
    <row r="827" spans="1:28" ht="12.75" customHeight="1">
      <c r="A827" s="120" t="s">
        <v>475</v>
      </c>
      <c r="B827" s="428">
        <v>44229</v>
      </c>
      <c r="C827" s="429">
        <v>25502.23</v>
      </c>
      <c r="D827" s="422">
        <f>C827+C826</f>
        <v>10602.23</v>
      </c>
      <c r="E827" s="423">
        <f>-D827/C826</f>
        <v>0.71155906040268457</v>
      </c>
      <c r="F827" s="344">
        <f>B827-B826</f>
        <v>4</v>
      </c>
      <c r="G827" s="4"/>
      <c r="H827" s="93"/>
      <c r="K827" s="93"/>
      <c r="L827" s="93"/>
      <c r="M827" s="93"/>
      <c r="N827" s="93"/>
      <c r="O827" s="93"/>
      <c r="P827" s="93"/>
      <c r="Q827" s="93"/>
      <c r="R827" s="93"/>
      <c r="S827" s="93"/>
      <c r="T827" s="93"/>
      <c r="U827" s="93"/>
      <c r="V827" s="93"/>
      <c r="W827" s="93"/>
      <c r="X827" s="93"/>
      <c r="Y827" s="93"/>
      <c r="Z827" s="93"/>
      <c r="AA827" s="93"/>
      <c r="AB827" s="93"/>
    </row>
    <row r="828" spans="1:28" ht="12.75" customHeight="1">
      <c r="A828" s="149" t="s">
        <v>559</v>
      </c>
      <c r="B828" s="148">
        <v>44411</v>
      </c>
      <c r="C828" s="356">
        <v>-3141</v>
      </c>
      <c r="D828" s="356"/>
      <c r="E828" s="420"/>
      <c r="F828" s="424"/>
      <c r="G828" s="4"/>
      <c r="H828" s="93"/>
      <c r="K828" s="93"/>
      <c r="L828" s="93"/>
      <c r="M828" s="93"/>
      <c r="N828" s="93"/>
      <c r="O828" s="93"/>
      <c r="P828" s="93"/>
      <c r="Q828" s="93"/>
      <c r="R828" s="93"/>
      <c r="S828" s="93"/>
      <c r="T828" s="93"/>
      <c r="U828" s="93"/>
      <c r="V828" s="93"/>
      <c r="W828" s="93"/>
      <c r="X828" s="93"/>
      <c r="Y828" s="93"/>
      <c r="Z828" s="93"/>
      <c r="AA828" s="93"/>
      <c r="AB828" s="93"/>
    </row>
    <row r="829" spans="1:28" ht="12.75" customHeight="1">
      <c r="A829" s="120" t="s">
        <v>559</v>
      </c>
      <c r="B829" s="150">
        <v>44565</v>
      </c>
      <c r="C829" s="422">
        <v>2414</v>
      </c>
      <c r="D829" s="422">
        <f>C829+C828</f>
        <v>-727</v>
      </c>
      <c r="E829" s="423">
        <f>-D829/C828</f>
        <v>-0.23145495065265839</v>
      </c>
      <c r="F829" s="344">
        <f>B829-B828</f>
        <v>154</v>
      </c>
      <c r="G829" s="4"/>
      <c r="H829" s="93"/>
      <c r="K829" s="93"/>
      <c r="L829" s="93"/>
      <c r="M829" s="93"/>
      <c r="N829" s="93"/>
      <c r="O829" s="93"/>
      <c r="P829" s="93"/>
      <c r="Q829" s="93"/>
      <c r="R829" s="93"/>
      <c r="S829" s="93"/>
      <c r="T829" s="93"/>
      <c r="U829" s="93"/>
      <c r="V829" s="93"/>
      <c r="W829" s="93"/>
      <c r="X829" s="93"/>
      <c r="Y829" s="93"/>
      <c r="Z829" s="93"/>
      <c r="AA829" s="93"/>
      <c r="AB829" s="93"/>
    </row>
    <row r="830" spans="1:28" ht="12.75" customHeight="1">
      <c r="A830" s="149" t="s">
        <v>307</v>
      </c>
      <c r="B830" s="148">
        <v>44671</v>
      </c>
      <c r="C830" s="356">
        <v>-24025</v>
      </c>
      <c r="D830" s="356"/>
      <c r="E830" s="420"/>
      <c r="F830" s="424"/>
      <c r="G830" s="4"/>
      <c r="H830" s="93"/>
      <c r="K830" s="93"/>
      <c r="L830" s="93"/>
      <c r="M830" s="93"/>
      <c r="N830" s="93"/>
      <c r="O830" s="93"/>
      <c r="P830" s="93"/>
      <c r="Q830" s="93"/>
      <c r="R830" s="93"/>
      <c r="S830" s="93"/>
      <c r="T830" s="93"/>
      <c r="U830" s="93"/>
      <c r="V830" s="93"/>
      <c r="W830" s="93"/>
      <c r="X830" s="93"/>
      <c r="Y830" s="93"/>
      <c r="Z830" s="93"/>
      <c r="AA830" s="93"/>
      <c r="AB830" s="93"/>
    </row>
    <row r="831" spans="1:28" ht="12.75" customHeight="1">
      <c r="A831" s="120" t="s">
        <v>307</v>
      </c>
      <c r="B831" s="150">
        <v>44678</v>
      </c>
      <c r="C831" s="422">
        <v>26073</v>
      </c>
      <c r="D831" s="422">
        <f>C831+C830</f>
        <v>2048</v>
      </c>
      <c r="E831" s="423">
        <f>IFERROR(-D831/C830,0)</f>
        <v>8.5244536940686788E-2</v>
      </c>
      <c r="F831" s="344">
        <f>B831-B830</f>
        <v>7</v>
      </c>
      <c r="G831" s="4"/>
      <c r="H831" s="93"/>
      <c r="K831" s="93"/>
      <c r="L831" s="93"/>
      <c r="M831" s="93"/>
      <c r="N831" s="93"/>
      <c r="O831" s="93"/>
      <c r="P831" s="93"/>
      <c r="Q831" s="93"/>
      <c r="R831" s="93"/>
      <c r="S831" s="93"/>
      <c r="T831" s="93"/>
      <c r="U831" s="93"/>
      <c r="V831" s="93"/>
      <c r="W831" s="93"/>
      <c r="X831" s="93"/>
      <c r="Y831" s="93"/>
      <c r="Z831" s="93"/>
      <c r="AA831" s="93"/>
      <c r="AB831" s="93"/>
    </row>
    <row r="832" spans="1:28" ht="12.75" customHeight="1">
      <c r="A832" s="149" t="s">
        <v>307</v>
      </c>
      <c r="B832" s="148">
        <v>44671</v>
      </c>
      <c r="C832" s="356">
        <v>-40041</v>
      </c>
      <c r="D832" s="356"/>
      <c r="E832" s="420"/>
      <c r="F832" s="424"/>
      <c r="G832" s="4"/>
      <c r="H832" s="93"/>
      <c r="K832" s="93"/>
      <c r="L832" s="93"/>
      <c r="M832" s="93"/>
      <c r="N832" s="93"/>
      <c r="O832" s="93"/>
      <c r="P832" s="93"/>
      <c r="Q832" s="93"/>
      <c r="R832" s="93"/>
      <c r="S832" s="93"/>
      <c r="T832" s="93"/>
      <c r="U832" s="93"/>
      <c r="V832" s="93"/>
      <c r="W832" s="93"/>
      <c r="X832" s="93"/>
      <c r="Y832" s="93"/>
      <c r="Z832" s="93"/>
      <c r="AA832" s="93"/>
      <c r="AB832" s="93"/>
    </row>
    <row r="833" spans="1:28" ht="12.75" customHeight="1">
      <c r="A833" s="120" t="s">
        <v>307</v>
      </c>
      <c r="B833" s="150">
        <v>44683</v>
      </c>
      <c r="C833" s="422">
        <v>42156</v>
      </c>
      <c r="D833" s="422">
        <f>C833+C832</f>
        <v>2115</v>
      </c>
      <c r="E833" s="423">
        <f>IFERROR(-D833/C832,0)</f>
        <v>5.282085861991459E-2</v>
      </c>
      <c r="F833" s="344">
        <f>B833-B832</f>
        <v>12</v>
      </c>
      <c r="G833" s="4"/>
      <c r="H833" s="93"/>
      <c r="K833" s="93"/>
      <c r="L833" s="93"/>
      <c r="M833" s="93"/>
      <c r="N833" s="93"/>
      <c r="O833" s="93"/>
      <c r="P833" s="93"/>
      <c r="Q833" s="93"/>
      <c r="R833" s="93"/>
      <c r="S833" s="93"/>
      <c r="T833" s="93"/>
      <c r="U833" s="93"/>
      <c r="V833" s="93"/>
      <c r="W833" s="93"/>
      <c r="X833" s="93"/>
      <c r="Y833" s="93"/>
      <c r="Z833" s="93"/>
      <c r="AA833" s="93"/>
      <c r="AB833" s="93"/>
    </row>
    <row r="834" spans="1:28" ht="12.75" customHeight="1">
      <c r="A834" s="149" t="s">
        <v>307</v>
      </c>
      <c r="B834" s="148">
        <v>44671</v>
      </c>
      <c r="C834" s="356">
        <v>-40041</v>
      </c>
      <c r="D834" s="356"/>
      <c r="E834" s="420"/>
      <c r="F834" s="424"/>
      <c r="G834" s="4"/>
      <c r="H834" s="93"/>
      <c r="K834" s="93"/>
      <c r="L834" s="93"/>
      <c r="M834" s="93"/>
      <c r="N834" s="93"/>
      <c r="O834" s="93"/>
      <c r="P834" s="93"/>
      <c r="Q834" s="93"/>
      <c r="R834" s="93"/>
      <c r="S834" s="93"/>
      <c r="T834" s="93"/>
      <c r="U834" s="93"/>
      <c r="V834" s="93"/>
      <c r="W834" s="93"/>
      <c r="X834" s="93"/>
      <c r="Y834" s="93"/>
      <c r="Z834" s="93"/>
      <c r="AA834" s="93"/>
      <c r="AB834" s="93"/>
    </row>
    <row r="835" spans="1:28" ht="12.75" customHeight="1">
      <c r="A835" s="120" t="s">
        <v>307</v>
      </c>
      <c r="B835" s="150">
        <v>44708</v>
      </c>
      <c r="C835" s="422">
        <v>43607</v>
      </c>
      <c r="D835" s="422">
        <f>C835+C834</f>
        <v>3566</v>
      </c>
      <c r="E835" s="423">
        <f>IFERROR(-D835/C834,0)</f>
        <v>8.9058714817312257E-2</v>
      </c>
      <c r="F835" s="344">
        <f>B835-B834</f>
        <v>37</v>
      </c>
      <c r="G835" s="4"/>
      <c r="H835" s="93"/>
      <c r="K835" s="93"/>
      <c r="L835" s="93"/>
      <c r="M835" s="93"/>
      <c r="N835" s="93"/>
      <c r="O835" s="93"/>
      <c r="P835" s="93"/>
      <c r="Q835" s="93"/>
      <c r="R835" s="93"/>
      <c r="S835" s="93"/>
      <c r="T835" s="93"/>
      <c r="U835" s="93"/>
      <c r="V835" s="93"/>
      <c r="W835" s="93"/>
      <c r="X835" s="93"/>
      <c r="Y835" s="93"/>
      <c r="Z835" s="93"/>
      <c r="AA835" s="93"/>
      <c r="AB835" s="93"/>
    </row>
    <row r="836" spans="1:28" ht="12.75" customHeight="1">
      <c r="A836" s="149" t="s">
        <v>307</v>
      </c>
      <c r="B836" s="148">
        <v>44708</v>
      </c>
      <c r="C836" s="356">
        <v>-22590</v>
      </c>
      <c r="D836" s="356"/>
      <c r="E836" s="420"/>
      <c r="F836" s="424"/>
      <c r="G836" s="4"/>
      <c r="H836" s="93"/>
      <c r="K836" s="93"/>
      <c r="L836" s="93"/>
      <c r="M836" s="93"/>
      <c r="N836" s="93"/>
      <c r="O836" s="93"/>
      <c r="P836" s="93"/>
      <c r="Q836" s="93"/>
      <c r="R836" s="93"/>
      <c r="S836" s="93"/>
      <c r="T836" s="93"/>
      <c r="U836" s="93"/>
      <c r="V836" s="93"/>
      <c r="W836" s="93"/>
      <c r="X836" s="93"/>
      <c r="Y836" s="93"/>
      <c r="Z836" s="93"/>
      <c r="AA836" s="93"/>
      <c r="AB836" s="93"/>
    </row>
    <row r="837" spans="1:28" ht="12.75" customHeight="1">
      <c r="A837" s="120" t="s">
        <v>307</v>
      </c>
      <c r="B837" s="150">
        <v>44711</v>
      </c>
      <c r="C837" s="422">
        <v>23026</v>
      </c>
      <c r="D837" s="422">
        <f>C837+C836</f>
        <v>436</v>
      </c>
      <c r="E837" s="423">
        <f>IFERROR(-D837/C836,0)</f>
        <v>1.9300575475874281E-2</v>
      </c>
      <c r="F837" s="344">
        <f>B837-B836</f>
        <v>3</v>
      </c>
      <c r="G837" s="4"/>
      <c r="H837" s="93"/>
      <c r="K837" s="93"/>
      <c r="L837" s="93"/>
      <c r="M837" s="93"/>
      <c r="N837" s="93"/>
      <c r="O837" s="93"/>
      <c r="P837" s="93"/>
      <c r="Q837" s="93"/>
      <c r="R837" s="93"/>
      <c r="S837" s="93"/>
      <c r="T837" s="93"/>
      <c r="U837" s="93"/>
      <c r="V837" s="93"/>
      <c r="W837" s="93"/>
      <c r="X837" s="93"/>
      <c r="Y837" s="93"/>
      <c r="Z837" s="93"/>
      <c r="AA837" s="93"/>
      <c r="AB837" s="93"/>
    </row>
    <row r="838" spans="1:28" ht="12.75" customHeight="1">
      <c r="A838" s="149" t="s">
        <v>307</v>
      </c>
      <c r="B838" s="148">
        <v>44671</v>
      </c>
      <c r="C838" s="356">
        <v>-20021</v>
      </c>
      <c r="D838" s="356"/>
      <c r="E838" s="420"/>
      <c r="F838" s="424"/>
      <c r="G838" s="4"/>
      <c r="H838" s="93"/>
      <c r="K838" s="93"/>
      <c r="L838" s="93"/>
      <c r="M838" s="93"/>
      <c r="N838" s="93"/>
      <c r="O838" s="93"/>
      <c r="P838" s="93"/>
      <c r="Q838" s="93"/>
      <c r="R838" s="93"/>
      <c r="S838" s="93"/>
      <c r="T838" s="93"/>
      <c r="U838" s="93"/>
      <c r="V838" s="93"/>
      <c r="W838" s="93"/>
      <c r="X838" s="93"/>
      <c r="Y838" s="93"/>
      <c r="Z838" s="93"/>
      <c r="AA838" s="93"/>
      <c r="AB838" s="93"/>
    </row>
    <row r="839" spans="1:28" ht="12.75" customHeight="1">
      <c r="A839" s="120" t="s">
        <v>307</v>
      </c>
      <c r="B839" s="150">
        <v>44712</v>
      </c>
      <c r="C839" s="422">
        <v>22677</v>
      </c>
      <c r="D839" s="422">
        <f>C839+C838</f>
        <v>2656</v>
      </c>
      <c r="E839" s="423">
        <f>IFERROR(-D839/C838,0)</f>
        <v>0.13266070625842866</v>
      </c>
      <c r="F839" s="344">
        <f>B839-B838</f>
        <v>41</v>
      </c>
      <c r="G839" s="4"/>
      <c r="H839" s="93"/>
      <c r="K839" s="93"/>
      <c r="L839" s="93"/>
      <c r="M839" s="93"/>
      <c r="N839" s="93"/>
      <c r="O839" s="93"/>
      <c r="P839" s="93"/>
      <c r="Q839" s="93"/>
      <c r="R839" s="93"/>
      <c r="S839" s="93"/>
      <c r="T839" s="93"/>
      <c r="U839" s="93"/>
      <c r="V839" s="93"/>
      <c r="W839" s="93"/>
      <c r="X839" s="93"/>
      <c r="Y839" s="93"/>
      <c r="Z839" s="93"/>
      <c r="AA839" s="93"/>
      <c r="AB839" s="93"/>
    </row>
    <row r="840" spans="1:28" ht="12.75" customHeight="1">
      <c r="A840" s="149" t="s">
        <v>307</v>
      </c>
      <c r="B840" s="148">
        <v>44671</v>
      </c>
      <c r="C840" s="356">
        <v>-20021</v>
      </c>
      <c r="D840" s="356"/>
      <c r="E840" s="420"/>
      <c r="F840" s="424"/>
      <c r="G840" s="4"/>
      <c r="H840" s="93"/>
      <c r="K840" s="93"/>
      <c r="L840" s="93"/>
      <c r="M840" s="93"/>
      <c r="N840" s="93"/>
      <c r="O840" s="93"/>
      <c r="P840" s="93"/>
      <c r="Q840" s="93"/>
      <c r="R840" s="93"/>
      <c r="S840" s="93"/>
      <c r="T840" s="93"/>
      <c r="U840" s="93"/>
      <c r="V840" s="93"/>
      <c r="W840" s="93"/>
      <c r="X840" s="93"/>
      <c r="Y840" s="93"/>
      <c r="Z840" s="93"/>
      <c r="AA840" s="93"/>
      <c r="AB840" s="93"/>
    </row>
    <row r="841" spans="1:28" ht="12.75" customHeight="1">
      <c r="A841" s="120" t="s">
        <v>307</v>
      </c>
      <c r="B841" s="150">
        <v>44714</v>
      </c>
      <c r="C841" s="422">
        <v>23151</v>
      </c>
      <c r="D841" s="422">
        <f>C841+C840</f>
        <v>3130</v>
      </c>
      <c r="E841" s="423">
        <f>IFERROR(-D841/C840,0)</f>
        <v>0.1563358473602717</v>
      </c>
      <c r="F841" s="344">
        <f>B841-B840</f>
        <v>43</v>
      </c>
      <c r="G841" s="4"/>
      <c r="H841" s="93"/>
      <c r="K841" s="93"/>
      <c r="L841" s="93"/>
      <c r="M841" s="93"/>
      <c r="N841" s="93"/>
      <c r="O841" s="93"/>
      <c r="P841" s="93"/>
      <c r="Q841" s="93"/>
      <c r="R841" s="93"/>
      <c r="S841" s="93"/>
      <c r="T841" s="93"/>
      <c r="U841" s="93"/>
      <c r="V841" s="93"/>
      <c r="W841" s="93"/>
      <c r="X841" s="93"/>
      <c r="Y841" s="93"/>
      <c r="Z841" s="93"/>
      <c r="AA841" s="93"/>
      <c r="AB841" s="93"/>
    </row>
    <row r="842" spans="1:28" ht="12.75" customHeight="1">
      <c r="A842" s="149" t="s">
        <v>307</v>
      </c>
      <c r="B842" s="148">
        <v>44671</v>
      </c>
      <c r="C842" s="356">
        <v>-16017</v>
      </c>
      <c r="D842" s="356"/>
      <c r="E842" s="420"/>
      <c r="F842" s="424"/>
      <c r="G842" s="4"/>
      <c r="H842" s="93"/>
      <c r="K842" s="93"/>
      <c r="L842" s="93"/>
      <c r="M842" s="93"/>
      <c r="N842" s="93"/>
      <c r="O842" s="93"/>
      <c r="P842" s="93"/>
      <c r="Q842" s="93"/>
      <c r="R842" s="93"/>
      <c r="S842" s="93"/>
      <c r="T842" s="93"/>
      <c r="U842" s="93"/>
      <c r="V842" s="93"/>
      <c r="W842" s="93"/>
      <c r="X842" s="93"/>
      <c r="Y842" s="93"/>
      <c r="Z842" s="93"/>
      <c r="AA842" s="93"/>
      <c r="AB842" s="93"/>
    </row>
    <row r="843" spans="1:28" ht="12.75" customHeight="1">
      <c r="A843" s="120" t="s">
        <v>307</v>
      </c>
      <c r="B843" s="150">
        <v>44749</v>
      </c>
      <c r="C843" s="422">
        <v>16164</v>
      </c>
      <c r="D843" s="422">
        <f>C843+C842</f>
        <v>147</v>
      </c>
      <c r="E843" s="423">
        <f>IFERROR(-D843/C842,0)</f>
        <v>9.1777486420678029E-3</v>
      </c>
      <c r="F843" s="344">
        <f>B843-B842</f>
        <v>78</v>
      </c>
      <c r="G843" s="4"/>
      <c r="H843" s="93"/>
      <c r="K843" s="93"/>
      <c r="L843" s="93"/>
      <c r="M843" s="93"/>
      <c r="N843" s="93"/>
      <c r="O843" s="93"/>
      <c r="P843" s="93"/>
      <c r="Q843" s="93"/>
      <c r="R843" s="93"/>
      <c r="S843" s="93"/>
      <c r="T843" s="93"/>
      <c r="U843" s="93"/>
      <c r="V843" s="93"/>
      <c r="W843" s="93"/>
      <c r="X843" s="93"/>
      <c r="Y843" s="93"/>
      <c r="Z843" s="93"/>
      <c r="AA843" s="93"/>
      <c r="AB843" s="93"/>
    </row>
    <row r="844" spans="1:28" ht="12.75" customHeight="1">
      <c r="A844" s="149" t="s">
        <v>307</v>
      </c>
      <c r="B844" s="148">
        <v>44671</v>
      </c>
      <c r="C844" s="356">
        <v>-16016</v>
      </c>
      <c r="D844" s="356"/>
      <c r="E844" s="420"/>
      <c r="F844" s="424"/>
      <c r="G844" s="4"/>
      <c r="H844" s="93"/>
      <c r="K844" s="93"/>
      <c r="L844" s="93"/>
      <c r="M844" s="93"/>
      <c r="N844" s="93"/>
      <c r="O844" s="93"/>
      <c r="P844" s="93"/>
      <c r="Q844" s="93"/>
      <c r="R844" s="93"/>
      <c r="S844" s="93"/>
      <c r="T844" s="93"/>
      <c r="U844" s="93"/>
      <c r="V844" s="93"/>
      <c r="W844" s="93"/>
      <c r="X844" s="93"/>
      <c r="Y844" s="93"/>
      <c r="Z844" s="93"/>
      <c r="AA844" s="93"/>
      <c r="AB844" s="93"/>
    </row>
    <row r="845" spans="1:28" ht="12.75" customHeight="1">
      <c r="A845" s="120" t="s">
        <v>307</v>
      </c>
      <c r="B845" s="150">
        <v>44750</v>
      </c>
      <c r="C845" s="422">
        <v>16383</v>
      </c>
      <c r="D845" s="422">
        <f>C845+C844</f>
        <v>367</v>
      </c>
      <c r="E845" s="423">
        <f>IFERROR(-D845/C844,0)</f>
        <v>2.2914585414585416E-2</v>
      </c>
      <c r="F845" s="344">
        <f>B845-B844</f>
        <v>79</v>
      </c>
      <c r="G845" s="4"/>
      <c r="H845" s="93"/>
      <c r="K845" s="93"/>
      <c r="L845" s="93"/>
      <c r="M845" s="93"/>
      <c r="N845" s="93"/>
      <c r="O845" s="93"/>
      <c r="P845" s="93"/>
      <c r="Q845" s="93"/>
      <c r="R845" s="93"/>
      <c r="S845" s="93"/>
      <c r="T845" s="93"/>
      <c r="U845" s="93"/>
      <c r="V845" s="93"/>
      <c r="W845" s="93"/>
      <c r="X845" s="93"/>
      <c r="Y845" s="93"/>
      <c r="Z845" s="93"/>
      <c r="AA845" s="93"/>
      <c r="AB845" s="93"/>
    </row>
    <row r="846" spans="1:28" ht="12.75" customHeight="1">
      <c r="A846" s="149" t="s">
        <v>307</v>
      </c>
      <c r="B846" s="148">
        <v>44671</v>
      </c>
      <c r="C846" s="356">
        <v>-32834</v>
      </c>
      <c r="D846" s="356"/>
      <c r="E846" s="420"/>
      <c r="F846" s="424"/>
      <c r="G846" s="4"/>
      <c r="H846" s="93"/>
      <c r="K846" s="93"/>
      <c r="L846" s="93"/>
      <c r="M846" s="93"/>
      <c r="N846" s="93"/>
      <c r="O846" s="93"/>
      <c r="P846" s="93"/>
      <c r="Q846" s="93"/>
      <c r="R846" s="93"/>
      <c r="S846" s="93"/>
      <c r="T846" s="93"/>
      <c r="U846" s="93"/>
      <c r="V846" s="93"/>
      <c r="W846" s="93"/>
      <c r="X846" s="93"/>
      <c r="Y846" s="93"/>
      <c r="Z846" s="93"/>
      <c r="AA846" s="93"/>
      <c r="AB846" s="93"/>
    </row>
    <row r="847" spans="1:28" ht="12.75" customHeight="1">
      <c r="A847" s="120" t="s">
        <v>307</v>
      </c>
      <c r="B847" s="150">
        <v>44753</v>
      </c>
      <c r="C847" s="422">
        <v>35144</v>
      </c>
      <c r="D847" s="422">
        <f>C847+C846</f>
        <v>2310</v>
      </c>
      <c r="E847" s="423">
        <f>IFERROR(-D847/C846,0)</f>
        <v>7.0353901443625508E-2</v>
      </c>
      <c r="F847" s="344">
        <f>B847-B846</f>
        <v>82</v>
      </c>
      <c r="G847" s="4"/>
      <c r="H847" s="93"/>
      <c r="K847" s="93"/>
      <c r="L847" s="93"/>
      <c r="M847" s="93"/>
      <c r="N847" s="93"/>
      <c r="O847" s="93"/>
      <c r="P847" s="93"/>
      <c r="Q847" s="93"/>
      <c r="R847" s="93"/>
      <c r="S847" s="93"/>
      <c r="T847" s="93"/>
      <c r="U847" s="93"/>
      <c r="V847" s="93"/>
      <c r="W847" s="93"/>
      <c r="X847" s="93"/>
      <c r="Y847" s="93"/>
      <c r="Z847" s="93"/>
      <c r="AA847" s="93"/>
      <c r="AB847" s="93"/>
    </row>
    <row r="848" spans="1:28" ht="12.75" customHeight="1">
      <c r="A848" s="149" t="s">
        <v>307</v>
      </c>
      <c r="B848" s="148">
        <v>44671</v>
      </c>
      <c r="C848" s="356">
        <v>-8008</v>
      </c>
      <c r="D848" s="356"/>
      <c r="E848" s="420"/>
      <c r="F848" s="424"/>
      <c r="G848" s="4"/>
      <c r="H848" s="93"/>
      <c r="K848" s="93"/>
      <c r="L848" s="93"/>
      <c r="M848" s="93"/>
      <c r="N848" s="93"/>
      <c r="O848" s="93"/>
      <c r="P848" s="93"/>
      <c r="Q848" s="93"/>
      <c r="R848" s="93"/>
      <c r="S848" s="93"/>
      <c r="T848" s="93"/>
      <c r="U848" s="93"/>
      <c r="V848" s="93"/>
      <c r="W848" s="93"/>
      <c r="X848" s="93"/>
      <c r="Y848" s="93"/>
      <c r="Z848" s="93"/>
      <c r="AA848" s="93"/>
      <c r="AB848" s="93"/>
    </row>
    <row r="849" spans="1:28" ht="12.75" customHeight="1">
      <c r="A849" s="120" t="s">
        <v>307</v>
      </c>
      <c r="B849" s="150">
        <v>44763</v>
      </c>
      <c r="C849" s="422">
        <v>8691</v>
      </c>
      <c r="D849" s="422">
        <f>C849+C848</f>
        <v>683</v>
      </c>
      <c r="E849" s="423">
        <f>IFERROR(-D849/C848,0)</f>
        <v>8.5289710289710288E-2</v>
      </c>
      <c r="F849" s="344">
        <f>B849-B848</f>
        <v>92</v>
      </c>
      <c r="G849" s="4"/>
      <c r="H849" s="93"/>
      <c r="K849" s="93"/>
      <c r="L849" s="93"/>
      <c r="M849" s="93"/>
      <c r="N849" s="93"/>
      <c r="O849" s="93"/>
      <c r="P849" s="93"/>
      <c r="Q849" s="93"/>
      <c r="R849" s="93"/>
      <c r="S849" s="93"/>
      <c r="T849" s="93"/>
      <c r="U849" s="93"/>
      <c r="V849" s="93"/>
      <c r="W849" s="93"/>
      <c r="X849" s="93"/>
      <c r="Y849" s="93"/>
      <c r="Z849" s="93"/>
      <c r="AA849" s="93"/>
      <c r="AB849" s="93"/>
    </row>
    <row r="850" spans="1:28" ht="12.75" customHeight="1">
      <c r="A850" s="149" t="s">
        <v>307</v>
      </c>
      <c r="B850" s="148">
        <v>44671</v>
      </c>
      <c r="C850" s="356">
        <v>-7208</v>
      </c>
      <c r="D850" s="356"/>
      <c r="E850" s="420"/>
      <c r="F850" s="424"/>
      <c r="G850" s="4"/>
      <c r="H850" s="93"/>
      <c r="K850" s="93"/>
      <c r="L850" s="93"/>
      <c r="M850" s="93"/>
      <c r="N850" s="93"/>
      <c r="O850" s="93"/>
      <c r="P850" s="93"/>
      <c r="Q850" s="93"/>
      <c r="R850" s="93"/>
      <c r="S850" s="93"/>
      <c r="T850" s="93"/>
      <c r="U850" s="93"/>
      <c r="V850" s="93"/>
      <c r="W850" s="93"/>
      <c r="X850" s="93"/>
      <c r="Y850" s="93"/>
      <c r="Z850" s="93"/>
      <c r="AA850" s="93"/>
      <c r="AB850" s="93"/>
    </row>
    <row r="851" spans="1:28" ht="12.75" customHeight="1">
      <c r="A851" s="120" t="s">
        <v>307</v>
      </c>
      <c r="B851" s="150">
        <v>44764</v>
      </c>
      <c r="C851" s="422">
        <v>7912</v>
      </c>
      <c r="D851" s="422">
        <f>C851+C850</f>
        <v>704</v>
      </c>
      <c r="E851" s="423">
        <f>IFERROR(-D851/C850,0)</f>
        <v>9.7669256381798006E-2</v>
      </c>
      <c r="F851" s="344">
        <f>B851-B850</f>
        <v>93</v>
      </c>
      <c r="G851" s="4"/>
      <c r="H851" s="93"/>
      <c r="K851" s="93"/>
      <c r="L851" s="93"/>
      <c r="M851" s="93"/>
      <c r="N851" s="93"/>
      <c r="O851" s="93"/>
      <c r="P851" s="93"/>
      <c r="Q851" s="93"/>
      <c r="R851" s="93"/>
      <c r="S851" s="93"/>
      <c r="T851" s="93"/>
      <c r="U851" s="93"/>
      <c r="V851" s="93"/>
      <c r="W851" s="93"/>
      <c r="X851" s="93"/>
      <c r="Y851" s="93"/>
      <c r="Z851" s="93"/>
      <c r="AA851" s="93"/>
      <c r="AB851" s="93"/>
    </row>
    <row r="852" spans="1:28" ht="12.75" customHeight="1">
      <c r="A852" s="149" t="s">
        <v>307</v>
      </c>
      <c r="B852" s="148">
        <v>44770</v>
      </c>
      <c r="C852" s="356">
        <v>-4203</v>
      </c>
      <c r="D852" s="356"/>
      <c r="E852" s="420"/>
      <c r="F852" s="424"/>
      <c r="G852" s="4"/>
      <c r="H852" s="93"/>
      <c r="K852" s="93"/>
      <c r="L852" s="93"/>
      <c r="M852" s="93"/>
      <c r="N852" s="93"/>
      <c r="O852" s="93"/>
      <c r="P852" s="93"/>
      <c r="Q852" s="93"/>
      <c r="R852" s="93"/>
      <c r="S852" s="93"/>
      <c r="T852" s="93"/>
      <c r="U852" s="93"/>
      <c r="V852" s="93"/>
      <c r="W852" s="93"/>
      <c r="X852" s="93"/>
      <c r="Y852" s="93"/>
      <c r="Z852" s="93"/>
      <c r="AA852" s="93"/>
      <c r="AB852" s="93"/>
    </row>
    <row r="853" spans="1:28" ht="12.75" customHeight="1">
      <c r="A853" s="120" t="s">
        <v>307</v>
      </c>
      <c r="B853" s="150">
        <v>44785</v>
      </c>
      <c r="C853" s="422">
        <v>4141</v>
      </c>
      <c r="D853" s="422">
        <f>C853+C852</f>
        <v>-62</v>
      </c>
      <c r="E853" s="423">
        <f>IFERROR(-D853/C852,0)</f>
        <v>-1.4751368070425886E-2</v>
      </c>
      <c r="F853" s="344">
        <f>B853-B852</f>
        <v>15</v>
      </c>
      <c r="G853" s="4"/>
      <c r="H853" s="93"/>
      <c r="K853" s="93"/>
      <c r="L853" s="93"/>
      <c r="M853" s="93"/>
      <c r="N853" s="93"/>
      <c r="O853" s="93"/>
      <c r="P853" s="93"/>
      <c r="Q853" s="93"/>
      <c r="R853" s="93"/>
      <c r="S853" s="93"/>
      <c r="T853" s="93"/>
      <c r="U853" s="93"/>
      <c r="V853" s="93"/>
      <c r="W853" s="93"/>
      <c r="X853" s="93"/>
      <c r="Y853" s="93"/>
      <c r="Z853" s="93"/>
      <c r="AA853" s="93"/>
      <c r="AB853" s="93"/>
    </row>
    <row r="854" spans="1:28" ht="12.75" customHeight="1">
      <c r="A854" s="149" t="s">
        <v>458</v>
      </c>
      <c r="B854" s="148">
        <v>44818</v>
      </c>
      <c r="C854" s="356">
        <v>-7439</v>
      </c>
      <c r="D854" s="356"/>
      <c r="E854" s="420"/>
      <c r="F854" s="424"/>
      <c r="G854" s="4"/>
      <c r="H854" s="93"/>
      <c r="K854" s="93"/>
      <c r="L854" s="93"/>
      <c r="M854" s="93"/>
      <c r="N854" s="93"/>
      <c r="O854" s="93"/>
      <c r="P854" s="93"/>
      <c r="Q854" s="93"/>
      <c r="R854" s="93"/>
      <c r="S854" s="93"/>
      <c r="T854" s="93"/>
      <c r="U854" s="93"/>
      <c r="V854" s="93"/>
      <c r="W854" s="93"/>
      <c r="X854" s="93"/>
      <c r="Y854" s="93"/>
      <c r="Z854" s="93"/>
      <c r="AA854" s="93"/>
      <c r="AB854" s="93"/>
    </row>
    <row r="855" spans="1:28" ht="12.75" customHeight="1">
      <c r="A855" s="120" t="s">
        <v>458</v>
      </c>
      <c r="B855" s="150">
        <v>44889</v>
      </c>
      <c r="C855" s="422">
        <v>8091</v>
      </c>
      <c r="D855" s="422">
        <f>C855+C854</f>
        <v>652</v>
      </c>
      <c r="E855" s="423">
        <f>IFERROR(-D855/C854,0)</f>
        <v>8.7646189003898367E-2</v>
      </c>
      <c r="F855" s="344">
        <f>B855-B854</f>
        <v>71</v>
      </c>
      <c r="G855" s="4"/>
      <c r="H855" s="93"/>
      <c r="K855" s="93"/>
      <c r="L855" s="93"/>
      <c r="M855" s="93"/>
      <c r="N855" s="93"/>
      <c r="O855" s="93"/>
      <c r="P855" s="93"/>
      <c r="Q855" s="93"/>
      <c r="R855" s="93"/>
      <c r="S855" s="93"/>
      <c r="T855" s="93"/>
      <c r="U855" s="93"/>
      <c r="V855" s="93"/>
      <c r="W855" s="93"/>
      <c r="X855" s="93"/>
      <c r="Y855" s="93"/>
      <c r="Z855" s="93"/>
      <c r="AA855" s="93"/>
      <c r="AB855" s="93"/>
    </row>
    <row r="856" spans="1:28" ht="12.75" customHeight="1">
      <c r="A856" s="149" t="s">
        <v>458</v>
      </c>
      <c r="B856" s="148">
        <v>44810</v>
      </c>
      <c r="C856" s="356">
        <v>-2913</v>
      </c>
      <c r="D856" s="356"/>
      <c r="E856" s="420"/>
      <c r="F856" s="424"/>
      <c r="G856" s="4"/>
      <c r="H856" s="93"/>
      <c r="K856" s="93"/>
      <c r="L856" s="93"/>
      <c r="M856" s="93"/>
      <c r="N856" s="93"/>
      <c r="O856" s="93"/>
      <c r="P856" s="93"/>
      <c r="Q856" s="93"/>
      <c r="R856" s="93"/>
      <c r="S856" s="93"/>
      <c r="T856" s="93"/>
      <c r="U856" s="93"/>
      <c r="V856" s="93"/>
      <c r="W856" s="93"/>
      <c r="X856" s="93"/>
      <c r="Y856" s="93"/>
      <c r="Z856" s="93"/>
      <c r="AA856" s="93"/>
      <c r="AB856" s="93"/>
    </row>
    <row r="857" spans="1:28" ht="12.75" customHeight="1">
      <c r="A857" s="120" t="s">
        <v>458</v>
      </c>
      <c r="B857" s="150">
        <v>44889</v>
      </c>
      <c r="C857" s="422">
        <v>3237</v>
      </c>
      <c r="D857" s="422">
        <f>C857+C856</f>
        <v>324</v>
      </c>
      <c r="E857" s="423">
        <f>IFERROR(-D857/C856,0)</f>
        <v>0.11122554067971163</v>
      </c>
      <c r="F857" s="344">
        <f>B857-B856</f>
        <v>79</v>
      </c>
      <c r="G857" s="4"/>
      <c r="H857" s="93"/>
      <c r="K857" s="93"/>
      <c r="L857" s="93"/>
      <c r="M857" s="93"/>
      <c r="N857" s="93"/>
      <c r="O857" s="93"/>
      <c r="P857" s="93"/>
      <c r="Q857" s="93"/>
      <c r="R857" s="93"/>
      <c r="S857" s="93"/>
      <c r="T857" s="93"/>
      <c r="U857" s="93"/>
      <c r="V857" s="93"/>
      <c r="W857" s="93"/>
      <c r="X857" s="93"/>
      <c r="Y857" s="93"/>
      <c r="Z857" s="93"/>
      <c r="AA857" s="93"/>
      <c r="AB857" s="93"/>
    </row>
    <row r="858" spans="1:28" ht="12.75" customHeight="1">
      <c r="A858" s="149" t="s">
        <v>558</v>
      </c>
      <c r="B858" s="148">
        <v>44410</v>
      </c>
      <c r="C858" s="356">
        <v>-3244</v>
      </c>
      <c r="D858" s="356"/>
      <c r="E858" s="420"/>
      <c r="F858" s="424"/>
      <c r="G858" s="4"/>
      <c r="H858" s="93"/>
      <c r="K858" s="93"/>
      <c r="L858" s="93"/>
      <c r="M858" s="93"/>
      <c r="N858" s="93"/>
      <c r="O858" s="93"/>
      <c r="P858" s="93"/>
      <c r="Q858" s="93"/>
      <c r="R858" s="93"/>
      <c r="S858" s="93"/>
      <c r="T858" s="93"/>
      <c r="U858" s="93"/>
      <c r="V858" s="93"/>
      <c r="W858" s="93"/>
      <c r="X858" s="93"/>
      <c r="Y858" s="93"/>
      <c r="Z858" s="93"/>
      <c r="AA858" s="93"/>
      <c r="AB858" s="93"/>
    </row>
    <row r="859" spans="1:28" ht="12.75" customHeight="1">
      <c r="A859" s="120" t="s">
        <v>558</v>
      </c>
      <c r="B859" s="150">
        <v>44726</v>
      </c>
      <c r="C859" s="422">
        <v>3285</v>
      </c>
      <c r="D859" s="422">
        <f>C859+C858</f>
        <v>41</v>
      </c>
      <c r="E859" s="423">
        <f>IFERROR(-D859/C858,0)</f>
        <v>1.2638717632552405E-2</v>
      </c>
      <c r="F859" s="344">
        <f>B859-B858</f>
        <v>316</v>
      </c>
      <c r="G859" s="4"/>
      <c r="H859" s="93"/>
      <c r="K859" s="93"/>
      <c r="L859" s="93"/>
      <c r="M859" s="93"/>
      <c r="N859" s="93"/>
      <c r="O859" s="93"/>
      <c r="P859" s="93"/>
      <c r="Q859" s="93"/>
      <c r="R859" s="93"/>
      <c r="S859" s="93"/>
      <c r="T859" s="93"/>
      <c r="U859" s="93"/>
      <c r="V859" s="93"/>
      <c r="W859" s="93"/>
      <c r="X859" s="93"/>
      <c r="Y859" s="93"/>
      <c r="Z859" s="93"/>
      <c r="AA859" s="93"/>
      <c r="AB859" s="93"/>
    </row>
    <row r="860" spans="1:28" ht="12.75" customHeight="1">
      <c r="A860" s="133" t="s">
        <v>503</v>
      </c>
      <c r="B860" s="425">
        <v>44328</v>
      </c>
      <c r="C860" s="426">
        <v>-10462</v>
      </c>
      <c r="D860" s="356"/>
      <c r="E860" s="420"/>
      <c r="F860" s="424"/>
      <c r="G860" s="4"/>
      <c r="H860" s="93"/>
      <c r="K860" s="93"/>
      <c r="L860" s="93"/>
      <c r="M860" s="93"/>
      <c r="N860" s="93"/>
      <c r="O860" s="93"/>
      <c r="P860" s="93"/>
      <c r="Q860" s="93"/>
      <c r="R860" s="93"/>
      <c r="S860" s="93"/>
      <c r="T860" s="93"/>
      <c r="U860" s="93"/>
      <c r="V860" s="93"/>
      <c r="W860" s="93"/>
      <c r="X860" s="93"/>
      <c r="Y860" s="93"/>
      <c r="Z860" s="93"/>
      <c r="AA860" s="93"/>
      <c r="AB860" s="93"/>
    </row>
    <row r="861" spans="1:28" ht="12.75" customHeight="1">
      <c r="A861" s="120" t="s">
        <v>503</v>
      </c>
      <c r="B861" s="428">
        <v>44340</v>
      </c>
      <c r="C861" s="429">
        <v>10664</v>
      </c>
      <c r="D861" s="422">
        <f>C861+C860</f>
        <v>202</v>
      </c>
      <c r="E861" s="423">
        <f>-D861/C860</f>
        <v>1.9307971707130566E-2</v>
      </c>
      <c r="F861" s="344">
        <f>B861-B860</f>
        <v>12</v>
      </c>
      <c r="G861" s="4"/>
      <c r="H861" s="93"/>
      <c r="K861" s="93"/>
      <c r="L861" s="93"/>
      <c r="M861" s="93"/>
      <c r="N861" s="93"/>
      <c r="O861" s="93"/>
      <c r="P861" s="93"/>
      <c r="Q861" s="93"/>
      <c r="R861" s="93"/>
      <c r="S861" s="93"/>
      <c r="T861" s="93"/>
      <c r="U861" s="93"/>
      <c r="V861" s="93"/>
      <c r="W861" s="93"/>
      <c r="X861" s="93"/>
      <c r="Y861" s="93"/>
      <c r="Z861" s="93"/>
      <c r="AA861" s="93"/>
      <c r="AB861" s="93"/>
    </row>
    <row r="862" spans="1:28" ht="12.75" customHeight="1">
      <c r="A862" s="133" t="s">
        <v>498</v>
      </c>
      <c r="B862" s="425">
        <v>44223</v>
      </c>
      <c r="C862" s="426">
        <v>-27950</v>
      </c>
      <c r="D862" s="356"/>
      <c r="E862" s="420"/>
      <c r="F862" s="424"/>
      <c r="G862" s="4"/>
      <c r="H862" s="93"/>
      <c r="K862" s="93"/>
      <c r="L862" s="93"/>
      <c r="M862" s="93"/>
      <c r="N862" s="93"/>
      <c r="O862" s="93"/>
      <c r="P862" s="93"/>
      <c r="Q862" s="93"/>
      <c r="R862" s="93"/>
      <c r="S862" s="93"/>
      <c r="T862" s="93"/>
      <c r="U862" s="93"/>
      <c r="V862" s="93"/>
      <c r="W862" s="93"/>
      <c r="X862" s="93"/>
      <c r="Y862" s="93"/>
      <c r="Z862" s="93"/>
      <c r="AA862" s="93"/>
      <c r="AB862" s="93"/>
    </row>
    <row r="863" spans="1:28" ht="12.75" customHeight="1">
      <c r="A863" s="120" t="s">
        <v>498</v>
      </c>
      <c r="B863" s="428">
        <v>44326</v>
      </c>
      <c r="C863" s="429">
        <v>22766</v>
      </c>
      <c r="D863" s="422">
        <f>C863+C862</f>
        <v>-5184</v>
      </c>
      <c r="E863" s="423">
        <f>-D863/C862</f>
        <v>-0.18547406082289802</v>
      </c>
      <c r="F863" s="344">
        <f>B863-B862</f>
        <v>103</v>
      </c>
      <c r="G863" s="4"/>
      <c r="H863" s="93"/>
      <c r="K863" s="93"/>
      <c r="L863" s="93"/>
      <c r="M863" s="93"/>
      <c r="N863" s="93"/>
      <c r="O863" s="93"/>
      <c r="P863" s="93"/>
      <c r="Q863" s="93"/>
      <c r="R863" s="93"/>
      <c r="S863" s="93"/>
      <c r="T863" s="93"/>
      <c r="U863" s="93"/>
      <c r="V863" s="93"/>
      <c r="W863" s="93"/>
      <c r="X863" s="93"/>
      <c r="Y863" s="93"/>
      <c r="Z863" s="93"/>
      <c r="AA863" s="93"/>
      <c r="AB863" s="93"/>
    </row>
    <row r="864" spans="1:28" ht="12.75" customHeight="1">
      <c r="A864" s="149" t="s">
        <v>576</v>
      </c>
      <c r="B864" s="148">
        <v>44497</v>
      </c>
      <c r="C864" s="356">
        <v>-13766</v>
      </c>
      <c r="D864" s="356"/>
      <c r="E864" s="420"/>
      <c r="F864" s="424"/>
      <c r="G864" s="4"/>
      <c r="H864" s="93"/>
      <c r="K864" s="93"/>
      <c r="L864" s="93"/>
      <c r="M864" s="93"/>
      <c r="N864" s="93"/>
      <c r="O864" s="93"/>
      <c r="P864" s="93"/>
      <c r="Q864" s="93"/>
      <c r="R864" s="93"/>
      <c r="S864" s="93"/>
      <c r="T864" s="93"/>
      <c r="U864" s="93"/>
      <c r="V864" s="93"/>
      <c r="W864" s="93"/>
      <c r="X864" s="93"/>
      <c r="Y864" s="93"/>
      <c r="Z864" s="93"/>
      <c r="AA864" s="93"/>
      <c r="AB864" s="93"/>
    </row>
    <row r="865" spans="1:28" ht="12.75" customHeight="1">
      <c r="A865" s="120" t="s">
        <v>576</v>
      </c>
      <c r="B865" s="150">
        <v>44517</v>
      </c>
      <c r="C865" s="422">
        <v>14265</v>
      </c>
      <c r="D865" s="422">
        <f>C865+C864</f>
        <v>499</v>
      </c>
      <c r="E865" s="423">
        <f>-D865/C864</f>
        <v>3.6248728751997673E-2</v>
      </c>
      <c r="F865" s="344">
        <f>B865-B864</f>
        <v>20</v>
      </c>
      <c r="G865" s="4"/>
      <c r="H865" s="93"/>
      <c r="K865" s="93"/>
      <c r="L865" s="93"/>
      <c r="M865" s="93"/>
      <c r="N865" s="93"/>
      <c r="O865" s="93"/>
      <c r="P865" s="93"/>
      <c r="Q865" s="93"/>
      <c r="R865" s="93"/>
      <c r="S865" s="93"/>
      <c r="T865" s="93"/>
      <c r="U865" s="93"/>
      <c r="V865" s="93"/>
      <c r="W865" s="93"/>
      <c r="X865" s="93"/>
      <c r="Y865" s="93"/>
      <c r="Z865" s="93"/>
      <c r="AA865" s="93"/>
      <c r="AB865" s="93"/>
    </row>
    <row r="866" spans="1:28" ht="12.75" customHeight="1">
      <c r="A866" s="149" t="s">
        <v>576</v>
      </c>
      <c r="B866" s="148">
        <v>44650</v>
      </c>
      <c r="C866" s="356">
        <v>-12590</v>
      </c>
      <c r="D866" s="356"/>
      <c r="E866" s="420"/>
      <c r="F866" s="424"/>
      <c r="G866" s="4"/>
      <c r="H866" s="93"/>
      <c r="K866" s="93"/>
      <c r="L866" s="93"/>
      <c r="M866" s="93"/>
      <c r="N866" s="93"/>
      <c r="O866" s="93"/>
      <c r="P866" s="93"/>
      <c r="Q866" s="93"/>
      <c r="R866" s="93"/>
      <c r="S866" s="93"/>
      <c r="T866" s="93"/>
      <c r="U866" s="93"/>
      <c r="V866" s="93"/>
      <c r="W866" s="93"/>
      <c r="X866" s="93"/>
      <c r="Y866" s="93"/>
      <c r="Z866" s="93"/>
      <c r="AA866" s="93"/>
      <c r="AB866" s="93"/>
    </row>
    <row r="867" spans="1:28" ht="12.75" customHeight="1">
      <c r="A867" s="120" t="s">
        <v>576</v>
      </c>
      <c r="B867" s="150">
        <v>44651</v>
      </c>
      <c r="C867" s="422">
        <v>12612</v>
      </c>
      <c r="D867" s="422">
        <f>C867+C866</f>
        <v>22</v>
      </c>
      <c r="E867" s="423">
        <f>IFERROR(-D867/C866,0)</f>
        <v>1.7474185861795076E-3</v>
      </c>
      <c r="F867" s="344">
        <f>B867-B866</f>
        <v>1</v>
      </c>
      <c r="G867" s="4"/>
      <c r="H867" s="93"/>
      <c r="K867" s="93"/>
      <c r="L867" s="93"/>
      <c r="M867" s="93"/>
      <c r="N867" s="93"/>
      <c r="O867" s="93"/>
      <c r="P867" s="93"/>
      <c r="Q867" s="93"/>
      <c r="R867" s="93"/>
      <c r="S867" s="93"/>
      <c r="T867" s="93"/>
      <c r="U867" s="93"/>
      <c r="V867" s="93"/>
      <c r="W867" s="93"/>
      <c r="X867" s="93"/>
      <c r="Y867" s="93"/>
      <c r="Z867" s="93"/>
      <c r="AA867" s="93"/>
      <c r="AB867" s="93"/>
    </row>
    <row r="868" spans="1:28" ht="12.75" customHeight="1">
      <c r="A868" s="149" t="s">
        <v>576</v>
      </c>
      <c r="B868" s="148">
        <v>44796</v>
      </c>
      <c r="C868" s="356">
        <v>-1576</v>
      </c>
      <c r="D868" s="356"/>
      <c r="E868" s="420"/>
      <c r="F868" s="424"/>
      <c r="G868" s="4"/>
      <c r="H868" s="93"/>
      <c r="K868" s="93"/>
      <c r="L868" s="93"/>
      <c r="M868" s="93"/>
      <c r="N868" s="93"/>
      <c r="O868" s="93"/>
      <c r="P868" s="93"/>
      <c r="Q868" s="93"/>
      <c r="R868" s="93"/>
      <c r="S868" s="93"/>
      <c r="T868" s="93"/>
      <c r="U868" s="93"/>
      <c r="V868" s="93"/>
      <c r="W868" s="93"/>
      <c r="X868" s="93"/>
      <c r="Y868" s="93"/>
      <c r="Z868" s="93"/>
      <c r="AA868" s="93"/>
      <c r="AB868" s="93"/>
    </row>
    <row r="869" spans="1:28" ht="12.75" customHeight="1">
      <c r="A869" s="120" t="s">
        <v>576</v>
      </c>
      <c r="B869" s="150">
        <v>44890</v>
      </c>
      <c r="C869" s="422">
        <v>1703</v>
      </c>
      <c r="D869" s="422">
        <f>C869+C868</f>
        <v>127</v>
      </c>
      <c r="E869" s="423">
        <f>IFERROR(-D869/C868,0)</f>
        <v>8.0583756345177671E-2</v>
      </c>
      <c r="F869" s="344">
        <f>B869-B868</f>
        <v>94</v>
      </c>
      <c r="G869" s="4"/>
      <c r="H869" s="93"/>
      <c r="K869" s="93"/>
      <c r="L869" s="93"/>
      <c r="M869" s="93"/>
      <c r="N869" s="93"/>
      <c r="O869" s="93"/>
      <c r="P869" s="93"/>
      <c r="Q869" s="93"/>
      <c r="R869" s="93"/>
      <c r="S869" s="93"/>
      <c r="T869" s="93"/>
      <c r="U869" s="93"/>
      <c r="V869" s="93"/>
      <c r="W869" s="93"/>
      <c r="X869" s="93"/>
      <c r="Y869" s="93"/>
      <c r="Z869" s="93"/>
      <c r="AA869" s="93"/>
      <c r="AB869" s="93"/>
    </row>
    <row r="870" spans="1:28" ht="12.75" customHeight="1">
      <c r="A870" s="149" t="s">
        <v>576</v>
      </c>
      <c r="B870" s="148">
        <v>44943</v>
      </c>
      <c r="C870" s="356">
        <v>-16670</v>
      </c>
      <c r="D870" s="356"/>
      <c r="E870" s="420"/>
      <c r="F870" s="424"/>
      <c r="G870" s="4"/>
      <c r="H870" s="93"/>
      <c r="K870" s="93"/>
      <c r="L870" s="93"/>
      <c r="M870" s="93"/>
      <c r="N870" s="93"/>
      <c r="O870" s="93"/>
      <c r="P870" s="93"/>
      <c r="Q870" s="93"/>
      <c r="R870" s="93"/>
      <c r="S870" s="93"/>
      <c r="T870" s="93"/>
      <c r="U870" s="93"/>
      <c r="V870" s="93"/>
      <c r="W870" s="93"/>
      <c r="X870" s="93"/>
      <c r="Y870" s="93"/>
      <c r="Z870" s="93"/>
      <c r="AA870" s="93"/>
      <c r="AB870" s="93"/>
    </row>
    <row r="871" spans="1:28" ht="12.75" customHeight="1">
      <c r="A871" s="120" t="s">
        <v>576</v>
      </c>
      <c r="B871" s="150">
        <v>44950</v>
      </c>
      <c r="C871" s="422">
        <v>16982</v>
      </c>
      <c r="D871" s="422">
        <f>C871+C870</f>
        <v>312</v>
      </c>
      <c r="E871" s="423">
        <f>IFERROR(-D871/C870,0)</f>
        <v>1.8716256748650271E-2</v>
      </c>
      <c r="F871" s="344">
        <f>B871-B870</f>
        <v>7</v>
      </c>
      <c r="G871" s="4"/>
      <c r="H871" s="93"/>
      <c r="K871" s="93"/>
      <c r="L871" s="93"/>
      <c r="M871" s="93"/>
      <c r="N871" s="93"/>
      <c r="O871" s="93"/>
      <c r="P871" s="93"/>
      <c r="Q871" s="93"/>
      <c r="R871" s="93"/>
      <c r="S871" s="93"/>
      <c r="T871" s="93"/>
      <c r="U871" s="93"/>
      <c r="V871" s="93"/>
      <c r="W871" s="93"/>
      <c r="X871" s="93"/>
      <c r="Y871" s="93"/>
      <c r="Z871" s="93"/>
      <c r="AA871" s="93"/>
      <c r="AB871" s="93"/>
    </row>
    <row r="872" spans="1:28" ht="12.75" customHeight="1">
      <c r="A872" s="149" t="s">
        <v>526</v>
      </c>
      <c r="B872" s="148">
        <v>44358</v>
      </c>
      <c r="C872" s="149">
        <v>-4430</v>
      </c>
      <c r="D872" s="356"/>
      <c r="E872" s="420"/>
      <c r="F872" s="424"/>
      <c r="G872" s="4"/>
      <c r="H872" s="93"/>
      <c r="K872" s="93"/>
      <c r="L872" s="93"/>
      <c r="M872" s="93"/>
      <c r="N872" s="93"/>
      <c r="O872" s="93"/>
      <c r="P872" s="93"/>
      <c r="Q872" s="93"/>
      <c r="R872" s="93"/>
      <c r="S872" s="93"/>
      <c r="T872" s="93"/>
      <c r="U872" s="93"/>
      <c r="V872" s="93"/>
      <c r="W872" s="93"/>
      <c r="X872" s="93"/>
      <c r="Y872" s="93"/>
      <c r="Z872" s="93"/>
      <c r="AA872" s="93"/>
      <c r="AB872" s="93"/>
    </row>
    <row r="873" spans="1:28" ht="12.75" customHeight="1">
      <c r="A873" s="120" t="s">
        <v>526</v>
      </c>
      <c r="B873" s="150">
        <v>44487</v>
      </c>
      <c r="C873" s="422">
        <v>4795</v>
      </c>
      <c r="D873" s="422">
        <f>C873+C872</f>
        <v>365</v>
      </c>
      <c r="E873" s="423">
        <f>-D873/C872</f>
        <v>8.2392776523702027E-2</v>
      </c>
      <c r="F873" s="344">
        <f>B873-B872</f>
        <v>129</v>
      </c>
      <c r="G873" s="4"/>
      <c r="H873" s="93"/>
      <c r="K873" s="93"/>
      <c r="L873" s="93"/>
      <c r="M873" s="93"/>
      <c r="N873" s="93"/>
      <c r="O873" s="93"/>
      <c r="P873" s="93"/>
      <c r="Q873" s="93"/>
      <c r="R873" s="93"/>
      <c r="S873" s="93"/>
      <c r="T873" s="93"/>
      <c r="U873" s="93"/>
      <c r="V873" s="93"/>
      <c r="W873" s="93"/>
      <c r="X873" s="93"/>
      <c r="Y873" s="93"/>
      <c r="Z873" s="93"/>
      <c r="AA873" s="93"/>
      <c r="AB873" s="93"/>
    </row>
    <row r="874" spans="1:28" ht="12.75" customHeight="1">
      <c r="A874" s="149" t="s">
        <v>612</v>
      </c>
      <c r="B874" s="148">
        <v>44756</v>
      </c>
      <c r="C874" s="356">
        <v>-5507</v>
      </c>
      <c r="D874" s="356"/>
      <c r="E874" s="420"/>
      <c r="F874" s="424"/>
      <c r="G874" s="4"/>
      <c r="H874" s="93"/>
      <c r="K874" s="93"/>
      <c r="L874" s="93"/>
      <c r="M874" s="93"/>
      <c r="N874" s="93"/>
      <c r="O874" s="93"/>
      <c r="P874" s="93"/>
      <c r="Q874" s="93"/>
      <c r="R874" s="93"/>
      <c r="S874" s="93"/>
      <c r="T874" s="93"/>
      <c r="U874" s="93"/>
      <c r="V874" s="93"/>
      <c r="W874" s="93"/>
      <c r="X874" s="93"/>
      <c r="Y874" s="93"/>
      <c r="Z874" s="93"/>
      <c r="AA874" s="93"/>
      <c r="AB874" s="93"/>
    </row>
    <row r="875" spans="1:28" ht="12.75" customHeight="1">
      <c r="A875" s="120" t="s">
        <v>612</v>
      </c>
      <c r="B875" s="150">
        <v>44796</v>
      </c>
      <c r="C875" s="422">
        <v>5687</v>
      </c>
      <c r="D875" s="422">
        <f>C875+C874</f>
        <v>180</v>
      </c>
      <c r="E875" s="423">
        <f>IFERROR(-D875/C874,0)</f>
        <v>3.2685672780098055E-2</v>
      </c>
      <c r="F875" s="344">
        <f>B875-B874</f>
        <v>40</v>
      </c>
      <c r="G875" s="4"/>
      <c r="H875" s="93"/>
      <c r="K875" s="93"/>
      <c r="L875" s="93"/>
      <c r="M875" s="93"/>
      <c r="N875" s="93"/>
      <c r="O875" s="93"/>
      <c r="P875" s="93"/>
      <c r="Q875" s="93"/>
      <c r="R875" s="93"/>
      <c r="S875" s="93"/>
      <c r="T875" s="93"/>
      <c r="U875" s="93"/>
      <c r="V875" s="93"/>
      <c r="W875" s="93"/>
      <c r="X875" s="93"/>
      <c r="Y875" s="93"/>
      <c r="Z875" s="93"/>
      <c r="AA875" s="93"/>
      <c r="AB875" s="93"/>
    </row>
    <row r="876" spans="1:28" ht="12.75" customHeight="1">
      <c r="A876" s="149" t="s">
        <v>528</v>
      </c>
      <c r="B876" s="148">
        <v>44361</v>
      </c>
      <c r="C876" s="149">
        <v>-13516</v>
      </c>
      <c r="D876" s="356"/>
      <c r="E876" s="420"/>
      <c r="F876" s="424"/>
      <c r="G876" s="4"/>
      <c r="H876" s="93"/>
      <c r="K876" s="93"/>
      <c r="L876" s="93"/>
      <c r="M876" s="93"/>
      <c r="N876" s="93"/>
      <c r="O876" s="93"/>
      <c r="P876" s="93"/>
      <c r="Q876" s="93"/>
      <c r="R876" s="93"/>
      <c r="S876" s="93"/>
      <c r="T876" s="93"/>
      <c r="U876" s="93"/>
      <c r="V876" s="93"/>
      <c r="W876" s="93"/>
      <c r="X876" s="93"/>
      <c r="Y876" s="93"/>
      <c r="Z876" s="93"/>
      <c r="AA876" s="93"/>
      <c r="AB876" s="93"/>
    </row>
    <row r="877" spans="1:28" ht="12.75" customHeight="1">
      <c r="A877" s="120" t="s">
        <v>528</v>
      </c>
      <c r="B877" s="150">
        <v>44372</v>
      </c>
      <c r="C877" s="422">
        <v>13736</v>
      </c>
      <c r="D877" s="422">
        <f>C877+C876</f>
        <v>220</v>
      </c>
      <c r="E877" s="423">
        <f>-D877/C876</f>
        <v>1.6277005031074283E-2</v>
      </c>
      <c r="F877" s="344">
        <f>B877-B876</f>
        <v>11</v>
      </c>
      <c r="G877" s="4"/>
      <c r="H877" s="93"/>
      <c r="K877" s="93"/>
      <c r="L877" s="93"/>
      <c r="M877" s="93"/>
      <c r="N877" s="93"/>
      <c r="O877" s="93"/>
      <c r="P877" s="93"/>
      <c r="Q877" s="93"/>
      <c r="R877" s="93"/>
      <c r="S877" s="93"/>
      <c r="T877" s="93"/>
      <c r="U877" s="93"/>
      <c r="V877" s="93"/>
      <c r="W877" s="93"/>
      <c r="X877" s="93"/>
      <c r="Y877" s="93"/>
      <c r="Z877" s="93"/>
      <c r="AA877" s="93"/>
      <c r="AB877" s="93"/>
    </row>
    <row r="878" spans="1:28" ht="12.75" customHeight="1">
      <c r="A878" s="149" t="s">
        <v>528</v>
      </c>
      <c r="B878" s="148">
        <v>44372</v>
      </c>
      <c r="C878" s="149">
        <v>-13666</v>
      </c>
      <c r="D878" s="356"/>
      <c r="E878" s="420"/>
      <c r="F878" s="424"/>
      <c r="G878" s="4"/>
      <c r="H878" s="93"/>
      <c r="K878" s="93"/>
      <c r="L878" s="93"/>
      <c r="M878" s="93"/>
      <c r="N878" s="93"/>
      <c r="O878" s="93"/>
      <c r="P878" s="93"/>
      <c r="Q878" s="93"/>
      <c r="R878" s="93"/>
      <c r="S878" s="93"/>
      <c r="T878" s="93"/>
      <c r="U878" s="93"/>
      <c r="V878" s="93"/>
      <c r="W878" s="93"/>
      <c r="X878" s="93"/>
      <c r="Y878" s="93"/>
      <c r="Z878" s="93"/>
      <c r="AA878" s="93"/>
      <c r="AB878" s="93"/>
    </row>
    <row r="879" spans="1:28" ht="12.75" customHeight="1">
      <c r="A879" s="120" t="s">
        <v>528</v>
      </c>
      <c r="B879" s="150">
        <v>44378</v>
      </c>
      <c r="C879" s="422">
        <v>11928</v>
      </c>
      <c r="D879" s="422">
        <f>C879+C878</f>
        <v>-1738</v>
      </c>
      <c r="E879" s="423">
        <f>-D879/C878</f>
        <v>-0.12717693546026634</v>
      </c>
      <c r="F879" s="344">
        <f>B879-B878</f>
        <v>6</v>
      </c>
      <c r="G879" s="4"/>
      <c r="H879" s="93"/>
      <c r="K879" s="93"/>
      <c r="L879" s="93"/>
      <c r="M879" s="93"/>
      <c r="N879" s="93"/>
      <c r="O879" s="93"/>
      <c r="P879" s="93"/>
      <c r="Q879" s="93"/>
      <c r="R879" s="93"/>
      <c r="S879" s="93"/>
      <c r="T879" s="93"/>
      <c r="U879" s="93"/>
      <c r="V879" s="93"/>
      <c r="W879" s="93"/>
      <c r="X879" s="93"/>
      <c r="Y879" s="93"/>
      <c r="Z879" s="93"/>
      <c r="AA879" s="93"/>
      <c r="AB879" s="93"/>
    </row>
    <row r="880" spans="1:28" ht="12.75" customHeight="1">
      <c r="A880" s="149" t="s">
        <v>528</v>
      </c>
      <c r="B880" s="148">
        <v>44378</v>
      </c>
      <c r="C880" s="149">
        <v>-12465</v>
      </c>
      <c r="D880" s="356"/>
      <c r="E880" s="420"/>
      <c r="F880" s="424"/>
      <c r="G880" s="4"/>
      <c r="H880" s="93"/>
      <c r="K880" s="93"/>
      <c r="L880" s="93"/>
      <c r="M880" s="93"/>
      <c r="N880" s="93"/>
      <c r="O880" s="93"/>
      <c r="P880" s="93"/>
      <c r="Q880" s="93"/>
      <c r="R880" s="93"/>
      <c r="S880" s="93"/>
      <c r="T880" s="93"/>
      <c r="U880" s="93"/>
      <c r="V880" s="93"/>
      <c r="W880" s="93"/>
      <c r="X880" s="93"/>
      <c r="Y880" s="93"/>
      <c r="Z880" s="93"/>
      <c r="AA880" s="93"/>
      <c r="AB880" s="93"/>
    </row>
    <row r="881" spans="1:28" ht="12.75" customHeight="1">
      <c r="A881" s="120" t="s">
        <v>528</v>
      </c>
      <c r="B881" s="150">
        <v>44386</v>
      </c>
      <c r="C881" s="422">
        <v>13086</v>
      </c>
      <c r="D881" s="422">
        <f>C881+C880</f>
        <v>621</v>
      </c>
      <c r="E881" s="423">
        <f>-D881/C880</f>
        <v>4.9819494584837545E-2</v>
      </c>
      <c r="F881" s="344">
        <f>B881-B880</f>
        <v>8</v>
      </c>
      <c r="G881" s="4"/>
      <c r="H881" s="93"/>
      <c r="K881" s="93"/>
      <c r="L881" s="93"/>
      <c r="M881" s="93"/>
      <c r="N881" s="93"/>
      <c r="O881" s="93"/>
      <c r="P881" s="93"/>
      <c r="Q881" s="93"/>
      <c r="R881" s="93"/>
      <c r="S881" s="93"/>
      <c r="T881" s="93"/>
      <c r="U881" s="93"/>
      <c r="V881" s="93"/>
      <c r="W881" s="93"/>
      <c r="X881" s="93"/>
      <c r="Y881" s="93"/>
      <c r="Z881" s="93"/>
      <c r="AA881" s="93"/>
      <c r="AB881" s="93"/>
    </row>
    <row r="882" spans="1:28" ht="12.75" customHeight="1">
      <c r="A882" s="149" t="s">
        <v>528</v>
      </c>
      <c r="B882" s="148">
        <v>44391</v>
      </c>
      <c r="C882" s="149">
        <v>-6458</v>
      </c>
      <c r="D882" s="356"/>
      <c r="E882" s="420"/>
      <c r="F882" s="424"/>
      <c r="G882" s="4"/>
      <c r="H882" s="93"/>
      <c r="K882" s="93"/>
      <c r="L882" s="93"/>
      <c r="M882" s="93"/>
      <c r="N882" s="93"/>
      <c r="O882" s="93"/>
      <c r="P882" s="93"/>
      <c r="Q882" s="93"/>
      <c r="R882" s="93"/>
      <c r="S882" s="93"/>
      <c r="T882" s="93"/>
      <c r="U882" s="93"/>
      <c r="V882" s="93"/>
      <c r="W882" s="93"/>
      <c r="X882" s="93"/>
      <c r="Y882" s="93"/>
      <c r="Z882" s="93"/>
      <c r="AA882" s="93"/>
      <c r="AB882" s="93"/>
    </row>
    <row r="883" spans="1:28" ht="12.75" customHeight="1">
      <c r="A883" s="120" t="s">
        <v>528</v>
      </c>
      <c r="B883" s="150">
        <v>44440</v>
      </c>
      <c r="C883" s="422">
        <v>3911</v>
      </c>
      <c r="D883" s="422">
        <f>C883+C882</f>
        <v>-2547</v>
      </c>
      <c r="E883" s="423">
        <f>-D883/C882</f>
        <v>-0.39439454939609786</v>
      </c>
      <c r="F883" s="344">
        <f>B883-B882</f>
        <v>49</v>
      </c>
      <c r="G883" s="4"/>
      <c r="H883" s="93"/>
      <c r="K883" s="93"/>
      <c r="L883" s="93"/>
      <c r="M883" s="93"/>
      <c r="N883" s="93"/>
      <c r="O883" s="93"/>
      <c r="P883" s="93"/>
      <c r="Q883" s="93"/>
      <c r="R883" s="93"/>
      <c r="S883" s="93"/>
      <c r="T883" s="93"/>
      <c r="U883" s="93"/>
      <c r="V883" s="93"/>
      <c r="W883" s="93"/>
      <c r="X883" s="93"/>
      <c r="Y883" s="93"/>
      <c r="Z883" s="93"/>
      <c r="AA883" s="93"/>
      <c r="AB883" s="93"/>
    </row>
    <row r="884" spans="1:28" ht="12.75" customHeight="1">
      <c r="A884" s="149" t="s">
        <v>525</v>
      </c>
      <c r="B884" s="148">
        <v>44358</v>
      </c>
      <c r="C884" s="149">
        <v>-21085</v>
      </c>
      <c r="D884" s="356"/>
      <c r="E884" s="420"/>
      <c r="F884" s="424"/>
      <c r="G884" s="4"/>
      <c r="H884" s="93"/>
      <c r="K884" s="93"/>
      <c r="L884" s="93"/>
      <c r="M884" s="93"/>
      <c r="N884" s="93"/>
      <c r="O884" s="93"/>
      <c r="P884" s="93"/>
      <c r="Q884" s="93"/>
      <c r="R884" s="93"/>
      <c r="S884" s="93"/>
      <c r="T884" s="93"/>
      <c r="U884" s="93"/>
      <c r="V884" s="93"/>
      <c r="W884" s="93"/>
      <c r="X884" s="93"/>
      <c r="Y884" s="93"/>
      <c r="Z884" s="93"/>
      <c r="AA884" s="93"/>
      <c r="AB884" s="93"/>
    </row>
    <row r="885" spans="1:28" ht="12.75" customHeight="1">
      <c r="A885" s="120" t="s">
        <v>525</v>
      </c>
      <c r="B885" s="150">
        <v>44377</v>
      </c>
      <c r="C885" s="422">
        <v>21717</v>
      </c>
      <c r="D885" s="422">
        <f>C885+C884</f>
        <v>632</v>
      </c>
      <c r="E885" s="423">
        <f>-D885/C884</f>
        <v>2.9973915105525255E-2</v>
      </c>
      <c r="F885" s="344">
        <f>B885-B884</f>
        <v>19</v>
      </c>
      <c r="G885" s="4"/>
      <c r="H885" s="93"/>
      <c r="K885" s="93"/>
      <c r="L885" s="93"/>
      <c r="M885" s="93"/>
      <c r="N885" s="93"/>
      <c r="O885" s="93"/>
      <c r="P885" s="93"/>
      <c r="Q885" s="93"/>
      <c r="R885" s="93"/>
      <c r="S885" s="93"/>
      <c r="T885" s="93"/>
      <c r="U885" s="93"/>
      <c r="V885" s="93"/>
      <c r="W885" s="93"/>
      <c r="X885" s="93"/>
      <c r="Y885" s="93"/>
      <c r="Z885" s="93"/>
      <c r="AA885" s="93"/>
      <c r="AB885" s="93"/>
    </row>
    <row r="886" spans="1:28" ht="12.75" customHeight="1">
      <c r="A886" s="133" t="s">
        <v>508</v>
      </c>
      <c r="B886" s="425">
        <v>44337</v>
      </c>
      <c r="C886" s="426">
        <v>-6718</v>
      </c>
      <c r="D886" s="356"/>
      <c r="E886" s="420"/>
      <c r="F886" s="424"/>
      <c r="G886" s="4"/>
      <c r="H886" s="93"/>
      <c r="K886" s="93"/>
      <c r="L886" s="93"/>
      <c r="M886" s="93"/>
      <c r="N886" s="93"/>
      <c r="O886" s="93"/>
      <c r="P886" s="93"/>
      <c r="Q886" s="93"/>
      <c r="R886" s="93"/>
      <c r="S886" s="93"/>
      <c r="T886" s="93"/>
      <c r="U886" s="93"/>
      <c r="V886" s="93"/>
      <c r="W886" s="93"/>
      <c r="X886" s="93"/>
      <c r="Y886" s="93"/>
      <c r="Z886" s="93"/>
      <c r="AA886" s="93"/>
      <c r="AB886" s="93"/>
    </row>
    <row r="887" spans="1:28" ht="12.75" customHeight="1">
      <c r="A887" s="120" t="s">
        <v>508</v>
      </c>
      <c r="B887" s="428">
        <v>44340</v>
      </c>
      <c r="C887" s="429">
        <v>6901</v>
      </c>
      <c r="D887" s="422">
        <f>C887+C886</f>
        <v>183</v>
      </c>
      <c r="E887" s="423">
        <f>-D887/C886</f>
        <v>2.7240250074426913E-2</v>
      </c>
      <c r="F887" s="344">
        <f>B887-B886</f>
        <v>3</v>
      </c>
      <c r="G887" s="4"/>
      <c r="H887" s="93"/>
      <c r="K887" s="93"/>
      <c r="L887" s="93"/>
      <c r="M887" s="93"/>
      <c r="N887" s="93"/>
      <c r="O887" s="93"/>
      <c r="P887" s="93"/>
      <c r="Q887" s="93"/>
      <c r="R887" s="93"/>
      <c r="S887" s="93"/>
      <c r="T887" s="93"/>
      <c r="U887" s="93"/>
      <c r="V887" s="93"/>
      <c r="W887" s="93"/>
      <c r="X887" s="93"/>
      <c r="Y887" s="93"/>
      <c r="Z887" s="93"/>
      <c r="AA887" s="93"/>
      <c r="AB887" s="93"/>
    </row>
    <row r="888" spans="1:28" ht="12.75" customHeight="1">
      <c r="A888" s="134" t="s">
        <v>508</v>
      </c>
      <c r="B888" s="425">
        <v>44337</v>
      </c>
      <c r="C888" s="426">
        <v>-11604</v>
      </c>
      <c r="D888" s="356"/>
      <c r="E888" s="420"/>
      <c r="F888" s="424"/>
      <c r="G888" s="4"/>
      <c r="H888" s="93"/>
      <c r="K888" s="93"/>
      <c r="L888" s="93"/>
      <c r="M888" s="93"/>
      <c r="N888" s="93"/>
      <c r="O888" s="93"/>
      <c r="P888" s="93"/>
      <c r="Q888" s="93"/>
      <c r="R888" s="93"/>
      <c r="S888" s="93"/>
      <c r="T888" s="93"/>
      <c r="U888" s="93"/>
      <c r="V888" s="93"/>
      <c r="W888" s="93"/>
      <c r="X888" s="93"/>
      <c r="Y888" s="93"/>
      <c r="Z888" s="93"/>
      <c r="AA888" s="93"/>
      <c r="AB888" s="93"/>
    </row>
    <row r="889" spans="1:28" ht="12.75" customHeight="1">
      <c r="A889" s="120" t="s">
        <v>508</v>
      </c>
      <c r="B889" s="428">
        <v>44349</v>
      </c>
      <c r="C889" s="429">
        <v>12071</v>
      </c>
      <c r="D889" s="422">
        <f>C889+C888</f>
        <v>467</v>
      </c>
      <c r="E889" s="423">
        <f>-D889/C888</f>
        <v>4.024474319200276E-2</v>
      </c>
      <c r="F889" s="344">
        <f>B889-B888</f>
        <v>12</v>
      </c>
      <c r="G889" s="4"/>
      <c r="H889" s="93"/>
      <c r="K889" s="93"/>
      <c r="L889" s="93"/>
      <c r="M889" s="93"/>
      <c r="N889" s="93"/>
      <c r="O889" s="93"/>
      <c r="P889" s="93"/>
      <c r="Q889" s="93"/>
      <c r="R889" s="93"/>
      <c r="S889" s="93"/>
      <c r="T889" s="93"/>
      <c r="U889" s="93"/>
      <c r="V889" s="93"/>
      <c r="W889" s="93"/>
      <c r="X889" s="93"/>
      <c r="Y889" s="93"/>
      <c r="Z889" s="93"/>
      <c r="AA889" s="93"/>
      <c r="AB889" s="93"/>
    </row>
    <row r="890" spans="1:28" ht="12.75" customHeight="1">
      <c r="A890" s="149" t="s">
        <v>521</v>
      </c>
      <c r="B890" s="148">
        <v>44350</v>
      </c>
      <c r="C890" s="149">
        <v>-11464</v>
      </c>
      <c r="D890" s="356"/>
      <c r="E890" s="420"/>
      <c r="F890" s="424"/>
      <c r="G890" s="4"/>
      <c r="H890" s="93"/>
      <c r="K890" s="93"/>
      <c r="L890" s="93"/>
      <c r="M890" s="93"/>
      <c r="N890" s="93"/>
      <c r="O890" s="93"/>
      <c r="P890" s="93"/>
      <c r="Q890" s="93"/>
      <c r="R890" s="93"/>
      <c r="S890" s="93"/>
      <c r="T890" s="93"/>
      <c r="U890" s="93"/>
      <c r="V890" s="93"/>
      <c r="W890" s="93"/>
      <c r="X890" s="93"/>
      <c r="Y890" s="93"/>
      <c r="Z890" s="93"/>
      <c r="AA890" s="93"/>
      <c r="AB890" s="93"/>
    </row>
    <row r="891" spans="1:28" ht="12.75" customHeight="1">
      <c r="A891" s="120" t="s">
        <v>521</v>
      </c>
      <c r="B891" s="150">
        <v>44377</v>
      </c>
      <c r="C891" s="422">
        <v>11705</v>
      </c>
      <c r="D891" s="422">
        <f>C891+C890</f>
        <v>241</v>
      </c>
      <c r="E891" s="423">
        <f>-D891/C890</f>
        <v>2.1022330774598745E-2</v>
      </c>
      <c r="F891" s="344">
        <f>B891-B890</f>
        <v>27</v>
      </c>
      <c r="G891" s="4"/>
      <c r="H891" s="93"/>
      <c r="K891" s="93"/>
      <c r="L891" s="93"/>
      <c r="M891" s="93"/>
      <c r="N891" s="93"/>
      <c r="O891" s="93"/>
      <c r="P891" s="93"/>
      <c r="Q891" s="93"/>
      <c r="R891" s="93"/>
      <c r="S891" s="93"/>
      <c r="T891" s="93"/>
      <c r="U891" s="93"/>
      <c r="V891" s="93"/>
      <c r="W891" s="93"/>
      <c r="X891" s="93"/>
      <c r="Y891" s="93"/>
      <c r="Z891" s="93"/>
      <c r="AA891" s="93"/>
      <c r="AB891" s="93"/>
    </row>
    <row r="892" spans="1:28" ht="12.75" customHeight="1">
      <c r="A892" s="149" t="s">
        <v>564</v>
      </c>
      <c r="B892" s="148">
        <v>44454</v>
      </c>
      <c r="C892" s="356">
        <v>-7359</v>
      </c>
      <c r="D892" s="356"/>
      <c r="E892" s="420"/>
      <c r="F892" s="424"/>
      <c r="G892" s="4"/>
      <c r="H892" s="93"/>
      <c r="K892" s="93"/>
      <c r="L892" s="93"/>
      <c r="M892" s="93"/>
      <c r="N892" s="93"/>
      <c r="O892" s="93"/>
      <c r="P892" s="93"/>
      <c r="Q892" s="93"/>
      <c r="R892" s="93"/>
      <c r="S892" s="93"/>
      <c r="T892" s="93"/>
      <c r="U892" s="93"/>
      <c r="V892" s="93"/>
      <c r="W892" s="93"/>
      <c r="X892" s="93"/>
      <c r="Y892" s="93"/>
      <c r="Z892" s="93"/>
      <c r="AA892" s="93"/>
      <c r="AB892" s="93"/>
    </row>
    <row r="893" spans="1:28" ht="12.75" customHeight="1">
      <c r="A893" s="120" t="s">
        <v>564</v>
      </c>
      <c r="B893" s="150">
        <v>44509</v>
      </c>
      <c r="C893" s="422">
        <v>7442</v>
      </c>
      <c r="D893" s="422">
        <f>C893+C892</f>
        <v>83</v>
      </c>
      <c r="E893" s="423">
        <f>-D893/C892</f>
        <v>1.127870634597092E-2</v>
      </c>
      <c r="F893" s="344">
        <f>B893-B892</f>
        <v>55</v>
      </c>
      <c r="G893" s="4"/>
      <c r="H893" s="93"/>
      <c r="K893" s="93"/>
      <c r="L893" s="93"/>
      <c r="M893" s="93"/>
      <c r="N893" s="93"/>
      <c r="O893" s="93"/>
      <c r="P893" s="93"/>
      <c r="Q893" s="93"/>
      <c r="R893" s="93"/>
      <c r="S893" s="93"/>
      <c r="T893" s="93"/>
      <c r="U893" s="93"/>
      <c r="V893" s="93"/>
      <c r="W893" s="93"/>
      <c r="X893" s="93"/>
      <c r="Y893" s="93"/>
      <c r="Z893" s="93"/>
      <c r="AA893" s="93"/>
      <c r="AB893" s="93"/>
    </row>
    <row r="894" spans="1:28" ht="12.75" customHeight="1">
      <c r="A894" s="149" t="s">
        <v>554</v>
      </c>
      <c r="B894" s="148">
        <v>44400</v>
      </c>
      <c r="C894" s="149">
        <v>-2090</v>
      </c>
      <c r="D894" s="356"/>
      <c r="E894" s="420"/>
      <c r="F894" s="424"/>
      <c r="G894" s="4"/>
      <c r="H894" s="93"/>
      <c r="K894" s="93"/>
      <c r="L894" s="93"/>
      <c r="M894" s="93"/>
      <c r="N894" s="93"/>
      <c r="O894" s="93"/>
      <c r="P894" s="93"/>
      <c r="Q894" s="93"/>
      <c r="R894" s="93"/>
      <c r="S894" s="93"/>
      <c r="T894" s="93"/>
      <c r="U894" s="93"/>
      <c r="V894" s="93"/>
      <c r="W894" s="93"/>
      <c r="X894" s="93"/>
      <c r="Y894" s="93"/>
      <c r="Z894" s="93"/>
      <c r="AA894" s="93"/>
      <c r="AB894" s="93"/>
    </row>
    <row r="895" spans="1:28" ht="12.75" customHeight="1">
      <c r="A895" s="120" t="s">
        <v>554</v>
      </c>
      <c r="B895" s="150">
        <v>44405</v>
      </c>
      <c r="C895" s="422">
        <v>2373</v>
      </c>
      <c r="D895" s="422">
        <f>C895+C894</f>
        <v>283</v>
      </c>
      <c r="E895" s="423">
        <f>-D895/C894</f>
        <v>0.13540669856459331</v>
      </c>
      <c r="F895" s="344">
        <f>B895-B894</f>
        <v>5</v>
      </c>
      <c r="G895" s="4"/>
      <c r="H895" s="93"/>
      <c r="K895" s="93"/>
      <c r="L895" s="93"/>
      <c r="M895" s="93"/>
      <c r="N895" s="93"/>
      <c r="O895" s="93"/>
      <c r="P895" s="93"/>
      <c r="Q895" s="93"/>
      <c r="R895" s="93"/>
      <c r="S895" s="93"/>
      <c r="T895" s="93"/>
      <c r="U895" s="93"/>
      <c r="V895" s="93"/>
      <c r="W895" s="93"/>
      <c r="X895" s="93"/>
      <c r="Y895" s="93"/>
      <c r="Z895" s="93"/>
      <c r="AA895" s="93"/>
      <c r="AB895" s="93"/>
    </row>
    <row r="896" spans="1:28" ht="12.75" customHeight="1">
      <c r="A896" s="149" t="s">
        <v>549</v>
      </c>
      <c r="B896" s="148">
        <v>44389</v>
      </c>
      <c r="C896" s="149">
        <v>-4691</v>
      </c>
      <c r="D896" s="356"/>
      <c r="E896" s="420"/>
      <c r="F896" s="424"/>
      <c r="G896" s="4"/>
      <c r="H896" s="93"/>
      <c r="K896" s="93"/>
      <c r="L896" s="93"/>
      <c r="M896" s="93"/>
      <c r="N896" s="93"/>
      <c r="O896" s="93"/>
      <c r="P896" s="93"/>
      <c r="Q896" s="93"/>
      <c r="R896" s="93"/>
      <c r="S896" s="93"/>
      <c r="T896" s="93"/>
      <c r="U896" s="93"/>
      <c r="V896" s="93"/>
      <c r="W896" s="93"/>
      <c r="X896" s="93"/>
      <c r="Y896" s="93"/>
      <c r="Z896" s="93"/>
      <c r="AA896" s="93"/>
      <c r="AB896" s="93"/>
    </row>
    <row r="897" spans="1:28" ht="12.75" customHeight="1">
      <c r="A897" s="120" t="s">
        <v>549</v>
      </c>
      <c r="B897" s="150">
        <v>44487</v>
      </c>
      <c r="C897" s="422">
        <v>4760</v>
      </c>
      <c r="D897" s="422">
        <f>C897+C896</f>
        <v>69</v>
      </c>
      <c r="E897" s="423">
        <f>-D897/C896</f>
        <v>1.4709017267107227E-2</v>
      </c>
      <c r="F897" s="344">
        <f>B897-B896</f>
        <v>98</v>
      </c>
      <c r="G897" s="4"/>
      <c r="H897" s="93"/>
      <c r="K897" s="93"/>
      <c r="L897" s="93"/>
      <c r="M897" s="93"/>
      <c r="N897" s="93"/>
      <c r="O897" s="93"/>
      <c r="P897" s="93"/>
      <c r="Q897" s="93"/>
      <c r="R897" s="93"/>
      <c r="S897" s="93"/>
      <c r="T897" s="93"/>
      <c r="U897" s="93"/>
      <c r="V897" s="93"/>
      <c r="W897" s="93"/>
      <c r="X897" s="93"/>
      <c r="Y897" s="93"/>
      <c r="Z897" s="93"/>
      <c r="AA897" s="93"/>
      <c r="AB897" s="93"/>
    </row>
    <row r="898" spans="1:28" ht="12.75" customHeight="1">
      <c r="A898" s="133" t="s">
        <v>510</v>
      </c>
      <c r="B898" s="425">
        <v>44341</v>
      </c>
      <c r="C898" s="426">
        <v>-8410</v>
      </c>
      <c r="D898" s="356"/>
      <c r="E898" s="420"/>
      <c r="F898" s="424"/>
      <c r="G898" s="4"/>
      <c r="H898" s="93"/>
      <c r="K898" s="93"/>
      <c r="L898" s="93"/>
      <c r="M898" s="93"/>
      <c r="N898" s="93"/>
      <c r="O898" s="93"/>
      <c r="P898" s="93"/>
      <c r="Q898" s="93"/>
      <c r="R898" s="93"/>
      <c r="S898" s="93"/>
      <c r="T898" s="93"/>
      <c r="U898" s="93"/>
      <c r="V898" s="93"/>
      <c r="W898" s="93"/>
      <c r="X898" s="93"/>
      <c r="Y898" s="93"/>
      <c r="Z898" s="93"/>
      <c r="AA898" s="93"/>
      <c r="AB898" s="93"/>
    </row>
    <row r="899" spans="1:28" ht="12.75" customHeight="1">
      <c r="A899" s="120" t="s">
        <v>510</v>
      </c>
      <c r="B899" s="428">
        <v>44342</v>
      </c>
      <c r="C899" s="429">
        <v>8511</v>
      </c>
      <c r="D899" s="422">
        <f>C899+C898</f>
        <v>101</v>
      </c>
      <c r="E899" s="423">
        <f>-D899/C898</f>
        <v>1.2009512485136742E-2</v>
      </c>
      <c r="F899" s="344">
        <f>B899-B898</f>
        <v>1</v>
      </c>
      <c r="G899" s="4"/>
      <c r="H899" s="93"/>
      <c r="K899" s="93"/>
      <c r="L899" s="93"/>
      <c r="M899" s="93"/>
      <c r="N899" s="93"/>
      <c r="O899" s="93"/>
      <c r="P899" s="93"/>
      <c r="Q899" s="93"/>
      <c r="R899" s="93"/>
      <c r="S899" s="93"/>
      <c r="T899" s="93"/>
      <c r="U899" s="93"/>
      <c r="V899" s="93"/>
      <c r="W899" s="93"/>
      <c r="X899" s="93"/>
      <c r="Y899" s="93"/>
      <c r="Z899" s="93"/>
      <c r="AA899" s="93"/>
      <c r="AB899" s="93"/>
    </row>
    <row r="900" spans="1:28" ht="12.75" customHeight="1">
      <c r="A900" s="149" t="s">
        <v>591</v>
      </c>
      <c r="B900" s="148">
        <v>44581</v>
      </c>
      <c r="C900" s="356">
        <v>-18272</v>
      </c>
      <c r="D900" s="356"/>
      <c r="E900" s="420"/>
      <c r="F900" s="424"/>
      <c r="G900" s="4"/>
      <c r="H900" s="93"/>
      <c r="K900" s="93"/>
      <c r="L900" s="93"/>
      <c r="M900" s="93"/>
      <c r="N900" s="93"/>
      <c r="O900" s="93"/>
      <c r="P900" s="93"/>
      <c r="Q900" s="93"/>
      <c r="R900" s="93"/>
      <c r="S900" s="93"/>
      <c r="T900" s="93"/>
      <c r="U900" s="93"/>
      <c r="V900" s="93"/>
      <c r="W900" s="93"/>
      <c r="X900" s="93"/>
      <c r="Y900" s="93"/>
      <c r="Z900" s="93"/>
      <c r="AA900" s="93"/>
      <c r="AB900" s="93"/>
    </row>
    <row r="901" spans="1:28" ht="12.75" customHeight="1">
      <c r="A901" s="120" t="s">
        <v>591</v>
      </c>
      <c r="B901" s="150">
        <v>44614</v>
      </c>
      <c r="C901" s="422">
        <v>18331</v>
      </c>
      <c r="D901" s="422">
        <f>C901+C900</f>
        <v>59</v>
      </c>
      <c r="E901" s="423">
        <f>IFERROR(-D901/C900,0)</f>
        <v>3.2289842381786338E-3</v>
      </c>
      <c r="F901" s="344">
        <f>B901-B900</f>
        <v>33</v>
      </c>
      <c r="G901" s="4"/>
      <c r="H901" s="93"/>
      <c r="K901" s="93"/>
      <c r="L901" s="93"/>
      <c r="M901" s="93"/>
      <c r="N901" s="93"/>
      <c r="O901" s="93"/>
      <c r="P901" s="93"/>
      <c r="Q901" s="93"/>
      <c r="R901" s="93"/>
      <c r="S901" s="93"/>
      <c r="T901" s="93"/>
      <c r="U901" s="93"/>
      <c r="V901" s="93"/>
      <c r="W901" s="93"/>
      <c r="X901" s="93"/>
      <c r="Y901" s="93"/>
      <c r="Z901" s="93"/>
      <c r="AA901" s="93"/>
      <c r="AB901" s="93"/>
    </row>
    <row r="902" spans="1:28" ht="12.75" customHeight="1">
      <c r="A902" s="149" t="s">
        <v>591</v>
      </c>
      <c r="B902" s="148">
        <v>44616</v>
      </c>
      <c r="C902" s="356">
        <v>-8585</v>
      </c>
      <c r="D902" s="356"/>
      <c r="E902" s="420"/>
      <c r="F902" s="424"/>
      <c r="G902" s="4"/>
      <c r="H902" s="93"/>
      <c r="K902" s="93"/>
      <c r="L902" s="93"/>
      <c r="M902" s="93"/>
      <c r="N902" s="93"/>
      <c r="O902" s="93"/>
      <c r="P902" s="93"/>
      <c r="Q902" s="93"/>
      <c r="R902" s="93"/>
      <c r="S902" s="93"/>
      <c r="T902" s="93"/>
      <c r="U902" s="93"/>
      <c r="V902" s="93"/>
      <c r="W902" s="93"/>
      <c r="X902" s="93"/>
      <c r="Y902" s="93"/>
      <c r="Z902" s="93"/>
      <c r="AA902" s="93"/>
      <c r="AB902" s="93"/>
    </row>
    <row r="903" spans="1:28" ht="12.75" customHeight="1">
      <c r="A903" s="120" t="s">
        <v>591</v>
      </c>
      <c r="B903" s="150">
        <v>44622</v>
      </c>
      <c r="C903" s="422">
        <v>8641</v>
      </c>
      <c r="D903" s="422">
        <f>C903+C902</f>
        <v>56</v>
      </c>
      <c r="E903" s="423">
        <f>IFERROR(-D903/C902,0)</f>
        <v>6.5230052417006405E-3</v>
      </c>
      <c r="F903" s="344">
        <f>B903-B902</f>
        <v>6</v>
      </c>
      <c r="G903" s="4"/>
      <c r="H903" s="93"/>
      <c r="K903" s="93"/>
      <c r="L903" s="93"/>
      <c r="M903" s="93"/>
      <c r="N903" s="93"/>
      <c r="O903" s="93"/>
      <c r="P903" s="93"/>
      <c r="Q903" s="93"/>
      <c r="R903" s="93"/>
      <c r="S903" s="93"/>
      <c r="T903" s="93"/>
      <c r="U903" s="93"/>
      <c r="V903" s="93"/>
      <c r="W903" s="93"/>
      <c r="X903" s="93"/>
      <c r="Y903" s="93"/>
      <c r="Z903" s="93"/>
      <c r="AA903" s="93"/>
      <c r="AB903" s="93"/>
    </row>
    <row r="904" spans="1:28" ht="12.75" customHeight="1">
      <c r="A904" s="149" t="s">
        <v>591</v>
      </c>
      <c r="B904" s="148">
        <v>44615</v>
      </c>
      <c r="C904" s="356">
        <v>-18272</v>
      </c>
      <c r="D904" s="356"/>
      <c r="E904" s="420"/>
      <c r="F904" s="424"/>
      <c r="G904" s="4"/>
      <c r="H904" s="93"/>
      <c r="K904" s="93"/>
      <c r="L904" s="93"/>
      <c r="M904" s="93"/>
      <c r="N904" s="93"/>
      <c r="O904" s="93"/>
      <c r="P904" s="93"/>
      <c r="Q904" s="93"/>
      <c r="R904" s="93"/>
      <c r="S904" s="93"/>
      <c r="T904" s="93"/>
      <c r="U904" s="93"/>
      <c r="V904" s="93"/>
      <c r="W904" s="93"/>
      <c r="X904" s="93"/>
      <c r="Y904" s="93"/>
      <c r="Z904" s="93"/>
      <c r="AA904" s="93"/>
      <c r="AB904" s="93"/>
    </row>
    <row r="905" spans="1:28" ht="12.75" customHeight="1">
      <c r="A905" s="120" t="s">
        <v>591</v>
      </c>
      <c r="B905" s="150">
        <v>44652</v>
      </c>
      <c r="C905" s="422">
        <v>18581</v>
      </c>
      <c r="D905" s="422">
        <f>C905+C904</f>
        <v>309</v>
      </c>
      <c r="E905" s="423">
        <f>IFERROR(-D905/C904,0)</f>
        <v>1.6911120840630473E-2</v>
      </c>
      <c r="F905" s="344">
        <f>B905-B904</f>
        <v>37</v>
      </c>
      <c r="G905" s="4"/>
      <c r="H905" s="93"/>
      <c r="K905" s="93"/>
      <c r="L905" s="93"/>
      <c r="M905" s="93"/>
      <c r="N905" s="93"/>
      <c r="O905" s="93"/>
      <c r="P905" s="93"/>
      <c r="Q905" s="93"/>
      <c r="R905" s="93"/>
      <c r="S905" s="93"/>
      <c r="T905" s="93"/>
      <c r="U905" s="93"/>
      <c r="V905" s="93"/>
      <c r="W905" s="93"/>
      <c r="X905" s="93"/>
      <c r="Y905" s="93"/>
      <c r="Z905" s="93"/>
      <c r="AA905" s="93"/>
      <c r="AB905" s="93"/>
    </row>
    <row r="906" spans="1:28" ht="12.75" customHeight="1">
      <c r="A906" s="149" t="s">
        <v>618</v>
      </c>
      <c r="B906" s="148">
        <v>44775</v>
      </c>
      <c r="C906" s="356">
        <v>-17921</v>
      </c>
      <c r="D906" s="356"/>
      <c r="E906" s="420"/>
      <c r="F906" s="424"/>
      <c r="G906" s="4"/>
      <c r="H906" s="93"/>
      <c r="K906" s="93"/>
      <c r="L906" s="93"/>
      <c r="M906" s="93"/>
      <c r="N906" s="93"/>
      <c r="O906" s="93"/>
      <c r="P906" s="93"/>
      <c r="Q906" s="93"/>
      <c r="R906" s="93"/>
      <c r="S906" s="93"/>
      <c r="T906" s="93"/>
      <c r="U906" s="93"/>
      <c r="V906" s="93"/>
      <c r="W906" s="93"/>
      <c r="X906" s="93"/>
      <c r="Y906" s="93"/>
      <c r="Z906" s="93"/>
      <c r="AA906" s="93"/>
      <c r="AB906" s="93"/>
    </row>
    <row r="907" spans="1:28" ht="12.75" customHeight="1">
      <c r="A907" s="120" t="s">
        <v>618</v>
      </c>
      <c r="B907" s="150">
        <v>44792</v>
      </c>
      <c r="C907" s="422">
        <v>19080</v>
      </c>
      <c r="D907" s="422">
        <f>C907+C906</f>
        <v>1159</v>
      </c>
      <c r="E907" s="423">
        <f>IFERROR(-D907/C906,0)</f>
        <v>6.4672730316388594E-2</v>
      </c>
      <c r="F907" s="344">
        <f>B907-B906</f>
        <v>17</v>
      </c>
      <c r="G907" s="4"/>
      <c r="H907" s="93"/>
      <c r="K907" s="93"/>
      <c r="L907" s="93"/>
      <c r="M907" s="93"/>
      <c r="N907" s="93"/>
      <c r="O907" s="93"/>
      <c r="P907" s="93"/>
      <c r="Q907" s="93"/>
      <c r="R907" s="93"/>
      <c r="S907" s="93"/>
      <c r="T907" s="93"/>
      <c r="U907" s="93"/>
      <c r="V907" s="93"/>
      <c r="W907" s="93"/>
      <c r="X907" s="93"/>
      <c r="Y907" s="93"/>
      <c r="Z907" s="93"/>
      <c r="AA907" s="93"/>
      <c r="AB907" s="93"/>
    </row>
    <row r="908" spans="1:28" ht="12.75" customHeight="1">
      <c r="A908" s="149" t="s">
        <v>618</v>
      </c>
      <c r="B908" s="148">
        <v>44805</v>
      </c>
      <c r="C908" s="356">
        <v>-9511</v>
      </c>
      <c r="D908" s="356"/>
      <c r="E908" s="420"/>
      <c r="F908" s="424"/>
      <c r="G908" s="4"/>
      <c r="H908" s="93"/>
      <c r="K908" s="93"/>
      <c r="L908" s="93"/>
      <c r="M908" s="93"/>
      <c r="N908" s="93"/>
      <c r="O908" s="93"/>
      <c r="P908" s="93"/>
      <c r="Q908" s="93"/>
      <c r="R908" s="93"/>
      <c r="S908" s="93"/>
      <c r="T908" s="93"/>
      <c r="U908" s="93"/>
      <c r="V908" s="93"/>
      <c r="W908" s="93"/>
      <c r="X908" s="93"/>
      <c r="Y908" s="93"/>
      <c r="Z908" s="93"/>
      <c r="AA908" s="93"/>
      <c r="AB908" s="93"/>
    </row>
    <row r="909" spans="1:28" ht="12.75" customHeight="1">
      <c r="A909" s="120" t="s">
        <v>618</v>
      </c>
      <c r="B909" s="150">
        <v>44817</v>
      </c>
      <c r="C909" s="422">
        <v>9890</v>
      </c>
      <c r="D909" s="422">
        <f>C909+C908</f>
        <v>379</v>
      </c>
      <c r="E909" s="423">
        <f>IFERROR(-D909/C908,0)</f>
        <v>3.9848596362107032E-2</v>
      </c>
      <c r="F909" s="344">
        <f>B909-B908</f>
        <v>12</v>
      </c>
      <c r="G909" s="4"/>
      <c r="H909" s="93"/>
      <c r="K909" s="93"/>
      <c r="L909" s="93"/>
      <c r="M909" s="93"/>
      <c r="N909" s="93"/>
      <c r="O909" s="93"/>
      <c r="P909" s="93"/>
      <c r="Q909" s="93"/>
      <c r="R909" s="93"/>
      <c r="S909" s="93"/>
      <c r="T909" s="93"/>
      <c r="U909" s="93"/>
      <c r="V909" s="93"/>
      <c r="W909" s="93"/>
      <c r="X909" s="93"/>
      <c r="Y909" s="93"/>
      <c r="Z909" s="93"/>
      <c r="AA909" s="93"/>
      <c r="AB909" s="93"/>
    </row>
    <row r="910" spans="1:28" ht="12.75" customHeight="1">
      <c r="A910" s="149" t="s">
        <v>618</v>
      </c>
      <c r="B910" s="148">
        <v>44795</v>
      </c>
      <c r="C910" s="356">
        <v>-38135</v>
      </c>
      <c r="D910" s="356"/>
      <c r="E910" s="420"/>
      <c r="F910" s="424"/>
      <c r="G910" s="4"/>
      <c r="H910" s="93"/>
      <c r="K910" s="93"/>
      <c r="L910" s="93"/>
      <c r="M910" s="93"/>
      <c r="N910" s="93"/>
      <c r="O910" s="93"/>
      <c r="P910" s="93"/>
      <c r="Q910" s="93"/>
      <c r="R910" s="93"/>
      <c r="S910" s="93"/>
      <c r="T910" s="93"/>
      <c r="U910" s="93"/>
      <c r="V910" s="93"/>
      <c r="W910" s="93"/>
      <c r="X910" s="93"/>
      <c r="Y910" s="93"/>
      <c r="Z910" s="93"/>
      <c r="AA910" s="93"/>
      <c r="AB910" s="93"/>
    </row>
    <row r="911" spans="1:28" ht="12.75" customHeight="1">
      <c r="A911" s="120" t="s">
        <v>618</v>
      </c>
      <c r="B911" s="150">
        <v>44865</v>
      </c>
      <c r="C911" s="422">
        <v>39959</v>
      </c>
      <c r="D911" s="422">
        <f>C911+C910</f>
        <v>1824</v>
      </c>
      <c r="E911" s="423">
        <f>IFERROR(-D911/C910,0)</f>
        <v>4.7830077356758885E-2</v>
      </c>
      <c r="F911" s="344">
        <f>B911-B910</f>
        <v>70</v>
      </c>
      <c r="G911" s="4"/>
      <c r="H911" s="93"/>
      <c r="K911" s="93"/>
      <c r="L911" s="93"/>
      <c r="M911" s="93"/>
      <c r="N911" s="93"/>
      <c r="O911" s="93"/>
      <c r="P911" s="93"/>
      <c r="Q911" s="93"/>
      <c r="R911" s="93"/>
      <c r="S911" s="93"/>
      <c r="T911" s="93"/>
      <c r="U911" s="93"/>
      <c r="V911" s="93"/>
      <c r="W911" s="93"/>
      <c r="X911" s="93"/>
      <c r="Y911" s="93"/>
      <c r="Z911" s="93"/>
      <c r="AA911" s="93"/>
      <c r="AB911" s="93"/>
    </row>
    <row r="912" spans="1:28" ht="12.75" customHeight="1">
      <c r="A912" s="149" t="s">
        <v>561</v>
      </c>
      <c r="B912" s="148">
        <v>44441</v>
      </c>
      <c r="C912" s="149">
        <v>-9922</v>
      </c>
      <c r="D912" s="356"/>
      <c r="E912" s="420"/>
      <c r="F912" s="424"/>
      <c r="G912" s="4"/>
      <c r="H912" s="93"/>
      <c r="K912" s="93"/>
      <c r="L912" s="93"/>
      <c r="M912" s="93"/>
      <c r="N912" s="93"/>
      <c r="O912" s="93"/>
      <c r="P912" s="93"/>
      <c r="Q912" s="93"/>
      <c r="R912" s="93"/>
      <c r="S912" s="93"/>
      <c r="T912" s="93"/>
      <c r="U912" s="93"/>
      <c r="V912" s="93"/>
      <c r="W912" s="93"/>
      <c r="X912" s="93"/>
      <c r="Y912" s="93"/>
      <c r="Z912" s="93"/>
      <c r="AA912" s="93"/>
      <c r="AB912" s="93"/>
    </row>
    <row r="913" spans="1:28" ht="12.75" customHeight="1">
      <c r="A913" s="120" t="s">
        <v>561</v>
      </c>
      <c r="B913" s="150">
        <v>44459</v>
      </c>
      <c r="C913" s="422">
        <v>10549</v>
      </c>
      <c r="D913" s="422">
        <f>C913+C912</f>
        <v>627</v>
      </c>
      <c r="E913" s="423">
        <f>-D913/C912</f>
        <v>6.3192904656319285E-2</v>
      </c>
      <c r="F913" s="344">
        <f>B913-B912</f>
        <v>18</v>
      </c>
      <c r="G913" s="4"/>
      <c r="H913" s="93"/>
      <c r="K913" s="93"/>
      <c r="L913" s="93"/>
      <c r="M913" s="93"/>
      <c r="N913" s="93"/>
      <c r="O913" s="93"/>
      <c r="P913" s="93"/>
      <c r="Q913" s="93"/>
      <c r="R913" s="93"/>
      <c r="S913" s="93"/>
      <c r="T913" s="93"/>
      <c r="U913" s="93"/>
      <c r="V913" s="93"/>
      <c r="W913" s="93"/>
      <c r="X913" s="93"/>
      <c r="Y913" s="93"/>
      <c r="Z913" s="93"/>
      <c r="AA913" s="93"/>
      <c r="AB913" s="93"/>
    </row>
    <row r="914" spans="1:28" ht="12.75" customHeight="1">
      <c r="A914" s="149" t="s">
        <v>515</v>
      </c>
      <c r="B914" s="148">
        <v>44344</v>
      </c>
      <c r="C914" s="149">
        <v>-12585</v>
      </c>
      <c r="D914" s="356"/>
      <c r="E914" s="420"/>
      <c r="F914" s="424"/>
      <c r="G914" s="4"/>
      <c r="H914" s="93"/>
      <c r="K914" s="93"/>
      <c r="L914" s="93"/>
      <c r="M914" s="93"/>
      <c r="N914" s="93"/>
      <c r="O914" s="93"/>
      <c r="P914" s="93"/>
      <c r="Q914" s="93"/>
      <c r="R914" s="93"/>
      <c r="S914" s="93"/>
      <c r="T914" s="93"/>
      <c r="U914" s="93"/>
      <c r="V914" s="93"/>
      <c r="W914" s="93"/>
      <c r="X914" s="93"/>
      <c r="Y914" s="93"/>
      <c r="Z914" s="93"/>
      <c r="AA914" s="93"/>
      <c r="AB914" s="93"/>
    </row>
    <row r="915" spans="1:28" ht="12.75" customHeight="1">
      <c r="A915" s="120" t="s">
        <v>515</v>
      </c>
      <c r="B915" s="150">
        <v>44474</v>
      </c>
      <c r="C915" s="422">
        <v>12624</v>
      </c>
      <c r="D915" s="422">
        <f>C915+C914</f>
        <v>39</v>
      </c>
      <c r="E915" s="423">
        <f>-D915/C914</f>
        <v>3.0989272943980932E-3</v>
      </c>
      <c r="F915" s="344">
        <f>B915-B914</f>
        <v>130</v>
      </c>
      <c r="G915" s="4"/>
      <c r="H915" s="93"/>
      <c r="K915" s="93"/>
      <c r="L915" s="93"/>
      <c r="M915" s="93"/>
      <c r="N915" s="93"/>
      <c r="O915" s="93"/>
      <c r="P915" s="93"/>
      <c r="Q915" s="93"/>
      <c r="R915" s="93"/>
      <c r="S915" s="93"/>
      <c r="T915" s="93"/>
      <c r="U915" s="93"/>
      <c r="V915" s="93"/>
      <c r="W915" s="93"/>
      <c r="X915" s="93"/>
      <c r="Y915" s="93"/>
      <c r="Z915" s="93"/>
      <c r="AA915" s="93"/>
      <c r="AB915" s="93"/>
    </row>
    <row r="916" spans="1:28" ht="12.75" customHeight="1">
      <c r="A916" s="149" t="s">
        <v>611</v>
      </c>
      <c r="B916" s="148">
        <v>44740</v>
      </c>
      <c r="C916" s="356">
        <v>-3284</v>
      </c>
      <c r="D916" s="356"/>
      <c r="E916" s="420"/>
      <c r="F916" s="424"/>
      <c r="G916" s="4"/>
      <c r="H916" s="93"/>
      <c r="K916" s="93"/>
      <c r="L916" s="93"/>
      <c r="M916" s="93"/>
      <c r="N916" s="93"/>
      <c r="O916" s="93"/>
      <c r="P916" s="93"/>
      <c r="Q916" s="93"/>
      <c r="R916" s="93"/>
      <c r="S916" s="93"/>
      <c r="T916" s="93"/>
      <c r="U916" s="93"/>
      <c r="V916" s="93"/>
      <c r="W916" s="93"/>
      <c r="X916" s="93"/>
      <c r="Y916" s="93"/>
      <c r="Z916" s="93"/>
      <c r="AA916" s="93"/>
      <c r="AB916" s="93"/>
    </row>
    <row r="917" spans="1:28" ht="12.75" customHeight="1">
      <c r="A917" s="120" t="s">
        <v>611</v>
      </c>
      <c r="B917" s="150">
        <v>44792</v>
      </c>
      <c r="C917" s="422">
        <v>4600</v>
      </c>
      <c r="D917" s="422">
        <f>C917+C916</f>
        <v>1316</v>
      </c>
      <c r="E917" s="423">
        <f>IFERROR(-D917/C916,0)</f>
        <v>0.40073081607795369</v>
      </c>
      <c r="F917" s="344">
        <f>B917-B916</f>
        <v>52</v>
      </c>
      <c r="G917" s="4"/>
      <c r="H917" s="93"/>
      <c r="K917" s="93"/>
      <c r="L917" s="93"/>
      <c r="M917" s="93"/>
      <c r="N917" s="93"/>
      <c r="O917" s="93"/>
      <c r="P917" s="93"/>
      <c r="Q917" s="93"/>
      <c r="R917" s="93"/>
      <c r="S917" s="93"/>
      <c r="T917" s="93"/>
      <c r="U917" s="93"/>
      <c r="V917" s="93"/>
      <c r="W917" s="93"/>
      <c r="X917" s="93"/>
      <c r="Y917" s="93"/>
      <c r="Z917" s="93"/>
      <c r="AA917" s="93"/>
      <c r="AB917" s="93"/>
    </row>
    <row r="918" spans="1:28" ht="12.75" customHeight="1">
      <c r="A918" s="149" t="s">
        <v>489</v>
      </c>
      <c r="B918" s="148">
        <v>44385</v>
      </c>
      <c r="C918" s="149">
        <v>-2032</v>
      </c>
      <c r="D918" s="356"/>
      <c r="E918" s="420"/>
      <c r="F918" s="424"/>
      <c r="G918" s="4"/>
      <c r="H918" s="93"/>
      <c r="K918" s="93"/>
      <c r="L918" s="93"/>
      <c r="M918" s="93"/>
      <c r="N918" s="93"/>
      <c r="O918" s="93"/>
      <c r="P918" s="93"/>
      <c r="Q918" s="93"/>
      <c r="R918" s="93"/>
      <c r="S918" s="93"/>
      <c r="T918" s="93"/>
      <c r="U918" s="93"/>
      <c r="V918" s="93"/>
      <c r="W918" s="93"/>
      <c r="X918" s="93"/>
      <c r="Y918" s="93"/>
      <c r="Z918" s="93"/>
      <c r="AA918" s="93"/>
      <c r="AB918" s="93"/>
    </row>
    <row r="919" spans="1:28" ht="12.75" customHeight="1">
      <c r="A919" s="120" t="s">
        <v>489</v>
      </c>
      <c r="B919" s="150">
        <v>44392</v>
      </c>
      <c r="C919" s="422">
        <v>2190</v>
      </c>
      <c r="D919" s="422">
        <f>C919+C918</f>
        <v>158</v>
      </c>
      <c r="E919" s="423">
        <f>-D919/C918</f>
        <v>7.7755905511811024E-2</v>
      </c>
      <c r="F919" s="344">
        <f>B919-B918</f>
        <v>7</v>
      </c>
      <c r="G919" s="4"/>
      <c r="H919" s="93"/>
      <c r="K919" s="93"/>
      <c r="L919" s="93"/>
      <c r="M919" s="93"/>
      <c r="N919" s="93"/>
      <c r="O919" s="93"/>
      <c r="P919" s="93"/>
      <c r="Q919" s="93"/>
      <c r="R919" s="93"/>
      <c r="S919" s="93"/>
      <c r="T919" s="93"/>
      <c r="U919" s="93"/>
      <c r="V919" s="93"/>
      <c r="W919" s="93"/>
      <c r="X919" s="93"/>
      <c r="Y919" s="93"/>
      <c r="Z919" s="93"/>
      <c r="AA919" s="93"/>
      <c r="AB919" s="93"/>
    </row>
    <row r="920" spans="1:28" ht="12.75" customHeight="1">
      <c r="A920" s="149" t="s">
        <v>592</v>
      </c>
      <c r="B920" s="148">
        <v>44768</v>
      </c>
      <c r="C920" s="356">
        <v>-1051</v>
      </c>
      <c r="D920" s="356"/>
      <c r="E920" s="420"/>
      <c r="F920" s="424"/>
      <c r="G920" s="4"/>
      <c r="H920" s="93"/>
      <c r="K920" s="93"/>
      <c r="L920" s="93"/>
      <c r="M920" s="93"/>
      <c r="N920" s="93"/>
      <c r="O920" s="93"/>
      <c r="P920" s="93"/>
      <c r="Q920" s="93"/>
      <c r="R920" s="93"/>
      <c r="S920" s="93"/>
      <c r="T920" s="93"/>
      <c r="U920" s="93"/>
      <c r="V920" s="93"/>
      <c r="W920" s="93"/>
      <c r="X920" s="93"/>
      <c r="Y920" s="93"/>
      <c r="Z920" s="93"/>
      <c r="AA920" s="93"/>
      <c r="AB920" s="93"/>
    </row>
    <row r="921" spans="1:28" ht="12.75" customHeight="1">
      <c r="A921" s="120" t="s">
        <v>592</v>
      </c>
      <c r="B921" s="150">
        <v>44823</v>
      </c>
      <c r="C921" s="422">
        <v>1711</v>
      </c>
      <c r="D921" s="422">
        <f>C921+C920</f>
        <v>660</v>
      </c>
      <c r="E921" s="423">
        <f>IFERROR(-D921/C920,0)</f>
        <v>0.62797335870599424</v>
      </c>
      <c r="F921" s="344">
        <f>B921-B920</f>
        <v>55</v>
      </c>
      <c r="G921" s="4"/>
      <c r="H921" s="93"/>
      <c r="K921" s="93"/>
      <c r="L921" s="93"/>
      <c r="M921" s="93"/>
      <c r="N921" s="93"/>
      <c r="O921" s="93"/>
      <c r="P921" s="93"/>
      <c r="Q921" s="93"/>
      <c r="R921" s="93"/>
      <c r="S921" s="93"/>
      <c r="T921" s="93"/>
      <c r="U921" s="93"/>
      <c r="V921" s="93"/>
      <c r="W921" s="93"/>
      <c r="X921" s="93"/>
      <c r="Y921" s="93"/>
      <c r="Z921" s="93"/>
      <c r="AA921" s="93"/>
      <c r="AB921" s="93"/>
    </row>
    <row r="922" spans="1:28" ht="12.75" customHeight="1">
      <c r="A922" s="149" t="s">
        <v>592</v>
      </c>
      <c r="B922" s="148">
        <v>44582</v>
      </c>
      <c r="C922" s="356">
        <v>-9862</v>
      </c>
      <c r="D922" s="356"/>
      <c r="E922" s="420"/>
      <c r="F922" s="424"/>
      <c r="G922" s="4"/>
      <c r="H922" s="93"/>
      <c r="K922" s="93"/>
      <c r="L922" s="93"/>
      <c r="M922" s="93"/>
      <c r="N922" s="93"/>
      <c r="O922" s="93"/>
      <c r="P922" s="93"/>
      <c r="Q922" s="93"/>
      <c r="R922" s="93"/>
      <c r="S922" s="93"/>
      <c r="T922" s="93"/>
      <c r="U922" s="93"/>
      <c r="V922" s="93"/>
      <c r="W922" s="93"/>
      <c r="X922" s="93"/>
      <c r="Y922" s="93"/>
      <c r="Z922" s="93"/>
      <c r="AA922" s="93"/>
      <c r="AB922" s="93"/>
    </row>
    <row r="923" spans="1:28" ht="12.75" customHeight="1">
      <c r="A923" s="120" t="s">
        <v>592</v>
      </c>
      <c r="B923" s="150">
        <v>44823</v>
      </c>
      <c r="C923" s="422">
        <v>10264</v>
      </c>
      <c r="D923" s="422">
        <f>C923+C922</f>
        <v>402</v>
      </c>
      <c r="E923" s="423">
        <f>IFERROR(-D923/C922,0)</f>
        <v>4.0762522814844861E-2</v>
      </c>
      <c r="F923" s="344">
        <f>B923-B922</f>
        <v>241</v>
      </c>
      <c r="G923" s="4"/>
      <c r="H923" s="93"/>
      <c r="K923" s="93"/>
      <c r="L923" s="93"/>
      <c r="M923" s="93"/>
      <c r="N923" s="93"/>
      <c r="O923" s="93"/>
      <c r="P923" s="93"/>
      <c r="Q923" s="93"/>
      <c r="R923" s="93"/>
      <c r="S923" s="93"/>
      <c r="T923" s="93"/>
      <c r="U923" s="93"/>
      <c r="V923" s="93"/>
      <c r="W923" s="93"/>
      <c r="X923" s="93"/>
      <c r="Y923" s="93"/>
      <c r="Z923" s="93"/>
      <c r="AA923" s="93"/>
      <c r="AB923" s="93"/>
    </row>
    <row r="924" spans="1:28" ht="12.75" customHeight="1">
      <c r="A924" s="149" t="s">
        <v>589</v>
      </c>
      <c r="B924" s="148">
        <v>44575</v>
      </c>
      <c r="C924" s="356">
        <v>-16388</v>
      </c>
      <c r="D924" s="356"/>
      <c r="E924" s="420"/>
      <c r="F924" s="424"/>
      <c r="G924" s="4"/>
      <c r="H924" s="93"/>
      <c r="K924" s="93"/>
      <c r="L924" s="93"/>
      <c r="M924" s="93"/>
      <c r="N924" s="93"/>
      <c r="O924" s="93"/>
      <c r="P924" s="93"/>
      <c r="Q924" s="93"/>
      <c r="R924" s="93"/>
      <c r="S924" s="93"/>
      <c r="T924" s="93"/>
      <c r="U924" s="93"/>
      <c r="V924" s="93"/>
      <c r="W924" s="93"/>
      <c r="X924" s="93"/>
      <c r="Y924" s="93"/>
      <c r="Z924" s="93"/>
      <c r="AA924" s="93"/>
      <c r="AB924" s="93"/>
    </row>
    <row r="925" spans="1:28" ht="12.75" customHeight="1">
      <c r="A925" s="120" t="s">
        <v>589</v>
      </c>
      <c r="B925" s="150">
        <v>44909</v>
      </c>
      <c r="C925" s="422">
        <v>16533</v>
      </c>
      <c r="D925" s="422">
        <f>C925+C924</f>
        <v>145</v>
      </c>
      <c r="E925" s="423">
        <f>IFERROR(-D925/C924,0)</f>
        <v>8.8479375152550645E-3</v>
      </c>
      <c r="F925" s="344">
        <f>B925-B924</f>
        <v>334</v>
      </c>
      <c r="G925" s="4"/>
      <c r="H925" s="93"/>
      <c r="K925" s="93"/>
      <c r="L925" s="93"/>
      <c r="M925" s="93"/>
      <c r="N925" s="93"/>
      <c r="O925" s="93"/>
      <c r="P925" s="93"/>
      <c r="Q925" s="93"/>
      <c r="R925" s="93"/>
      <c r="S925" s="93"/>
      <c r="T925" s="93"/>
      <c r="U925" s="93"/>
      <c r="V925" s="93"/>
      <c r="W925" s="93"/>
      <c r="X925" s="93"/>
      <c r="Y925" s="93"/>
      <c r="Z925" s="93"/>
      <c r="AA925" s="93"/>
      <c r="AB925" s="93"/>
    </row>
    <row r="926" spans="1:28" ht="12.75" customHeight="1">
      <c r="A926" s="149" t="s">
        <v>589</v>
      </c>
      <c r="B926" s="148">
        <v>44928</v>
      </c>
      <c r="C926" s="356">
        <v>-10319</v>
      </c>
      <c r="D926" s="356"/>
      <c r="E926" s="420"/>
      <c r="F926" s="424"/>
      <c r="G926" s="4"/>
      <c r="H926" s="93"/>
      <c r="K926" s="93"/>
      <c r="L926" s="93"/>
      <c r="M926" s="93"/>
      <c r="N926" s="93"/>
      <c r="O926" s="93"/>
      <c r="P926" s="93"/>
      <c r="Q926" s="93"/>
      <c r="R926" s="93"/>
      <c r="S926" s="93"/>
      <c r="T926" s="93"/>
      <c r="U926" s="93"/>
      <c r="V926" s="93"/>
      <c r="W926" s="93"/>
      <c r="X926" s="93"/>
      <c r="Y926" s="93"/>
      <c r="Z926" s="93"/>
      <c r="AA926" s="93"/>
      <c r="AB926" s="93"/>
    </row>
    <row r="927" spans="1:28" ht="12.75" customHeight="1">
      <c r="A927" s="120" t="s">
        <v>589</v>
      </c>
      <c r="B927" s="150">
        <v>44939</v>
      </c>
      <c r="C927" s="422">
        <v>10857</v>
      </c>
      <c r="D927" s="422">
        <f>C927+C926</f>
        <v>538</v>
      </c>
      <c r="E927" s="423">
        <f>IFERROR(-D927/C926,0)</f>
        <v>5.2136834964628356E-2</v>
      </c>
      <c r="F927" s="344">
        <f>B927-B926</f>
        <v>11</v>
      </c>
      <c r="G927" s="4"/>
      <c r="H927" s="93"/>
      <c r="K927" s="93"/>
      <c r="L927" s="93"/>
      <c r="M927" s="93"/>
      <c r="N927" s="93"/>
      <c r="O927" s="93"/>
      <c r="P927" s="93"/>
      <c r="Q927" s="93"/>
      <c r="R927" s="93"/>
      <c r="S927" s="93"/>
      <c r="T927" s="93"/>
      <c r="U927" s="93"/>
      <c r="V927" s="93"/>
      <c r="W927" s="93"/>
      <c r="X927" s="93"/>
      <c r="Y927" s="93"/>
      <c r="Z927" s="93"/>
      <c r="AA927" s="93"/>
      <c r="AB927" s="93"/>
    </row>
    <row r="928" spans="1:28" ht="12.75" customHeight="1">
      <c r="A928" s="149" t="s">
        <v>589</v>
      </c>
      <c r="B928" s="148">
        <v>44950</v>
      </c>
      <c r="C928" s="356">
        <v>-46705</v>
      </c>
      <c r="D928" s="356"/>
      <c r="E928" s="420"/>
      <c r="F928" s="424"/>
      <c r="G928" s="4"/>
      <c r="H928" s="93"/>
      <c r="K928" s="93"/>
      <c r="L928" s="93"/>
      <c r="M928" s="93"/>
      <c r="N928" s="93"/>
      <c r="O928" s="93"/>
      <c r="P928" s="93"/>
      <c r="Q928" s="93"/>
      <c r="R928" s="93"/>
      <c r="S928" s="93"/>
      <c r="T928" s="93"/>
      <c r="U928" s="93"/>
      <c r="V928" s="93"/>
      <c r="W928" s="93"/>
      <c r="X928" s="93"/>
      <c r="Y928" s="93"/>
      <c r="Z928" s="93"/>
      <c r="AA928" s="93"/>
      <c r="AB928" s="93"/>
    </row>
    <row r="929" spans="1:28" ht="12.75" customHeight="1">
      <c r="A929" s="120" t="s">
        <v>589</v>
      </c>
      <c r="B929" s="150">
        <v>44939</v>
      </c>
      <c r="C929" s="422">
        <v>47102</v>
      </c>
      <c r="D929" s="422">
        <f>C929+C928</f>
        <v>397</v>
      </c>
      <c r="E929" s="423">
        <f>IFERROR(-D929/C928,0)</f>
        <v>8.5001605823787595E-3</v>
      </c>
      <c r="F929" s="344">
        <f>B929-B928</f>
        <v>-11</v>
      </c>
      <c r="G929" s="4"/>
      <c r="H929" s="93"/>
      <c r="K929" s="93"/>
      <c r="L929" s="93"/>
      <c r="M929" s="93"/>
      <c r="N929" s="93"/>
      <c r="O929" s="93"/>
      <c r="P929" s="93"/>
      <c r="Q929" s="93"/>
      <c r="R929" s="93"/>
      <c r="S929" s="93"/>
      <c r="T929" s="93"/>
      <c r="U929" s="93"/>
      <c r="V929" s="93"/>
      <c r="W929" s="93"/>
      <c r="X929" s="93"/>
      <c r="Y929" s="93"/>
      <c r="Z929" s="93"/>
      <c r="AA929" s="93"/>
      <c r="AB929" s="93"/>
    </row>
    <row r="930" spans="1:28" ht="12.75" customHeight="1">
      <c r="A930" s="134" t="s">
        <v>497</v>
      </c>
      <c r="B930" s="425">
        <v>44323</v>
      </c>
      <c r="C930" s="426">
        <v>-4616</v>
      </c>
      <c r="D930" s="356"/>
      <c r="E930" s="420"/>
      <c r="F930" s="424"/>
      <c r="G930" s="4"/>
      <c r="H930" s="93"/>
      <c r="K930" s="93"/>
      <c r="L930" s="93"/>
      <c r="M930" s="93"/>
      <c r="N930" s="93"/>
      <c r="O930" s="93"/>
      <c r="P930" s="93"/>
      <c r="Q930" s="93"/>
      <c r="R930" s="93"/>
      <c r="S930" s="93"/>
      <c r="T930" s="93"/>
      <c r="U930" s="93"/>
      <c r="V930" s="93"/>
      <c r="W930" s="93"/>
      <c r="X930" s="93"/>
      <c r="Y930" s="93"/>
      <c r="Z930" s="93"/>
      <c r="AA930" s="93"/>
      <c r="AB930" s="93"/>
    </row>
    <row r="931" spans="1:28" ht="12.75" customHeight="1">
      <c r="A931" s="120" t="s">
        <v>497</v>
      </c>
      <c r="B931" s="428">
        <v>44328</v>
      </c>
      <c r="C931" s="429">
        <v>5744</v>
      </c>
      <c r="D931" s="422">
        <f>C931+C930</f>
        <v>1128</v>
      </c>
      <c r="E931" s="423">
        <f>-D931/C930</f>
        <v>0.24436741767764297</v>
      </c>
      <c r="F931" s="344">
        <f>B931-B930</f>
        <v>5</v>
      </c>
      <c r="G931" s="4"/>
      <c r="H931" s="93"/>
      <c r="K931" s="93"/>
      <c r="L931" s="93"/>
      <c r="M931" s="93"/>
      <c r="N931" s="93"/>
      <c r="O931" s="93"/>
      <c r="P931" s="93"/>
      <c r="Q931" s="93"/>
      <c r="R931" s="93"/>
      <c r="S931" s="93"/>
      <c r="T931" s="93"/>
      <c r="U931" s="93"/>
      <c r="V931" s="93"/>
      <c r="W931" s="93"/>
      <c r="X931" s="93"/>
      <c r="Y931" s="93"/>
      <c r="Z931" s="93"/>
      <c r="AA931" s="93"/>
      <c r="AB931" s="93"/>
    </row>
    <row r="932" spans="1:28" ht="12.75" customHeight="1">
      <c r="A932" s="149" t="s">
        <v>617</v>
      </c>
      <c r="B932" s="148">
        <v>44802</v>
      </c>
      <c r="C932" s="356">
        <v>-6075</v>
      </c>
      <c r="D932" s="356"/>
      <c r="E932" s="420"/>
      <c r="F932" s="424"/>
      <c r="G932" s="4"/>
      <c r="H932" s="93"/>
      <c r="K932" s="93"/>
      <c r="L932" s="93"/>
      <c r="M932" s="93"/>
      <c r="N932" s="93"/>
      <c r="O932" s="93"/>
      <c r="P932" s="93"/>
      <c r="Q932" s="93"/>
      <c r="R932" s="93"/>
      <c r="S932" s="93"/>
      <c r="T932" s="93"/>
      <c r="U932" s="93"/>
      <c r="V932" s="93"/>
      <c r="W932" s="93"/>
      <c r="X932" s="93"/>
      <c r="Y932" s="93"/>
      <c r="Z932" s="93"/>
      <c r="AA932" s="93"/>
      <c r="AB932" s="93"/>
    </row>
    <row r="933" spans="1:28" ht="12.75" customHeight="1">
      <c r="A933" s="120" t="s">
        <v>617</v>
      </c>
      <c r="B933" s="150">
        <v>44817</v>
      </c>
      <c r="C933" s="422">
        <v>6418</v>
      </c>
      <c r="D933" s="422">
        <f>C933+C932</f>
        <v>343</v>
      </c>
      <c r="E933" s="423">
        <f>IFERROR(-D933/C932,0)</f>
        <v>5.6460905349794241E-2</v>
      </c>
      <c r="F933" s="344">
        <f>B933-B932</f>
        <v>15</v>
      </c>
      <c r="G933" s="4"/>
      <c r="H933" s="93"/>
      <c r="K933" s="93"/>
      <c r="L933" s="93"/>
      <c r="M933" s="93"/>
      <c r="N933" s="93"/>
      <c r="O933" s="93"/>
      <c r="P933" s="93"/>
      <c r="Q933" s="93"/>
      <c r="R933" s="93"/>
      <c r="S933" s="93"/>
      <c r="T933" s="93"/>
      <c r="U933" s="93"/>
      <c r="V933" s="93"/>
      <c r="W933" s="93"/>
      <c r="X933" s="93"/>
      <c r="Y933" s="93"/>
      <c r="Z933" s="93"/>
      <c r="AA933" s="93"/>
      <c r="AB933" s="93"/>
    </row>
    <row r="934" spans="1:28" ht="12.75" customHeight="1">
      <c r="A934" s="149" t="s">
        <v>567</v>
      </c>
      <c r="B934" s="148">
        <v>44462</v>
      </c>
      <c r="C934" s="149">
        <v>-7714</v>
      </c>
      <c r="D934" s="356"/>
      <c r="E934" s="420"/>
      <c r="F934" s="424"/>
      <c r="G934" s="4"/>
      <c r="H934" s="93"/>
      <c r="K934" s="93"/>
      <c r="L934" s="93"/>
      <c r="M934" s="93"/>
      <c r="N934" s="93"/>
      <c r="O934" s="93"/>
      <c r="P934" s="93"/>
      <c r="Q934" s="93"/>
      <c r="R934" s="93"/>
      <c r="S934" s="93"/>
      <c r="T934" s="93"/>
      <c r="U934" s="93"/>
      <c r="V934" s="93"/>
      <c r="W934" s="93"/>
      <c r="X934" s="93"/>
      <c r="Y934" s="93"/>
      <c r="Z934" s="93"/>
      <c r="AA934" s="93"/>
      <c r="AB934" s="93"/>
    </row>
    <row r="935" spans="1:28" ht="12.75" customHeight="1">
      <c r="A935" s="120" t="s">
        <v>567</v>
      </c>
      <c r="B935" s="150">
        <v>44476</v>
      </c>
      <c r="C935" s="422">
        <v>7867</v>
      </c>
      <c r="D935" s="422">
        <f>C935+C934</f>
        <v>153</v>
      </c>
      <c r="E935" s="423">
        <f>-D935/C934</f>
        <v>1.9834067928441793E-2</v>
      </c>
      <c r="F935" s="344">
        <f>B935-B934</f>
        <v>14</v>
      </c>
      <c r="G935" s="4"/>
      <c r="H935" s="93"/>
      <c r="K935" s="93"/>
      <c r="L935" s="93"/>
      <c r="M935" s="93"/>
      <c r="N935" s="93"/>
      <c r="O935" s="93"/>
      <c r="P935" s="93"/>
      <c r="Q935" s="93"/>
      <c r="R935" s="93"/>
      <c r="S935" s="93"/>
      <c r="T935" s="93"/>
      <c r="U935" s="93"/>
      <c r="V935" s="93"/>
      <c r="W935" s="93"/>
      <c r="X935" s="93"/>
      <c r="Y935" s="93"/>
      <c r="Z935" s="93"/>
      <c r="AA935" s="93"/>
      <c r="AB935" s="93"/>
    </row>
    <row r="936" spans="1:28" ht="12.75" customHeight="1">
      <c r="A936" s="133" t="s">
        <v>511</v>
      </c>
      <c r="B936" s="425">
        <v>44342</v>
      </c>
      <c r="C936" s="426">
        <v>-10863</v>
      </c>
      <c r="D936" s="356"/>
      <c r="E936" s="420"/>
      <c r="F936" s="424"/>
      <c r="G936" s="4"/>
      <c r="H936" s="93"/>
      <c r="K936" s="93"/>
      <c r="L936" s="93"/>
      <c r="M936" s="93"/>
      <c r="N936" s="93"/>
      <c r="O936" s="93"/>
      <c r="P936" s="93"/>
      <c r="Q936" s="93"/>
      <c r="R936" s="93"/>
      <c r="S936" s="93"/>
      <c r="T936" s="93"/>
      <c r="U936" s="93"/>
      <c r="V936" s="93"/>
      <c r="W936" s="93"/>
      <c r="X936" s="93"/>
      <c r="Y936" s="93"/>
      <c r="Z936" s="93"/>
      <c r="AA936" s="93"/>
      <c r="AB936" s="93"/>
    </row>
    <row r="937" spans="1:28" ht="12.75" customHeight="1">
      <c r="A937" s="120" t="s">
        <v>511</v>
      </c>
      <c r="B937" s="428">
        <v>44358</v>
      </c>
      <c r="C937" s="429">
        <v>10949</v>
      </c>
      <c r="D937" s="422">
        <f>C937+C936</f>
        <v>86</v>
      </c>
      <c r="E937" s="423">
        <f>-D937/C936</f>
        <v>7.9167817361686463E-3</v>
      </c>
      <c r="F937" s="344">
        <f>B937-B936</f>
        <v>16</v>
      </c>
      <c r="G937" s="4"/>
      <c r="H937" s="93"/>
      <c r="K937" s="93"/>
      <c r="L937" s="93"/>
      <c r="M937" s="93"/>
      <c r="N937" s="93"/>
      <c r="O937" s="93"/>
      <c r="P937" s="93"/>
      <c r="Q937" s="93"/>
      <c r="R937" s="93"/>
      <c r="S937" s="93"/>
      <c r="T937" s="93"/>
      <c r="U937" s="93"/>
      <c r="V937" s="93"/>
      <c r="W937" s="93"/>
      <c r="X937" s="93"/>
      <c r="Y937" s="93"/>
      <c r="Z937" s="93"/>
      <c r="AA937" s="93"/>
      <c r="AB937" s="93"/>
    </row>
    <row r="938" spans="1:28" ht="12.75" customHeight="1">
      <c r="A938" s="133" t="s">
        <v>482</v>
      </c>
      <c r="B938" s="425">
        <v>44258</v>
      </c>
      <c r="C938" s="426">
        <v>-6363.21</v>
      </c>
      <c r="D938" s="356"/>
      <c r="E938" s="420"/>
      <c r="F938" s="424"/>
      <c r="G938" s="4"/>
      <c r="H938" s="93"/>
      <c r="K938" s="93"/>
      <c r="L938" s="93"/>
      <c r="M938" s="93"/>
      <c r="N938" s="93"/>
      <c r="O938" s="93"/>
      <c r="P938" s="93"/>
      <c r="Q938" s="93"/>
      <c r="R938" s="93"/>
      <c r="S938" s="93"/>
      <c r="T938" s="93"/>
      <c r="U938" s="93"/>
      <c r="V938" s="93"/>
      <c r="W938" s="93"/>
      <c r="X938" s="93"/>
      <c r="Y938" s="93"/>
      <c r="Z938" s="93"/>
      <c r="AA938" s="93"/>
      <c r="AB938" s="93"/>
    </row>
    <row r="939" spans="1:28" ht="12.75" customHeight="1">
      <c r="A939" s="120" t="s">
        <v>482</v>
      </c>
      <c r="B939" s="428">
        <v>44315</v>
      </c>
      <c r="C939" s="429">
        <v>6343</v>
      </c>
      <c r="D939" s="422">
        <f>C939+C938</f>
        <v>-20.210000000000036</v>
      </c>
      <c r="E939" s="423">
        <f>-D939/C938</f>
        <v>-3.176069939543098E-3</v>
      </c>
      <c r="F939" s="344">
        <f>B939-B938</f>
        <v>57</v>
      </c>
      <c r="G939" s="4"/>
      <c r="H939" s="93"/>
      <c r="K939" s="93"/>
      <c r="L939" s="93"/>
      <c r="M939" s="93"/>
      <c r="N939" s="93"/>
      <c r="O939" s="93"/>
      <c r="P939" s="93"/>
      <c r="Q939" s="93"/>
      <c r="R939" s="93"/>
      <c r="S939" s="93"/>
      <c r="T939" s="93"/>
      <c r="U939" s="93"/>
      <c r="V939" s="93"/>
      <c r="W939" s="93"/>
      <c r="X939" s="93"/>
      <c r="Y939" s="93"/>
      <c r="Z939" s="93"/>
      <c r="AA939" s="93"/>
      <c r="AB939" s="93"/>
    </row>
    <row r="940" spans="1:28" ht="12.75" customHeight="1">
      <c r="A940" s="133" t="s">
        <v>482</v>
      </c>
      <c r="B940" s="425">
        <v>44302</v>
      </c>
      <c r="C940" s="426">
        <v>-2953</v>
      </c>
      <c r="D940" s="356"/>
      <c r="E940" s="420"/>
      <c r="F940" s="424"/>
      <c r="G940" s="4"/>
      <c r="H940" s="93"/>
      <c r="K940" s="93"/>
      <c r="L940" s="93"/>
      <c r="M940" s="93"/>
      <c r="N940" s="93"/>
      <c r="O940" s="93"/>
      <c r="P940" s="93"/>
      <c r="Q940" s="93"/>
      <c r="R940" s="93"/>
      <c r="S940" s="93"/>
      <c r="T940" s="93"/>
      <c r="U940" s="93"/>
      <c r="V940" s="93"/>
      <c r="W940" s="93"/>
      <c r="X940" s="93"/>
      <c r="Y940" s="93"/>
      <c r="Z940" s="93"/>
      <c r="AA940" s="93"/>
      <c r="AB940" s="93"/>
    </row>
    <row r="941" spans="1:28" ht="12.75" customHeight="1">
      <c r="A941" s="120" t="s">
        <v>482</v>
      </c>
      <c r="B941" s="428">
        <v>44315</v>
      </c>
      <c r="C941" s="429">
        <v>3172</v>
      </c>
      <c r="D941" s="422">
        <f>C941+C940</f>
        <v>219</v>
      </c>
      <c r="E941" s="423">
        <f>-D941/C940</f>
        <v>7.4161869285472401E-2</v>
      </c>
      <c r="F941" s="344">
        <f>B941-B940</f>
        <v>13</v>
      </c>
      <c r="G941" s="4"/>
      <c r="H941" s="93"/>
      <c r="K941" s="93"/>
      <c r="L941" s="93"/>
      <c r="M941" s="93"/>
      <c r="N941" s="93"/>
      <c r="O941" s="93"/>
      <c r="P941" s="93"/>
      <c r="Q941" s="93"/>
      <c r="R941" s="93"/>
      <c r="S941" s="93"/>
      <c r="T941" s="93"/>
      <c r="U941" s="93"/>
      <c r="V941" s="93"/>
      <c r="W941" s="93"/>
      <c r="X941" s="93"/>
      <c r="Y941" s="93"/>
      <c r="Z941" s="93"/>
      <c r="AA941" s="93"/>
      <c r="AB941" s="93"/>
    </row>
    <row r="942" spans="1:28" ht="12.75" customHeight="1">
      <c r="A942" s="149" t="s">
        <v>482</v>
      </c>
      <c r="B942" s="148">
        <v>44417</v>
      </c>
      <c r="C942" s="149">
        <v>-8500</v>
      </c>
      <c r="D942" s="356"/>
      <c r="E942" s="420"/>
      <c r="F942" s="424"/>
      <c r="G942" s="4"/>
      <c r="H942" s="93"/>
      <c r="K942" s="93"/>
      <c r="L942" s="93"/>
      <c r="M942" s="93"/>
      <c r="N942" s="93"/>
      <c r="O942" s="93"/>
      <c r="P942" s="93"/>
      <c r="Q942" s="93"/>
      <c r="R942" s="93"/>
      <c r="S942" s="93"/>
      <c r="T942" s="93"/>
      <c r="U942" s="93"/>
      <c r="V942" s="93"/>
      <c r="W942" s="93"/>
      <c r="X942" s="93"/>
      <c r="Y942" s="93"/>
      <c r="Z942" s="93"/>
      <c r="AA942" s="93"/>
      <c r="AB942" s="93"/>
    </row>
    <row r="943" spans="1:28" ht="12.75" customHeight="1">
      <c r="A943" s="120" t="s">
        <v>482</v>
      </c>
      <c r="B943" s="150">
        <v>44439</v>
      </c>
      <c r="C943" s="422">
        <v>8991</v>
      </c>
      <c r="D943" s="422">
        <f>C943+C942</f>
        <v>491</v>
      </c>
      <c r="E943" s="423">
        <f>-D943/C942</f>
        <v>5.776470588235294E-2</v>
      </c>
      <c r="F943" s="344">
        <f>B943-B942</f>
        <v>22</v>
      </c>
      <c r="G943" s="4"/>
      <c r="H943" s="93"/>
      <c r="K943" s="93"/>
      <c r="L943" s="93"/>
      <c r="M943" s="93"/>
      <c r="N943" s="93"/>
      <c r="O943" s="93"/>
      <c r="P943" s="93"/>
      <c r="Q943" s="93"/>
      <c r="R943" s="93"/>
      <c r="S943" s="93"/>
      <c r="T943" s="93"/>
      <c r="U943" s="93"/>
      <c r="V943" s="93"/>
      <c r="W943" s="93"/>
      <c r="X943" s="93"/>
      <c r="Y943" s="93"/>
      <c r="Z943" s="93"/>
      <c r="AA943" s="93"/>
      <c r="AB943" s="93"/>
    </row>
    <row r="944" spans="1:28" ht="12.75" customHeight="1">
      <c r="A944" s="149" t="s">
        <v>482</v>
      </c>
      <c r="B944" s="148">
        <v>44470</v>
      </c>
      <c r="C944" s="149">
        <v>-821</v>
      </c>
      <c r="D944" s="356"/>
      <c r="E944" s="420"/>
      <c r="F944" s="424"/>
      <c r="G944" s="4"/>
      <c r="H944" s="93"/>
      <c r="K944" s="93"/>
      <c r="L944" s="93"/>
      <c r="M944" s="93"/>
      <c r="N944" s="93"/>
      <c r="O944" s="93"/>
      <c r="P944" s="93"/>
      <c r="Q944" s="93"/>
      <c r="R944" s="93"/>
      <c r="S944" s="93"/>
      <c r="T944" s="93"/>
      <c r="U944" s="93"/>
      <c r="V944" s="93"/>
      <c r="W944" s="93"/>
      <c r="X944" s="93"/>
      <c r="Y944" s="93"/>
      <c r="Z944" s="93"/>
      <c r="AA944" s="93"/>
      <c r="AB944" s="93"/>
    </row>
    <row r="945" spans="1:28" ht="12.75" customHeight="1">
      <c r="A945" s="120" t="s">
        <v>482</v>
      </c>
      <c r="B945" s="150">
        <v>44473</v>
      </c>
      <c r="C945" s="422">
        <v>937</v>
      </c>
      <c r="D945" s="422">
        <f>C945+C944</f>
        <v>116</v>
      </c>
      <c r="E945" s="423">
        <f>-D945/C944</f>
        <v>0.14129110840438489</v>
      </c>
      <c r="F945" s="344">
        <f>B945-B944</f>
        <v>3</v>
      </c>
      <c r="G945" s="4"/>
      <c r="H945" s="93"/>
      <c r="K945" s="93"/>
      <c r="L945" s="93"/>
      <c r="M945" s="93"/>
      <c r="N945" s="93"/>
      <c r="O945" s="93"/>
      <c r="P945" s="93"/>
      <c r="Q945" s="93"/>
      <c r="R945" s="93"/>
      <c r="S945" s="93"/>
      <c r="T945" s="93"/>
      <c r="U945" s="93"/>
      <c r="V945" s="93"/>
      <c r="W945" s="93"/>
      <c r="X945" s="93"/>
      <c r="Y945" s="93"/>
      <c r="Z945" s="93"/>
      <c r="AA945" s="93"/>
      <c r="AB945" s="93"/>
    </row>
    <row r="946" spans="1:28" ht="12.75" customHeight="1">
      <c r="A946" s="149" t="s">
        <v>482</v>
      </c>
      <c r="B946" s="148">
        <v>44518</v>
      </c>
      <c r="C946" s="356">
        <v>-4868</v>
      </c>
      <c r="D946" s="356"/>
      <c r="E946" s="420"/>
      <c r="F946" s="424"/>
      <c r="G946" s="4"/>
      <c r="H946" s="93"/>
      <c r="K946" s="93"/>
      <c r="L946" s="93"/>
      <c r="M946" s="93"/>
      <c r="N946" s="93"/>
      <c r="O946" s="93"/>
      <c r="P946" s="93"/>
      <c r="Q946" s="93"/>
      <c r="R946" s="93"/>
      <c r="S946" s="93"/>
      <c r="T946" s="93"/>
      <c r="U946" s="93"/>
      <c r="V946" s="93"/>
      <c r="W946" s="93"/>
      <c r="X946" s="93"/>
      <c r="Y946" s="93"/>
      <c r="Z946" s="93"/>
      <c r="AA946" s="93"/>
      <c r="AB946" s="93"/>
    </row>
    <row r="947" spans="1:28" ht="12.75" customHeight="1">
      <c r="A947" s="120" t="s">
        <v>482</v>
      </c>
      <c r="B947" s="150">
        <v>44561</v>
      </c>
      <c r="C947" s="422">
        <v>5057</v>
      </c>
      <c r="D947" s="422">
        <f>C947+C946</f>
        <v>189</v>
      </c>
      <c r="E947" s="423">
        <f>-D947/C946</f>
        <v>3.8824979457682825E-2</v>
      </c>
      <c r="F947" s="344">
        <f>B947-B946</f>
        <v>43</v>
      </c>
      <c r="G947" s="4"/>
      <c r="H947" s="93"/>
      <c r="K947" s="93"/>
      <c r="L947" s="93"/>
      <c r="M947" s="93"/>
      <c r="N947" s="93"/>
      <c r="O947" s="93"/>
      <c r="P947" s="93"/>
      <c r="Q947" s="93"/>
      <c r="R947" s="93"/>
      <c r="S947" s="93"/>
      <c r="T947" s="93"/>
      <c r="U947" s="93"/>
      <c r="V947" s="93"/>
      <c r="W947" s="93"/>
      <c r="X947" s="93"/>
      <c r="Y947" s="93"/>
      <c r="Z947" s="93"/>
      <c r="AA947" s="93"/>
      <c r="AB947" s="93"/>
    </row>
    <row r="948" spans="1:28" ht="12.75" customHeight="1">
      <c r="A948" s="149" t="s">
        <v>482</v>
      </c>
      <c r="B948" s="148">
        <v>44489</v>
      </c>
      <c r="C948" s="356">
        <v>-5486</v>
      </c>
      <c r="D948" s="356"/>
      <c r="E948" s="420"/>
      <c r="F948" s="424"/>
      <c r="G948" s="4"/>
      <c r="H948" s="93"/>
      <c r="K948" s="93"/>
      <c r="L948" s="93"/>
      <c r="M948" s="93"/>
      <c r="N948" s="93"/>
      <c r="O948" s="93"/>
      <c r="P948" s="93"/>
      <c r="Q948" s="93"/>
      <c r="R948" s="93"/>
      <c r="S948" s="93"/>
      <c r="T948" s="93"/>
      <c r="U948" s="93"/>
      <c r="V948" s="93"/>
      <c r="W948" s="93"/>
      <c r="X948" s="93"/>
      <c r="Y948" s="93"/>
      <c r="Z948" s="93"/>
      <c r="AA948" s="93"/>
      <c r="AB948" s="93"/>
    </row>
    <row r="949" spans="1:28" ht="12.75" customHeight="1">
      <c r="A949" s="120" t="s">
        <v>482</v>
      </c>
      <c r="B949" s="150">
        <v>44568</v>
      </c>
      <c r="C949" s="422">
        <v>5474</v>
      </c>
      <c r="D949" s="422">
        <f>C949+C948</f>
        <v>-12</v>
      </c>
      <c r="E949" s="423">
        <f>-D949/C948</f>
        <v>-2.1873860736419978E-3</v>
      </c>
      <c r="F949" s="344">
        <f>B949-B948</f>
        <v>79</v>
      </c>
      <c r="G949" s="4"/>
      <c r="H949" s="93"/>
      <c r="K949" s="93"/>
      <c r="L949" s="93"/>
      <c r="M949" s="93"/>
      <c r="N949" s="93"/>
      <c r="O949" s="93"/>
      <c r="P949" s="93"/>
      <c r="Q949" s="93"/>
      <c r="R949" s="93"/>
      <c r="S949" s="93"/>
      <c r="T949" s="93"/>
      <c r="U949" s="93"/>
      <c r="V949" s="93"/>
      <c r="W949" s="93"/>
      <c r="X949" s="93"/>
      <c r="Y949" s="93"/>
      <c r="Z949" s="93"/>
      <c r="AA949" s="93"/>
      <c r="AB949" s="93"/>
    </row>
    <row r="950" spans="1:28" ht="12.75" customHeight="1">
      <c r="A950" s="149" t="s">
        <v>529</v>
      </c>
      <c r="B950" s="148">
        <v>44361</v>
      </c>
      <c r="C950" s="149">
        <v>-27433</v>
      </c>
      <c r="D950" s="356"/>
      <c r="E950" s="420"/>
      <c r="F950" s="424"/>
      <c r="G950" s="4"/>
      <c r="H950" s="93"/>
      <c r="K950" s="93"/>
      <c r="L950" s="93"/>
      <c r="M950" s="93"/>
      <c r="N950" s="93"/>
      <c r="O950" s="93"/>
      <c r="P950" s="93"/>
      <c r="Q950" s="93"/>
      <c r="R950" s="93"/>
      <c r="S950" s="93"/>
      <c r="T950" s="93"/>
      <c r="U950" s="93"/>
      <c r="V950" s="93"/>
      <c r="W950" s="93"/>
      <c r="X950" s="93"/>
      <c r="Y950" s="93"/>
      <c r="Z950" s="93"/>
      <c r="AA950" s="93"/>
      <c r="AB950" s="93"/>
    </row>
    <row r="951" spans="1:28" ht="12.75" customHeight="1">
      <c r="A951" s="120" t="s">
        <v>529</v>
      </c>
      <c r="B951" s="150">
        <v>44364</v>
      </c>
      <c r="C951" s="422">
        <v>27721</v>
      </c>
      <c r="D951" s="422">
        <f>C951+C950</f>
        <v>288</v>
      </c>
      <c r="E951" s="423">
        <f>-D951/C950</f>
        <v>1.0498304961178142E-2</v>
      </c>
      <c r="F951" s="344">
        <f>B951-B950</f>
        <v>3</v>
      </c>
      <c r="G951" s="4"/>
      <c r="H951" s="93"/>
      <c r="K951" s="93"/>
      <c r="L951" s="93"/>
      <c r="M951" s="93"/>
      <c r="N951" s="93"/>
      <c r="O951" s="93"/>
      <c r="P951" s="93"/>
      <c r="Q951" s="93"/>
      <c r="R951" s="93"/>
      <c r="S951" s="93"/>
      <c r="T951" s="93"/>
      <c r="U951" s="93"/>
      <c r="V951" s="93"/>
      <c r="W951" s="93"/>
      <c r="X951" s="93"/>
      <c r="Y951" s="93"/>
      <c r="Z951" s="93"/>
      <c r="AA951" s="93"/>
      <c r="AB951" s="93"/>
    </row>
    <row r="952" spans="1:28" ht="12.75" customHeight="1">
      <c r="A952" s="149" t="s">
        <v>533</v>
      </c>
      <c r="B952" s="148">
        <v>44365</v>
      </c>
      <c r="C952" s="149">
        <v>-16369</v>
      </c>
      <c r="D952" s="356"/>
      <c r="E952" s="420"/>
      <c r="F952" s="424"/>
      <c r="G952" s="4"/>
      <c r="H952" s="93"/>
      <c r="K952" s="93"/>
      <c r="L952" s="93"/>
      <c r="M952" s="93"/>
      <c r="N952" s="93"/>
      <c r="O952" s="93"/>
      <c r="P952" s="93"/>
      <c r="Q952" s="93"/>
      <c r="R952" s="93"/>
      <c r="S952" s="93"/>
      <c r="T952" s="93"/>
      <c r="U952" s="93"/>
      <c r="V952" s="93"/>
      <c r="W952" s="93"/>
      <c r="X952" s="93"/>
      <c r="Y952" s="93"/>
      <c r="Z952" s="93"/>
      <c r="AA952" s="93"/>
      <c r="AB952" s="93"/>
    </row>
    <row r="953" spans="1:28" ht="12.75" customHeight="1">
      <c r="A953" s="120" t="s">
        <v>533</v>
      </c>
      <c r="B953" s="150">
        <v>44376</v>
      </c>
      <c r="C953" s="422">
        <v>17102</v>
      </c>
      <c r="D953" s="422">
        <f>C953+C952</f>
        <v>733</v>
      </c>
      <c r="E953" s="423">
        <f>-D953/C952</f>
        <v>4.4779766632048384E-2</v>
      </c>
      <c r="F953" s="344">
        <f>B953-B952</f>
        <v>11</v>
      </c>
      <c r="G953" s="4"/>
      <c r="H953" s="93"/>
      <c r="K953" s="93"/>
      <c r="L953" s="93"/>
      <c r="M953" s="93"/>
      <c r="N953" s="93"/>
      <c r="O953" s="93"/>
      <c r="P953" s="93"/>
      <c r="Q953" s="93"/>
      <c r="R953" s="93"/>
      <c r="S953" s="93"/>
      <c r="T953" s="93"/>
      <c r="U953" s="93"/>
      <c r="V953" s="93"/>
      <c r="W953" s="93"/>
      <c r="X953" s="93"/>
      <c r="Y953" s="93"/>
      <c r="Z953" s="93"/>
      <c r="AA953" s="93"/>
      <c r="AB953" s="93"/>
    </row>
    <row r="954" spans="1:28" ht="12.75" customHeight="1">
      <c r="A954" s="149" t="s">
        <v>533</v>
      </c>
      <c r="B954" s="148">
        <v>44799</v>
      </c>
      <c r="C954" s="356">
        <v>-3479</v>
      </c>
      <c r="D954" s="356"/>
      <c r="E954" s="420"/>
      <c r="F954" s="424"/>
      <c r="G954" s="4"/>
      <c r="H954" s="93"/>
      <c r="K954" s="93"/>
      <c r="L954" s="93"/>
      <c r="M954" s="93"/>
      <c r="N954" s="93"/>
      <c r="O954" s="93"/>
      <c r="P954" s="93"/>
      <c r="Q954" s="93"/>
      <c r="R954" s="93"/>
      <c r="S954" s="93"/>
      <c r="T954" s="93"/>
      <c r="U954" s="93"/>
      <c r="V954" s="93"/>
      <c r="W954" s="93"/>
      <c r="X954" s="93"/>
      <c r="Y954" s="93"/>
      <c r="Z954" s="93"/>
      <c r="AA954" s="93"/>
      <c r="AB954" s="93"/>
    </row>
    <row r="955" spans="1:28" ht="12.75" customHeight="1">
      <c r="A955" s="120" t="s">
        <v>533</v>
      </c>
      <c r="B955" s="150">
        <v>44907</v>
      </c>
      <c r="C955" s="422">
        <v>4245</v>
      </c>
      <c r="D955" s="422">
        <f>C955+C954</f>
        <v>766</v>
      </c>
      <c r="E955" s="423">
        <f>IFERROR(-D955/C954,0)</f>
        <v>0.22017821212992239</v>
      </c>
      <c r="F955" s="344">
        <f>B955-B954</f>
        <v>108</v>
      </c>
      <c r="G955" s="4"/>
      <c r="H955" s="93"/>
      <c r="K955" s="93"/>
      <c r="L955" s="93"/>
      <c r="M955" s="93"/>
      <c r="N955" s="93"/>
      <c r="O955" s="93"/>
      <c r="P955" s="93"/>
      <c r="Q955" s="93"/>
      <c r="R955" s="93"/>
      <c r="S955" s="93"/>
      <c r="T955" s="93"/>
      <c r="U955" s="93"/>
      <c r="V955" s="93"/>
      <c r="W955" s="93"/>
      <c r="X955" s="93"/>
      <c r="Y955" s="93"/>
      <c r="Z955" s="93"/>
      <c r="AA955" s="93"/>
      <c r="AB955" s="93"/>
    </row>
    <row r="956" spans="1:28" ht="12.75" customHeight="1">
      <c r="A956" s="149" t="s">
        <v>533</v>
      </c>
      <c r="B956" s="148">
        <v>44389</v>
      </c>
      <c r="C956" s="356">
        <v>-4781</v>
      </c>
      <c r="D956" s="356"/>
      <c r="E956" s="420"/>
      <c r="F956" s="424"/>
      <c r="G956" s="4"/>
      <c r="H956" s="93"/>
      <c r="K956" s="93"/>
      <c r="L956" s="93"/>
      <c r="M956" s="93"/>
      <c r="N956" s="93"/>
      <c r="O956" s="93"/>
      <c r="P956" s="93"/>
      <c r="Q956" s="93"/>
      <c r="R956" s="93"/>
      <c r="S956" s="93"/>
      <c r="T956" s="93"/>
      <c r="U956" s="93"/>
      <c r="V956" s="93"/>
      <c r="W956" s="93"/>
      <c r="X956" s="93"/>
      <c r="Y956" s="93"/>
      <c r="Z956" s="93"/>
      <c r="AA956" s="93"/>
      <c r="AB956" s="93"/>
    </row>
    <row r="957" spans="1:28" ht="12.75" customHeight="1">
      <c r="A957" s="120" t="s">
        <v>533</v>
      </c>
      <c r="B957" s="150">
        <v>44907</v>
      </c>
      <c r="C957" s="422">
        <v>4246</v>
      </c>
      <c r="D957" s="422">
        <f>C957+C956</f>
        <v>-535</v>
      </c>
      <c r="E957" s="423">
        <f>IFERROR(-D957/C956,0)</f>
        <v>-0.11190127588370634</v>
      </c>
      <c r="F957" s="344">
        <f>B957-B956</f>
        <v>518</v>
      </c>
      <c r="G957" s="4"/>
      <c r="H957" s="93"/>
      <c r="K957" s="93"/>
      <c r="L957" s="93"/>
      <c r="M957" s="93"/>
      <c r="N957" s="93"/>
      <c r="O957" s="93"/>
      <c r="P957" s="93"/>
      <c r="Q957" s="93"/>
      <c r="R957" s="93"/>
      <c r="S957" s="93"/>
      <c r="T957" s="93"/>
      <c r="U957" s="93"/>
      <c r="V957" s="93"/>
      <c r="W957" s="93"/>
      <c r="X957" s="93"/>
      <c r="Y957" s="93"/>
      <c r="Z957" s="93"/>
      <c r="AA957" s="93"/>
      <c r="AB957" s="93"/>
    </row>
    <row r="958" spans="1:28" ht="12.75" customHeight="1">
      <c r="A958" s="149" t="s">
        <v>605</v>
      </c>
      <c r="B958" s="148">
        <v>44678</v>
      </c>
      <c r="C958" s="356">
        <v>-3509</v>
      </c>
      <c r="D958" s="356"/>
      <c r="E958" s="420"/>
      <c r="F958" s="424"/>
      <c r="G958" s="4"/>
      <c r="H958" s="93"/>
      <c r="K958" s="93"/>
      <c r="L958" s="93"/>
      <c r="M958" s="93"/>
      <c r="N958" s="93"/>
      <c r="O958" s="93"/>
      <c r="P958" s="93"/>
      <c r="Q958" s="93"/>
      <c r="R958" s="93"/>
      <c r="S958" s="93"/>
      <c r="T958" s="93"/>
      <c r="U958" s="93"/>
      <c r="V958" s="93"/>
      <c r="W958" s="93"/>
      <c r="X958" s="93"/>
      <c r="Y958" s="93"/>
      <c r="Z958" s="93"/>
      <c r="AA958" s="93"/>
      <c r="AB958" s="93"/>
    </row>
    <row r="959" spans="1:28" ht="12.75" customHeight="1">
      <c r="A959" s="120" t="s">
        <v>605</v>
      </c>
      <c r="B959" s="150">
        <v>44797</v>
      </c>
      <c r="C959" s="422">
        <v>3859</v>
      </c>
      <c r="D959" s="422">
        <f>C959+C958</f>
        <v>350</v>
      </c>
      <c r="E959" s="423">
        <f>IFERROR(-D959/C958,0)</f>
        <v>9.9743516671416357E-2</v>
      </c>
      <c r="F959" s="344">
        <f>B959-B958</f>
        <v>119</v>
      </c>
      <c r="G959" s="4"/>
      <c r="H959" s="93"/>
      <c r="K959" s="93"/>
      <c r="L959" s="93"/>
      <c r="M959" s="93"/>
      <c r="N959" s="93"/>
      <c r="O959" s="93"/>
      <c r="P959" s="93"/>
      <c r="Q959" s="93"/>
      <c r="R959" s="93"/>
      <c r="S959" s="93"/>
      <c r="T959" s="93"/>
      <c r="U959" s="93"/>
      <c r="V959" s="93"/>
      <c r="W959" s="93"/>
      <c r="X959" s="93"/>
      <c r="Y959" s="93"/>
      <c r="Z959" s="93"/>
      <c r="AA959" s="93"/>
      <c r="AB959" s="93"/>
    </row>
    <row r="960" spans="1:28" ht="12.75" customHeight="1">
      <c r="A960" s="149" t="s">
        <v>605</v>
      </c>
      <c r="B960" s="148">
        <v>44676</v>
      </c>
      <c r="C960" s="356">
        <v>-8019</v>
      </c>
      <c r="D960" s="356"/>
      <c r="E960" s="420"/>
      <c r="F960" s="424"/>
      <c r="G960" s="4"/>
      <c r="H960" s="93"/>
      <c r="K960" s="93"/>
      <c r="L960" s="93"/>
      <c r="M960" s="93"/>
      <c r="N960" s="93"/>
      <c r="O960" s="93"/>
      <c r="P960" s="93"/>
      <c r="Q960" s="93"/>
      <c r="R960" s="93"/>
      <c r="S960" s="93"/>
      <c r="T960" s="93"/>
      <c r="U960" s="93"/>
      <c r="V960" s="93"/>
      <c r="W960" s="93"/>
      <c r="X960" s="93"/>
      <c r="Y960" s="93"/>
      <c r="Z960" s="93"/>
      <c r="AA960" s="93"/>
      <c r="AB960" s="93"/>
    </row>
    <row r="961" spans="1:28" ht="12.75" customHeight="1">
      <c r="A961" s="120" t="s">
        <v>605</v>
      </c>
      <c r="B961" s="150">
        <v>44797</v>
      </c>
      <c r="C961" s="422">
        <v>7718</v>
      </c>
      <c r="D961" s="422">
        <f>C961+C960</f>
        <v>-301</v>
      </c>
      <c r="E961" s="423">
        <f>IFERROR(-D961/C960,0)</f>
        <v>-3.7535852350667163E-2</v>
      </c>
      <c r="F961" s="344">
        <f>B961-B960</f>
        <v>121</v>
      </c>
      <c r="G961" s="4"/>
      <c r="H961" s="93"/>
      <c r="K961" s="93"/>
      <c r="L961" s="93"/>
      <c r="M961" s="93"/>
      <c r="N961" s="93"/>
      <c r="O961" s="93"/>
      <c r="P961" s="93"/>
      <c r="Q961" s="93"/>
      <c r="R961" s="93"/>
      <c r="S961" s="93"/>
      <c r="T961" s="93"/>
      <c r="U961" s="93"/>
      <c r="V961" s="93"/>
      <c r="W961" s="93"/>
      <c r="X961" s="93"/>
      <c r="Y961" s="93"/>
      <c r="Z961" s="93"/>
      <c r="AA961" s="93"/>
      <c r="AB961" s="93"/>
    </row>
    <row r="962" spans="1:28" ht="12.75" customHeight="1">
      <c r="A962" s="149" t="s">
        <v>613</v>
      </c>
      <c r="B962" s="148">
        <v>44756</v>
      </c>
      <c r="C962" s="356">
        <v>-3404</v>
      </c>
      <c r="D962" s="356"/>
      <c r="E962" s="420"/>
      <c r="F962" s="424"/>
      <c r="G962" s="4"/>
      <c r="H962" s="93"/>
      <c r="K962" s="93"/>
      <c r="L962" s="93"/>
      <c r="M962" s="93"/>
      <c r="N962" s="93"/>
      <c r="O962" s="93"/>
      <c r="P962" s="93"/>
      <c r="Q962" s="93"/>
      <c r="R962" s="93"/>
      <c r="S962" s="93"/>
      <c r="T962" s="93"/>
      <c r="U962" s="93"/>
      <c r="V962" s="93"/>
      <c r="W962" s="93"/>
      <c r="X962" s="93"/>
      <c r="Y962" s="93"/>
      <c r="Z962" s="93"/>
      <c r="AA962" s="93"/>
      <c r="AB962" s="93"/>
    </row>
    <row r="963" spans="1:28" ht="12.75" customHeight="1">
      <c r="A963" s="120" t="s">
        <v>613</v>
      </c>
      <c r="B963" s="150">
        <v>44798</v>
      </c>
      <c r="C963" s="422">
        <v>3526</v>
      </c>
      <c r="D963" s="422">
        <f>C963+C962</f>
        <v>122</v>
      </c>
      <c r="E963" s="423">
        <f>IFERROR(-D963/C962,0)</f>
        <v>3.5840188014101056E-2</v>
      </c>
      <c r="F963" s="344">
        <f>B963-B962</f>
        <v>42</v>
      </c>
      <c r="G963" s="4"/>
      <c r="H963" s="93"/>
      <c r="K963" s="93"/>
      <c r="L963" s="93"/>
      <c r="M963" s="93"/>
      <c r="N963" s="93"/>
      <c r="O963" s="93"/>
      <c r="P963" s="93"/>
      <c r="Q963" s="93"/>
      <c r="R963" s="93"/>
      <c r="S963" s="93"/>
      <c r="T963" s="93"/>
      <c r="U963" s="93"/>
      <c r="V963" s="93"/>
      <c r="W963" s="93"/>
      <c r="X963" s="93"/>
      <c r="Y963" s="93"/>
      <c r="Z963" s="93"/>
      <c r="AA963" s="93"/>
      <c r="AB963" s="93"/>
    </row>
    <row r="964" spans="1:28" ht="12.75" customHeight="1">
      <c r="A964" s="149" t="s">
        <v>539</v>
      </c>
      <c r="B964" s="148">
        <v>44904</v>
      </c>
      <c r="C964" s="356">
        <v>-6057</v>
      </c>
      <c r="D964" s="356"/>
      <c r="E964" s="420"/>
      <c r="F964" s="424"/>
      <c r="G964" s="4"/>
      <c r="H964" s="93"/>
      <c r="K964" s="93"/>
      <c r="L964" s="93"/>
      <c r="M964" s="93"/>
      <c r="N964" s="93"/>
      <c r="O964" s="93"/>
      <c r="P964" s="93"/>
      <c r="Q964" s="93"/>
      <c r="R964" s="93"/>
      <c r="S964" s="93"/>
      <c r="T964" s="93"/>
      <c r="U964" s="93"/>
      <c r="V964" s="93"/>
      <c r="W964" s="93"/>
      <c r="X964" s="93"/>
      <c r="Y964" s="93"/>
      <c r="Z964" s="93"/>
      <c r="AA964" s="93"/>
      <c r="AB964" s="93"/>
    </row>
    <row r="965" spans="1:28" ht="12.75" customHeight="1">
      <c r="A965" s="120" t="s">
        <v>539</v>
      </c>
      <c r="B965" s="150">
        <v>44903</v>
      </c>
      <c r="C965" s="422">
        <v>6156</v>
      </c>
      <c r="D965" s="422">
        <f>C965+C964</f>
        <v>99</v>
      </c>
      <c r="E965" s="423">
        <f>IFERROR(-D965/C964,0)</f>
        <v>1.6344725111441308E-2</v>
      </c>
      <c r="F965" s="344">
        <f>B965-B964</f>
        <v>-1</v>
      </c>
      <c r="G965" s="4"/>
      <c r="H965" s="93"/>
      <c r="K965" s="93"/>
      <c r="L965" s="93"/>
      <c r="M965" s="93"/>
      <c r="N965" s="93"/>
      <c r="O965" s="93"/>
      <c r="P965" s="93"/>
      <c r="Q965" s="93"/>
      <c r="R965" s="93"/>
      <c r="S965" s="93"/>
      <c r="T965" s="93"/>
      <c r="U965" s="93"/>
      <c r="V965" s="93"/>
      <c r="W965" s="93"/>
      <c r="X965" s="93"/>
      <c r="Y965" s="93"/>
      <c r="Z965" s="93"/>
      <c r="AA965" s="93"/>
      <c r="AB965" s="93"/>
    </row>
    <row r="966" spans="1:28" ht="12.75" customHeight="1">
      <c r="A966" s="149" t="s">
        <v>539</v>
      </c>
      <c r="B966" s="148">
        <v>44953</v>
      </c>
      <c r="C966" s="356">
        <v>-6057</v>
      </c>
      <c r="D966" s="356"/>
      <c r="E966" s="420"/>
      <c r="F966" s="424"/>
      <c r="G966" s="4"/>
      <c r="H966" s="93"/>
      <c r="K966" s="93"/>
      <c r="L966" s="93"/>
      <c r="M966" s="93"/>
      <c r="N966" s="93"/>
      <c r="O966" s="93"/>
      <c r="P966" s="93"/>
      <c r="Q966" s="93"/>
      <c r="R966" s="93"/>
      <c r="S966" s="93"/>
      <c r="T966" s="93"/>
      <c r="U966" s="93"/>
      <c r="V966" s="93"/>
      <c r="W966" s="93"/>
      <c r="X966" s="93"/>
      <c r="Y966" s="93"/>
      <c r="Z966" s="93"/>
      <c r="AA966" s="93"/>
      <c r="AB966" s="93"/>
    </row>
    <row r="967" spans="1:28" ht="12.75" customHeight="1">
      <c r="A967" s="120" t="s">
        <v>539</v>
      </c>
      <c r="B967" s="150">
        <v>44925</v>
      </c>
      <c r="C967" s="422">
        <v>6119</v>
      </c>
      <c r="D967" s="422">
        <f>C967+C966</f>
        <v>62</v>
      </c>
      <c r="E967" s="423">
        <f>IFERROR(-D967/C966,0)</f>
        <v>1.023609047383193E-2</v>
      </c>
      <c r="F967" s="344">
        <f>B967-B966</f>
        <v>-28</v>
      </c>
      <c r="G967" s="4"/>
      <c r="H967" s="93"/>
      <c r="K967" s="93"/>
      <c r="L967" s="93"/>
      <c r="M967" s="93"/>
      <c r="N967" s="93"/>
      <c r="O967" s="93"/>
      <c r="P967" s="93"/>
      <c r="Q967" s="93"/>
      <c r="R967" s="93"/>
      <c r="S967" s="93"/>
      <c r="T967" s="93"/>
      <c r="U967" s="93"/>
      <c r="V967" s="93"/>
      <c r="W967" s="93"/>
      <c r="X967" s="93"/>
      <c r="Y967" s="93"/>
      <c r="Z967" s="93"/>
      <c r="AA967" s="93"/>
      <c r="AB967" s="93"/>
    </row>
    <row r="968" spans="1:28" ht="12.75" customHeight="1">
      <c r="A968" s="149" t="s">
        <v>552</v>
      </c>
      <c r="B968" s="148">
        <v>44393</v>
      </c>
      <c r="C968" s="149">
        <v>-13316</v>
      </c>
      <c r="D968" s="356"/>
      <c r="E968" s="420"/>
      <c r="F968" s="424"/>
      <c r="G968" s="4"/>
      <c r="H968" s="93"/>
      <c r="K968" s="93"/>
      <c r="L968" s="93"/>
      <c r="M968" s="93"/>
      <c r="N968" s="93"/>
      <c r="O968" s="93"/>
      <c r="P968" s="93"/>
      <c r="Q968" s="93"/>
      <c r="R968" s="93"/>
      <c r="S968" s="93"/>
      <c r="T968" s="93"/>
      <c r="U968" s="93"/>
      <c r="V968" s="93"/>
      <c r="W968" s="93"/>
      <c r="X968" s="93"/>
      <c r="Y968" s="93"/>
      <c r="Z968" s="93"/>
      <c r="AA968" s="93"/>
      <c r="AB968" s="93"/>
    </row>
    <row r="969" spans="1:28" ht="12.75" customHeight="1">
      <c r="A969" s="120" t="s">
        <v>552</v>
      </c>
      <c r="B969" s="150">
        <v>44410</v>
      </c>
      <c r="C969" s="422">
        <v>13411</v>
      </c>
      <c r="D969" s="422">
        <f>C969+C968</f>
        <v>95</v>
      </c>
      <c r="E969" s="423">
        <f>-D969/C968</f>
        <v>7.1342745569240012E-3</v>
      </c>
      <c r="F969" s="344">
        <f>B969-B968</f>
        <v>17</v>
      </c>
      <c r="G969" s="4"/>
      <c r="H969" s="93"/>
      <c r="K969" s="93"/>
      <c r="L969" s="93"/>
      <c r="M969" s="93"/>
      <c r="N969" s="93"/>
      <c r="O969" s="93"/>
      <c r="P969" s="93"/>
      <c r="Q969" s="93"/>
      <c r="R969" s="93"/>
      <c r="S969" s="93"/>
      <c r="T969" s="93"/>
      <c r="U969" s="93"/>
      <c r="V969" s="93"/>
      <c r="W969" s="93"/>
      <c r="X969" s="93"/>
      <c r="Y969" s="93"/>
      <c r="Z969" s="93"/>
      <c r="AA969" s="93"/>
      <c r="AB969" s="93"/>
    </row>
    <row r="970" spans="1:28" ht="12.75" customHeight="1">
      <c r="A970" s="149" t="s">
        <v>552</v>
      </c>
      <c r="B970" s="148">
        <v>44459</v>
      </c>
      <c r="C970" s="149">
        <v>-14667</v>
      </c>
      <c r="D970" s="356"/>
      <c r="E970" s="420"/>
      <c r="F970" s="424"/>
      <c r="G970" s="4"/>
      <c r="H970" s="93"/>
      <c r="K970" s="93"/>
      <c r="L970" s="93"/>
      <c r="M970" s="93"/>
      <c r="N970" s="93"/>
      <c r="O970" s="93"/>
      <c r="P970" s="93"/>
      <c r="Q970" s="93"/>
      <c r="R970" s="93"/>
      <c r="S970" s="93"/>
      <c r="T970" s="93"/>
      <c r="U970" s="93"/>
      <c r="V970" s="93"/>
      <c r="W970" s="93"/>
      <c r="X970" s="93"/>
      <c r="Y970" s="93"/>
      <c r="Z970" s="93"/>
      <c r="AA970" s="93"/>
      <c r="AB970" s="93"/>
    </row>
    <row r="971" spans="1:28" ht="12.75" customHeight="1">
      <c r="A971" s="120" t="s">
        <v>552</v>
      </c>
      <c r="B971" s="150">
        <v>44474</v>
      </c>
      <c r="C971" s="422">
        <v>15134</v>
      </c>
      <c r="D971" s="422">
        <f>C971+C970</f>
        <v>467</v>
      </c>
      <c r="E971" s="423">
        <f>-D971/C970</f>
        <v>3.1840185450330676E-2</v>
      </c>
      <c r="F971" s="344">
        <f>B971-B970</f>
        <v>15</v>
      </c>
      <c r="G971" s="4"/>
      <c r="H971" s="93"/>
      <c r="K971" s="93"/>
      <c r="L971" s="93"/>
      <c r="M971" s="93"/>
      <c r="N971" s="93"/>
      <c r="O971" s="93"/>
      <c r="P971" s="93"/>
      <c r="Q971" s="93"/>
      <c r="R971" s="93"/>
      <c r="S971" s="93"/>
      <c r="T971" s="93"/>
      <c r="U971" s="93"/>
      <c r="V971" s="93"/>
      <c r="W971" s="93"/>
      <c r="X971" s="93"/>
      <c r="Y971" s="93"/>
      <c r="Z971" s="93"/>
      <c r="AA971" s="93"/>
      <c r="AB971" s="93"/>
    </row>
    <row r="972" spans="1:28" ht="12.75" customHeight="1">
      <c r="A972" s="149" t="s">
        <v>626</v>
      </c>
      <c r="B972" s="148">
        <v>44818</v>
      </c>
      <c r="C972" s="356">
        <v>-3404</v>
      </c>
      <c r="D972" s="356"/>
      <c r="E972" s="420"/>
      <c r="F972" s="424"/>
      <c r="G972" s="4"/>
      <c r="H972" s="93"/>
      <c r="K972" s="93"/>
      <c r="L972" s="93"/>
      <c r="M972" s="93"/>
      <c r="N972" s="93"/>
      <c r="O972" s="93"/>
      <c r="P972" s="93"/>
      <c r="Q972" s="93"/>
      <c r="R972" s="93"/>
      <c r="S972" s="93"/>
      <c r="T972" s="93"/>
      <c r="U972" s="93"/>
      <c r="V972" s="93"/>
      <c r="W972" s="93"/>
      <c r="X972" s="93"/>
      <c r="Y972" s="93"/>
      <c r="Z972" s="93"/>
      <c r="AA972" s="93"/>
      <c r="AB972" s="93"/>
    </row>
    <row r="973" spans="1:28" ht="12.75" customHeight="1">
      <c r="A973" s="120" t="s">
        <v>626</v>
      </c>
      <c r="B973" s="150">
        <v>44880</v>
      </c>
      <c r="C973" s="422">
        <v>3466</v>
      </c>
      <c r="D973" s="422">
        <f>C973+C972</f>
        <v>62</v>
      </c>
      <c r="E973" s="423">
        <f>IFERROR(-D973/C972,0)</f>
        <v>1.8213866039952998E-2</v>
      </c>
      <c r="F973" s="344">
        <f>B973-B972</f>
        <v>62</v>
      </c>
      <c r="G973" s="4"/>
      <c r="H973" s="93"/>
      <c r="K973" s="93"/>
      <c r="L973" s="93"/>
      <c r="M973" s="93"/>
      <c r="N973" s="93"/>
      <c r="O973" s="93"/>
      <c r="P973" s="93"/>
      <c r="Q973" s="93"/>
      <c r="R973" s="93"/>
      <c r="S973" s="93"/>
      <c r="T973" s="93"/>
      <c r="U973" s="93"/>
      <c r="V973" s="93"/>
      <c r="W973" s="93"/>
      <c r="X973" s="93"/>
      <c r="Y973" s="93"/>
      <c r="Z973" s="93"/>
      <c r="AA973" s="93"/>
      <c r="AB973" s="93"/>
    </row>
    <row r="974" spans="1:28" ht="12.75" customHeight="1">
      <c r="A974" s="149" t="s">
        <v>296</v>
      </c>
      <c r="B974" s="148">
        <v>44651</v>
      </c>
      <c r="C974" s="356">
        <v>-15997</v>
      </c>
      <c r="D974" s="356"/>
      <c r="E974" s="420"/>
      <c r="F974" s="424"/>
      <c r="G974" s="4"/>
      <c r="H974" s="93"/>
      <c r="K974" s="93"/>
      <c r="L974" s="93"/>
      <c r="M974" s="93"/>
      <c r="N974" s="93"/>
      <c r="O974" s="93"/>
      <c r="P974" s="93"/>
      <c r="Q974" s="93"/>
      <c r="R974" s="93"/>
      <c r="S974" s="93"/>
      <c r="T974" s="93"/>
      <c r="U974" s="93"/>
      <c r="V974" s="93"/>
      <c r="W974" s="93"/>
      <c r="X974" s="93"/>
      <c r="Y974" s="93"/>
      <c r="Z974" s="93"/>
      <c r="AA974" s="93"/>
      <c r="AB974" s="93"/>
    </row>
    <row r="975" spans="1:28" ht="12.75" customHeight="1">
      <c r="A975" s="120" t="s">
        <v>296</v>
      </c>
      <c r="B975" s="150">
        <v>44655</v>
      </c>
      <c r="C975" s="422">
        <v>16733</v>
      </c>
      <c r="D975" s="422">
        <f>C975+C974</f>
        <v>736</v>
      </c>
      <c r="E975" s="423">
        <f>IFERROR(-D975/C974,0)</f>
        <v>4.6008626617490778E-2</v>
      </c>
      <c r="F975" s="344">
        <f>B975-B974</f>
        <v>4</v>
      </c>
      <c r="G975" s="4"/>
      <c r="H975" s="93"/>
      <c r="K975" s="93"/>
      <c r="L975" s="93"/>
      <c r="M975" s="93"/>
      <c r="N975" s="93"/>
      <c r="O975" s="93"/>
      <c r="P975" s="93"/>
      <c r="Q975" s="93"/>
      <c r="R975" s="93"/>
      <c r="S975" s="93"/>
      <c r="T975" s="93"/>
      <c r="U975" s="93"/>
      <c r="V975" s="93"/>
      <c r="W975" s="93"/>
      <c r="X975" s="93"/>
      <c r="Y975" s="93"/>
      <c r="Z975" s="93"/>
      <c r="AA975" s="93"/>
      <c r="AB975" s="93"/>
    </row>
    <row r="976" spans="1:28" ht="12.75" customHeight="1">
      <c r="A976" s="149" t="s">
        <v>603</v>
      </c>
      <c r="B976" s="148">
        <v>44672</v>
      </c>
      <c r="C976" s="356">
        <v>-13166</v>
      </c>
      <c r="D976" s="356"/>
      <c r="E976" s="420"/>
      <c r="F976" s="424"/>
      <c r="G976" s="4"/>
      <c r="H976" s="93"/>
      <c r="K976" s="93"/>
      <c r="L976" s="93"/>
      <c r="M976" s="93"/>
      <c r="N976" s="93"/>
      <c r="O976" s="93"/>
      <c r="P976" s="93"/>
      <c r="Q976" s="93"/>
      <c r="R976" s="93"/>
      <c r="S976" s="93"/>
      <c r="T976" s="93"/>
      <c r="U976" s="93"/>
      <c r="V976" s="93"/>
      <c r="W976" s="93"/>
      <c r="X976" s="93"/>
      <c r="Y976" s="93"/>
      <c r="Z976" s="93"/>
      <c r="AA976" s="93"/>
      <c r="AB976" s="93"/>
    </row>
    <row r="977" spans="1:28" ht="12.75" customHeight="1">
      <c r="A977" s="120" t="s">
        <v>603</v>
      </c>
      <c r="B977" s="150">
        <v>44785</v>
      </c>
      <c r="C977" s="422">
        <v>13786</v>
      </c>
      <c r="D977" s="422">
        <f>C977+C976</f>
        <v>620</v>
      </c>
      <c r="E977" s="423">
        <f>IFERROR(-D977/C976,0)</f>
        <v>4.7090991948959438E-2</v>
      </c>
      <c r="F977" s="344">
        <f>B977-B976</f>
        <v>113</v>
      </c>
      <c r="G977" s="4"/>
      <c r="H977" s="93"/>
      <c r="K977" s="93"/>
      <c r="L977" s="93"/>
      <c r="M977" s="93"/>
      <c r="N977" s="93"/>
      <c r="O977" s="93"/>
      <c r="P977" s="93"/>
      <c r="Q977" s="93"/>
      <c r="R977" s="93"/>
      <c r="S977" s="93"/>
      <c r="T977" s="93"/>
      <c r="U977" s="93"/>
      <c r="V977" s="93"/>
      <c r="W977" s="93"/>
      <c r="X977" s="93"/>
      <c r="Y977" s="93"/>
      <c r="Z977" s="93"/>
      <c r="AA977" s="93"/>
      <c r="AB977" s="93"/>
    </row>
    <row r="978" spans="1:28" ht="12.75" customHeight="1">
      <c r="A978" s="149" t="s">
        <v>633</v>
      </c>
      <c r="B978" s="148">
        <v>44943</v>
      </c>
      <c r="C978" s="356">
        <v>-5716</v>
      </c>
      <c r="D978" s="356"/>
      <c r="E978" s="420"/>
      <c r="F978" s="424"/>
      <c r="G978" s="4"/>
      <c r="H978" s="93"/>
      <c r="K978" s="93"/>
      <c r="L978" s="93"/>
      <c r="M978" s="93"/>
      <c r="N978" s="93"/>
      <c r="O978" s="93"/>
      <c r="P978" s="93"/>
      <c r="Q978" s="93"/>
      <c r="R978" s="93"/>
      <c r="S978" s="93"/>
      <c r="T978" s="93"/>
      <c r="U978" s="93"/>
      <c r="V978" s="93"/>
      <c r="W978" s="93"/>
      <c r="X978" s="93"/>
      <c r="Y978" s="93"/>
      <c r="Z978" s="93"/>
      <c r="AA978" s="93"/>
      <c r="AB978" s="93"/>
    </row>
    <row r="979" spans="1:28" ht="12" customHeight="1">
      <c r="A979" s="120" t="s">
        <v>633</v>
      </c>
      <c r="B979" s="150">
        <v>44946</v>
      </c>
      <c r="C979" s="422">
        <v>6004</v>
      </c>
      <c r="D979" s="422">
        <f>C979+C978</f>
        <v>288</v>
      </c>
      <c r="E979" s="423">
        <f>IFERROR(-D979/C978,0)</f>
        <v>5.0384884534639608E-2</v>
      </c>
      <c r="F979" s="344">
        <f>B979-B978</f>
        <v>3</v>
      </c>
      <c r="G979" s="4"/>
      <c r="H979" s="93"/>
      <c r="K979" s="93"/>
      <c r="L979" s="93"/>
      <c r="M979" s="93"/>
      <c r="N979" s="93"/>
      <c r="O979" s="93"/>
      <c r="P979" s="93"/>
      <c r="Q979" s="93"/>
      <c r="R979" s="93"/>
      <c r="S979" s="93"/>
      <c r="T979" s="93"/>
      <c r="U979" s="93"/>
      <c r="V979" s="93"/>
      <c r="W979" s="93"/>
      <c r="X979" s="93"/>
      <c r="Y979" s="93"/>
      <c r="Z979" s="93"/>
      <c r="AA979" s="93"/>
      <c r="AB979" s="93"/>
    </row>
    <row r="980" spans="1:28" ht="12.75" customHeight="1">
      <c r="A980" s="133" t="s">
        <v>500</v>
      </c>
      <c r="B980" s="425">
        <v>44327</v>
      </c>
      <c r="C980" s="426">
        <v>-5852</v>
      </c>
      <c r="D980" s="356"/>
      <c r="E980" s="420"/>
      <c r="F980" s="424"/>
      <c r="G980" s="4"/>
      <c r="H980" s="93"/>
      <c r="K980" s="93"/>
      <c r="L980" s="93"/>
      <c r="M980" s="93"/>
      <c r="N980" s="93"/>
      <c r="O980" s="93"/>
      <c r="P980" s="93"/>
      <c r="Q980" s="93"/>
      <c r="R980" s="93"/>
      <c r="S980" s="93"/>
      <c r="T980" s="93"/>
      <c r="U980" s="93"/>
      <c r="V980" s="93"/>
      <c r="W980" s="93"/>
      <c r="X980" s="93"/>
      <c r="Y980" s="93"/>
      <c r="Z980" s="93"/>
      <c r="AA980" s="93"/>
      <c r="AB980" s="93"/>
    </row>
    <row r="981" spans="1:28" ht="12.75" customHeight="1">
      <c r="A981" s="120" t="s">
        <v>500</v>
      </c>
      <c r="B981" s="428">
        <v>44337</v>
      </c>
      <c r="C981" s="429">
        <v>5919</v>
      </c>
      <c r="D981" s="422">
        <f>C981+C980</f>
        <v>67</v>
      </c>
      <c r="E981" s="423">
        <f>-D981/C980</f>
        <v>1.1449077238550922E-2</v>
      </c>
      <c r="F981" s="344">
        <f>B981-B980</f>
        <v>10</v>
      </c>
      <c r="G981" s="4"/>
      <c r="H981" s="93"/>
      <c r="K981" s="93"/>
      <c r="L981" s="93"/>
      <c r="M981" s="93"/>
      <c r="N981" s="93"/>
      <c r="O981" s="93"/>
      <c r="P981" s="93"/>
      <c r="Q981" s="93"/>
      <c r="R981" s="93"/>
      <c r="S981" s="93"/>
      <c r="T981" s="93"/>
      <c r="U981" s="93"/>
      <c r="V981" s="93"/>
      <c r="W981" s="93"/>
      <c r="X981" s="93"/>
      <c r="Y981" s="93"/>
      <c r="Z981" s="93"/>
      <c r="AA981" s="93"/>
      <c r="AB981" s="93"/>
    </row>
    <row r="982" spans="1:28" ht="12.75" customHeight="1">
      <c r="A982" s="149" t="s">
        <v>519</v>
      </c>
      <c r="B982" s="148">
        <v>44349</v>
      </c>
      <c r="C982" s="149">
        <v>-8810</v>
      </c>
      <c r="D982" s="356"/>
      <c r="E982" s="420"/>
      <c r="F982" s="424"/>
      <c r="G982" s="4"/>
      <c r="H982" s="93"/>
      <c r="K982" s="93"/>
      <c r="L982" s="93"/>
      <c r="M982" s="93"/>
      <c r="N982" s="93"/>
      <c r="O982" s="93"/>
      <c r="P982" s="93"/>
      <c r="Q982" s="93"/>
      <c r="R982" s="93"/>
      <c r="S982" s="93"/>
      <c r="T982" s="93"/>
      <c r="U982" s="93"/>
      <c r="V982" s="93"/>
      <c r="W982" s="93"/>
      <c r="X982" s="93"/>
      <c r="Y982" s="93"/>
      <c r="Z982" s="93"/>
      <c r="AA982" s="93"/>
      <c r="AB982" s="93"/>
    </row>
    <row r="983" spans="1:28" ht="12.75" customHeight="1">
      <c r="A983" s="120" t="s">
        <v>519</v>
      </c>
      <c r="B983" s="150">
        <v>44487</v>
      </c>
      <c r="C983" s="422">
        <v>8941</v>
      </c>
      <c r="D983" s="422">
        <f>C983+C982</f>
        <v>131</v>
      </c>
      <c r="E983" s="423">
        <f>-D983/C982</f>
        <v>1.4869466515323495E-2</v>
      </c>
      <c r="F983" s="344">
        <f>B983-B982</f>
        <v>138</v>
      </c>
      <c r="G983" s="4"/>
      <c r="H983" s="93"/>
      <c r="K983" s="93"/>
      <c r="L983" s="93"/>
      <c r="M983" s="93"/>
      <c r="N983" s="93"/>
      <c r="O983" s="93"/>
      <c r="P983" s="93"/>
      <c r="Q983" s="93"/>
      <c r="R983" s="93"/>
      <c r="S983" s="93"/>
      <c r="T983" s="93"/>
      <c r="U983" s="93"/>
      <c r="V983" s="93"/>
      <c r="W983" s="93"/>
      <c r="X983" s="93"/>
      <c r="Y983" s="93"/>
      <c r="Z983" s="93"/>
      <c r="AA983" s="93"/>
      <c r="AB983" s="93"/>
    </row>
    <row r="984" spans="1:28" ht="12.75" customHeight="1">
      <c r="A984" s="149" t="s">
        <v>550</v>
      </c>
      <c r="B984" s="148">
        <v>44389</v>
      </c>
      <c r="C984" s="149">
        <v>-7759</v>
      </c>
      <c r="D984" s="356"/>
      <c r="E984" s="420"/>
      <c r="F984" s="424"/>
      <c r="G984" s="4"/>
      <c r="H984" s="93"/>
      <c r="K984" s="93"/>
      <c r="L984" s="93"/>
      <c r="M984" s="93"/>
      <c r="N984" s="93"/>
      <c r="O984" s="93"/>
      <c r="P984" s="93"/>
      <c r="Q984" s="93"/>
      <c r="R984" s="93"/>
      <c r="S984" s="93"/>
      <c r="T984" s="93"/>
      <c r="U984" s="93"/>
      <c r="V984" s="93"/>
      <c r="W984" s="93"/>
      <c r="X984" s="93"/>
      <c r="Y984" s="93"/>
      <c r="Z984" s="93"/>
      <c r="AA984" s="93"/>
      <c r="AB984" s="93"/>
    </row>
    <row r="985" spans="1:28" ht="12.75" customHeight="1">
      <c r="A985" s="120" t="s">
        <v>550</v>
      </c>
      <c r="B985" s="150">
        <v>44440</v>
      </c>
      <c r="C985" s="422">
        <v>8068</v>
      </c>
      <c r="D985" s="422">
        <f>C985+C984</f>
        <v>309</v>
      </c>
      <c r="E985" s="423">
        <f>-D985/C984</f>
        <v>3.9824719680371184E-2</v>
      </c>
      <c r="F985" s="344">
        <f>B985-B984</f>
        <v>51</v>
      </c>
      <c r="G985" s="4"/>
      <c r="H985" s="93"/>
      <c r="K985" s="93"/>
      <c r="L985" s="93"/>
      <c r="M985" s="93"/>
      <c r="N985" s="93"/>
      <c r="O985" s="93"/>
      <c r="P985" s="93"/>
      <c r="Q985" s="93"/>
      <c r="R985" s="93"/>
      <c r="S985" s="93"/>
      <c r="T985" s="93"/>
      <c r="U985" s="93"/>
      <c r="V985" s="93"/>
      <c r="W985" s="93"/>
      <c r="X985" s="93"/>
      <c r="Y985" s="93"/>
      <c r="Z985" s="93"/>
      <c r="AA985" s="93"/>
      <c r="AB985" s="93"/>
    </row>
    <row r="986" spans="1:28" ht="12.75" customHeight="1">
      <c r="A986" s="149" t="s">
        <v>596</v>
      </c>
      <c r="B986" s="148">
        <v>44648</v>
      </c>
      <c r="C986" s="356">
        <v>-11388</v>
      </c>
      <c r="D986" s="356"/>
      <c r="E986" s="420"/>
      <c r="F986" s="424"/>
      <c r="G986" s="4"/>
      <c r="H986" s="93"/>
      <c r="K986" s="93"/>
      <c r="L986" s="93"/>
      <c r="M986" s="93"/>
      <c r="N986" s="93"/>
      <c r="O986" s="93"/>
      <c r="P986" s="93"/>
      <c r="Q986" s="93"/>
      <c r="R986" s="93"/>
      <c r="S986" s="93"/>
      <c r="T986" s="93"/>
      <c r="U986" s="93"/>
      <c r="V986" s="93"/>
      <c r="W986" s="93"/>
      <c r="X986" s="93"/>
      <c r="Y986" s="93"/>
      <c r="Z986" s="93"/>
      <c r="AA986" s="93"/>
      <c r="AB986" s="93"/>
    </row>
    <row r="987" spans="1:28" ht="12.75" customHeight="1">
      <c r="A987" s="120" t="s">
        <v>596</v>
      </c>
      <c r="B987" s="150">
        <v>44650</v>
      </c>
      <c r="C987" s="422">
        <v>11913</v>
      </c>
      <c r="D987" s="422">
        <f>C987+C986</f>
        <v>525</v>
      </c>
      <c r="E987" s="423">
        <f>IFERROR(-D987/C986,0)</f>
        <v>4.6101159114857744E-2</v>
      </c>
      <c r="F987" s="344">
        <f>B987-B986</f>
        <v>2</v>
      </c>
      <c r="G987" s="4"/>
      <c r="H987" s="93"/>
      <c r="K987" s="93"/>
      <c r="L987" s="93"/>
      <c r="M987" s="93"/>
      <c r="N987" s="93"/>
      <c r="O987" s="93"/>
      <c r="P987" s="93"/>
      <c r="Q987" s="93"/>
      <c r="R987" s="93"/>
      <c r="S987" s="93"/>
      <c r="T987" s="93"/>
      <c r="U987" s="93"/>
      <c r="V987" s="93"/>
      <c r="W987" s="93"/>
      <c r="X987" s="93"/>
      <c r="Y987" s="93"/>
      <c r="Z987" s="93"/>
      <c r="AA987" s="93"/>
      <c r="AB987" s="93"/>
    </row>
    <row r="988" spans="1:28" ht="12.75" customHeight="1">
      <c r="A988" s="149" t="s">
        <v>596</v>
      </c>
      <c r="B988" s="148">
        <v>44949</v>
      </c>
      <c r="C988" s="356">
        <v>-15538</v>
      </c>
      <c r="D988" s="356"/>
      <c r="E988" s="420"/>
      <c r="F988" s="424"/>
      <c r="G988" s="4"/>
      <c r="H988" s="93"/>
      <c r="K988" s="93"/>
      <c r="L988" s="93"/>
      <c r="M988" s="93"/>
      <c r="N988" s="93"/>
      <c r="O988" s="93"/>
      <c r="P988" s="93"/>
      <c r="Q988" s="93"/>
      <c r="R988" s="93"/>
      <c r="S988" s="93"/>
      <c r="T988" s="93"/>
      <c r="U988" s="93"/>
      <c r="V988" s="93"/>
      <c r="W988" s="93"/>
      <c r="X988" s="93"/>
      <c r="Y988" s="93"/>
      <c r="Z988" s="93"/>
      <c r="AA988" s="93"/>
      <c r="AB988" s="93"/>
    </row>
    <row r="989" spans="1:28" ht="12.75" customHeight="1">
      <c r="A989" s="120" t="s">
        <v>596</v>
      </c>
      <c r="B989" s="150">
        <v>44944</v>
      </c>
      <c r="C989" s="422">
        <v>15774</v>
      </c>
      <c r="D989" s="422">
        <f>C989+C988</f>
        <v>236</v>
      </c>
      <c r="E989" s="423">
        <f>IFERROR(-D989/C988,0)</f>
        <v>1.518856995752349E-2</v>
      </c>
      <c r="F989" s="344">
        <f>B989-B988</f>
        <v>-5</v>
      </c>
      <c r="G989" s="4"/>
      <c r="H989" s="93"/>
      <c r="K989" s="93"/>
      <c r="L989" s="93"/>
      <c r="M989" s="93"/>
      <c r="N989" s="93"/>
      <c r="O989" s="93"/>
      <c r="P989" s="93"/>
      <c r="Q989" s="93"/>
      <c r="R989" s="93"/>
      <c r="S989" s="93"/>
      <c r="T989" s="93"/>
      <c r="U989" s="93"/>
      <c r="V989" s="93"/>
      <c r="W989" s="93"/>
      <c r="X989" s="93"/>
      <c r="Y989" s="93"/>
      <c r="Z989" s="93"/>
      <c r="AA989" s="93"/>
      <c r="AB989" s="93"/>
    </row>
    <row r="990" spans="1:28" ht="12.75" customHeight="1">
      <c r="A990" s="133" t="s">
        <v>501</v>
      </c>
      <c r="B990" s="425">
        <v>44327</v>
      </c>
      <c r="C990" s="426">
        <v>-10312</v>
      </c>
      <c r="D990" s="356"/>
      <c r="E990" s="420"/>
      <c r="F990" s="424"/>
      <c r="G990" s="4"/>
      <c r="H990" s="93"/>
      <c r="K990" s="93"/>
      <c r="L990" s="93"/>
      <c r="M990" s="93"/>
      <c r="N990" s="93"/>
      <c r="O990" s="93"/>
      <c r="P990" s="93"/>
      <c r="Q990" s="93"/>
      <c r="R990" s="93"/>
      <c r="S990" s="93"/>
      <c r="T990" s="93"/>
      <c r="U990" s="93"/>
      <c r="V990" s="93"/>
      <c r="W990" s="93"/>
      <c r="X990" s="93"/>
      <c r="Y990" s="93"/>
      <c r="Z990" s="93"/>
      <c r="AA990" s="93"/>
      <c r="AB990" s="93"/>
    </row>
    <row r="991" spans="1:28" ht="12.75" customHeight="1">
      <c r="A991" s="120" t="s">
        <v>501</v>
      </c>
      <c r="B991" s="428">
        <v>44334</v>
      </c>
      <c r="C991" s="429">
        <v>11188</v>
      </c>
      <c r="D991" s="422">
        <f>C991+C990</f>
        <v>876</v>
      </c>
      <c r="E991" s="423">
        <f>-D991/C990</f>
        <v>8.4949573312645466E-2</v>
      </c>
      <c r="F991" s="344">
        <f>B991-B990</f>
        <v>7</v>
      </c>
      <c r="G991" s="4"/>
      <c r="H991" s="93"/>
      <c r="K991" s="93"/>
      <c r="L991" s="93"/>
      <c r="M991" s="93"/>
      <c r="N991" s="93"/>
      <c r="O991" s="93"/>
      <c r="P991" s="93"/>
      <c r="Q991" s="93"/>
      <c r="R991" s="93"/>
      <c r="S991" s="93"/>
      <c r="T991" s="93"/>
      <c r="U991" s="93"/>
      <c r="V991" s="93"/>
      <c r="W991" s="93"/>
      <c r="X991" s="93"/>
      <c r="Y991" s="93"/>
      <c r="Z991" s="93"/>
      <c r="AA991" s="93"/>
      <c r="AB991" s="93"/>
    </row>
    <row r="992" spans="1:28" ht="12.75" customHeight="1">
      <c r="A992" s="149" t="s">
        <v>602</v>
      </c>
      <c r="B992" s="148">
        <v>44663</v>
      </c>
      <c r="C992" s="356">
        <v>-10112</v>
      </c>
      <c r="D992" s="356"/>
      <c r="E992" s="420"/>
      <c r="F992" s="424"/>
      <c r="G992" s="4"/>
      <c r="H992" s="93"/>
      <c r="K992" s="93"/>
      <c r="L992" s="93"/>
      <c r="M992" s="93"/>
      <c r="N992" s="93"/>
      <c r="O992" s="93"/>
      <c r="P992" s="93"/>
      <c r="Q992" s="93"/>
      <c r="R992" s="93"/>
      <c r="S992" s="93"/>
      <c r="T992" s="93"/>
      <c r="U992" s="93"/>
      <c r="V992" s="93"/>
      <c r="W992" s="93"/>
      <c r="X992" s="93"/>
      <c r="Y992" s="93"/>
      <c r="Z992" s="93"/>
      <c r="AA992" s="93"/>
      <c r="AB992" s="93"/>
    </row>
    <row r="993" spans="1:28" ht="12.75" customHeight="1">
      <c r="A993" s="120" t="s">
        <v>602</v>
      </c>
      <c r="B993" s="150">
        <v>44823</v>
      </c>
      <c r="C993" s="422">
        <v>10589</v>
      </c>
      <c r="D993" s="422">
        <f>C993+C992</f>
        <v>477</v>
      </c>
      <c r="E993" s="423">
        <f>IFERROR(-D993/C992,0)</f>
        <v>4.7171677215189875E-2</v>
      </c>
      <c r="F993" s="344">
        <f>B993-B992</f>
        <v>160</v>
      </c>
      <c r="G993" s="4"/>
      <c r="H993" s="93"/>
      <c r="K993" s="93"/>
      <c r="L993" s="93"/>
      <c r="M993" s="93"/>
      <c r="N993" s="93"/>
      <c r="O993" s="93"/>
      <c r="P993" s="93"/>
      <c r="Q993" s="93"/>
      <c r="R993" s="93"/>
      <c r="S993" s="93"/>
      <c r="T993" s="93"/>
      <c r="U993" s="93"/>
      <c r="V993" s="93"/>
      <c r="W993" s="93"/>
      <c r="X993" s="93"/>
      <c r="Y993" s="93"/>
      <c r="Z993" s="93"/>
      <c r="AA993" s="93"/>
      <c r="AB993" s="93"/>
    </row>
    <row r="994" spans="1:28" ht="12.75" customHeight="1">
      <c r="A994" s="133" t="s">
        <v>460</v>
      </c>
      <c r="B994" s="425">
        <v>44335</v>
      </c>
      <c r="C994" s="426">
        <v>-20024</v>
      </c>
      <c r="D994" s="356"/>
      <c r="E994" s="420"/>
      <c r="F994" s="424"/>
      <c r="G994" s="4"/>
      <c r="H994" s="93"/>
      <c r="K994" s="93"/>
      <c r="L994" s="93"/>
      <c r="M994" s="93"/>
      <c r="N994" s="93"/>
      <c r="O994" s="93"/>
      <c r="P994" s="93"/>
      <c r="Q994" s="93"/>
      <c r="R994" s="93"/>
      <c r="S994" s="93"/>
      <c r="T994" s="93"/>
      <c r="U994" s="93"/>
      <c r="V994" s="93"/>
      <c r="W994" s="93"/>
      <c r="X994" s="93"/>
      <c r="Y994" s="93"/>
      <c r="Z994" s="93"/>
      <c r="AA994" s="93"/>
      <c r="AB994" s="93"/>
    </row>
    <row r="995" spans="1:28" ht="12.75" customHeight="1">
      <c r="A995" s="120" t="s">
        <v>460</v>
      </c>
      <c r="B995" s="428">
        <v>44344</v>
      </c>
      <c r="C995" s="429">
        <v>20479</v>
      </c>
      <c r="D995" s="422">
        <f>C995+C994</f>
        <v>455</v>
      </c>
      <c r="E995" s="423">
        <f>-D995/C994</f>
        <v>2.2722732720735116E-2</v>
      </c>
      <c r="F995" s="344">
        <f>B995-B994</f>
        <v>9</v>
      </c>
      <c r="G995" s="4"/>
      <c r="H995" s="93"/>
      <c r="K995" s="93"/>
      <c r="L995" s="93"/>
      <c r="M995" s="93"/>
      <c r="N995" s="93"/>
      <c r="O995" s="93"/>
      <c r="P995" s="93"/>
      <c r="Q995" s="93"/>
      <c r="R995" s="93"/>
      <c r="S995" s="93"/>
      <c r="T995" s="93"/>
      <c r="U995" s="93"/>
      <c r="V995" s="93"/>
      <c r="W995" s="93"/>
      <c r="X995" s="93"/>
      <c r="Y995" s="93"/>
      <c r="Z995" s="93"/>
      <c r="AA995" s="93"/>
      <c r="AB995" s="93"/>
    </row>
    <row r="996" spans="1:28" ht="12.75" customHeight="1">
      <c r="A996" s="149" t="s">
        <v>460</v>
      </c>
      <c r="B996" s="148">
        <v>44441</v>
      </c>
      <c r="C996" s="149">
        <v>-11389</v>
      </c>
      <c r="D996" s="356"/>
      <c r="E996" s="420"/>
      <c r="F996" s="424"/>
      <c r="G996" s="4"/>
      <c r="H996" s="93"/>
      <c r="K996" s="93"/>
      <c r="L996" s="93"/>
      <c r="M996" s="93"/>
      <c r="N996" s="93"/>
      <c r="O996" s="93"/>
      <c r="P996" s="93"/>
      <c r="Q996" s="93"/>
      <c r="R996" s="93"/>
      <c r="S996" s="93"/>
      <c r="T996" s="93"/>
      <c r="U996" s="93"/>
      <c r="V996" s="93"/>
      <c r="W996" s="93"/>
      <c r="X996" s="93"/>
      <c r="Y996" s="93"/>
      <c r="Z996" s="93"/>
      <c r="AA996" s="93"/>
      <c r="AB996" s="93"/>
    </row>
    <row r="997" spans="1:28" ht="12.75" customHeight="1">
      <c r="A997" s="120" t="s">
        <v>460</v>
      </c>
      <c r="B997" s="150">
        <v>44442</v>
      </c>
      <c r="C997" s="422">
        <v>11935</v>
      </c>
      <c r="D997" s="422">
        <f>C997+C996</f>
        <v>546</v>
      </c>
      <c r="E997" s="423">
        <f>-D997/C996</f>
        <v>4.7940995697602948E-2</v>
      </c>
      <c r="F997" s="344">
        <f>B997-B996</f>
        <v>1</v>
      </c>
      <c r="G997" s="4"/>
      <c r="H997" s="93"/>
      <c r="K997" s="93"/>
      <c r="L997" s="93"/>
      <c r="M997" s="93"/>
      <c r="N997" s="93"/>
      <c r="O997" s="93"/>
      <c r="P997" s="93"/>
      <c r="Q997" s="93"/>
      <c r="R997" s="93"/>
      <c r="S997" s="93"/>
      <c r="T997" s="93"/>
      <c r="U997" s="93"/>
      <c r="V997" s="93"/>
      <c r="W997" s="93"/>
      <c r="X997" s="93"/>
      <c r="Y997" s="93"/>
      <c r="Z997" s="93"/>
      <c r="AA997" s="93"/>
      <c r="AB997" s="93"/>
    </row>
    <row r="998" spans="1:28" ht="12.75" customHeight="1">
      <c r="A998" s="149" t="s">
        <v>460</v>
      </c>
      <c r="B998" s="148">
        <v>44452</v>
      </c>
      <c r="C998" s="149">
        <v>-4758</v>
      </c>
      <c r="D998" s="356"/>
      <c r="E998" s="420"/>
      <c r="F998" s="424"/>
      <c r="G998" s="4"/>
      <c r="H998" s="93"/>
      <c r="K998" s="93"/>
      <c r="L998" s="93"/>
      <c r="M998" s="93"/>
      <c r="N998" s="93"/>
      <c r="O998" s="93"/>
      <c r="P998" s="93"/>
      <c r="Q998" s="93"/>
      <c r="R998" s="93"/>
      <c r="S998" s="93"/>
      <c r="T998" s="93"/>
      <c r="U998" s="93"/>
      <c r="V998" s="93"/>
      <c r="W998" s="93"/>
      <c r="X998" s="93"/>
      <c r="Y998" s="93"/>
      <c r="Z998" s="93"/>
      <c r="AA998" s="93"/>
      <c r="AB998" s="93"/>
    </row>
    <row r="999" spans="1:28" ht="12.75" customHeight="1">
      <c r="A999" s="120" t="s">
        <v>460</v>
      </c>
      <c r="B999" s="150">
        <v>44477</v>
      </c>
      <c r="C999" s="422">
        <v>5215</v>
      </c>
      <c r="D999" s="422">
        <f>C999+C998</f>
        <v>457</v>
      </c>
      <c r="E999" s="423">
        <f>-D999/C998</f>
        <v>9.604875998318621E-2</v>
      </c>
      <c r="F999" s="344">
        <f>B999-B998</f>
        <v>25</v>
      </c>
      <c r="G999" s="4"/>
      <c r="H999" s="93"/>
      <c r="K999" s="93"/>
      <c r="L999" s="93"/>
      <c r="M999" s="93"/>
      <c r="N999" s="93"/>
      <c r="O999" s="93"/>
      <c r="P999" s="93"/>
      <c r="Q999" s="93"/>
      <c r="R999" s="93"/>
      <c r="S999" s="93"/>
      <c r="T999" s="93"/>
      <c r="U999" s="93"/>
      <c r="V999" s="93"/>
      <c r="W999" s="93"/>
      <c r="X999" s="93"/>
      <c r="Y999" s="93"/>
      <c r="Z999" s="93"/>
      <c r="AA999" s="93"/>
      <c r="AB999" s="93"/>
    </row>
    <row r="1000" spans="1:28" ht="12.75" customHeight="1">
      <c r="A1000" s="149" t="s">
        <v>460</v>
      </c>
      <c r="B1000" s="148">
        <v>44480</v>
      </c>
      <c r="C1000" s="356">
        <v>-13391</v>
      </c>
      <c r="D1000" s="356"/>
      <c r="E1000" s="420"/>
      <c r="F1000" s="424"/>
      <c r="G1000" s="4"/>
      <c r="H1000" s="93"/>
      <c r="K1000" s="93"/>
      <c r="L1000" s="93"/>
      <c r="M1000" s="93"/>
      <c r="N1000" s="93"/>
      <c r="O1000" s="93"/>
      <c r="P1000" s="93"/>
      <c r="Q1000" s="93"/>
      <c r="R1000" s="93"/>
      <c r="S1000" s="93"/>
      <c r="T1000" s="93"/>
      <c r="U1000" s="93"/>
      <c r="V1000" s="93"/>
      <c r="W1000" s="93"/>
      <c r="X1000" s="93"/>
      <c r="Y1000" s="93"/>
      <c r="Z1000" s="93"/>
      <c r="AA1000" s="93"/>
      <c r="AB1000" s="93"/>
    </row>
    <row r="1001" spans="1:28" ht="12.75" customHeight="1">
      <c r="A1001" s="120" t="s">
        <v>460</v>
      </c>
      <c r="B1001" s="150">
        <v>44650</v>
      </c>
      <c r="C1001" s="422">
        <v>13406</v>
      </c>
      <c r="D1001" s="422">
        <f>C1001+C1000</f>
        <v>15</v>
      </c>
      <c r="E1001" s="423">
        <f>IFERROR(-D1001/C1000,0)</f>
        <v>1.1201553282055112E-3</v>
      </c>
      <c r="F1001" s="344">
        <f>B1001-B1000</f>
        <v>170</v>
      </c>
      <c r="G1001" s="4"/>
      <c r="H1001" s="93"/>
      <c r="K1001" s="93"/>
      <c r="L1001" s="93"/>
      <c r="M1001" s="93"/>
      <c r="N1001" s="93"/>
      <c r="O1001" s="93"/>
      <c r="P1001" s="93"/>
      <c r="Q1001" s="93"/>
      <c r="R1001" s="93"/>
      <c r="S1001" s="93"/>
      <c r="T1001" s="93"/>
      <c r="U1001" s="93"/>
      <c r="V1001" s="93"/>
      <c r="W1001" s="93"/>
      <c r="X1001" s="93"/>
      <c r="Y1001" s="93"/>
      <c r="Z1001" s="93"/>
      <c r="AA1001" s="93"/>
      <c r="AB1001" s="93"/>
    </row>
    <row r="1002" spans="1:28" ht="12.75" customHeight="1">
      <c r="A1002" s="149" t="s">
        <v>460</v>
      </c>
      <c r="B1002" s="148">
        <v>44508</v>
      </c>
      <c r="C1002" s="356">
        <v>-5006</v>
      </c>
      <c r="D1002" s="356"/>
      <c r="E1002" s="420"/>
      <c r="F1002" s="424"/>
      <c r="G1002" s="4"/>
      <c r="H1002" s="93"/>
      <c r="K1002" s="93"/>
      <c r="L1002" s="93"/>
      <c r="M1002" s="93"/>
      <c r="N1002" s="93"/>
      <c r="O1002" s="93"/>
      <c r="P1002" s="93"/>
      <c r="Q1002" s="93"/>
      <c r="R1002" s="93"/>
      <c r="S1002" s="93"/>
      <c r="T1002" s="93"/>
      <c r="U1002" s="93"/>
      <c r="V1002" s="93"/>
      <c r="W1002" s="93"/>
      <c r="X1002" s="93"/>
      <c r="Y1002" s="93"/>
      <c r="Z1002" s="93"/>
      <c r="AA1002" s="93"/>
      <c r="AB1002" s="93"/>
    </row>
    <row r="1003" spans="1:28" ht="12.75" customHeight="1">
      <c r="A1003" s="120" t="s">
        <v>460</v>
      </c>
      <c r="B1003" s="150">
        <v>44650</v>
      </c>
      <c r="C1003" s="422">
        <v>5363</v>
      </c>
      <c r="D1003" s="422">
        <f>C1003+C1002</f>
        <v>357</v>
      </c>
      <c r="E1003" s="423">
        <f>IFERROR(-D1003/C1002,0)</f>
        <v>7.1314422692768678E-2</v>
      </c>
      <c r="F1003" s="344">
        <f>B1003-B1002</f>
        <v>142</v>
      </c>
      <c r="G1003" s="4"/>
      <c r="H1003" s="93"/>
      <c r="K1003" s="93"/>
      <c r="L1003" s="93"/>
      <c r="M1003" s="93"/>
      <c r="N1003" s="93"/>
      <c r="O1003" s="93"/>
      <c r="P1003" s="93"/>
      <c r="Q1003" s="93"/>
      <c r="R1003" s="93"/>
      <c r="S1003" s="93"/>
      <c r="T1003" s="93"/>
      <c r="U1003" s="93"/>
      <c r="V1003" s="93"/>
      <c r="W1003" s="93"/>
      <c r="X1003" s="93"/>
      <c r="Y1003" s="93"/>
      <c r="Z1003" s="93"/>
      <c r="AA1003" s="93"/>
      <c r="AB1003" s="93"/>
    </row>
    <row r="1004" spans="1:28" ht="12.75" customHeight="1">
      <c r="A1004" s="133" t="s">
        <v>1334</v>
      </c>
      <c r="B1004" s="425">
        <v>44225</v>
      </c>
      <c r="C1004" s="426">
        <v>-9013.58</v>
      </c>
      <c r="D1004" s="356"/>
      <c r="E1004" s="420"/>
      <c r="F1004" s="424"/>
      <c r="G1004" s="4"/>
      <c r="H1004" s="93"/>
      <c r="K1004" s="93"/>
      <c r="L1004" s="93"/>
      <c r="M1004" s="93"/>
      <c r="N1004" s="93"/>
      <c r="O1004" s="93"/>
      <c r="P1004" s="93"/>
      <c r="Q1004" s="93"/>
      <c r="R1004" s="93"/>
      <c r="S1004" s="93"/>
      <c r="T1004" s="93"/>
      <c r="U1004" s="93"/>
      <c r="V1004" s="93"/>
      <c r="W1004" s="93"/>
      <c r="X1004" s="93"/>
      <c r="Y1004" s="93"/>
      <c r="Z1004" s="93"/>
      <c r="AA1004" s="93"/>
      <c r="AB1004" s="93"/>
    </row>
    <row r="1005" spans="1:28" ht="12.75" customHeight="1">
      <c r="A1005" s="120" t="s">
        <v>1334</v>
      </c>
      <c r="B1005" s="428">
        <v>44229</v>
      </c>
      <c r="C1005" s="429">
        <v>9378.4500000000007</v>
      </c>
      <c r="D1005" s="422">
        <f>C1005+C1004</f>
        <v>364.8700000000008</v>
      </c>
      <c r="E1005" s="423">
        <f>-D1005/C1004</f>
        <v>4.0480031241748649E-2</v>
      </c>
      <c r="F1005" s="344">
        <f>B1005-B1004</f>
        <v>4</v>
      </c>
      <c r="G1005" s="4"/>
      <c r="H1005" s="93"/>
      <c r="K1005" s="93"/>
      <c r="L1005" s="93"/>
      <c r="M1005" s="93"/>
      <c r="N1005" s="93"/>
      <c r="O1005" s="93"/>
      <c r="P1005" s="93"/>
      <c r="Q1005" s="93"/>
      <c r="R1005" s="93"/>
      <c r="S1005" s="93"/>
      <c r="T1005" s="93"/>
      <c r="U1005" s="93"/>
      <c r="V1005" s="93"/>
      <c r="W1005" s="93"/>
      <c r="X1005" s="93"/>
      <c r="Y1005" s="93"/>
      <c r="Z1005" s="93"/>
      <c r="AA1005" s="93"/>
      <c r="AB1005" s="93"/>
    </row>
    <row r="1006" spans="1:28" ht="12.75" customHeight="1">
      <c r="A1006" s="149" t="s">
        <v>547</v>
      </c>
      <c r="B1006" s="148">
        <v>44383</v>
      </c>
      <c r="C1006" s="356">
        <v>-4781</v>
      </c>
      <c r="D1006" s="356"/>
      <c r="E1006" s="420"/>
      <c r="F1006" s="424"/>
      <c r="G1006" s="4"/>
      <c r="H1006" s="93"/>
      <c r="K1006" s="93"/>
      <c r="L1006" s="93"/>
      <c r="M1006" s="93"/>
      <c r="N1006" s="93"/>
      <c r="O1006" s="93"/>
      <c r="P1006" s="93"/>
      <c r="Q1006" s="93"/>
      <c r="R1006" s="93"/>
      <c r="S1006" s="93"/>
      <c r="T1006" s="93"/>
      <c r="U1006" s="93"/>
      <c r="V1006" s="93"/>
      <c r="W1006" s="93"/>
      <c r="X1006" s="93"/>
      <c r="Y1006" s="93"/>
      <c r="Z1006" s="93"/>
      <c r="AA1006" s="93"/>
      <c r="AB1006" s="93"/>
    </row>
    <row r="1007" spans="1:28" ht="12.75" customHeight="1">
      <c r="A1007" s="120" t="s">
        <v>547</v>
      </c>
      <c r="B1007" s="150">
        <v>44539</v>
      </c>
      <c r="C1007" s="422">
        <v>3047</v>
      </c>
      <c r="D1007" s="422">
        <f>C1007+C1006</f>
        <v>-1734</v>
      </c>
      <c r="E1007" s="423">
        <f>-D1007/C1006</f>
        <v>-0.36268563062120895</v>
      </c>
      <c r="F1007" s="344">
        <f>B1007-B1006</f>
        <v>156</v>
      </c>
      <c r="G1007" s="4"/>
      <c r="H1007" s="93"/>
      <c r="K1007" s="93"/>
      <c r="L1007" s="93"/>
      <c r="M1007" s="93"/>
      <c r="N1007" s="93"/>
      <c r="O1007" s="93"/>
      <c r="P1007" s="93"/>
      <c r="Q1007" s="93"/>
      <c r="R1007" s="93"/>
      <c r="S1007" s="93"/>
      <c r="T1007" s="93"/>
      <c r="U1007" s="93"/>
      <c r="V1007" s="93"/>
      <c r="W1007" s="93"/>
      <c r="X1007" s="93"/>
      <c r="Y1007" s="93"/>
      <c r="Z1007" s="93"/>
      <c r="AA1007" s="93"/>
      <c r="AB1007" s="93"/>
    </row>
    <row r="1008" spans="1:28" ht="12.75" customHeight="1">
      <c r="A1008" s="149" t="s">
        <v>547</v>
      </c>
      <c r="B1008" s="148">
        <v>44383</v>
      </c>
      <c r="C1008" s="356">
        <v>-4706</v>
      </c>
      <c r="D1008" s="356"/>
      <c r="E1008" s="420"/>
      <c r="F1008" s="424"/>
      <c r="G1008" s="4"/>
      <c r="H1008" s="93"/>
      <c r="K1008" s="93"/>
      <c r="L1008" s="93"/>
      <c r="M1008" s="93"/>
      <c r="N1008" s="93"/>
      <c r="O1008" s="93"/>
      <c r="P1008" s="93"/>
      <c r="Q1008" s="93"/>
      <c r="R1008" s="93"/>
      <c r="S1008" s="93"/>
      <c r="T1008" s="93"/>
      <c r="U1008" s="93"/>
      <c r="V1008" s="93"/>
      <c r="W1008" s="93"/>
      <c r="X1008" s="93"/>
      <c r="Y1008" s="93"/>
      <c r="Z1008" s="93"/>
      <c r="AA1008" s="93"/>
      <c r="AB1008" s="93"/>
    </row>
    <row r="1009" spans="1:28" ht="12.75" customHeight="1">
      <c r="A1009" s="120" t="s">
        <v>547</v>
      </c>
      <c r="B1009" s="150">
        <v>44539</v>
      </c>
      <c r="C1009" s="422">
        <v>3047</v>
      </c>
      <c r="D1009" s="422">
        <f>C1009+C1008</f>
        <v>-1659</v>
      </c>
      <c r="E1009" s="423">
        <f>-D1009/C1008</f>
        <v>-0.35252868678283045</v>
      </c>
      <c r="F1009" s="344">
        <f>B1009-B1008</f>
        <v>156</v>
      </c>
      <c r="G1009" s="4"/>
      <c r="H1009" s="93"/>
      <c r="K1009" s="93"/>
      <c r="L1009" s="93"/>
      <c r="M1009" s="93"/>
      <c r="N1009" s="93"/>
      <c r="O1009" s="93"/>
      <c r="P1009" s="93"/>
      <c r="Q1009" s="93"/>
      <c r="R1009" s="93"/>
      <c r="S1009" s="93"/>
      <c r="T1009" s="93"/>
      <c r="U1009" s="93"/>
      <c r="V1009" s="93"/>
      <c r="W1009" s="93"/>
      <c r="X1009" s="93"/>
      <c r="Y1009" s="93"/>
      <c r="Z1009" s="93"/>
      <c r="AA1009" s="93"/>
      <c r="AB1009" s="93"/>
    </row>
    <row r="1010" spans="1:28" ht="12.75" customHeight="1">
      <c r="A1010" s="149" t="s">
        <v>547</v>
      </c>
      <c r="B1010" s="148">
        <v>44383</v>
      </c>
      <c r="C1010" s="356">
        <v>-4605</v>
      </c>
      <c r="D1010" s="356"/>
      <c r="E1010" s="420"/>
      <c r="F1010" s="424"/>
      <c r="G1010" s="4"/>
      <c r="H1010" s="93"/>
      <c r="K1010" s="93"/>
      <c r="L1010" s="93"/>
      <c r="M1010" s="93"/>
      <c r="N1010" s="93"/>
      <c r="O1010" s="93"/>
      <c r="P1010" s="93"/>
      <c r="Q1010" s="93"/>
      <c r="R1010" s="93"/>
      <c r="S1010" s="93"/>
      <c r="T1010" s="93"/>
      <c r="U1010" s="93"/>
      <c r="V1010" s="93"/>
      <c r="W1010" s="93"/>
      <c r="X1010" s="93"/>
      <c r="Y1010" s="93"/>
      <c r="Z1010" s="93"/>
      <c r="AA1010" s="93"/>
      <c r="AB1010" s="93"/>
    </row>
    <row r="1011" spans="1:28" ht="12.75" customHeight="1">
      <c r="A1011" s="120" t="s">
        <v>547</v>
      </c>
      <c r="B1011" s="150">
        <v>44539</v>
      </c>
      <c r="C1011" s="422">
        <v>3047</v>
      </c>
      <c r="D1011" s="422">
        <f>C1011+C1010</f>
        <v>-1558</v>
      </c>
      <c r="E1011" s="423">
        <f>-D1011/C1010</f>
        <v>-0.33832790445168293</v>
      </c>
      <c r="F1011" s="344">
        <f>B1011-B1010</f>
        <v>156</v>
      </c>
      <c r="G1011" s="4"/>
      <c r="H1011" s="93"/>
      <c r="K1011" s="93"/>
      <c r="L1011" s="93"/>
      <c r="M1011" s="93"/>
      <c r="N1011" s="93"/>
      <c r="O1011" s="93"/>
      <c r="P1011" s="93"/>
      <c r="Q1011" s="93"/>
      <c r="R1011" s="93"/>
      <c r="S1011" s="93"/>
      <c r="T1011" s="93"/>
      <c r="U1011" s="93"/>
      <c r="V1011" s="93"/>
      <c r="W1011" s="93"/>
      <c r="X1011" s="93"/>
      <c r="Y1011" s="93"/>
      <c r="Z1011" s="93"/>
      <c r="AA1011" s="93"/>
      <c r="AB1011" s="93"/>
    </row>
    <row r="1012" spans="1:28" ht="12.75" customHeight="1">
      <c r="A1012" s="149" t="s">
        <v>547</v>
      </c>
      <c r="B1012" s="148">
        <v>44568</v>
      </c>
      <c r="C1012" s="356">
        <v>-3424</v>
      </c>
      <c r="D1012" s="356"/>
      <c r="E1012" s="420"/>
      <c r="F1012" s="424"/>
      <c r="G1012" s="4"/>
      <c r="H1012" s="93"/>
      <c r="K1012" s="93"/>
      <c r="L1012" s="93"/>
      <c r="M1012" s="93"/>
      <c r="N1012" s="93"/>
      <c r="O1012" s="93"/>
      <c r="P1012" s="93"/>
      <c r="Q1012" s="93"/>
      <c r="R1012" s="93"/>
      <c r="S1012" s="93"/>
      <c r="T1012" s="93"/>
      <c r="U1012" s="93"/>
      <c r="V1012" s="93"/>
      <c r="W1012" s="93"/>
      <c r="X1012" s="93"/>
      <c r="Y1012" s="93"/>
      <c r="Z1012" s="93"/>
      <c r="AA1012" s="93"/>
      <c r="AB1012" s="93"/>
    </row>
    <row r="1013" spans="1:28" ht="12.75" customHeight="1">
      <c r="A1013" s="120" t="s">
        <v>547</v>
      </c>
      <c r="B1013" s="150">
        <v>44578</v>
      </c>
      <c r="C1013" s="422">
        <v>3446</v>
      </c>
      <c r="D1013" s="422">
        <f>C1013+C1012</f>
        <v>22</v>
      </c>
      <c r="E1013" s="423">
        <f>-D1013/C1012</f>
        <v>6.4252336448598129E-3</v>
      </c>
      <c r="F1013" s="344">
        <f>B1013-B1012</f>
        <v>10</v>
      </c>
      <c r="G1013" s="4"/>
      <c r="H1013" s="93"/>
      <c r="K1013" s="93"/>
      <c r="L1013" s="93"/>
      <c r="M1013" s="93"/>
      <c r="N1013" s="93"/>
      <c r="O1013" s="93"/>
      <c r="P1013" s="93"/>
      <c r="Q1013" s="93"/>
      <c r="R1013" s="93"/>
      <c r="S1013" s="93"/>
      <c r="T1013" s="93"/>
      <c r="U1013" s="93"/>
      <c r="V1013" s="93"/>
      <c r="W1013" s="93"/>
      <c r="X1013" s="93"/>
      <c r="Y1013" s="93"/>
      <c r="Z1013" s="93"/>
      <c r="AA1013" s="93"/>
      <c r="AB1013" s="93"/>
    </row>
    <row r="1014" spans="1:28" ht="12.75" customHeight="1">
      <c r="A1014" s="149" t="s">
        <v>601</v>
      </c>
      <c r="B1014" s="148">
        <v>44656</v>
      </c>
      <c r="C1014" s="356">
        <v>-27300</v>
      </c>
      <c r="D1014" s="356"/>
      <c r="E1014" s="420"/>
      <c r="F1014" s="424"/>
      <c r="G1014" s="4"/>
      <c r="H1014" s="93"/>
      <c r="K1014" s="93"/>
      <c r="L1014" s="93"/>
      <c r="M1014" s="93"/>
      <c r="N1014" s="93"/>
      <c r="O1014" s="93"/>
      <c r="P1014" s="93"/>
      <c r="Q1014" s="93"/>
      <c r="R1014" s="93"/>
      <c r="S1014" s="93"/>
      <c r="T1014" s="93"/>
      <c r="U1014" s="93"/>
      <c r="V1014" s="93"/>
      <c r="W1014" s="93"/>
      <c r="X1014" s="93"/>
      <c r="Y1014" s="93"/>
      <c r="Z1014" s="93"/>
      <c r="AA1014" s="93"/>
      <c r="AB1014" s="93"/>
    </row>
    <row r="1015" spans="1:28" ht="12.75" customHeight="1">
      <c r="A1015" s="120" t="s">
        <v>601</v>
      </c>
      <c r="B1015" s="150">
        <v>44659</v>
      </c>
      <c r="C1015" s="422">
        <v>36922</v>
      </c>
      <c r="D1015" s="422">
        <f>C1015+C1014</f>
        <v>9622</v>
      </c>
      <c r="E1015" s="423">
        <f>IFERROR(-D1015/C1014,0)</f>
        <v>0.35245421245421243</v>
      </c>
      <c r="F1015" s="344">
        <f>B1015-B1014</f>
        <v>3</v>
      </c>
      <c r="G1015" s="4"/>
      <c r="H1015" s="93"/>
      <c r="K1015" s="93"/>
      <c r="L1015" s="93"/>
      <c r="M1015" s="93"/>
      <c r="N1015" s="93"/>
      <c r="O1015" s="93"/>
      <c r="P1015" s="93"/>
      <c r="Q1015" s="93"/>
      <c r="R1015" s="93"/>
      <c r="S1015" s="93"/>
      <c r="T1015" s="93"/>
      <c r="U1015" s="93"/>
      <c r="V1015" s="93"/>
      <c r="W1015" s="93"/>
      <c r="X1015" s="93"/>
      <c r="Y1015" s="93"/>
      <c r="Z1015" s="93"/>
      <c r="AA1015" s="93"/>
      <c r="AB1015" s="93"/>
    </row>
    <row r="1016" spans="1:28" ht="12.75" customHeight="1">
      <c r="A1016" s="149" t="s">
        <v>601</v>
      </c>
      <c r="B1016" s="148">
        <v>44662</v>
      </c>
      <c r="C1016" s="356">
        <v>-23778</v>
      </c>
      <c r="D1016" s="356"/>
      <c r="E1016" s="420"/>
      <c r="F1016" s="424"/>
      <c r="G1016" s="4"/>
      <c r="H1016" s="93"/>
      <c r="K1016" s="93"/>
      <c r="L1016" s="93"/>
      <c r="M1016" s="93"/>
      <c r="N1016" s="93"/>
      <c r="O1016" s="93"/>
      <c r="P1016" s="93"/>
      <c r="Q1016" s="93"/>
      <c r="R1016" s="93"/>
      <c r="S1016" s="93"/>
      <c r="T1016" s="93"/>
      <c r="U1016" s="93"/>
      <c r="V1016" s="93"/>
      <c r="W1016" s="93"/>
      <c r="X1016" s="93"/>
      <c r="Y1016" s="93"/>
      <c r="Z1016" s="93"/>
      <c r="AA1016" s="93"/>
      <c r="AB1016" s="93"/>
    </row>
    <row r="1017" spans="1:28" ht="12.75" customHeight="1">
      <c r="A1017" s="120" t="s">
        <v>601</v>
      </c>
      <c r="B1017" s="150">
        <v>44677</v>
      </c>
      <c r="C1017" s="422">
        <v>25274</v>
      </c>
      <c r="D1017" s="422">
        <f>C1017+C1016</f>
        <v>1496</v>
      </c>
      <c r="E1017" s="423">
        <f>IFERROR(-D1017/C1016,0)</f>
        <v>6.2915299857010679E-2</v>
      </c>
      <c r="F1017" s="344">
        <f>B1017-B1016</f>
        <v>15</v>
      </c>
      <c r="G1017" s="4"/>
      <c r="H1017" s="93"/>
      <c r="K1017" s="93"/>
      <c r="L1017" s="93"/>
      <c r="M1017" s="93"/>
      <c r="N1017" s="93"/>
      <c r="O1017" s="93"/>
      <c r="P1017" s="93"/>
      <c r="Q1017" s="93"/>
      <c r="R1017" s="93"/>
      <c r="S1017" s="93"/>
      <c r="T1017" s="93"/>
      <c r="U1017" s="93"/>
      <c r="V1017" s="93"/>
      <c r="W1017" s="93"/>
      <c r="X1017" s="93"/>
      <c r="Y1017" s="93"/>
      <c r="Z1017" s="93"/>
      <c r="AA1017" s="93"/>
      <c r="AB1017" s="93"/>
    </row>
    <row r="1018" spans="1:28" ht="12.75" customHeight="1">
      <c r="A1018" s="149" t="s">
        <v>601</v>
      </c>
      <c r="B1018" s="148">
        <v>44663</v>
      </c>
      <c r="C1018" s="356">
        <v>-27032</v>
      </c>
      <c r="D1018" s="356"/>
      <c r="E1018" s="420"/>
      <c r="F1018" s="424"/>
      <c r="G1018" s="4"/>
      <c r="H1018" s="93"/>
      <c r="K1018" s="93"/>
      <c r="L1018" s="93"/>
      <c r="M1018" s="93"/>
      <c r="N1018" s="93"/>
      <c r="O1018" s="93"/>
      <c r="P1018" s="93"/>
      <c r="Q1018" s="93"/>
      <c r="R1018" s="93"/>
      <c r="S1018" s="93"/>
      <c r="T1018" s="93"/>
      <c r="U1018" s="93"/>
      <c r="V1018" s="93"/>
      <c r="W1018" s="93"/>
      <c r="X1018" s="93"/>
      <c r="Y1018" s="93"/>
      <c r="Z1018" s="93"/>
      <c r="AA1018" s="93"/>
      <c r="AB1018" s="93"/>
    </row>
    <row r="1019" spans="1:28" ht="12.75" customHeight="1">
      <c r="A1019" s="120" t="s">
        <v>601</v>
      </c>
      <c r="B1019" s="150">
        <v>44677</v>
      </c>
      <c r="C1019" s="422">
        <v>29100</v>
      </c>
      <c r="D1019" s="422">
        <f>C1019+C1018</f>
        <v>2068</v>
      </c>
      <c r="E1019" s="423">
        <f>IFERROR(-D1019/C1018,0)</f>
        <v>7.650192364604913E-2</v>
      </c>
      <c r="F1019" s="344">
        <f>B1019-B1018</f>
        <v>14</v>
      </c>
      <c r="G1019" s="4"/>
      <c r="H1019" s="93"/>
      <c r="K1019" s="93"/>
      <c r="L1019" s="93"/>
      <c r="M1019" s="93"/>
      <c r="N1019" s="93"/>
      <c r="O1019" s="93"/>
      <c r="P1019" s="93"/>
      <c r="Q1019" s="93"/>
      <c r="R1019" s="93"/>
      <c r="S1019" s="93"/>
      <c r="T1019" s="93"/>
      <c r="U1019" s="93"/>
      <c r="V1019" s="93"/>
      <c r="W1019" s="93"/>
      <c r="X1019" s="93"/>
      <c r="Y1019" s="93"/>
      <c r="Z1019" s="93"/>
      <c r="AA1019" s="93"/>
      <c r="AB1019" s="93"/>
    </row>
    <row r="1020" spans="1:28" ht="12.75" customHeight="1">
      <c r="A1020" s="149" t="s">
        <v>601</v>
      </c>
      <c r="B1020" s="148">
        <v>44679</v>
      </c>
      <c r="C1020" s="356">
        <v>-22226</v>
      </c>
      <c r="D1020" s="356"/>
      <c r="E1020" s="420"/>
      <c r="F1020" s="424"/>
      <c r="G1020" s="4"/>
      <c r="H1020" s="93"/>
      <c r="K1020" s="93"/>
      <c r="L1020" s="93"/>
      <c r="M1020" s="93"/>
      <c r="N1020" s="93"/>
      <c r="O1020" s="93"/>
      <c r="P1020" s="93"/>
      <c r="Q1020" s="93"/>
      <c r="R1020" s="93"/>
      <c r="S1020" s="93"/>
      <c r="T1020" s="93"/>
      <c r="U1020" s="93"/>
      <c r="V1020" s="93"/>
      <c r="W1020" s="93"/>
      <c r="X1020" s="93"/>
      <c r="Y1020" s="93"/>
      <c r="Z1020" s="93"/>
      <c r="AA1020" s="93"/>
      <c r="AB1020" s="93"/>
    </row>
    <row r="1021" spans="1:28" ht="12.75" customHeight="1">
      <c r="A1021" s="120" t="s">
        <v>601</v>
      </c>
      <c r="B1021" s="150">
        <v>44699</v>
      </c>
      <c r="C1021" s="422">
        <v>22776</v>
      </c>
      <c r="D1021" s="422">
        <f>C1021+C1020</f>
        <v>550</v>
      </c>
      <c r="E1021" s="423">
        <f>IFERROR(-D1021/C1020,0)</f>
        <v>2.4745793215153425E-2</v>
      </c>
      <c r="F1021" s="344">
        <f>B1021-B1020</f>
        <v>20</v>
      </c>
      <c r="G1021" s="4"/>
      <c r="H1021" s="93"/>
      <c r="K1021" s="93"/>
      <c r="L1021" s="93"/>
      <c r="M1021" s="93"/>
      <c r="N1021" s="93"/>
      <c r="O1021" s="93"/>
      <c r="P1021" s="93"/>
      <c r="Q1021" s="93"/>
      <c r="R1021" s="93"/>
      <c r="S1021" s="93"/>
      <c r="T1021" s="93"/>
      <c r="U1021" s="93"/>
      <c r="V1021" s="93"/>
      <c r="W1021" s="93"/>
      <c r="X1021" s="93"/>
      <c r="Y1021" s="93"/>
      <c r="Z1021" s="93"/>
      <c r="AA1021" s="93"/>
      <c r="AB1021" s="93"/>
    </row>
    <row r="1022" spans="1:28" ht="12.75" customHeight="1">
      <c r="A1022" s="133" t="s">
        <v>481</v>
      </c>
      <c r="B1022" s="425">
        <v>44257</v>
      </c>
      <c r="C1022" s="426">
        <v>-8004.33</v>
      </c>
      <c r="D1022" s="356"/>
      <c r="E1022" s="420"/>
      <c r="F1022" s="424"/>
      <c r="G1022" s="4"/>
      <c r="H1022" s="93"/>
      <c r="K1022" s="93"/>
      <c r="L1022" s="93"/>
      <c r="M1022" s="93"/>
      <c r="N1022" s="93"/>
      <c r="O1022" s="93"/>
      <c r="P1022" s="93"/>
      <c r="Q1022" s="93"/>
      <c r="R1022" s="93"/>
      <c r="S1022" s="93"/>
      <c r="T1022" s="93"/>
      <c r="U1022" s="93"/>
      <c r="V1022" s="93"/>
      <c r="W1022" s="93"/>
      <c r="X1022" s="93"/>
      <c r="Y1022" s="93"/>
      <c r="Z1022" s="93"/>
      <c r="AA1022" s="93"/>
      <c r="AB1022" s="93"/>
    </row>
    <row r="1023" spans="1:28" ht="12.75" customHeight="1">
      <c r="A1023" s="120" t="s">
        <v>481</v>
      </c>
      <c r="B1023" s="428">
        <v>44287</v>
      </c>
      <c r="C1023" s="429">
        <v>8192</v>
      </c>
      <c r="D1023" s="422">
        <f>C1023+C1022</f>
        <v>187.67000000000007</v>
      </c>
      <c r="E1023" s="423">
        <f>-D1023/C1022</f>
        <v>2.3446059820122368E-2</v>
      </c>
      <c r="F1023" s="344">
        <f>B1023-B1022</f>
        <v>30</v>
      </c>
      <c r="G1023" s="4"/>
      <c r="H1023" s="93"/>
      <c r="K1023" s="93"/>
      <c r="L1023" s="93"/>
      <c r="M1023" s="93"/>
      <c r="N1023" s="93"/>
      <c r="O1023" s="93"/>
      <c r="P1023" s="93"/>
      <c r="Q1023" s="93"/>
      <c r="R1023" s="93"/>
      <c r="S1023" s="93"/>
      <c r="T1023" s="93"/>
      <c r="U1023" s="93"/>
      <c r="V1023" s="93"/>
      <c r="W1023" s="93"/>
      <c r="X1023" s="93"/>
      <c r="Y1023" s="93"/>
      <c r="Z1023" s="93"/>
      <c r="AA1023" s="93"/>
      <c r="AB1023" s="93"/>
    </row>
    <row r="1024" spans="1:28" ht="12.75" customHeight="1">
      <c r="A1024" s="133" t="s">
        <v>481</v>
      </c>
      <c r="B1024" s="425">
        <v>44322</v>
      </c>
      <c r="C1024" s="426">
        <v>-6558</v>
      </c>
      <c r="D1024" s="356"/>
      <c r="E1024" s="420"/>
      <c r="F1024" s="424"/>
      <c r="G1024" s="4"/>
      <c r="H1024" s="93"/>
      <c r="K1024" s="93"/>
      <c r="L1024" s="93"/>
      <c r="M1024" s="93"/>
      <c r="N1024" s="93"/>
      <c r="O1024" s="93"/>
      <c r="P1024" s="93"/>
      <c r="Q1024" s="93"/>
      <c r="R1024" s="93"/>
      <c r="S1024" s="93"/>
      <c r="T1024" s="93"/>
      <c r="U1024" s="93"/>
      <c r="V1024" s="93"/>
      <c r="W1024" s="93"/>
      <c r="X1024" s="93"/>
      <c r="Y1024" s="93"/>
      <c r="Z1024" s="93"/>
      <c r="AA1024" s="93"/>
      <c r="AB1024" s="93"/>
    </row>
    <row r="1025" spans="1:28" ht="12.75" customHeight="1">
      <c r="A1025" s="120" t="s">
        <v>481</v>
      </c>
      <c r="B1025" s="428">
        <v>44323</v>
      </c>
      <c r="C1025" s="429">
        <v>7205</v>
      </c>
      <c r="D1025" s="422">
        <f>C1025+C1024</f>
        <v>647</v>
      </c>
      <c r="E1025" s="423">
        <f>-D1025/C1024</f>
        <v>9.8658127477889601E-2</v>
      </c>
      <c r="F1025" s="344">
        <f>B1025-B1024</f>
        <v>1</v>
      </c>
      <c r="G1025" s="4"/>
      <c r="H1025" s="93"/>
      <c r="K1025" s="93"/>
      <c r="L1025" s="93"/>
      <c r="M1025" s="93"/>
      <c r="N1025" s="93"/>
      <c r="O1025" s="93"/>
      <c r="P1025" s="93"/>
      <c r="Q1025" s="93"/>
      <c r="R1025" s="93"/>
      <c r="S1025" s="93"/>
      <c r="T1025" s="93"/>
      <c r="U1025" s="93"/>
      <c r="V1025" s="93"/>
      <c r="W1025" s="93"/>
      <c r="X1025" s="93"/>
      <c r="Y1025" s="93"/>
      <c r="Z1025" s="93"/>
      <c r="AA1025" s="93"/>
      <c r="AB1025" s="93"/>
    </row>
    <row r="1026" spans="1:28" ht="12.75" customHeight="1">
      <c r="A1026" s="133" t="s">
        <v>481</v>
      </c>
      <c r="B1026" s="425">
        <v>44336</v>
      </c>
      <c r="C1026" s="426">
        <v>-12315</v>
      </c>
      <c r="D1026" s="356"/>
      <c r="E1026" s="420"/>
      <c r="F1026" s="424"/>
      <c r="G1026" s="4"/>
      <c r="H1026" s="93"/>
      <c r="K1026" s="93"/>
      <c r="L1026" s="93"/>
      <c r="M1026" s="93"/>
      <c r="N1026" s="93"/>
      <c r="O1026" s="93"/>
      <c r="P1026" s="93"/>
      <c r="Q1026" s="93"/>
      <c r="R1026" s="93"/>
      <c r="S1026" s="93"/>
      <c r="T1026" s="93"/>
      <c r="U1026" s="93"/>
      <c r="V1026" s="93"/>
      <c r="W1026" s="93"/>
      <c r="X1026" s="93"/>
      <c r="Y1026" s="93"/>
      <c r="Z1026" s="93"/>
      <c r="AA1026" s="93"/>
      <c r="AB1026" s="93"/>
    </row>
    <row r="1027" spans="1:28" ht="12.75" customHeight="1">
      <c r="A1027" s="120" t="s">
        <v>481</v>
      </c>
      <c r="B1027" s="428">
        <v>44356</v>
      </c>
      <c r="C1027" s="429">
        <v>12437</v>
      </c>
      <c r="D1027" s="422">
        <f>C1027+C1026</f>
        <v>122</v>
      </c>
      <c r="E1027" s="423">
        <f>-D1027/C1026</f>
        <v>9.9066179455948034E-3</v>
      </c>
      <c r="F1027" s="344">
        <f>B1027-B1026</f>
        <v>20</v>
      </c>
      <c r="G1027" s="4"/>
      <c r="H1027" s="93"/>
      <c r="K1027" s="93"/>
      <c r="L1027" s="93"/>
      <c r="M1027" s="93"/>
      <c r="N1027" s="93"/>
      <c r="O1027" s="93"/>
      <c r="P1027" s="93"/>
      <c r="Q1027" s="93"/>
      <c r="R1027" s="93"/>
      <c r="S1027" s="93"/>
      <c r="T1027" s="93"/>
      <c r="U1027" s="93"/>
      <c r="V1027" s="93"/>
      <c r="W1027" s="93"/>
      <c r="X1027" s="93"/>
      <c r="Y1027" s="93"/>
      <c r="Z1027" s="93"/>
      <c r="AA1027" s="93"/>
      <c r="AB1027" s="93"/>
    </row>
    <row r="1028" spans="1:28" ht="12.75" customHeight="1">
      <c r="A1028" s="149" t="s">
        <v>481</v>
      </c>
      <c r="B1028" s="148">
        <v>44589</v>
      </c>
      <c r="C1028" s="356">
        <v>-2440</v>
      </c>
      <c r="D1028" s="356"/>
      <c r="E1028" s="420"/>
      <c r="F1028" s="424"/>
      <c r="G1028" s="4"/>
      <c r="H1028" s="93"/>
      <c r="K1028" s="93"/>
      <c r="L1028" s="93"/>
      <c r="M1028" s="93"/>
      <c r="N1028" s="93"/>
      <c r="O1028" s="93"/>
      <c r="P1028" s="93"/>
      <c r="Q1028" s="93"/>
      <c r="R1028" s="93"/>
      <c r="S1028" s="93"/>
      <c r="T1028" s="93"/>
      <c r="U1028" s="93"/>
      <c r="V1028" s="93"/>
      <c r="W1028" s="93"/>
      <c r="X1028" s="93"/>
      <c r="Y1028" s="93"/>
      <c r="Z1028" s="93"/>
      <c r="AA1028" s="93"/>
      <c r="AB1028" s="93"/>
    </row>
    <row r="1029" spans="1:28" ht="12.75" customHeight="1">
      <c r="A1029" s="120" t="s">
        <v>481</v>
      </c>
      <c r="B1029" s="150">
        <v>44592</v>
      </c>
      <c r="C1029" s="422">
        <v>2460</v>
      </c>
      <c r="D1029" s="422">
        <f>C1029+C1028</f>
        <v>20</v>
      </c>
      <c r="E1029" s="423">
        <f>IFERROR(-D1029/C1028,0)</f>
        <v>8.1967213114754103E-3</v>
      </c>
      <c r="F1029" s="344">
        <f>B1029-B1028</f>
        <v>3</v>
      </c>
      <c r="G1029" s="4"/>
      <c r="H1029" s="93"/>
      <c r="K1029" s="93"/>
      <c r="L1029" s="93"/>
      <c r="M1029" s="93"/>
      <c r="N1029" s="93"/>
      <c r="O1029" s="93"/>
      <c r="P1029" s="93"/>
      <c r="Q1029" s="93"/>
      <c r="R1029" s="93"/>
      <c r="S1029" s="93"/>
      <c r="T1029" s="93"/>
      <c r="U1029" s="93"/>
      <c r="V1029" s="93"/>
      <c r="W1029" s="93"/>
      <c r="X1029" s="93"/>
      <c r="Y1029" s="93"/>
      <c r="Z1029" s="93"/>
      <c r="AA1029" s="93"/>
      <c r="AB1029" s="93"/>
    </row>
    <row r="1030" spans="1:28" ht="12.75" customHeight="1">
      <c r="A1030" s="149" t="s">
        <v>481</v>
      </c>
      <c r="B1030" s="148">
        <v>44589</v>
      </c>
      <c r="C1030" s="356">
        <v>-19623</v>
      </c>
      <c r="D1030" s="356"/>
      <c r="E1030" s="420"/>
      <c r="F1030" s="424"/>
      <c r="G1030" s="4"/>
      <c r="H1030" s="93"/>
      <c r="K1030" s="93"/>
      <c r="L1030" s="93"/>
      <c r="M1030" s="93"/>
      <c r="N1030" s="93"/>
      <c r="O1030" s="93"/>
      <c r="P1030" s="93"/>
      <c r="Q1030" s="93"/>
      <c r="R1030" s="93"/>
      <c r="S1030" s="93"/>
      <c r="T1030" s="93"/>
      <c r="U1030" s="93"/>
      <c r="V1030" s="93"/>
      <c r="W1030" s="93"/>
      <c r="X1030" s="93"/>
      <c r="Y1030" s="93"/>
      <c r="Z1030" s="93"/>
      <c r="AA1030" s="93"/>
      <c r="AB1030" s="93"/>
    </row>
    <row r="1031" spans="1:28" ht="12.75" customHeight="1">
      <c r="A1031" s="120" t="s">
        <v>481</v>
      </c>
      <c r="B1031" s="150">
        <v>44643</v>
      </c>
      <c r="C1031" s="422">
        <v>20529</v>
      </c>
      <c r="D1031" s="422">
        <f>C1031+C1030</f>
        <v>906</v>
      </c>
      <c r="E1031" s="423">
        <f>IFERROR(-D1031/C1030,0)</f>
        <v>4.6170310350099372E-2</v>
      </c>
      <c r="F1031" s="344">
        <f>B1031-B1030</f>
        <v>54</v>
      </c>
      <c r="G1031" s="4"/>
      <c r="H1031" s="93"/>
      <c r="K1031" s="93"/>
      <c r="L1031" s="93"/>
      <c r="M1031" s="93"/>
      <c r="N1031" s="93"/>
      <c r="O1031" s="93"/>
      <c r="P1031" s="93"/>
      <c r="Q1031" s="93"/>
      <c r="R1031" s="93"/>
      <c r="S1031" s="93"/>
      <c r="T1031" s="93"/>
      <c r="U1031" s="93"/>
      <c r="V1031" s="93"/>
      <c r="W1031" s="93"/>
      <c r="X1031" s="93"/>
      <c r="Y1031" s="93"/>
      <c r="Z1031" s="93"/>
      <c r="AA1031" s="93"/>
      <c r="AB1031" s="93"/>
    </row>
    <row r="1032" spans="1:28" ht="12.75" customHeight="1">
      <c r="A1032" s="149" t="s">
        <v>481</v>
      </c>
      <c r="B1032" s="148">
        <v>44589</v>
      </c>
      <c r="C1032" s="356">
        <v>-39647</v>
      </c>
      <c r="D1032" s="356"/>
      <c r="E1032" s="420"/>
      <c r="F1032" s="424"/>
      <c r="G1032" s="4"/>
      <c r="H1032" s="93"/>
      <c r="K1032" s="93"/>
      <c r="L1032" s="93"/>
      <c r="M1032" s="93"/>
      <c r="N1032" s="93"/>
      <c r="O1032" s="93"/>
      <c r="P1032" s="93"/>
      <c r="Q1032" s="93"/>
      <c r="R1032" s="93"/>
      <c r="S1032" s="93"/>
      <c r="T1032" s="93"/>
      <c r="U1032" s="93"/>
      <c r="V1032" s="93"/>
      <c r="W1032" s="93"/>
      <c r="X1032" s="93"/>
      <c r="Y1032" s="93"/>
      <c r="Z1032" s="93"/>
      <c r="AA1032" s="93"/>
      <c r="AB1032" s="93"/>
    </row>
    <row r="1033" spans="1:28" ht="12.75" customHeight="1">
      <c r="A1033" s="120" t="s">
        <v>481</v>
      </c>
      <c r="B1033" s="150">
        <v>44643</v>
      </c>
      <c r="C1033" s="422">
        <v>41557</v>
      </c>
      <c r="D1033" s="422">
        <f>C1033+C1032</f>
        <v>1910</v>
      </c>
      <c r="E1033" s="423">
        <f>IFERROR(-D1033/C1032,0)</f>
        <v>4.81751456604535E-2</v>
      </c>
      <c r="F1033" s="344">
        <f>B1033-B1032</f>
        <v>54</v>
      </c>
      <c r="G1033" s="4"/>
      <c r="H1033" s="93"/>
      <c r="K1033" s="93"/>
      <c r="L1033" s="93"/>
      <c r="M1033" s="93"/>
      <c r="N1033" s="93"/>
      <c r="O1033" s="93"/>
      <c r="P1033" s="93"/>
      <c r="Q1033" s="93"/>
      <c r="R1033" s="93"/>
      <c r="S1033" s="93"/>
      <c r="T1033" s="93"/>
      <c r="U1033" s="93"/>
      <c r="V1033" s="93"/>
      <c r="W1033" s="93"/>
      <c r="X1033" s="93"/>
      <c r="Y1033" s="93"/>
      <c r="Z1033" s="93"/>
      <c r="AA1033" s="93"/>
      <c r="AB1033" s="93"/>
    </row>
    <row r="1034" spans="1:28" ht="12.75" customHeight="1">
      <c r="A1034" s="149" t="s">
        <v>481</v>
      </c>
      <c r="B1034" s="148">
        <v>44589</v>
      </c>
      <c r="C1034" s="356">
        <v>-29736</v>
      </c>
      <c r="D1034" s="356"/>
      <c r="E1034" s="420"/>
      <c r="F1034" s="424"/>
      <c r="G1034" s="4"/>
      <c r="H1034" s="93"/>
      <c r="K1034" s="93"/>
      <c r="L1034" s="93"/>
      <c r="M1034" s="93"/>
      <c r="N1034" s="93"/>
      <c r="O1034" s="93"/>
      <c r="P1034" s="93"/>
      <c r="Q1034" s="93"/>
      <c r="R1034" s="93"/>
      <c r="S1034" s="93"/>
      <c r="T1034" s="93"/>
      <c r="U1034" s="93"/>
      <c r="V1034" s="93"/>
      <c r="W1034" s="93"/>
      <c r="X1034" s="93"/>
      <c r="Y1034" s="93"/>
      <c r="Z1034" s="93"/>
      <c r="AA1034" s="93"/>
      <c r="AB1034" s="93"/>
    </row>
    <row r="1035" spans="1:28" ht="12.75" customHeight="1">
      <c r="A1035" s="120" t="s">
        <v>481</v>
      </c>
      <c r="B1035" s="150">
        <v>44652</v>
      </c>
      <c r="C1035" s="422">
        <v>30269</v>
      </c>
      <c r="D1035" s="422">
        <f>C1035+C1034</f>
        <v>533</v>
      </c>
      <c r="E1035" s="423">
        <f>IFERROR(-D1035/C1034,0)</f>
        <v>1.792440139897767E-2</v>
      </c>
      <c r="F1035" s="344">
        <f>B1035-B1034</f>
        <v>63</v>
      </c>
      <c r="G1035" s="4"/>
      <c r="H1035" s="93"/>
      <c r="K1035" s="93"/>
      <c r="L1035" s="93"/>
      <c r="M1035" s="93"/>
      <c r="N1035" s="93"/>
      <c r="O1035" s="93"/>
      <c r="P1035" s="93"/>
      <c r="Q1035" s="93"/>
      <c r="R1035" s="93"/>
      <c r="S1035" s="93"/>
      <c r="T1035" s="93"/>
      <c r="U1035" s="93"/>
      <c r="V1035" s="93"/>
      <c r="W1035" s="93"/>
      <c r="X1035" s="93"/>
      <c r="Y1035" s="93"/>
      <c r="Z1035" s="93"/>
      <c r="AA1035" s="93"/>
      <c r="AB1035" s="93"/>
    </row>
    <row r="1036" spans="1:28" ht="12.75" customHeight="1">
      <c r="A1036" s="149" t="s">
        <v>481</v>
      </c>
      <c r="B1036" s="148">
        <v>44930</v>
      </c>
      <c r="C1036" s="356">
        <v>-2150</v>
      </c>
      <c r="D1036" s="356"/>
      <c r="E1036" s="420"/>
      <c r="F1036" s="424"/>
      <c r="G1036" s="4"/>
      <c r="H1036" s="93"/>
      <c r="K1036" s="93"/>
      <c r="L1036" s="93"/>
      <c r="M1036" s="93"/>
      <c r="N1036" s="93"/>
      <c r="O1036" s="93"/>
      <c r="P1036" s="93"/>
      <c r="Q1036" s="93"/>
      <c r="R1036" s="93"/>
      <c r="S1036" s="93"/>
      <c r="T1036" s="93"/>
      <c r="U1036" s="93"/>
      <c r="V1036" s="93"/>
      <c r="W1036" s="93"/>
      <c r="X1036" s="93"/>
      <c r="Y1036" s="93"/>
      <c r="Z1036" s="93"/>
      <c r="AA1036" s="93"/>
      <c r="AB1036" s="93"/>
    </row>
    <row r="1037" spans="1:28" ht="12.75" customHeight="1">
      <c r="A1037" s="120" t="s">
        <v>481</v>
      </c>
      <c r="B1037" s="150">
        <v>44928</v>
      </c>
      <c r="C1037" s="422">
        <v>2197</v>
      </c>
      <c r="D1037" s="422">
        <f>C1037+C1036</f>
        <v>47</v>
      </c>
      <c r="E1037" s="423">
        <f>IFERROR(-D1037/C1036,0)</f>
        <v>2.1860465116279069E-2</v>
      </c>
      <c r="F1037" s="344">
        <f>B1037-B1036</f>
        <v>-2</v>
      </c>
      <c r="G1037" s="4"/>
      <c r="H1037" s="93"/>
      <c r="K1037" s="93"/>
      <c r="L1037" s="93"/>
      <c r="M1037" s="93"/>
      <c r="N1037" s="93"/>
      <c r="O1037" s="93"/>
      <c r="P1037" s="93"/>
      <c r="Q1037" s="93"/>
      <c r="R1037" s="93"/>
      <c r="S1037" s="93"/>
      <c r="T1037" s="93"/>
      <c r="U1037" s="93"/>
      <c r="V1037" s="93"/>
      <c r="W1037" s="93"/>
      <c r="X1037" s="93"/>
      <c r="Y1037" s="93"/>
      <c r="Z1037" s="93"/>
      <c r="AA1037" s="93"/>
      <c r="AB1037" s="93"/>
    </row>
    <row r="1038" spans="1:28" ht="12.75" customHeight="1">
      <c r="A1038" s="149" t="s">
        <v>481</v>
      </c>
      <c r="B1038" s="148">
        <v>44956</v>
      </c>
      <c r="C1038" s="356">
        <v>-4318</v>
      </c>
      <c r="D1038" s="356"/>
      <c r="E1038" s="420"/>
      <c r="F1038" s="424"/>
      <c r="G1038" s="4"/>
      <c r="H1038" s="93"/>
      <c r="K1038" s="93"/>
      <c r="L1038" s="93"/>
      <c r="M1038" s="93"/>
      <c r="N1038" s="93"/>
      <c r="O1038" s="93"/>
      <c r="P1038" s="93"/>
      <c r="Q1038" s="93"/>
      <c r="R1038" s="93"/>
      <c r="S1038" s="93"/>
      <c r="T1038" s="93"/>
      <c r="U1038" s="93"/>
      <c r="V1038" s="93"/>
      <c r="W1038" s="93"/>
      <c r="X1038" s="93"/>
      <c r="Y1038" s="93"/>
      <c r="Z1038" s="93"/>
      <c r="AA1038" s="93"/>
      <c r="AB1038" s="93"/>
    </row>
    <row r="1039" spans="1:28" ht="12.75" customHeight="1">
      <c r="A1039" s="120" t="s">
        <v>481</v>
      </c>
      <c r="B1039" s="150">
        <v>44928</v>
      </c>
      <c r="C1039" s="422">
        <v>4346</v>
      </c>
      <c r="D1039" s="422">
        <f>C1039+C1038</f>
        <v>28</v>
      </c>
      <c r="E1039" s="423">
        <f>IFERROR(-D1039/C1038,0)</f>
        <v>6.4844835572024084E-3</v>
      </c>
      <c r="F1039" s="344">
        <f>B1039-B1038</f>
        <v>-28</v>
      </c>
      <c r="G1039" s="4"/>
      <c r="H1039" s="93"/>
      <c r="K1039" s="93"/>
      <c r="L1039" s="93"/>
      <c r="M1039" s="93"/>
      <c r="N1039" s="93"/>
      <c r="O1039" s="93"/>
      <c r="P1039" s="93"/>
      <c r="Q1039" s="93"/>
      <c r="R1039" s="93"/>
      <c r="S1039" s="93"/>
      <c r="T1039" s="93"/>
      <c r="U1039" s="93"/>
      <c r="V1039" s="93"/>
      <c r="W1039" s="93"/>
      <c r="X1039" s="93"/>
      <c r="Y1039" s="93"/>
      <c r="Z1039" s="93"/>
      <c r="AA1039" s="93"/>
      <c r="AB1039" s="93"/>
    </row>
    <row r="1040" spans="1:28" ht="12.75" customHeight="1">
      <c r="A1040" s="149" t="s">
        <v>568</v>
      </c>
      <c r="B1040" s="148">
        <v>44460</v>
      </c>
      <c r="C1040" s="149">
        <v>-14880</v>
      </c>
      <c r="D1040" s="356"/>
      <c r="E1040" s="420"/>
      <c r="F1040" s="424"/>
      <c r="G1040" s="4"/>
      <c r="H1040" s="93"/>
      <c r="K1040" s="93"/>
      <c r="L1040" s="93"/>
      <c r="M1040" s="93"/>
      <c r="N1040" s="93"/>
      <c r="O1040" s="93"/>
      <c r="P1040" s="93"/>
      <c r="Q1040" s="93"/>
      <c r="R1040" s="93"/>
      <c r="S1040" s="93"/>
      <c r="T1040" s="93"/>
      <c r="U1040" s="93"/>
      <c r="V1040" s="93"/>
      <c r="W1040" s="93"/>
      <c r="X1040" s="93"/>
      <c r="Y1040" s="93"/>
      <c r="Z1040" s="93"/>
      <c r="AA1040" s="93"/>
      <c r="AB1040" s="93"/>
    </row>
    <row r="1041" spans="1:28" ht="12.75" customHeight="1">
      <c r="A1041" s="120" t="s">
        <v>568</v>
      </c>
      <c r="B1041" s="150">
        <v>44463</v>
      </c>
      <c r="C1041" s="422">
        <v>16743</v>
      </c>
      <c r="D1041" s="422">
        <f>C1041+C1040</f>
        <v>1863</v>
      </c>
      <c r="E1041" s="423">
        <f>-D1041/C1040</f>
        <v>0.12520161290322582</v>
      </c>
      <c r="F1041" s="344">
        <f>B1041-B1040</f>
        <v>3</v>
      </c>
      <c r="G1041" s="4"/>
      <c r="H1041" s="93"/>
      <c r="K1041" s="93"/>
      <c r="L1041" s="93"/>
      <c r="M1041" s="93"/>
      <c r="N1041" s="93"/>
      <c r="O1041" s="93"/>
      <c r="P1041" s="93"/>
      <c r="Q1041" s="93"/>
      <c r="R1041" s="93"/>
      <c r="S1041" s="93"/>
      <c r="T1041" s="93"/>
      <c r="U1041" s="93"/>
      <c r="V1041" s="93"/>
      <c r="W1041" s="93"/>
      <c r="X1041" s="93"/>
      <c r="Y1041" s="93"/>
      <c r="Z1041" s="93"/>
      <c r="AA1041" s="93"/>
      <c r="AB1041" s="93"/>
    </row>
    <row r="1042" spans="1:28" ht="12.75" customHeight="1">
      <c r="A1042" s="149" t="s">
        <v>606</v>
      </c>
      <c r="B1042" s="148">
        <v>44676</v>
      </c>
      <c r="C1042" s="356">
        <v>-7644</v>
      </c>
      <c r="D1042" s="356"/>
      <c r="E1042" s="420"/>
      <c r="F1042" s="424"/>
      <c r="G1042" s="4"/>
      <c r="H1042" s="93"/>
      <c r="K1042" s="93"/>
      <c r="L1042" s="93"/>
      <c r="M1042" s="93"/>
      <c r="N1042" s="93"/>
      <c r="O1042" s="93"/>
      <c r="P1042" s="93"/>
      <c r="Q1042" s="93"/>
      <c r="R1042" s="93"/>
      <c r="S1042" s="93"/>
      <c r="T1042" s="93"/>
      <c r="U1042" s="93"/>
      <c r="V1042" s="93"/>
      <c r="W1042" s="93"/>
      <c r="X1042" s="93"/>
      <c r="Y1042" s="93"/>
      <c r="Z1042" s="93"/>
      <c r="AA1042" s="93"/>
      <c r="AB1042" s="93"/>
    </row>
    <row r="1043" spans="1:28" ht="12.75" customHeight="1">
      <c r="A1043" s="120" t="s">
        <v>606</v>
      </c>
      <c r="B1043" s="150">
        <v>44736</v>
      </c>
      <c r="C1043" s="422">
        <v>9000</v>
      </c>
      <c r="D1043" s="422">
        <f>C1043+C1042</f>
        <v>1356</v>
      </c>
      <c r="E1043" s="423">
        <f>IFERROR(-D1043/C1042,0)</f>
        <v>0.17739403453689168</v>
      </c>
      <c r="F1043" s="344">
        <f>B1043-B1042</f>
        <v>60</v>
      </c>
      <c r="G1043" s="4"/>
      <c r="H1043" s="93"/>
      <c r="K1043" s="93"/>
      <c r="L1043" s="93"/>
      <c r="M1043" s="93"/>
      <c r="N1043" s="93"/>
      <c r="O1043" s="93"/>
      <c r="P1043" s="93"/>
      <c r="Q1043" s="93"/>
      <c r="R1043" s="93"/>
      <c r="S1043" s="93"/>
      <c r="T1043" s="93"/>
      <c r="U1043" s="93"/>
      <c r="V1043" s="93"/>
      <c r="W1043" s="93"/>
      <c r="X1043" s="93"/>
      <c r="Y1043" s="93"/>
      <c r="Z1043" s="93"/>
      <c r="AA1043" s="93"/>
      <c r="AB1043" s="93"/>
    </row>
    <row r="1044" spans="1:28" ht="12.75" customHeight="1">
      <c r="A1044" s="133" t="s">
        <v>488</v>
      </c>
      <c r="B1044" s="425">
        <v>44302</v>
      </c>
      <c r="C1044" s="426">
        <v>-4703</v>
      </c>
      <c r="D1044" s="356"/>
      <c r="E1044" s="420"/>
      <c r="F1044" s="424"/>
      <c r="G1044" s="4"/>
      <c r="H1044" s="93"/>
      <c r="K1044" s="93"/>
      <c r="L1044" s="93"/>
      <c r="M1044" s="93"/>
      <c r="N1044" s="93"/>
      <c r="O1044" s="93"/>
      <c r="P1044" s="93"/>
      <c r="Q1044" s="93"/>
      <c r="R1044" s="93"/>
      <c r="S1044" s="93"/>
      <c r="T1044" s="93"/>
      <c r="U1044" s="93"/>
      <c r="V1044" s="93"/>
      <c r="W1044" s="93"/>
      <c r="X1044" s="93"/>
      <c r="Y1044" s="93"/>
      <c r="Z1044" s="93"/>
      <c r="AA1044" s="93"/>
      <c r="AB1044" s="93"/>
    </row>
    <row r="1045" spans="1:28" ht="12.75" customHeight="1">
      <c r="A1045" s="120" t="s">
        <v>488</v>
      </c>
      <c r="B1045" s="428">
        <v>44314</v>
      </c>
      <c r="C1045" s="429">
        <v>4895</v>
      </c>
      <c r="D1045" s="422">
        <f>C1045+C1044</f>
        <v>192</v>
      </c>
      <c r="E1045" s="423">
        <f>-D1045/C1044</f>
        <v>4.0825005315755898E-2</v>
      </c>
      <c r="F1045" s="344">
        <f>B1045-B1044</f>
        <v>12</v>
      </c>
      <c r="G1045" s="4"/>
      <c r="H1045" s="93"/>
      <c r="K1045" s="93"/>
      <c r="L1045" s="93"/>
      <c r="M1045" s="93"/>
      <c r="N1045" s="93"/>
      <c r="O1045" s="93"/>
      <c r="P1045" s="93"/>
      <c r="Q1045" s="93"/>
      <c r="R1045" s="93"/>
      <c r="S1045" s="93"/>
      <c r="T1045" s="93"/>
      <c r="U1045" s="93"/>
      <c r="V1045" s="93"/>
      <c r="W1045" s="93"/>
      <c r="X1045" s="93"/>
      <c r="Y1045" s="93"/>
      <c r="Z1045" s="93"/>
      <c r="AA1045" s="93"/>
      <c r="AB1045" s="93"/>
    </row>
    <row r="1046" spans="1:28" ht="12.75" customHeight="1">
      <c r="A1046" s="133" t="s">
        <v>479</v>
      </c>
      <c r="B1046" s="425">
        <v>44298</v>
      </c>
      <c r="C1046" s="426">
        <v>-6648</v>
      </c>
      <c r="D1046" s="356"/>
      <c r="E1046" s="420"/>
      <c r="F1046" s="424"/>
      <c r="G1046" s="4"/>
      <c r="H1046" s="93"/>
      <c r="K1046" s="93"/>
      <c r="L1046" s="93"/>
      <c r="M1046" s="93"/>
      <c r="N1046" s="93"/>
      <c r="O1046" s="93"/>
      <c r="P1046" s="93"/>
      <c r="Q1046" s="93"/>
      <c r="R1046" s="93"/>
      <c r="S1046" s="93"/>
      <c r="T1046" s="93"/>
      <c r="U1046" s="93"/>
      <c r="V1046" s="93"/>
      <c r="W1046" s="93"/>
      <c r="X1046" s="93"/>
      <c r="Y1046" s="93"/>
      <c r="Z1046" s="93"/>
      <c r="AA1046" s="93"/>
      <c r="AB1046" s="93"/>
    </row>
    <row r="1047" spans="1:28" ht="12.75" customHeight="1">
      <c r="A1047" s="120" t="s">
        <v>479</v>
      </c>
      <c r="B1047" s="428">
        <v>44301</v>
      </c>
      <c r="C1047" s="429">
        <v>6833</v>
      </c>
      <c r="D1047" s="422">
        <f>C1047+C1046</f>
        <v>185</v>
      </c>
      <c r="E1047" s="423">
        <f>-D1047/C1046</f>
        <v>2.7827918170878461E-2</v>
      </c>
      <c r="F1047" s="344">
        <f>B1047-B1046</f>
        <v>3</v>
      </c>
      <c r="G1047" s="4"/>
      <c r="H1047" s="93"/>
      <c r="K1047" s="93"/>
      <c r="L1047" s="93"/>
      <c r="M1047" s="93"/>
      <c r="N1047" s="93"/>
      <c r="O1047" s="93"/>
      <c r="P1047" s="93"/>
      <c r="Q1047" s="93"/>
      <c r="R1047" s="93"/>
      <c r="S1047" s="93"/>
      <c r="T1047" s="93"/>
      <c r="U1047" s="93"/>
      <c r="V1047" s="93"/>
      <c r="W1047" s="93"/>
      <c r="X1047" s="93"/>
      <c r="Y1047" s="93"/>
      <c r="Z1047" s="93"/>
      <c r="AA1047" s="93"/>
      <c r="AB1047" s="93"/>
    </row>
    <row r="1048" spans="1:28" ht="12.75" customHeight="1">
      <c r="A1048" s="133" t="s">
        <v>479</v>
      </c>
      <c r="B1048" s="425">
        <v>44245</v>
      </c>
      <c r="C1048" s="426">
        <v>-42062.83</v>
      </c>
      <c r="D1048" s="356"/>
      <c r="E1048" s="420"/>
      <c r="F1048" s="424"/>
      <c r="G1048" s="4"/>
      <c r="H1048" s="93"/>
      <c r="K1048" s="93"/>
      <c r="L1048" s="93"/>
      <c r="M1048" s="93"/>
      <c r="N1048" s="93"/>
      <c r="O1048" s="93"/>
      <c r="P1048" s="93"/>
      <c r="Q1048" s="93"/>
      <c r="R1048" s="93"/>
      <c r="S1048" s="93"/>
      <c r="T1048" s="93"/>
      <c r="U1048" s="93"/>
      <c r="V1048" s="93"/>
      <c r="W1048" s="93"/>
      <c r="X1048" s="93"/>
      <c r="Y1048" s="93"/>
      <c r="Z1048" s="93"/>
      <c r="AA1048" s="93"/>
      <c r="AB1048" s="93"/>
    </row>
    <row r="1049" spans="1:28" ht="12.75" customHeight="1">
      <c r="A1049" s="120" t="s">
        <v>479</v>
      </c>
      <c r="B1049" s="428">
        <v>44333</v>
      </c>
      <c r="C1049" s="429">
        <v>37861</v>
      </c>
      <c r="D1049" s="422">
        <f>C1049+C1048</f>
        <v>-4201.8300000000017</v>
      </c>
      <c r="E1049" s="423">
        <f>-D1049/C1048</f>
        <v>-9.989413456013306E-2</v>
      </c>
      <c r="F1049" s="344">
        <f>B1049-B1048</f>
        <v>88</v>
      </c>
      <c r="G1049" s="4"/>
      <c r="H1049" s="93"/>
      <c r="K1049" s="93"/>
      <c r="L1049" s="93"/>
      <c r="M1049" s="93"/>
      <c r="N1049" s="93"/>
      <c r="O1049" s="93"/>
      <c r="P1049" s="93"/>
      <c r="Q1049" s="93"/>
      <c r="R1049" s="93"/>
      <c r="S1049" s="93"/>
      <c r="T1049" s="93"/>
      <c r="U1049" s="93"/>
      <c r="V1049" s="93"/>
      <c r="W1049" s="93"/>
      <c r="X1049" s="93"/>
      <c r="Y1049" s="93"/>
      <c r="Z1049" s="93"/>
      <c r="AA1049" s="93"/>
      <c r="AB1049" s="93"/>
    </row>
    <row r="1050" spans="1:28" ht="12.75" customHeight="1">
      <c r="A1050" s="149" t="s">
        <v>479</v>
      </c>
      <c r="B1050" s="148">
        <v>44424</v>
      </c>
      <c r="C1050" s="149">
        <v>-4270</v>
      </c>
      <c r="D1050" s="356"/>
      <c r="E1050" s="420"/>
      <c r="F1050" s="424"/>
      <c r="G1050" s="4"/>
      <c r="H1050" s="93"/>
      <c r="K1050" s="93"/>
      <c r="L1050" s="93"/>
      <c r="M1050" s="93"/>
      <c r="N1050" s="93"/>
      <c r="O1050" s="93"/>
      <c r="P1050" s="93"/>
      <c r="Q1050" s="93"/>
      <c r="R1050" s="93"/>
      <c r="S1050" s="93"/>
      <c r="T1050" s="93"/>
      <c r="U1050" s="93"/>
      <c r="V1050" s="93"/>
      <c r="W1050" s="93"/>
      <c r="X1050" s="93"/>
      <c r="Y1050" s="93"/>
      <c r="Z1050" s="93"/>
      <c r="AA1050" s="93"/>
      <c r="AB1050" s="93"/>
    </row>
    <row r="1051" spans="1:28" ht="12.75" customHeight="1">
      <c r="A1051" s="120" t="s">
        <v>479</v>
      </c>
      <c r="B1051" s="150">
        <v>44454</v>
      </c>
      <c r="C1051" s="422">
        <v>4399</v>
      </c>
      <c r="D1051" s="422">
        <f>C1051+C1050</f>
        <v>129</v>
      </c>
      <c r="E1051" s="423">
        <f>-D1051/C1050</f>
        <v>3.0210772833723653E-2</v>
      </c>
      <c r="F1051" s="344">
        <f>B1051-B1050</f>
        <v>30</v>
      </c>
      <c r="G1051" s="4"/>
      <c r="H1051" s="93"/>
      <c r="K1051" s="93"/>
      <c r="L1051" s="93"/>
      <c r="M1051" s="93"/>
      <c r="N1051" s="93"/>
      <c r="O1051" s="93"/>
      <c r="P1051" s="93"/>
      <c r="Q1051" s="93"/>
      <c r="R1051" s="93"/>
      <c r="S1051" s="93"/>
      <c r="T1051" s="93"/>
      <c r="U1051" s="93"/>
      <c r="V1051" s="93"/>
      <c r="W1051" s="93"/>
      <c r="X1051" s="93"/>
      <c r="Y1051" s="93"/>
      <c r="Z1051" s="93"/>
      <c r="AA1051" s="93"/>
      <c r="AB1051" s="93"/>
    </row>
    <row r="1052" spans="1:28" ht="12.75" customHeight="1">
      <c r="A1052" s="149" t="s">
        <v>479</v>
      </c>
      <c r="B1052" s="148">
        <v>44470</v>
      </c>
      <c r="C1052" s="149">
        <v>-6773</v>
      </c>
      <c r="D1052" s="356"/>
      <c r="E1052" s="420"/>
      <c r="F1052" s="424"/>
      <c r="G1052" s="4"/>
      <c r="H1052" s="93"/>
      <c r="K1052" s="93"/>
      <c r="L1052" s="93"/>
      <c r="M1052" s="93"/>
      <c r="N1052" s="93"/>
      <c r="O1052" s="93"/>
      <c r="P1052" s="93"/>
      <c r="Q1052" s="93"/>
      <c r="R1052" s="93"/>
      <c r="S1052" s="93"/>
      <c r="T1052" s="93"/>
      <c r="U1052" s="93"/>
      <c r="V1052" s="93"/>
      <c r="W1052" s="93"/>
      <c r="X1052" s="93"/>
      <c r="Y1052" s="93"/>
      <c r="Z1052" s="93"/>
      <c r="AA1052" s="93"/>
      <c r="AB1052" s="93"/>
    </row>
    <row r="1053" spans="1:28" ht="12.75" customHeight="1">
      <c r="A1053" s="120" t="s">
        <v>479</v>
      </c>
      <c r="B1053" s="150">
        <v>44494</v>
      </c>
      <c r="C1053" s="422">
        <v>7567</v>
      </c>
      <c r="D1053" s="422">
        <f>C1053+C1052</f>
        <v>794</v>
      </c>
      <c r="E1053" s="423">
        <f>-D1053/C1052</f>
        <v>0.11723017865052414</v>
      </c>
      <c r="F1053" s="344">
        <f>B1053-B1052</f>
        <v>24</v>
      </c>
      <c r="G1053" s="4"/>
      <c r="H1053" s="93"/>
      <c r="K1053" s="93"/>
      <c r="L1053" s="93"/>
      <c r="M1053" s="93"/>
      <c r="N1053" s="93"/>
      <c r="O1053" s="93"/>
      <c r="P1053" s="93"/>
      <c r="Q1053" s="93"/>
      <c r="R1053" s="93"/>
      <c r="S1053" s="93"/>
      <c r="T1053" s="93"/>
      <c r="U1053" s="93"/>
      <c r="V1053" s="93"/>
      <c r="W1053" s="93"/>
      <c r="X1053" s="93"/>
      <c r="Y1053" s="93"/>
      <c r="Z1053" s="93"/>
      <c r="AA1053" s="93"/>
      <c r="AB1053" s="93"/>
    </row>
    <row r="1054" spans="1:28" ht="12.75" customHeight="1">
      <c r="A1054" s="149" t="s">
        <v>479</v>
      </c>
      <c r="B1054" s="148">
        <v>44497</v>
      </c>
      <c r="C1054" s="356">
        <v>-5056</v>
      </c>
      <c r="D1054" s="356"/>
      <c r="E1054" s="420"/>
      <c r="F1054" s="424"/>
      <c r="G1054" s="4"/>
      <c r="H1054" s="93"/>
      <c r="K1054" s="93"/>
      <c r="L1054" s="93"/>
      <c r="M1054" s="93"/>
      <c r="N1054" s="93"/>
      <c r="O1054" s="93"/>
      <c r="P1054" s="93"/>
      <c r="Q1054" s="93"/>
      <c r="R1054" s="93"/>
      <c r="S1054" s="93"/>
      <c r="T1054" s="93"/>
      <c r="U1054" s="93"/>
      <c r="V1054" s="93"/>
      <c r="W1054" s="93"/>
      <c r="X1054" s="93"/>
      <c r="Y1054" s="93"/>
      <c r="Z1054" s="93"/>
      <c r="AA1054" s="93"/>
      <c r="AB1054" s="93"/>
    </row>
    <row r="1055" spans="1:28" ht="12.75" customHeight="1">
      <c r="A1055" s="120" t="s">
        <v>479</v>
      </c>
      <c r="B1055" s="150">
        <v>44502</v>
      </c>
      <c r="C1055" s="422">
        <v>5220</v>
      </c>
      <c r="D1055" s="422">
        <f>C1055+C1054</f>
        <v>164</v>
      </c>
      <c r="E1055" s="423">
        <f>-D1055/C1054</f>
        <v>3.2436708860759493E-2</v>
      </c>
      <c r="F1055" s="344">
        <f>B1055-B1054</f>
        <v>5</v>
      </c>
      <c r="G1055" s="4"/>
      <c r="H1055" s="93"/>
      <c r="K1055" s="93"/>
      <c r="L1055" s="93"/>
      <c r="M1055" s="93"/>
      <c r="N1055" s="93"/>
      <c r="O1055" s="93"/>
      <c r="P1055" s="93"/>
      <c r="Q1055" s="93"/>
      <c r="R1055" s="93"/>
      <c r="S1055" s="93"/>
      <c r="T1055" s="93"/>
      <c r="U1055" s="93"/>
      <c r="V1055" s="93"/>
      <c r="W1055" s="93"/>
      <c r="X1055" s="93"/>
      <c r="Y1055" s="93"/>
      <c r="Z1055" s="93"/>
      <c r="AA1055" s="93"/>
      <c r="AB1055" s="93"/>
    </row>
    <row r="1056" spans="1:28" ht="12.75" customHeight="1">
      <c r="A1056" s="149" t="s">
        <v>479</v>
      </c>
      <c r="B1056" s="148">
        <v>44508</v>
      </c>
      <c r="C1056" s="356">
        <v>-7794</v>
      </c>
      <c r="D1056" s="356"/>
      <c r="E1056" s="420"/>
      <c r="F1056" s="424"/>
      <c r="G1056" s="4"/>
      <c r="H1056" s="93"/>
      <c r="K1056" s="93"/>
      <c r="L1056" s="93"/>
      <c r="M1056" s="93"/>
      <c r="N1056" s="93"/>
      <c r="O1056" s="93"/>
      <c r="P1056" s="93"/>
      <c r="Q1056" s="93"/>
      <c r="R1056" s="93"/>
      <c r="S1056" s="93"/>
      <c r="T1056" s="93"/>
      <c r="U1056" s="93"/>
      <c r="V1056" s="93"/>
      <c r="W1056" s="93"/>
      <c r="X1056" s="93"/>
      <c r="Y1056" s="93"/>
      <c r="Z1056" s="93"/>
      <c r="AA1056" s="93"/>
      <c r="AB1056" s="93"/>
    </row>
    <row r="1057" spans="1:28" ht="12.75" customHeight="1">
      <c r="A1057" s="120" t="s">
        <v>479</v>
      </c>
      <c r="B1057" s="150">
        <v>44509</v>
      </c>
      <c r="C1057" s="422">
        <v>7942</v>
      </c>
      <c r="D1057" s="422">
        <f>C1057+C1056</f>
        <v>148</v>
      </c>
      <c r="E1057" s="423">
        <f>-D1057/C1056</f>
        <v>1.8988965871182963E-2</v>
      </c>
      <c r="F1057" s="344">
        <f>B1057-B1056</f>
        <v>1</v>
      </c>
      <c r="G1057" s="4"/>
      <c r="H1057" s="93"/>
      <c r="K1057" s="93"/>
      <c r="L1057" s="93"/>
      <c r="M1057" s="93"/>
      <c r="N1057" s="93"/>
      <c r="O1057" s="93"/>
      <c r="P1057" s="93"/>
      <c r="Q1057" s="93"/>
      <c r="R1057" s="93"/>
      <c r="S1057" s="93"/>
      <c r="T1057" s="93"/>
      <c r="U1057" s="93"/>
      <c r="V1057" s="93"/>
      <c r="W1057" s="93"/>
      <c r="X1057" s="93"/>
      <c r="Y1057" s="93"/>
      <c r="Z1057" s="93"/>
      <c r="AA1057" s="93"/>
      <c r="AB1057" s="93"/>
    </row>
    <row r="1058" spans="1:28" ht="12.75" customHeight="1">
      <c r="A1058" s="149" t="s">
        <v>479</v>
      </c>
      <c r="B1058" s="148">
        <v>44511</v>
      </c>
      <c r="C1058" s="356">
        <v>-12990</v>
      </c>
      <c r="D1058" s="356"/>
      <c r="E1058" s="420"/>
      <c r="F1058" s="424"/>
      <c r="G1058" s="4"/>
      <c r="H1058" s="93"/>
      <c r="K1058" s="93"/>
      <c r="L1058" s="93"/>
      <c r="M1058" s="93"/>
      <c r="N1058" s="93"/>
      <c r="O1058" s="93"/>
      <c r="P1058" s="93"/>
      <c r="Q1058" s="93"/>
      <c r="R1058" s="93"/>
      <c r="S1058" s="93"/>
      <c r="T1058" s="93"/>
      <c r="U1058" s="93"/>
      <c r="V1058" s="93"/>
      <c r="W1058" s="93"/>
      <c r="X1058" s="93"/>
      <c r="Y1058" s="93"/>
      <c r="Z1058" s="93"/>
      <c r="AA1058" s="93"/>
      <c r="AB1058" s="93"/>
    </row>
    <row r="1059" spans="1:28" ht="12.75" customHeight="1">
      <c r="A1059" s="120" t="s">
        <v>479</v>
      </c>
      <c r="B1059" s="150">
        <v>44588</v>
      </c>
      <c r="C1059" s="422">
        <v>13149</v>
      </c>
      <c r="D1059" s="422">
        <f>C1059+C1058</f>
        <v>159</v>
      </c>
      <c r="E1059" s="423">
        <f>IFERROR(-D1059/C1058,0)</f>
        <v>1.2240184757505773E-2</v>
      </c>
      <c r="F1059" s="344">
        <f>B1059-B1058</f>
        <v>77</v>
      </c>
      <c r="G1059" s="4"/>
      <c r="H1059" s="93"/>
      <c r="K1059" s="93"/>
      <c r="L1059" s="93"/>
      <c r="M1059" s="93"/>
      <c r="N1059" s="93"/>
      <c r="O1059" s="93"/>
      <c r="P1059" s="93"/>
      <c r="Q1059" s="93"/>
      <c r="R1059" s="93"/>
      <c r="S1059" s="93"/>
      <c r="T1059" s="93"/>
      <c r="U1059" s="93"/>
      <c r="V1059" s="93"/>
      <c r="W1059" s="93"/>
      <c r="X1059" s="93"/>
      <c r="Y1059" s="93"/>
      <c r="Z1059" s="93"/>
      <c r="AA1059" s="93"/>
      <c r="AB1059" s="93"/>
    </row>
    <row r="1060" spans="1:28" ht="12.75" customHeight="1">
      <c r="A1060" s="149" t="s">
        <v>479</v>
      </c>
      <c r="B1060" s="148">
        <v>44628</v>
      </c>
      <c r="C1060" s="356">
        <v>-21743</v>
      </c>
      <c r="D1060" s="356"/>
      <c r="E1060" s="420"/>
      <c r="F1060" s="424"/>
      <c r="G1060" s="4"/>
      <c r="H1060" s="93"/>
      <c r="K1060" s="93"/>
      <c r="L1060" s="93"/>
      <c r="M1060" s="93"/>
      <c r="N1060" s="93"/>
      <c r="O1060" s="93"/>
      <c r="P1060" s="93"/>
      <c r="Q1060" s="93"/>
      <c r="R1060" s="93"/>
      <c r="S1060" s="93"/>
      <c r="T1060" s="93"/>
      <c r="U1060" s="93"/>
      <c r="V1060" s="93"/>
      <c r="W1060" s="93"/>
      <c r="X1060" s="93"/>
      <c r="Y1060" s="93"/>
      <c r="Z1060" s="93"/>
      <c r="AA1060" s="93"/>
      <c r="AB1060" s="93"/>
    </row>
    <row r="1061" spans="1:28" ht="12.75" customHeight="1">
      <c r="A1061" s="120" t="s">
        <v>479</v>
      </c>
      <c r="B1061" s="150">
        <v>44650</v>
      </c>
      <c r="C1061" s="422">
        <v>24974</v>
      </c>
      <c r="D1061" s="422">
        <f>C1061+C1060</f>
        <v>3231</v>
      </c>
      <c r="E1061" s="423">
        <f>IFERROR(-D1061/C1060,0)</f>
        <v>0.14859954928022812</v>
      </c>
      <c r="F1061" s="344">
        <f>B1061-B1060</f>
        <v>22</v>
      </c>
      <c r="G1061" s="4"/>
      <c r="H1061" s="93"/>
      <c r="K1061" s="93"/>
      <c r="L1061" s="93"/>
      <c r="M1061" s="93"/>
      <c r="N1061" s="93"/>
      <c r="O1061" s="93"/>
      <c r="P1061" s="93"/>
      <c r="Q1061" s="93"/>
      <c r="R1061" s="93"/>
      <c r="S1061" s="93"/>
      <c r="T1061" s="93"/>
      <c r="U1061" s="93"/>
      <c r="V1061" s="93"/>
      <c r="W1061" s="93"/>
      <c r="X1061" s="93"/>
      <c r="Y1061" s="93"/>
      <c r="Z1061" s="93"/>
      <c r="AA1061" s="93"/>
      <c r="AB1061" s="93"/>
    </row>
    <row r="1062" spans="1:28" ht="12.75" customHeight="1">
      <c r="A1062" s="149" t="s">
        <v>479</v>
      </c>
      <c r="B1062" s="148">
        <v>44628</v>
      </c>
      <c r="C1062" s="356">
        <v>-10872</v>
      </c>
      <c r="D1062" s="356"/>
      <c r="E1062" s="420"/>
      <c r="F1062" s="424"/>
      <c r="G1062" s="4"/>
      <c r="H1062" s="93"/>
      <c r="K1062" s="93"/>
      <c r="L1062" s="93"/>
      <c r="M1062" s="93"/>
      <c r="N1062" s="93"/>
      <c r="O1062" s="93"/>
      <c r="P1062" s="93"/>
      <c r="Q1062" s="93"/>
      <c r="R1062" s="93"/>
      <c r="S1062" s="93"/>
      <c r="T1062" s="93"/>
      <c r="U1062" s="93"/>
      <c r="V1062" s="93"/>
      <c r="W1062" s="93"/>
      <c r="X1062" s="93"/>
      <c r="Y1062" s="93"/>
      <c r="Z1062" s="93"/>
      <c r="AA1062" s="93"/>
      <c r="AB1062" s="93"/>
    </row>
    <row r="1063" spans="1:28" ht="12.75" customHeight="1">
      <c r="A1063" s="120" t="s">
        <v>479</v>
      </c>
      <c r="B1063" s="150">
        <v>44652</v>
      </c>
      <c r="C1063" s="422">
        <v>12487</v>
      </c>
      <c r="D1063" s="422">
        <f>C1063+C1062</f>
        <v>1615</v>
      </c>
      <c r="E1063" s="423">
        <f>IFERROR(-D1063/C1062,0)</f>
        <v>0.1485467255334805</v>
      </c>
      <c r="F1063" s="344">
        <f>B1063-B1062</f>
        <v>24</v>
      </c>
      <c r="G1063" s="4"/>
      <c r="H1063" s="93"/>
      <c r="K1063" s="93"/>
      <c r="L1063" s="93"/>
      <c r="M1063" s="93"/>
      <c r="N1063" s="93"/>
      <c r="O1063" s="93"/>
      <c r="P1063" s="93"/>
      <c r="Q1063" s="93"/>
      <c r="R1063" s="93"/>
      <c r="S1063" s="93"/>
      <c r="T1063" s="93"/>
      <c r="U1063" s="93"/>
      <c r="V1063" s="93"/>
      <c r="W1063" s="93"/>
      <c r="X1063" s="93"/>
      <c r="Y1063" s="93"/>
      <c r="Z1063" s="93"/>
      <c r="AA1063" s="93"/>
      <c r="AB1063" s="93"/>
    </row>
    <row r="1064" spans="1:28" ht="12.75" customHeight="1">
      <c r="A1064" s="149" t="s">
        <v>479</v>
      </c>
      <c r="B1064" s="148">
        <v>44615</v>
      </c>
      <c r="C1064" s="356">
        <v>-5006</v>
      </c>
      <c r="D1064" s="356"/>
      <c r="E1064" s="420"/>
      <c r="F1064" s="424"/>
      <c r="G1064" s="4"/>
      <c r="H1064" s="93"/>
      <c r="K1064" s="93"/>
      <c r="L1064" s="93"/>
      <c r="M1064" s="93"/>
      <c r="N1064" s="93"/>
      <c r="O1064" s="93"/>
      <c r="P1064" s="93"/>
      <c r="Q1064" s="93"/>
      <c r="R1064" s="93"/>
      <c r="S1064" s="93"/>
      <c r="T1064" s="93"/>
      <c r="U1064" s="93"/>
      <c r="V1064" s="93"/>
      <c r="W1064" s="93"/>
      <c r="X1064" s="93"/>
      <c r="Y1064" s="93"/>
      <c r="Z1064" s="93"/>
      <c r="AA1064" s="93"/>
      <c r="AB1064" s="93"/>
    </row>
    <row r="1065" spans="1:28" ht="12.75" customHeight="1">
      <c r="A1065" s="120" t="s">
        <v>479</v>
      </c>
      <c r="B1065" s="150">
        <v>44652</v>
      </c>
      <c r="C1065" s="422">
        <v>4995</v>
      </c>
      <c r="D1065" s="422">
        <f>C1065+C1064</f>
        <v>-11</v>
      </c>
      <c r="E1065" s="423">
        <f>IFERROR(-D1065/C1064,0)</f>
        <v>-2.1973631642029563E-3</v>
      </c>
      <c r="F1065" s="344">
        <f>B1065-B1064</f>
        <v>37</v>
      </c>
      <c r="G1065" s="4"/>
      <c r="H1065" s="93"/>
      <c r="K1065" s="93"/>
      <c r="L1065" s="93"/>
      <c r="M1065" s="93"/>
      <c r="N1065" s="93"/>
      <c r="O1065" s="93"/>
      <c r="P1065" s="93"/>
      <c r="Q1065" s="93"/>
      <c r="R1065" s="93"/>
      <c r="S1065" s="93"/>
      <c r="T1065" s="93"/>
      <c r="U1065" s="93"/>
      <c r="V1065" s="93"/>
      <c r="W1065" s="93"/>
      <c r="X1065" s="93"/>
      <c r="Y1065" s="93"/>
      <c r="Z1065" s="93"/>
      <c r="AA1065" s="93"/>
      <c r="AB1065" s="93"/>
    </row>
    <row r="1066" spans="1:28" ht="12.75" customHeight="1">
      <c r="A1066" s="149" t="s">
        <v>479</v>
      </c>
      <c r="B1066" s="148">
        <v>44673</v>
      </c>
      <c r="C1066" s="356">
        <v>-12615</v>
      </c>
      <c r="D1066" s="356"/>
      <c r="E1066" s="420"/>
      <c r="F1066" s="424"/>
      <c r="G1066" s="4"/>
      <c r="H1066" s="93"/>
      <c r="K1066" s="93"/>
      <c r="L1066" s="93"/>
      <c r="M1066" s="93"/>
      <c r="N1066" s="93"/>
      <c r="O1066" s="93"/>
      <c r="P1066" s="93"/>
      <c r="Q1066" s="93"/>
      <c r="R1066" s="93"/>
      <c r="S1066" s="93"/>
      <c r="T1066" s="93"/>
      <c r="U1066" s="93"/>
      <c r="V1066" s="93"/>
      <c r="W1066" s="93"/>
      <c r="X1066" s="93"/>
      <c r="Y1066" s="93"/>
      <c r="Z1066" s="93"/>
      <c r="AA1066" s="93"/>
      <c r="AB1066" s="93"/>
    </row>
    <row r="1067" spans="1:28" ht="12.75" customHeight="1">
      <c r="A1067" s="120" t="s">
        <v>479</v>
      </c>
      <c r="B1067" s="150">
        <v>44769</v>
      </c>
      <c r="C1067" s="422">
        <v>13061</v>
      </c>
      <c r="D1067" s="422">
        <f>C1067+C1066</f>
        <v>446</v>
      </c>
      <c r="E1067" s="423">
        <f>IFERROR(-D1067/C1066,0)</f>
        <v>3.5354736424891002E-2</v>
      </c>
      <c r="F1067" s="344">
        <f>B1067-B1066</f>
        <v>96</v>
      </c>
      <c r="G1067" s="4"/>
      <c r="H1067" s="93"/>
      <c r="K1067" s="93"/>
      <c r="L1067" s="93"/>
      <c r="M1067" s="93"/>
      <c r="N1067" s="93"/>
      <c r="O1067" s="93"/>
      <c r="P1067" s="93"/>
      <c r="Q1067" s="93"/>
      <c r="R1067" s="93"/>
      <c r="S1067" s="93"/>
      <c r="T1067" s="93"/>
      <c r="U1067" s="93"/>
      <c r="V1067" s="93"/>
      <c r="W1067" s="93"/>
      <c r="X1067" s="93"/>
      <c r="Y1067" s="93"/>
      <c r="Z1067" s="93"/>
      <c r="AA1067" s="93"/>
      <c r="AB1067" s="93"/>
    </row>
    <row r="1068" spans="1:28" ht="12.75" customHeight="1">
      <c r="A1068" s="149" t="s">
        <v>479</v>
      </c>
      <c r="B1068" s="148">
        <v>44673</v>
      </c>
      <c r="C1068" s="356">
        <v>-12615</v>
      </c>
      <c r="D1068" s="356"/>
      <c r="E1068" s="420"/>
      <c r="F1068" s="424"/>
      <c r="G1068" s="4"/>
      <c r="H1068" s="93"/>
      <c r="K1068" s="93"/>
      <c r="L1068" s="93"/>
      <c r="M1068" s="93"/>
      <c r="N1068" s="93"/>
      <c r="O1068" s="93"/>
      <c r="P1068" s="93"/>
      <c r="Q1068" s="93"/>
      <c r="R1068" s="93"/>
      <c r="S1068" s="93"/>
      <c r="T1068" s="93"/>
      <c r="U1068" s="93"/>
      <c r="V1068" s="93"/>
      <c r="W1068" s="93"/>
      <c r="X1068" s="93"/>
      <c r="Y1068" s="93"/>
      <c r="Z1068" s="93"/>
      <c r="AA1068" s="93"/>
      <c r="AB1068" s="93"/>
    </row>
    <row r="1069" spans="1:28" ht="12.75" customHeight="1">
      <c r="A1069" s="120" t="s">
        <v>479</v>
      </c>
      <c r="B1069" s="150">
        <v>44775</v>
      </c>
      <c r="C1069" s="422">
        <v>13536</v>
      </c>
      <c r="D1069" s="422">
        <f>C1069+C1068</f>
        <v>921</v>
      </c>
      <c r="E1069" s="423">
        <f>IFERROR(-D1069/C1068,0)</f>
        <v>7.3008323424494648E-2</v>
      </c>
      <c r="F1069" s="344">
        <f>B1069-B1068</f>
        <v>102</v>
      </c>
      <c r="G1069" s="4"/>
      <c r="H1069" s="93"/>
      <c r="K1069" s="93"/>
      <c r="L1069" s="93"/>
      <c r="M1069" s="93"/>
      <c r="N1069" s="93"/>
      <c r="O1069" s="93"/>
      <c r="P1069" s="93"/>
      <c r="Q1069" s="93"/>
      <c r="R1069" s="93"/>
      <c r="S1069" s="93"/>
      <c r="T1069" s="93"/>
      <c r="U1069" s="93"/>
      <c r="V1069" s="93"/>
      <c r="W1069" s="93"/>
      <c r="X1069" s="93"/>
      <c r="Y1069" s="93"/>
      <c r="Z1069" s="93"/>
      <c r="AA1069" s="93"/>
      <c r="AB1069" s="93"/>
    </row>
    <row r="1070" spans="1:28" ht="12.75" customHeight="1">
      <c r="A1070" s="133" t="s">
        <v>518</v>
      </c>
      <c r="B1070" s="425">
        <v>44348</v>
      </c>
      <c r="C1070" s="426">
        <v>-12515</v>
      </c>
      <c r="D1070" s="356"/>
      <c r="E1070" s="420"/>
      <c r="F1070" s="424"/>
      <c r="G1070" s="4"/>
      <c r="H1070" s="93"/>
      <c r="K1070" s="93"/>
      <c r="L1070" s="93"/>
      <c r="M1070" s="93"/>
      <c r="N1070" s="93"/>
      <c r="O1070" s="93"/>
      <c r="P1070" s="93"/>
      <c r="Q1070" s="93"/>
      <c r="R1070" s="93"/>
      <c r="S1070" s="93"/>
      <c r="T1070" s="93"/>
      <c r="U1070" s="93"/>
      <c r="V1070" s="93"/>
      <c r="W1070" s="93"/>
      <c r="X1070" s="93"/>
      <c r="Y1070" s="93"/>
      <c r="Z1070" s="93"/>
      <c r="AA1070" s="93"/>
      <c r="AB1070" s="93"/>
    </row>
    <row r="1071" spans="1:28" ht="12.75" customHeight="1">
      <c r="A1071" s="120" t="s">
        <v>518</v>
      </c>
      <c r="B1071" s="428">
        <v>44356</v>
      </c>
      <c r="C1071" s="429">
        <v>13456</v>
      </c>
      <c r="D1071" s="422">
        <f>C1071+C1070</f>
        <v>941</v>
      </c>
      <c r="E1071" s="423">
        <f>-D1071/C1070</f>
        <v>7.5189772273272074E-2</v>
      </c>
      <c r="F1071" s="344">
        <f>B1071-B1070</f>
        <v>8</v>
      </c>
      <c r="G1071" s="4"/>
      <c r="H1071" s="93"/>
      <c r="K1071" s="93"/>
      <c r="L1071" s="93"/>
      <c r="M1071" s="93"/>
      <c r="N1071" s="93"/>
      <c r="O1071" s="93"/>
      <c r="P1071" s="93"/>
      <c r="Q1071" s="93"/>
      <c r="R1071" s="93"/>
      <c r="S1071" s="93"/>
      <c r="T1071" s="93"/>
      <c r="U1071" s="93"/>
      <c r="V1071" s="93"/>
      <c r="W1071" s="93"/>
      <c r="X1071" s="93"/>
      <c r="Y1071" s="93"/>
      <c r="Z1071" s="93"/>
      <c r="AA1071" s="93"/>
      <c r="AB1071" s="93"/>
    </row>
    <row r="1072" spans="1:28" ht="12.75" customHeight="1">
      <c r="A1072" s="149" t="s">
        <v>512</v>
      </c>
      <c r="B1072" s="148">
        <v>44342</v>
      </c>
      <c r="C1072" s="356">
        <v>-11714</v>
      </c>
      <c r="D1072" s="356"/>
      <c r="E1072" s="420"/>
      <c r="F1072" s="424"/>
      <c r="G1072" s="4"/>
      <c r="H1072" s="93"/>
      <c r="K1072" s="93"/>
      <c r="L1072" s="93"/>
      <c r="M1072" s="93"/>
      <c r="N1072" s="93"/>
      <c r="O1072" s="93"/>
      <c r="P1072" s="93"/>
      <c r="Q1072" s="93"/>
      <c r="R1072" s="93"/>
      <c r="S1072" s="93"/>
      <c r="T1072" s="93"/>
      <c r="U1072" s="93"/>
      <c r="V1072" s="93"/>
      <c r="W1072" s="93"/>
      <c r="X1072" s="93"/>
      <c r="Y1072" s="93"/>
      <c r="Z1072" s="93"/>
      <c r="AA1072" s="93"/>
      <c r="AB1072" s="93"/>
    </row>
    <row r="1073" spans="1:28" ht="12.75" customHeight="1">
      <c r="A1073" s="120" t="s">
        <v>512</v>
      </c>
      <c r="B1073" s="150">
        <v>44557</v>
      </c>
      <c r="C1073" s="422">
        <v>11089</v>
      </c>
      <c r="D1073" s="422">
        <f>C1073+C1072</f>
        <v>-625</v>
      </c>
      <c r="E1073" s="423">
        <f>-D1073/C1072</f>
        <v>-5.3354959877070174E-2</v>
      </c>
      <c r="F1073" s="344">
        <f>B1073-B1072</f>
        <v>215</v>
      </c>
      <c r="G1073" s="4"/>
      <c r="H1073" s="93"/>
      <c r="K1073" s="93"/>
      <c r="L1073" s="93"/>
      <c r="M1073" s="93"/>
      <c r="N1073" s="93"/>
      <c r="O1073" s="93"/>
      <c r="P1073" s="93"/>
      <c r="Q1073" s="93"/>
      <c r="R1073" s="93"/>
      <c r="S1073" s="93"/>
      <c r="T1073" s="93"/>
      <c r="U1073" s="93"/>
      <c r="V1073" s="93"/>
      <c r="W1073" s="93"/>
      <c r="X1073" s="93"/>
      <c r="Y1073" s="93"/>
      <c r="Z1073" s="93"/>
      <c r="AA1073" s="93"/>
      <c r="AB1073" s="93"/>
    </row>
    <row r="1074" spans="1:28" ht="12.75" customHeight="1">
      <c r="A1074" s="149" t="s">
        <v>512</v>
      </c>
      <c r="B1074" s="148">
        <v>44558</v>
      </c>
      <c r="C1074" s="356">
        <v>-11313</v>
      </c>
      <c r="D1074" s="356"/>
      <c r="E1074" s="420"/>
      <c r="F1074" s="424"/>
      <c r="G1074" s="4"/>
      <c r="H1074" s="93"/>
      <c r="K1074" s="93"/>
      <c r="L1074" s="93"/>
      <c r="M1074" s="93"/>
      <c r="N1074" s="93"/>
      <c r="O1074" s="93"/>
      <c r="P1074" s="93"/>
      <c r="Q1074" s="93"/>
      <c r="R1074" s="93"/>
      <c r="S1074" s="93"/>
      <c r="T1074" s="93"/>
      <c r="U1074" s="93"/>
      <c r="V1074" s="93"/>
      <c r="W1074" s="93"/>
      <c r="X1074" s="93"/>
      <c r="Y1074" s="93"/>
      <c r="Z1074" s="93"/>
      <c r="AA1074" s="93"/>
      <c r="AB1074" s="93"/>
    </row>
    <row r="1075" spans="1:28" ht="12.75" customHeight="1">
      <c r="A1075" s="120" t="s">
        <v>512</v>
      </c>
      <c r="B1075" s="150">
        <v>44561</v>
      </c>
      <c r="C1075" s="422">
        <v>11438</v>
      </c>
      <c r="D1075" s="422">
        <f>C1075+C1074</f>
        <v>125</v>
      </c>
      <c r="E1075" s="423">
        <f>-D1075/C1074</f>
        <v>1.1049235392910811E-2</v>
      </c>
      <c r="F1075" s="344">
        <f>B1075-B1074</f>
        <v>3</v>
      </c>
      <c r="G1075" s="4"/>
      <c r="H1075" s="93"/>
      <c r="K1075" s="93"/>
      <c r="L1075" s="93"/>
      <c r="M1075" s="93"/>
      <c r="N1075" s="93"/>
      <c r="O1075" s="93"/>
      <c r="P1075" s="93"/>
      <c r="Q1075" s="93"/>
      <c r="R1075" s="93"/>
      <c r="S1075" s="93"/>
      <c r="T1075" s="93"/>
      <c r="U1075" s="93"/>
      <c r="V1075" s="93"/>
      <c r="W1075" s="93"/>
      <c r="X1075" s="93"/>
      <c r="Y1075" s="93"/>
      <c r="Z1075" s="93"/>
      <c r="AA1075" s="93"/>
      <c r="AB1075" s="93"/>
    </row>
    <row r="1076" spans="1:28" ht="12.75" customHeight="1">
      <c r="A1076" s="149" t="s">
        <v>512</v>
      </c>
      <c r="B1076" s="148">
        <v>44560</v>
      </c>
      <c r="C1076" s="356">
        <v>-10913</v>
      </c>
      <c r="D1076" s="356"/>
      <c r="E1076" s="420"/>
      <c r="F1076" s="424"/>
      <c r="G1076" s="4"/>
      <c r="H1076" s="93"/>
      <c r="K1076" s="93"/>
      <c r="L1076" s="93"/>
      <c r="M1076" s="93"/>
      <c r="N1076" s="93"/>
      <c r="O1076" s="93"/>
      <c r="P1076" s="93"/>
      <c r="Q1076" s="93"/>
      <c r="R1076" s="93"/>
      <c r="S1076" s="93"/>
      <c r="T1076" s="93"/>
      <c r="U1076" s="93"/>
      <c r="V1076" s="93"/>
      <c r="W1076" s="93"/>
      <c r="X1076" s="93"/>
      <c r="Y1076" s="93"/>
      <c r="Z1076" s="93"/>
      <c r="AA1076" s="93"/>
      <c r="AB1076" s="93"/>
    </row>
    <row r="1077" spans="1:28" ht="12.75" customHeight="1">
      <c r="A1077" s="120" t="s">
        <v>512</v>
      </c>
      <c r="B1077" s="150">
        <v>44561</v>
      </c>
      <c r="C1077" s="422">
        <v>11184</v>
      </c>
      <c r="D1077" s="422">
        <f>C1077+C1076</f>
        <v>271</v>
      </c>
      <c r="E1077" s="423">
        <f>-D1077/C1076</f>
        <v>2.4832768258040868E-2</v>
      </c>
      <c r="F1077" s="344">
        <f>B1077-B1076</f>
        <v>1</v>
      </c>
      <c r="G1077" s="4"/>
      <c r="H1077" s="93"/>
      <c r="K1077" s="93"/>
      <c r="L1077" s="93"/>
      <c r="M1077" s="93"/>
      <c r="N1077" s="93"/>
      <c r="O1077" s="93"/>
      <c r="P1077" s="93"/>
      <c r="Q1077" s="93"/>
      <c r="R1077" s="93"/>
      <c r="S1077" s="93"/>
      <c r="T1077" s="93"/>
      <c r="U1077" s="93"/>
      <c r="V1077" s="93"/>
      <c r="W1077" s="93"/>
      <c r="X1077" s="93"/>
      <c r="Y1077" s="93"/>
      <c r="Z1077" s="93"/>
      <c r="AA1077" s="93"/>
      <c r="AB1077" s="93"/>
    </row>
    <row r="1078" spans="1:28" ht="12.75" customHeight="1">
      <c r="A1078" s="149" t="s">
        <v>538</v>
      </c>
      <c r="B1078" s="148">
        <v>44369</v>
      </c>
      <c r="C1078" s="149">
        <v>-13770</v>
      </c>
      <c r="D1078" s="356"/>
      <c r="E1078" s="420"/>
      <c r="F1078" s="424"/>
      <c r="G1078" s="4"/>
      <c r="H1078" s="93"/>
      <c r="K1078" s="93"/>
      <c r="L1078" s="93"/>
      <c r="M1078" s="93"/>
      <c r="N1078" s="93"/>
      <c r="O1078" s="93"/>
      <c r="P1078" s="93"/>
      <c r="Q1078" s="93"/>
      <c r="R1078" s="93"/>
      <c r="S1078" s="93"/>
      <c r="T1078" s="93"/>
      <c r="U1078" s="93"/>
      <c r="V1078" s="93"/>
      <c r="W1078" s="93"/>
      <c r="X1078" s="93"/>
      <c r="Y1078" s="93"/>
      <c r="Z1078" s="93"/>
      <c r="AA1078" s="93"/>
      <c r="AB1078" s="93"/>
    </row>
    <row r="1079" spans="1:28" ht="12.75" customHeight="1">
      <c r="A1079" s="120" t="s">
        <v>538</v>
      </c>
      <c r="B1079" s="150">
        <v>44375</v>
      </c>
      <c r="C1079" s="422">
        <v>17217</v>
      </c>
      <c r="D1079" s="422">
        <f>C1079+C1078</f>
        <v>3447</v>
      </c>
      <c r="E1079" s="423">
        <f>-D1079/C1078</f>
        <v>0.25032679738562091</v>
      </c>
      <c r="F1079" s="344">
        <f>B1079-B1078</f>
        <v>6</v>
      </c>
      <c r="G1079" s="4"/>
      <c r="H1079" s="93"/>
      <c r="K1079" s="93"/>
      <c r="L1079" s="93"/>
      <c r="M1079" s="93"/>
      <c r="N1079" s="93"/>
      <c r="O1079" s="93"/>
      <c r="P1079" s="93"/>
      <c r="Q1079" s="93"/>
      <c r="R1079" s="93"/>
      <c r="S1079" s="93"/>
      <c r="T1079" s="93"/>
      <c r="U1079" s="93"/>
      <c r="V1079" s="93"/>
      <c r="W1079" s="93"/>
      <c r="X1079" s="93"/>
      <c r="Y1079" s="93"/>
      <c r="Z1079" s="93"/>
      <c r="AA1079" s="93"/>
      <c r="AB1079" s="93"/>
    </row>
    <row r="1080" spans="1:28" ht="12.75" customHeight="1">
      <c r="A1080" s="149" t="s">
        <v>543</v>
      </c>
      <c r="B1080" s="148">
        <v>44379</v>
      </c>
      <c r="C1080" s="356">
        <v>-9161</v>
      </c>
      <c r="D1080" s="356"/>
      <c r="E1080" s="420"/>
      <c r="F1080" s="424"/>
      <c r="G1080" s="4"/>
      <c r="H1080" s="93"/>
      <c r="K1080" s="93"/>
      <c r="L1080" s="93"/>
      <c r="M1080" s="93"/>
      <c r="N1080" s="93"/>
      <c r="O1080" s="93"/>
      <c r="P1080" s="93"/>
      <c r="Q1080" s="93"/>
      <c r="R1080" s="93"/>
      <c r="S1080" s="93"/>
      <c r="T1080" s="93"/>
      <c r="U1080" s="93"/>
      <c r="V1080" s="93"/>
      <c r="W1080" s="93"/>
      <c r="X1080" s="93"/>
      <c r="Y1080" s="93"/>
      <c r="Z1080" s="93"/>
      <c r="AA1080" s="93"/>
      <c r="AB1080" s="93"/>
    </row>
    <row r="1081" spans="1:28" ht="12.75" customHeight="1">
      <c r="A1081" s="120" t="s">
        <v>543</v>
      </c>
      <c r="B1081" s="150">
        <v>44897</v>
      </c>
      <c r="C1081" s="422">
        <v>10389</v>
      </c>
      <c r="D1081" s="422">
        <f>C1081+C1080</f>
        <v>1228</v>
      </c>
      <c r="E1081" s="423">
        <f>IFERROR(-D1081/C1080,0)</f>
        <v>0.13404650147363825</v>
      </c>
      <c r="F1081" s="344">
        <f>B1081-B1080</f>
        <v>518</v>
      </c>
      <c r="G1081" s="4"/>
      <c r="H1081" s="93"/>
      <c r="K1081" s="93"/>
      <c r="L1081" s="93"/>
      <c r="M1081" s="93"/>
      <c r="N1081" s="93"/>
      <c r="O1081" s="93"/>
      <c r="P1081" s="93"/>
      <c r="Q1081" s="93"/>
      <c r="R1081" s="93"/>
      <c r="S1081" s="93"/>
      <c r="T1081" s="93"/>
      <c r="U1081" s="93"/>
      <c r="V1081" s="93"/>
      <c r="W1081" s="93"/>
      <c r="X1081" s="93"/>
      <c r="Y1081" s="93"/>
      <c r="Z1081" s="93"/>
      <c r="AA1081" s="93"/>
      <c r="AB1081" s="93"/>
    </row>
    <row r="1082" spans="1:28" ht="12.75" customHeight="1">
      <c r="A1082" s="149" t="s">
        <v>536</v>
      </c>
      <c r="B1082" s="148">
        <v>44368</v>
      </c>
      <c r="C1082" s="149">
        <v>-14841</v>
      </c>
      <c r="D1082" s="356"/>
      <c r="E1082" s="420"/>
      <c r="F1082" s="424"/>
      <c r="G1082" s="4"/>
      <c r="H1082" s="93"/>
      <c r="K1082" s="93"/>
      <c r="L1082" s="93"/>
      <c r="M1082" s="93"/>
      <c r="N1082" s="93"/>
      <c r="O1082" s="93"/>
      <c r="P1082" s="93"/>
      <c r="Q1082" s="93"/>
      <c r="R1082" s="93"/>
      <c r="S1082" s="93"/>
      <c r="T1082" s="93"/>
      <c r="U1082" s="93"/>
      <c r="V1082" s="93"/>
      <c r="W1082" s="93"/>
      <c r="X1082" s="93"/>
      <c r="Y1082" s="93"/>
      <c r="Z1082" s="93"/>
      <c r="AA1082" s="93"/>
      <c r="AB1082" s="93"/>
    </row>
    <row r="1083" spans="1:28" ht="12.75" customHeight="1">
      <c r="A1083" s="120" t="s">
        <v>536</v>
      </c>
      <c r="B1083" s="150">
        <v>44371</v>
      </c>
      <c r="C1083" s="422">
        <v>16252</v>
      </c>
      <c r="D1083" s="422">
        <f>C1083+C1082</f>
        <v>1411</v>
      </c>
      <c r="E1083" s="423">
        <f>-D1083/C1082</f>
        <v>9.5074455899198163E-2</v>
      </c>
      <c r="F1083" s="344">
        <f>B1083-B1082</f>
        <v>3</v>
      </c>
      <c r="G1083" s="4"/>
      <c r="H1083" s="93"/>
      <c r="K1083" s="93"/>
      <c r="L1083" s="93"/>
      <c r="M1083" s="93"/>
      <c r="N1083" s="93"/>
      <c r="O1083" s="93"/>
      <c r="P1083" s="93"/>
      <c r="Q1083" s="93"/>
      <c r="R1083" s="93"/>
      <c r="S1083" s="93"/>
      <c r="T1083" s="93"/>
      <c r="U1083" s="93"/>
      <c r="V1083" s="93"/>
      <c r="W1083" s="93"/>
      <c r="X1083" s="93"/>
      <c r="Y1083" s="93"/>
      <c r="Z1083" s="93"/>
      <c r="AA1083" s="93"/>
      <c r="AB1083" s="93"/>
    </row>
    <row r="1084" spans="1:28" ht="12.75" customHeight="1">
      <c r="A1084" s="149" t="s">
        <v>536</v>
      </c>
      <c r="B1084" s="148">
        <v>44372</v>
      </c>
      <c r="C1084" s="149">
        <v>-20274</v>
      </c>
      <c r="D1084" s="356"/>
      <c r="E1084" s="420"/>
      <c r="F1084" s="424"/>
      <c r="G1084" s="4"/>
      <c r="H1084" s="93"/>
      <c r="K1084" s="93"/>
      <c r="L1084" s="93"/>
      <c r="M1084" s="93"/>
      <c r="N1084" s="93"/>
      <c r="O1084" s="93"/>
      <c r="P1084" s="93"/>
      <c r="Q1084" s="93"/>
      <c r="R1084" s="93"/>
      <c r="S1084" s="93"/>
      <c r="T1084" s="93"/>
      <c r="U1084" s="93"/>
      <c r="V1084" s="93"/>
      <c r="W1084" s="93"/>
      <c r="X1084" s="93"/>
      <c r="Y1084" s="93"/>
      <c r="Z1084" s="93"/>
      <c r="AA1084" s="93"/>
      <c r="AB1084" s="93"/>
    </row>
    <row r="1085" spans="1:28" ht="12.75" customHeight="1">
      <c r="A1085" s="120" t="s">
        <v>536</v>
      </c>
      <c r="B1085" s="150">
        <v>44386</v>
      </c>
      <c r="C1085" s="422">
        <v>20828</v>
      </c>
      <c r="D1085" s="422">
        <f>C1085+C1084</f>
        <v>554</v>
      </c>
      <c r="E1085" s="423">
        <f>-D1085/C1084</f>
        <v>2.7325638749136825E-2</v>
      </c>
      <c r="F1085" s="344">
        <f>B1085-B1084</f>
        <v>14</v>
      </c>
      <c r="G1085" s="4"/>
      <c r="H1085" s="93"/>
      <c r="K1085" s="93"/>
      <c r="L1085" s="93"/>
      <c r="M1085" s="93"/>
      <c r="N1085" s="93"/>
      <c r="O1085" s="93"/>
      <c r="P1085" s="93"/>
      <c r="Q1085" s="93"/>
      <c r="R1085" s="93"/>
      <c r="S1085" s="93"/>
      <c r="T1085" s="93"/>
      <c r="U1085" s="93"/>
      <c r="V1085" s="93"/>
      <c r="W1085" s="93"/>
      <c r="X1085" s="93"/>
      <c r="Y1085" s="93"/>
      <c r="Z1085" s="93"/>
      <c r="AA1085" s="93"/>
      <c r="AB1085" s="93"/>
    </row>
    <row r="1086" spans="1:28" ht="12.75" customHeight="1">
      <c r="A1086" s="149" t="s">
        <v>542</v>
      </c>
      <c r="B1086" s="148">
        <v>44378</v>
      </c>
      <c r="C1086" s="149">
        <v>-14637</v>
      </c>
      <c r="D1086" s="356"/>
      <c r="E1086" s="420"/>
      <c r="F1086" s="424"/>
      <c r="G1086" s="4"/>
      <c r="H1086" s="93"/>
      <c r="K1086" s="93"/>
      <c r="L1086" s="93"/>
      <c r="M1086" s="93"/>
      <c r="N1086" s="93"/>
      <c r="O1086" s="93"/>
      <c r="P1086" s="93"/>
      <c r="Q1086" s="93"/>
      <c r="R1086" s="93"/>
      <c r="S1086" s="93"/>
      <c r="T1086" s="93"/>
      <c r="U1086" s="93"/>
      <c r="V1086" s="93"/>
      <c r="W1086" s="93"/>
      <c r="X1086" s="93"/>
      <c r="Y1086" s="93"/>
      <c r="Z1086" s="93"/>
      <c r="AA1086" s="93"/>
      <c r="AB1086" s="93"/>
    </row>
    <row r="1087" spans="1:28" ht="12.75" customHeight="1">
      <c r="A1087" s="120" t="s">
        <v>542</v>
      </c>
      <c r="B1087" s="150">
        <v>44393</v>
      </c>
      <c r="C1087" s="422">
        <v>15364</v>
      </c>
      <c r="D1087" s="422">
        <f>C1087+C1086</f>
        <v>727</v>
      </c>
      <c r="E1087" s="423">
        <f>-D1087/C1086</f>
        <v>4.9668647946983668E-2</v>
      </c>
      <c r="F1087" s="344">
        <f>B1087-B1086</f>
        <v>15</v>
      </c>
      <c r="G1087" s="4"/>
      <c r="H1087" s="93"/>
      <c r="K1087" s="93"/>
      <c r="L1087" s="93"/>
      <c r="M1087" s="93"/>
      <c r="N1087" s="93"/>
      <c r="O1087" s="93"/>
      <c r="P1087" s="93"/>
      <c r="Q1087" s="93"/>
      <c r="R1087" s="93"/>
      <c r="S1087" s="93"/>
      <c r="T1087" s="93"/>
      <c r="U1087" s="93"/>
      <c r="V1087" s="93"/>
      <c r="W1087" s="93"/>
      <c r="X1087" s="93"/>
      <c r="Y1087" s="93"/>
      <c r="Z1087" s="93"/>
      <c r="AA1087" s="93"/>
      <c r="AB1087" s="93"/>
    </row>
    <row r="1088" spans="1:28" ht="12.75" customHeight="1">
      <c r="A1088" s="149" t="s">
        <v>631</v>
      </c>
      <c r="B1088" s="148">
        <v>44915</v>
      </c>
      <c r="C1088" s="356">
        <v>-14994</v>
      </c>
      <c r="D1088" s="356"/>
      <c r="E1088" s="420"/>
      <c r="F1088" s="424"/>
      <c r="G1088" s="4"/>
      <c r="H1088" s="93"/>
      <c r="K1088" s="93"/>
      <c r="L1088" s="93"/>
      <c r="M1088" s="93"/>
      <c r="N1088" s="93"/>
      <c r="O1088" s="93"/>
      <c r="P1088" s="93"/>
      <c r="Q1088" s="93"/>
      <c r="R1088" s="93"/>
      <c r="S1088" s="93"/>
      <c r="T1088" s="93"/>
      <c r="U1088" s="93"/>
      <c r="V1088" s="93"/>
      <c r="W1088" s="93"/>
      <c r="X1088" s="93"/>
      <c r="Y1088" s="93"/>
      <c r="Z1088" s="93"/>
      <c r="AA1088" s="93"/>
      <c r="AB1088" s="93"/>
    </row>
    <row r="1089" spans="1:28" ht="12.75" customHeight="1">
      <c r="A1089" s="120" t="s">
        <v>631</v>
      </c>
      <c r="B1089" s="150">
        <v>44942</v>
      </c>
      <c r="C1089" s="422">
        <v>15012</v>
      </c>
      <c r="D1089" s="422">
        <f>C1089+C1088</f>
        <v>18</v>
      </c>
      <c r="E1089" s="423">
        <f>IFERROR(-D1089/C1088,0)</f>
        <v>1.2004801920768306E-3</v>
      </c>
      <c r="F1089" s="344">
        <f>B1089-B1088</f>
        <v>27</v>
      </c>
      <c r="G1089" s="4"/>
      <c r="H1089" s="93"/>
      <c r="K1089" s="93"/>
      <c r="L1089" s="93"/>
      <c r="M1089" s="93"/>
      <c r="N1089" s="93"/>
      <c r="O1089" s="93"/>
      <c r="P1089" s="93"/>
      <c r="Q1089" s="93"/>
      <c r="R1089" s="93"/>
      <c r="S1089" s="93"/>
      <c r="T1089" s="93"/>
      <c r="U1089" s="93"/>
      <c r="V1089" s="93"/>
      <c r="W1089" s="93"/>
      <c r="X1089" s="93"/>
      <c r="Y1089" s="93"/>
      <c r="Z1089" s="93"/>
      <c r="AA1089" s="93"/>
      <c r="AB1089" s="93"/>
    </row>
    <row r="1090" spans="1:28" ht="12.75" customHeight="1">
      <c r="A1090" s="149" t="s">
        <v>516</v>
      </c>
      <c r="B1090" s="148">
        <v>44344</v>
      </c>
      <c r="C1090" s="149">
        <v>-5507</v>
      </c>
      <c r="D1090" s="356"/>
      <c r="E1090" s="420"/>
      <c r="F1090" s="424"/>
      <c r="G1090" s="4"/>
      <c r="H1090" s="93"/>
      <c r="K1090" s="93"/>
      <c r="L1090" s="93"/>
      <c r="M1090" s="93"/>
      <c r="N1090" s="93"/>
      <c r="O1090" s="93"/>
      <c r="P1090" s="93"/>
      <c r="Q1090" s="93"/>
      <c r="R1090" s="93"/>
      <c r="S1090" s="93"/>
      <c r="T1090" s="93"/>
      <c r="U1090" s="93"/>
      <c r="V1090" s="93"/>
      <c r="W1090" s="93"/>
      <c r="X1090" s="93"/>
      <c r="Y1090" s="93"/>
      <c r="Z1090" s="93"/>
      <c r="AA1090" s="93"/>
      <c r="AB1090" s="93"/>
    </row>
    <row r="1091" spans="1:28" ht="12.75" customHeight="1">
      <c r="A1091" s="120" t="s">
        <v>516</v>
      </c>
      <c r="B1091" s="150">
        <v>44365</v>
      </c>
      <c r="C1091" s="422">
        <v>5524</v>
      </c>
      <c r="D1091" s="422">
        <f>C1091+C1090</f>
        <v>17</v>
      </c>
      <c r="E1091" s="423">
        <f>-D1091/C1090</f>
        <v>3.0869802070092609E-3</v>
      </c>
      <c r="F1091" s="344">
        <f>B1091-B1090</f>
        <v>21</v>
      </c>
      <c r="G1091" s="4"/>
      <c r="H1091" s="93"/>
      <c r="K1091" s="93"/>
      <c r="L1091" s="93"/>
      <c r="M1091" s="93"/>
      <c r="N1091" s="93"/>
      <c r="O1091" s="93"/>
      <c r="P1091" s="93"/>
      <c r="Q1091" s="93"/>
      <c r="R1091" s="93"/>
      <c r="S1091" s="93"/>
      <c r="T1091" s="93"/>
      <c r="U1091" s="93"/>
      <c r="V1091" s="93"/>
      <c r="W1091" s="93"/>
      <c r="X1091" s="93"/>
      <c r="Y1091" s="93"/>
      <c r="Z1091" s="93"/>
      <c r="AA1091" s="93"/>
      <c r="AB1091" s="93"/>
    </row>
    <row r="1092" spans="1:28" ht="12.75" customHeight="1">
      <c r="A1092" s="149" t="s">
        <v>619</v>
      </c>
      <c r="B1092" s="148">
        <v>44802</v>
      </c>
      <c r="C1092" s="356">
        <v>-7299</v>
      </c>
      <c r="D1092" s="356"/>
      <c r="E1092" s="420"/>
      <c r="F1092" s="424"/>
      <c r="G1092" s="4"/>
      <c r="H1092" s="93"/>
      <c r="K1092" s="93"/>
      <c r="L1092" s="93"/>
      <c r="M1092" s="93"/>
      <c r="N1092" s="93"/>
      <c r="O1092" s="93"/>
      <c r="P1092" s="93"/>
      <c r="Q1092" s="93"/>
      <c r="R1092" s="93"/>
      <c r="S1092" s="93"/>
      <c r="T1092" s="93"/>
      <c r="U1092" s="93"/>
      <c r="V1092" s="93"/>
      <c r="W1092" s="93"/>
      <c r="X1092" s="93"/>
      <c r="Y1092" s="93"/>
      <c r="Z1092" s="93"/>
      <c r="AA1092" s="93"/>
      <c r="AB1092" s="93"/>
    </row>
    <row r="1093" spans="1:28" ht="12.75" customHeight="1">
      <c r="A1093" s="120" t="s">
        <v>619</v>
      </c>
      <c r="B1093" s="150">
        <v>44809</v>
      </c>
      <c r="C1093" s="422">
        <v>8631</v>
      </c>
      <c r="D1093" s="422">
        <f>C1093+C1092</f>
        <v>1332</v>
      </c>
      <c r="E1093" s="423">
        <f>IFERROR(-D1093/C1092,0)</f>
        <v>0.18249075215782984</v>
      </c>
      <c r="F1093" s="344">
        <f>B1093-B1092</f>
        <v>7</v>
      </c>
      <c r="G1093" s="4"/>
      <c r="H1093" s="93"/>
      <c r="K1093" s="93"/>
      <c r="L1093" s="93"/>
      <c r="M1093" s="93"/>
      <c r="N1093" s="93"/>
      <c r="O1093" s="93"/>
      <c r="P1093" s="93"/>
      <c r="Q1093" s="93"/>
      <c r="R1093" s="93"/>
      <c r="S1093" s="93"/>
      <c r="T1093" s="93"/>
      <c r="U1093" s="93"/>
      <c r="V1093" s="93"/>
      <c r="W1093" s="93"/>
      <c r="X1093" s="93"/>
      <c r="Y1093" s="93"/>
      <c r="Z1093" s="93"/>
      <c r="AA1093" s="93"/>
      <c r="AB1093" s="93"/>
    </row>
    <row r="1094" spans="1:28" ht="12.75" customHeight="1">
      <c r="A1094" s="149" t="s">
        <v>619</v>
      </c>
      <c r="B1094" s="148">
        <v>44795</v>
      </c>
      <c r="C1094" s="356">
        <v>-841</v>
      </c>
      <c r="D1094" s="356"/>
      <c r="E1094" s="420"/>
      <c r="F1094" s="424"/>
      <c r="G1094" s="4"/>
      <c r="H1094" s="93"/>
      <c r="K1094" s="93"/>
      <c r="L1094" s="93"/>
      <c r="M1094" s="93"/>
      <c r="N1094" s="93"/>
      <c r="O1094" s="93"/>
      <c r="P1094" s="93"/>
      <c r="Q1094" s="93"/>
      <c r="R1094" s="93"/>
      <c r="S1094" s="93"/>
      <c r="T1094" s="93"/>
      <c r="U1094" s="93"/>
      <c r="V1094" s="93"/>
      <c r="W1094" s="93"/>
      <c r="X1094" s="93"/>
      <c r="Y1094" s="93"/>
      <c r="Z1094" s="93"/>
      <c r="AA1094" s="93"/>
      <c r="AB1094" s="93"/>
    </row>
    <row r="1095" spans="1:28" ht="12.75" customHeight="1">
      <c r="A1095" s="120" t="s">
        <v>619</v>
      </c>
      <c r="B1095" s="150">
        <v>44809</v>
      </c>
      <c r="C1095" s="422">
        <v>959</v>
      </c>
      <c r="D1095" s="422">
        <f>C1095+C1094</f>
        <v>118</v>
      </c>
      <c r="E1095" s="423">
        <f>IFERROR(-D1095/C1094,0)</f>
        <v>0.14030915576694411</v>
      </c>
      <c r="F1095" s="344">
        <f>B1095-B1094</f>
        <v>14</v>
      </c>
      <c r="G1095" s="4"/>
      <c r="H1095" s="93"/>
      <c r="K1095" s="93"/>
      <c r="L1095" s="93"/>
      <c r="M1095" s="93"/>
      <c r="N1095" s="93"/>
      <c r="O1095" s="93"/>
      <c r="P1095" s="93"/>
      <c r="Q1095" s="93"/>
      <c r="R1095" s="93"/>
      <c r="S1095" s="93"/>
      <c r="T1095" s="93"/>
      <c r="U1095" s="93"/>
      <c r="V1095" s="93"/>
      <c r="W1095" s="93"/>
      <c r="X1095" s="93"/>
      <c r="Y1095" s="93"/>
      <c r="Z1095" s="93"/>
      <c r="AA1095" s="93"/>
      <c r="AB1095" s="93"/>
    </row>
    <row r="1096" spans="1:28" ht="12.75" customHeight="1">
      <c r="A1096" s="149" t="s">
        <v>619</v>
      </c>
      <c r="B1096" s="148">
        <v>44818</v>
      </c>
      <c r="C1096" s="356">
        <v>-921</v>
      </c>
      <c r="D1096" s="356"/>
      <c r="E1096" s="420"/>
      <c r="F1096" s="424"/>
      <c r="G1096" s="4"/>
      <c r="H1096" s="93"/>
      <c r="K1096" s="93"/>
      <c r="L1096" s="93"/>
      <c r="M1096" s="93"/>
      <c r="N1096" s="93"/>
      <c r="O1096" s="93"/>
      <c r="P1096" s="93"/>
      <c r="Q1096" s="93"/>
      <c r="R1096" s="93"/>
      <c r="S1096" s="93"/>
      <c r="T1096" s="93"/>
      <c r="U1096" s="93"/>
      <c r="V1096" s="93"/>
      <c r="W1096" s="93"/>
      <c r="X1096" s="93"/>
      <c r="Y1096" s="93"/>
      <c r="Z1096" s="93"/>
      <c r="AA1096" s="93"/>
      <c r="AB1096" s="93"/>
    </row>
    <row r="1097" spans="1:28" ht="12.75" customHeight="1">
      <c r="A1097" s="120" t="s">
        <v>619</v>
      </c>
      <c r="B1097" s="150">
        <v>44901</v>
      </c>
      <c r="C1097" s="422">
        <v>1024</v>
      </c>
      <c r="D1097" s="422">
        <f>C1097+C1096</f>
        <v>103</v>
      </c>
      <c r="E1097" s="423">
        <f>IFERROR(-D1097/C1096,0)</f>
        <v>0.11183496199782844</v>
      </c>
      <c r="F1097" s="344">
        <f>B1097-B1096</f>
        <v>83</v>
      </c>
      <c r="G1097" s="4"/>
      <c r="H1097" s="93"/>
      <c r="K1097" s="93"/>
      <c r="L1097" s="93"/>
      <c r="M1097" s="93"/>
      <c r="N1097" s="93"/>
      <c r="O1097" s="93"/>
      <c r="P1097" s="93"/>
      <c r="Q1097" s="93"/>
      <c r="R1097" s="93"/>
      <c r="S1097" s="93"/>
      <c r="T1097" s="93"/>
      <c r="U1097" s="93"/>
      <c r="V1097" s="93"/>
      <c r="W1097" s="93"/>
      <c r="X1097" s="93"/>
      <c r="Y1097" s="93"/>
      <c r="Z1097" s="93"/>
      <c r="AA1097" s="93"/>
      <c r="AB1097" s="93"/>
    </row>
    <row r="1098" spans="1:28" ht="12.75" customHeight="1">
      <c r="A1098" s="133" t="s">
        <v>504</v>
      </c>
      <c r="B1098" s="425">
        <v>44330</v>
      </c>
      <c r="C1098" s="426">
        <v>-16344</v>
      </c>
      <c r="D1098" s="356"/>
      <c r="E1098" s="420"/>
      <c r="F1098" s="424"/>
      <c r="G1098" s="4"/>
      <c r="H1098" s="93"/>
      <c r="K1098" s="93"/>
      <c r="L1098" s="93"/>
      <c r="M1098" s="93"/>
      <c r="N1098" s="93"/>
      <c r="O1098" s="93"/>
      <c r="P1098" s="93"/>
      <c r="Q1098" s="93"/>
      <c r="R1098" s="93"/>
      <c r="S1098" s="93"/>
      <c r="T1098" s="93"/>
      <c r="U1098" s="93"/>
      <c r="V1098" s="93"/>
      <c r="W1098" s="93"/>
      <c r="X1098" s="93"/>
      <c r="Y1098" s="93"/>
      <c r="Z1098" s="93"/>
      <c r="AA1098" s="93"/>
      <c r="AB1098" s="93"/>
    </row>
    <row r="1099" spans="1:28" ht="12.75" customHeight="1">
      <c r="A1099" s="120" t="s">
        <v>504</v>
      </c>
      <c r="B1099" s="428">
        <v>44334</v>
      </c>
      <c r="C1099" s="429">
        <v>16588</v>
      </c>
      <c r="D1099" s="422">
        <f>C1099+C1098</f>
        <v>244</v>
      </c>
      <c r="E1099" s="423">
        <f>-D1099/C1098</f>
        <v>1.49290259422418E-2</v>
      </c>
      <c r="F1099" s="344">
        <f>B1099-B1098</f>
        <v>4</v>
      </c>
      <c r="G1099" s="4"/>
      <c r="H1099" s="93"/>
      <c r="K1099" s="93"/>
      <c r="L1099" s="93"/>
      <c r="M1099" s="93"/>
      <c r="N1099" s="93"/>
      <c r="O1099" s="93"/>
      <c r="P1099" s="93"/>
      <c r="Q1099" s="93"/>
      <c r="R1099" s="93"/>
      <c r="S1099" s="93"/>
      <c r="T1099" s="93"/>
      <c r="U1099" s="93"/>
      <c r="V1099" s="93"/>
      <c r="W1099" s="93"/>
      <c r="X1099" s="93"/>
      <c r="Y1099" s="93"/>
      <c r="Z1099" s="93"/>
      <c r="AA1099" s="93"/>
      <c r="AB1099" s="93"/>
    </row>
    <row r="1100" spans="1:28" ht="12.75" customHeight="1">
      <c r="A1100" s="149" t="s">
        <v>504</v>
      </c>
      <c r="B1100" s="148">
        <v>44496</v>
      </c>
      <c r="C1100" s="356">
        <v>-10012</v>
      </c>
      <c r="D1100" s="356"/>
      <c r="E1100" s="420"/>
      <c r="F1100" s="424"/>
      <c r="G1100" s="4"/>
      <c r="H1100" s="93"/>
      <c r="K1100" s="93"/>
      <c r="L1100" s="93"/>
      <c r="M1100" s="93"/>
      <c r="N1100" s="93"/>
      <c r="O1100" s="93"/>
      <c r="P1100" s="93"/>
      <c r="Q1100" s="93"/>
      <c r="R1100" s="93"/>
      <c r="S1100" s="93"/>
      <c r="T1100" s="93"/>
      <c r="U1100" s="93"/>
      <c r="V1100" s="93"/>
      <c r="W1100" s="93"/>
      <c r="X1100" s="93"/>
      <c r="Y1100" s="93"/>
      <c r="Z1100" s="93"/>
      <c r="AA1100" s="93"/>
      <c r="AB1100" s="93"/>
    </row>
    <row r="1101" spans="1:28" ht="12.75" customHeight="1">
      <c r="A1101" s="120" t="s">
        <v>504</v>
      </c>
      <c r="B1101" s="150">
        <v>44509</v>
      </c>
      <c r="C1101" s="422">
        <v>10212</v>
      </c>
      <c r="D1101" s="422">
        <f>C1101+C1100</f>
        <v>200</v>
      </c>
      <c r="E1101" s="423">
        <f>-D1101/C1100</f>
        <v>1.9976028765481421E-2</v>
      </c>
      <c r="F1101" s="344">
        <f>B1101-B1100</f>
        <v>13</v>
      </c>
      <c r="G1101" s="4"/>
      <c r="H1101" s="93"/>
      <c r="K1101" s="93"/>
      <c r="L1101" s="93"/>
      <c r="M1101" s="93"/>
      <c r="N1101" s="93"/>
      <c r="O1101" s="93"/>
      <c r="P1101" s="93"/>
      <c r="Q1101" s="93"/>
      <c r="R1101" s="93"/>
      <c r="S1101" s="93"/>
      <c r="T1101" s="93"/>
      <c r="U1101" s="93"/>
      <c r="V1101" s="93"/>
      <c r="W1101" s="93"/>
      <c r="X1101" s="93"/>
      <c r="Y1101" s="93"/>
      <c r="Z1101" s="93"/>
      <c r="AA1101" s="93"/>
      <c r="AB1101" s="93"/>
    </row>
    <row r="1102" spans="1:28" ht="12.75" customHeight="1">
      <c r="A1102" s="149" t="s">
        <v>504</v>
      </c>
      <c r="B1102" s="148">
        <v>44657</v>
      </c>
      <c r="C1102" s="356">
        <v>-13786</v>
      </c>
      <c r="D1102" s="356"/>
      <c r="E1102" s="420"/>
      <c r="F1102" s="424"/>
      <c r="G1102" s="4"/>
      <c r="H1102" s="93"/>
      <c r="K1102" s="93"/>
      <c r="L1102" s="93"/>
      <c r="M1102" s="93"/>
      <c r="N1102" s="93"/>
      <c r="O1102" s="93"/>
      <c r="P1102" s="93"/>
      <c r="Q1102" s="93"/>
      <c r="R1102" s="93"/>
      <c r="S1102" s="93"/>
      <c r="T1102" s="93"/>
      <c r="U1102" s="93"/>
      <c r="V1102" s="93"/>
      <c r="W1102" s="93"/>
      <c r="X1102" s="93"/>
      <c r="Y1102" s="93"/>
      <c r="Z1102" s="93"/>
      <c r="AA1102" s="93"/>
      <c r="AB1102" s="93"/>
    </row>
    <row r="1103" spans="1:28" ht="12.75" customHeight="1">
      <c r="A1103" s="120" t="s">
        <v>504</v>
      </c>
      <c r="B1103" s="150">
        <v>44775</v>
      </c>
      <c r="C1103" s="422">
        <v>14325</v>
      </c>
      <c r="D1103" s="422">
        <f>C1103+C1102</f>
        <v>539</v>
      </c>
      <c r="E1103" s="423">
        <f>IFERROR(-D1103/C1102,0)</f>
        <v>3.909763528217032E-2</v>
      </c>
      <c r="F1103" s="344">
        <f>B1103-B1102</f>
        <v>118</v>
      </c>
      <c r="G1103" s="4"/>
      <c r="H1103" s="93"/>
      <c r="K1103" s="93"/>
      <c r="L1103" s="93"/>
      <c r="M1103" s="93"/>
      <c r="N1103" s="93"/>
      <c r="O1103" s="93"/>
      <c r="P1103" s="93"/>
      <c r="Q1103" s="93"/>
      <c r="R1103" s="93"/>
      <c r="S1103" s="93"/>
      <c r="T1103" s="93"/>
      <c r="U1103" s="93"/>
      <c r="V1103" s="93"/>
      <c r="W1103" s="93"/>
      <c r="X1103" s="93"/>
      <c r="Y1103" s="93"/>
      <c r="Z1103" s="93"/>
      <c r="AA1103" s="93"/>
      <c r="AB1103" s="93"/>
    </row>
    <row r="1104" spans="1:28" ht="12.75" customHeight="1">
      <c r="A1104" s="133" t="s">
        <v>465</v>
      </c>
      <c r="B1104" s="425">
        <v>44355</v>
      </c>
      <c r="C1104" s="426">
        <v>-11714</v>
      </c>
      <c r="D1104" s="356"/>
      <c r="E1104" s="420"/>
      <c r="F1104" s="424"/>
      <c r="G1104" s="4"/>
      <c r="H1104" s="93"/>
      <c r="K1104" s="93"/>
      <c r="L1104" s="93"/>
      <c r="M1104" s="93"/>
      <c r="N1104" s="93"/>
      <c r="O1104" s="93"/>
      <c r="P1104" s="93"/>
      <c r="Q1104" s="93"/>
      <c r="R1104" s="93"/>
      <c r="S1104" s="93"/>
      <c r="T1104" s="93"/>
      <c r="U1104" s="93"/>
      <c r="V1104" s="93"/>
      <c r="W1104" s="93"/>
      <c r="X1104" s="93"/>
      <c r="Y1104" s="93"/>
      <c r="Z1104" s="93"/>
      <c r="AA1104" s="93"/>
      <c r="AB1104" s="93"/>
    </row>
    <row r="1105" spans="1:28" ht="12.75" customHeight="1">
      <c r="A1105" s="120" t="s">
        <v>465</v>
      </c>
      <c r="B1105" s="428">
        <v>44356</v>
      </c>
      <c r="C1105" s="429">
        <v>12787</v>
      </c>
      <c r="D1105" s="422">
        <f>C1105+C1104</f>
        <v>1073</v>
      </c>
      <c r="E1105" s="423">
        <f>-D1105/C1104</f>
        <v>9.1599795116954069E-2</v>
      </c>
      <c r="F1105" s="344">
        <f>B1105-B1104</f>
        <v>1</v>
      </c>
      <c r="G1105" s="4"/>
      <c r="H1105" s="93"/>
      <c r="K1105" s="93"/>
      <c r="L1105" s="93"/>
      <c r="M1105" s="93"/>
      <c r="N1105" s="93"/>
      <c r="O1105" s="93"/>
      <c r="P1105" s="93"/>
      <c r="Q1105" s="93"/>
      <c r="R1105" s="93"/>
      <c r="S1105" s="93"/>
      <c r="T1105" s="93"/>
      <c r="U1105" s="93"/>
      <c r="V1105" s="93"/>
      <c r="W1105" s="93"/>
      <c r="X1105" s="93"/>
      <c r="Y1105" s="93"/>
      <c r="Z1105" s="93"/>
      <c r="AA1105" s="93"/>
      <c r="AB1105" s="93"/>
    </row>
    <row r="1106" spans="1:28" ht="12.75" customHeight="1">
      <c r="A1106" s="149" t="s">
        <v>465</v>
      </c>
      <c r="B1106" s="148">
        <v>44515</v>
      </c>
      <c r="C1106" s="356">
        <v>-7261</v>
      </c>
      <c r="D1106" s="356"/>
      <c r="E1106" s="420"/>
      <c r="F1106" s="424"/>
      <c r="G1106" s="4"/>
      <c r="H1106" s="93"/>
      <c r="K1106" s="93"/>
      <c r="L1106" s="93"/>
      <c r="M1106" s="93"/>
      <c r="N1106" s="93"/>
      <c r="O1106" s="93"/>
      <c r="P1106" s="93"/>
      <c r="Q1106" s="93"/>
      <c r="R1106" s="93"/>
      <c r="S1106" s="93"/>
      <c r="T1106" s="93"/>
      <c r="U1106" s="93"/>
      <c r="V1106" s="93"/>
      <c r="W1106" s="93"/>
      <c r="X1106" s="93"/>
      <c r="Y1106" s="93"/>
      <c r="Z1106" s="93"/>
      <c r="AA1106" s="93"/>
      <c r="AB1106" s="93"/>
    </row>
    <row r="1107" spans="1:28" ht="12.75" customHeight="1">
      <c r="A1107" s="120" t="s">
        <v>465</v>
      </c>
      <c r="B1107" s="150">
        <v>44517</v>
      </c>
      <c r="C1107" s="422">
        <v>7498</v>
      </c>
      <c r="D1107" s="422">
        <f>C1107+C1106</f>
        <v>237</v>
      </c>
      <c r="E1107" s="423">
        <f>-D1107/C1106</f>
        <v>3.2640132213193777E-2</v>
      </c>
      <c r="F1107" s="344">
        <f>B1107-B1106</f>
        <v>2</v>
      </c>
      <c r="G1107" s="4"/>
      <c r="H1107" s="93"/>
      <c r="K1107" s="93"/>
      <c r="L1107" s="93"/>
      <c r="M1107" s="93"/>
      <c r="N1107" s="93"/>
      <c r="O1107" s="93"/>
      <c r="P1107" s="93"/>
      <c r="Q1107" s="93"/>
      <c r="R1107" s="93"/>
      <c r="S1107" s="93"/>
      <c r="T1107" s="93"/>
      <c r="U1107" s="93"/>
      <c r="V1107" s="93"/>
      <c r="W1107" s="93"/>
      <c r="X1107" s="93"/>
      <c r="Y1107" s="93"/>
      <c r="Z1107" s="93"/>
      <c r="AA1107" s="93"/>
      <c r="AB1107" s="93"/>
    </row>
    <row r="1108" spans="1:28" ht="12.75" customHeight="1">
      <c r="A1108" s="149" t="s">
        <v>465</v>
      </c>
      <c r="B1108" s="148">
        <v>44515</v>
      </c>
      <c r="C1108" s="356">
        <v>-4841</v>
      </c>
      <c r="D1108" s="356"/>
      <c r="E1108" s="420"/>
      <c r="F1108" s="424"/>
      <c r="G1108" s="4"/>
      <c r="H1108" s="93"/>
      <c r="K1108" s="93"/>
      <c r="L1108" s="93"/>
      <c r="M1108" s="93"/>
      <c r="N1108" s="93"/>
      <c r="O1108" s="93"/>
      <c r="P1108" s="93"/>
      <c r="Q1108" s="93"/>
      <c r="R1108" s="93"/>
      <c r="S1108" s="93"/>
      <c r="T1108" s="93"/>
      <c r="U1108" s="93"/>
      <c r="V1108" s="93"/>
      <c r="W1108" s="93"/>
      <c r="X1108" s="93"/>
      <c r="Y1108" s="93"/>
      <c r="Z1108" s="93"/>
      <c r="AA1108" s="93"/>
      <c r="AB1108" s="93"/>
    </row>
    <row r="1109" spans="1:28" ht="12.75" customHeight="1">
      <c r="A1109" s="120" t="s">
        <v>465</v>
      </c>
      <c r="B1109" s="150">
        <v>44525</v>
      </c>
      <c r="C1109" s="422">
        <v>4870</v>
      </c>
      <c r="D1109" s="422">
        <f>C1109+C1108</f>
        <v>29</v>
      </c>
      <c r="E1109" s="423">
        <f>-D1109/C1108</f>
        <v>5.9904978310266477E-3</v>
      </c>
      <c r="F1109" s="344">
        <f>B1109-B1108</f>
        <v>10</v>
      </c>
      <c r="G1109" s="4"/>
      <c r="H1109" s="93"/>
      <c r="K1109" s="93"/>
      <c r="L1109" s="93"/>
      <c r="M1109" s="93"/>
      <c r="N1109" s="93"/>
      <c r="O1109" s="93"/>
      <c r="P1109" s="93"/>
      <c r="Q1109" s="93"/>
      <c r="R1109" s="93"/>
      <c r="S1109" s="93"/>
      <c r="T1109" s="93"/>
      <c r="U1109" s="93"/>
      <c r="V1109" s="93"/>
      <c r="W1109" s="93"/>
      <c r="X1109" s="93"/>
      <c r="Y1109" s="93"/>
      <c r="Z1109" s="93"/>
      <c r="AA1109" s="93"/>
      <c r="AB1109" s="93"/>
    </row>
    <row r="1110" spans="1:28" ht="12.75" customHeight="1">
      <c r="A1110" s="149" t="s">
        <v>465</v>
      </c>
      <c r="B1110" s="148">
        <v>44518</v>
      </c>
      <c r="C1110" s="356">
        <v>-7342</v>
      </c>
      <c r="D1110" s="356"/>
      <c r="E1110" s="420"/>
      <c r="F1110" s="424"/>
      <c r="G1110" s="4"/>
      <c r="H1110" s="93"/>
      <c r="K1110" s="93"/>
      <c r="L1110" s="93"/>
      <c r="M1110" s="93"/>
      <c r="N1110" s="93"/>
      <c r="O1110" s="93"/>
      <c r="P1110" s="93"/>
      <c r="Q1110" s="93"/>
      <c r="R1110" s="93"/>
      <c r="S1110" s="93"/>
      <c r="T1110" s="93"/>
      <c r="U1110" s="93"/>
      <c r="V1110" s="93"/>
      <c r="W1110" s="93"/>
      <c r="X1110" s="93"/>
      <c r="Y1110" s="93"/>
      <c r="Z1110" s="93"/>
      <c r="AA1110" s="93"/>
      <c r="AB1110" s="93"/>
    </row>
    <row r="1111" spans="1:28" ht="12.75" customHeight="1">
      <c r="A1111" s="120" t="s">
        <v>465</v>
      </c>
      <c r="B1111" s="150">
        <v>44525</v>
      </c>
      <c r="C1111" s="422">
        <v>7305</v>
      </c>
      <c r="D1111" s="422">
        <f>C1111+C1110</f>
        <v>-37</v>
      </c>
      <c r="E1111" s="423">
        <f>-D1111/C1110</f>
        <v>-5.0394987741759741E-3</v>
      </c>
      <c r="F1111" s="344">
        <f>B1111-B1110</f>
        <v>7</v>
      </c>
      <c r="G1111" s="4"/>
      <c r="H1111" s="93"/>
      <c r="K1111" s="93"/>
      <c r="L1111" s="93"/>
      <c r="M1111" s="93"/>
      <c r="N1111" s="93"/>
      <c r="O1111" s="93"/>
      <c r="P1111" s="93"/>
      <c r="Q1111" s="93"/>
      <c r="R1111" s="93"/>
      <c r="S1111" s="93"/>
      <c r="T1111" s="93"/>
      <c r="U1111" s="93"/>
      <c r="V1111" s="93"/>
      <c r="W1111" s="93"/>
      <c r="X1111" s="93"/>
      <c r="Y1111" s="93"/>
      <c r="Z1111" s="93"/>
      <c r="AA1111" s="93"/>
      <c r="AB1111" s="93"/>
    </row>
    <row r="1112" spans="1:28" ht="12.75" customHeight="1">
      <c r="A1112" s="149" t="s">
        <v>465</v>
      </c>
      <c r="B1112" s="148">
        <v>44526</v>
      </c>
      <c r="C1112" s="356">
        <v>-8195</v>
      </c>
      <c r="D1112" s="356"/>
      <c r="E1112" s="420"/>
      <c r="F1112" s="424"/>
      <c r="G1112" s="4"/>
      <c r="H1112" s="93"/>
      <c r="K1112" s="93"/>
      <c r="L1112" s="93"/>
      <c r="M1112" s="93"/>
      <c r="N1112" s="93"/>
      <c r="O1112" s="93"/>
      <c r="P1112" s="93"/>
      <c r="Q1112" s="93"/>
      <c r="R1112" s="93"/>
      <c r="S1112" s="93"/>
      <c r="T1112" s="93"/>
      <c r="U1112" s="93"/>
      <c r="V1112" s="93"/>
      <c r="W1112" s="93"/>
      <c r="X1112" s="93"/>
      <c r="Y1112" s="93"/>
      <c r="Z1112" s="93"/>
      <c r="AA1112" s="93"/>
      <c r="AB1112" s="93"/>
    </row>
    <row r="1113" spans="1:28" ht="12.75" customHeight="1">
      <c r="A1113" s="120" t="s">
        <v>465</v>
      </c>
      <c r="B1113" s="150">
        <v>44578</v>
      </c>
      <c r="C1113" s="422">
        <v>8671</v>
      </c>
      <c r="D1113" s="422">
        <f>C1113+C1112</f>
        <v>476</v>
      </c>
      <c r="E1113" s="423">
        <f>-D1113/C1112</f>
        <v>5.8084197681513121E-2</v>
      </c>
      <c r="F1113" s="344">
        <f>B1113-B1112</f>
        <v>52</v>
      </c>
      <c r="G1113" s="4"/>
      <c r="H1113" s="93"/>
      <c r="K1113" s="93"/>
      <c r="L1113" s="93"/>
      <c r="M1113" s="93"/>
      <c r="N1113" s="93"/>
      <c r="O1113" s="93"/>
      <c r="P1113" s="93"/>
      <c r="Q1113" s="93"/>
      <c r="R1113" s="93"/>
      <c r="S1113" s="93"/>
      <c r="T1113" s="93"/>
      <c r="U1113" s="93"/>
      <c r="V1113" s="93"/>
      <c r="W1113" s="93"/>
      <c r="X1113" s="93"/>
      <c r="Y1113" s="93"/>
      <c r="Z1113" s="93"/>
      <c r="AA1113" s="93"/>
      <c r="AB1113" s="93"/>
    </row>
    <row r="1114" spans="1:28" ht="12.75" customHeight="1">
      <c r="A1114" s="149" t="s">
        <v>465</v>
      </c>
      <c r="B1114" s="148">
        <v>44526</v>
      </c>
      <c r="C1114" s="356">
        <v>-8195</v>
      </c>
      <c r="D1114" s="356"/>
      <c r="E1114" s="420"/>
      <c r="F1114" s="424"/>
      <c r="G1114" s="4"/>
      <c r="H1114" s="93"/>
      <c r="K1114" s="93"/>
      <c r="L1114" s="93"/>
      <c r="M1114" s="93"/>
      <c r="N1114" s="93"/>
      <c r="O1114" s="93"/>
      <c r="P1114" s="93"/>
      <c r="Q1114" s="93"/>
      <c r="R1114" s="93"/>
      <c r="S1114" s="93"/>
      <c r="T1114" s="93"/>
      <c r="U1114" s="93"/>
      <c r="V1114" s="93"/>
      <c r="W1114" s="93"/>
      <c r="X1114" s="93"/>
      <c r="Y1114" s="93"/>
      <c r="Z1114" s="93"/>
      <c r="AA1114" s="93"/>
      <c r="AB1114" s="93"/>
    </row>
    <row r="1115" spans="1:28" ht="12.75" customHeight="1">
      <c r="A1115" s="120" t="s">
        <v>465</v>
      </c>
      <c r="B1115" s="150">
        <v>44580</v>
      </c>
      <c r="C1115" s="422">
        <v>8409</v>
      </c>
      <c r="D1115" s="422">
        <f>C1115+C1114</f>
        <v>214</v>
      </c>
      <c r="E1115" s="423">
        <f>-D1115/C1114</f>
        <v>2.6113483831604636E-2</v>
      </c>
      <c r="F1115" s="344">
        <f>B1115-B1114</f>
        <v>54</v>
      </c>
      <c r="G1115" s="4"/>
      <c r="H1115" s="93"/>
      <c r="K1115" s="93"/>
      <c r="L1115" s="93"/>
      <c r="M1115" s="93"/>
      <c r="N1115" s="93"/>
      <c r="O1115" s="93"/>
      <c r="P1115" s="93"/>
      <c r="Q1115" s="93"/>
      <c r="R1115" s="93"/>
      <c r="S1115" s="93"/>
      <c r="T1115" s="93"/>
      <c r="U1115" s="93"/>
      <c r="V1115" s="93"/>
      <c r="W1115" s="93"/>
      <c r="X1115" s="93"/>
      <c r="Y1115" s="93"/>
      <c r="Z1115" s="93"/>
      <c r="AA1115" s="93"/>
      <c r="AB1115" s="93"/>
    </row>
    <row r="1116" spans="1:28" ht="12.75" customHeight="1">
      <c r="A1116" s="149" t="s">
        <v>465</v>
      </c>
      <c r="B1116" s="148">
        <v>44769</v>
      </c>
      <c r="C1116" s="356">
        <v>-2163</v>
      </c>
      <c r="D1116" s="356"/>
      <c r="E1116" s="420"/>
      <c r="F1116" s="424"/>
      <c r="G1116" s="4"/>
      <c r="H1116" s="93"/>
      <c r="K1116" s="93"/>
      <c r="L1116" s="93"/>
      <c r="M1116" s="93"/>
      <c r="N1116" s="93"/>
      <c r="O1116" s="93"/>
      <c r="P1116" s="93"/>
      <c r="Q1116" s="93"/>
      <c r="R1116" s="93"/>
      <c r="S1116" s="93"/>
      <c r="T1116" s="93"/>
      <c r="U1116" s="93"/>
      <c r="V1116" s="93"/>
      <c r="W1116" s="93"/>
      <c r="X1116" s="93"/>
      <c r="Y1116" s="93"/>
      <c r="Z1116" s="93"/>
      <c r="AA1116" s="93"/>
      <c r="AB1116" s="93"/>
    </row>
    <row r="1117" spans="1:28" ht="12.75" customHeight="1">
      <c r="A1117" s="120" t="s">
        <v>465</v>
      </c>
      <c r="B1117" s="150">
        <v>44785</v>
      </c>
      <c r="C1117" s="422">
        <v>2347</v>
      </c>
      <c r="D1117" s="422">
        <f>C1117+C1116</f>
        <v>184</v>
      </c>
      <c r="E1117" s="423">
        <f>IFERROR(-D1117/C1116,0)</f>
        <v>8.5067036523347198E-2</v>
      </c>
      <c r="F1117" s="344">
        <f>B1117-B1116</f>
        <v>16</v>
      </c>
      <c r="G1117" s="4"/>
      <c r="H1117" s="93"/>
      <c r="K1117" s="93"/>
      <c r="L1117" s="93"/>
      <c r="M1117" s="93"/>
      <c r="N1117" s="93"/>
      <c r="O1117" s="93"/>
      <c r="P1117" s="93"/>
      <c r="Q1117" s="93"/>
      <c r="R1117" s="93"/>
      <c r="S1117" s="93"/>
      <c r="T1117" s="93"/>
      <c r="U1117" s="93"/>
      <c r="V1117" s="93"/>
      <c r="W1117" s="93"/>
      <c r="X1117" s="93"/>
      <c r="Y1117" s="93"/>
      <c r="Z1117" s="93"/>
      <c r="AA1117" s="93"/>
      <c r="AB1117" s="93"/>
    </row>
    <row r="1118" spans="1:28" ht="12.75" customHeight="1">
      <c r="A1118" s="149" t="s">
        <v>465</v>
      </c>
      <c r="B1118" s="148">
        <v>44579</v>
      </c>
      <c r="C1118" s="356">
        <v>-7374</v>
      </c>
      <c r="D1118" s="356"/>
      <c r="E1118" s="420"/>
      <c r="F1118" s="424"/>
      <c r="G1118" s="4"/>
      <c r="H1118" s="93"/>
      <c r="K1118" s="93"/>
      <c r="L1118" s="93"/>
      <c r="M1118" s="93"/>
      <c r="N1118" s="93"/>
      <c r="O1118" s="93"/>
      <c r="P1118" s="93"/>
      <c r="Q1118" s="93"/>
      <c r="R1118" s="93"/>
      <c r="S1118" s="93"/>
      <c r="T1118" s="93"/>
      <c r="U1118" s="93"/>
      <c r="V1118" s="93"/>
      <c r="W1118" s="93"/>
      <c r="X1118" s="93"/>
      <c r="Y1118" s="93"/>
      <c r="Z1118" s="93"/>
      <c r="AA1118" s="93"/>
      <c r="AB1118" s="93"/>
    </row>
    <row r="1119" spans="1:28" ht="12.75" customHeight="1">
      <c r="A1119" s="120" t="s">
        <v>465</v>
      </c>
      <c r="B1119" s="150">
        <v>44810</v>
      </c>
      <c r="C1119" s="422">
        <v>7357</v>
      </c>
      <c r="D1119" s="422">
        <f>C1119+C1118</f>
        <v>-17</v>
      </c>
      <c r="E1119" s="423">
        <f>IFERROR(-D1119/C1118,0)</f>
        <v>-2.3053973420124763E-3</v>
      </c>
      <c r="F1119" s="344">
        <f>B1119-B1118</f>
        <v>231</v>
      </c>
      <c r="G1119" s="4"/>
      <c r="H1119" s="93"/>
      <c r="K1119" s="93"/>
      <c r="L1119" s="93"/>
      <c r="M1119" s="93"/>
      <c r="N1119" s="93"/>
      <c r="O1119" s="93"/>
      <c r="P1119" s="93"/>
      <c r="Q1119" s="93"/>
      <c r="R1119" s="93"/>
      <c r="S1119" s="93"/>
      <c r="T1119" s="93"/>
      <c r="U1119" s="93"/>
      <c r="V1119" s="93"/>
      <c r="W1119" s="93"/>
      <c r="X1119" s="93"/>
      <c r="Y1119" s="93"/>
      <c r="Z1119" s="93"/>
      <c r="AA1119" s="93"/>
      <c r="AB1119" s="93"/>
    </row>
    <row r="1120" spans="1:28" ht="12.75" customHeight="1">
      <c r="A1120" s="149" t="s">
        <v>590</v>
      </c>
      <c r="B1120" s="148">
        <v>44508</v>
      </c>
      <c r="C1120" s="356">
        <v>-8073</v>
      </c>
      <c r="D1120" s="356"/>
      <c r="E1120" s="420"/>
      <c r="F1120" s="424"/>
      <c r="G1120" s="4"/>
      <c r="H1120" s="93"/>
      <c r="K1120" s="93"/>
      <c r="L1120" s="93"/>
      <c r="M1120" s="93"/>
      <c r="N1120" s="93"/>
      <c r="O1120" s="93"/>
      <c r="P1120" s="93"/>
      <c r="Q1120" s="93"/>
      <c r="R1120" s="93"/>
      <c r="S1120" s="93"/>
      <c r="T1120" s="93"/>
      <c r="U1120" s="93"/>
      <c r="V1120" s="93"/>
      <c r="W1120" s="93"/>
      <c r="X1120" s="93"/>
      <c r="Y1120" s="93"/>
      <c r="Z1120" s="93"/>
      <c r="AA1120" s="93"/>
      <c r="AB1120" s="93"/>
    </row>
    <row r="1121" spans="1:28" ht="12.75" customHeight="1">
      <c r="A1121" s="120" t="s">
        <v>590</v>
      </c>
      <c r="B1121" s="150">
        <v>44622</v>
      </c>
      <c r="C1121" s="422">
        <v>7762</v>
      </c>
      <c r="D1121" s="422">
        <f>C1121+C1120</f>
        <v>-311</v>
      </c>
      <c r="E1121" s="423">
        <f>IFERROR(-D1121/C1120,0)</f>
        <v>-3.8523473306082003E-2</v>
      </c>
      <c r="F1121" s="344">
        <f>B1121-B1120</f>
        <v>114</v>
      </c>
      <c r="G1121" s="4"/>
      <c r="H1121" s="93"/>
      <c r="K1121" s="93"/>
      <c r="L1121" s="93"/>
      <c r="M1121" s="93"/>
      <c r="N1121" s="93"/>
      <c r="O1121" s="93"/>
      <c r="P1121" s="93"/>
      <c r="Q1121" s="93"/>
      <c r="R1121" s="93"/>
      <c r="S1121" s="93"/>
      <c r="T1121" s="93"/>
      <c r="U1121" s="93"/>
      <c r="V1121" s="93"/>
      <c r="W1121" s="93"/>
      <c r="X1121" s="93"/>
      <c r="Y1121" s="93"/>
      <c r="Z1121" s="93"/>
      <c r="AA1121" s="93"/>
      <c r="AB1121" s="93"/>
    </row>
    <row r="1122" spans="1:28" ht="12.75" customHeight="1">
      <c r="A1122" s="149" t="s">
        <v>590</v>
      </c>
      <c r="B1122" s="148">
        <v>44579</v>
      </c>
      <c r="C1122" s="356">
        <v>-4826</v>
      </c>
      <c r="D1122" s="356"/>
      <c r="E1122" s="420"/>
      <c r="F1122" s="424"/>
      <c r="G1122" s="4"/>
      <c r="H1122" s="93"/>
      <c r="K1122" s="93"/>
      <c r="L1122" s="93"/>
      <c r="M1122" s="93"/>
      <c r="N1122" s="93"/>
      <c r="O1122" s="93"/>
      <c r="P1122" s="93"/>
      <c r="Q1122" s="93"/>
      <c r="R1122" s="93"/>
      <c r="S1122" s="93"/>
      <c r="T1122" s="93"/>
      <c r="U1122" s="93"/>
      <c r="V1122" s="93"/>
      <c r="W1122" s="93"/>
      <c r="X1122" s="93"/>
      <c r="Y1122" s="93"/>
      <c r="Z1122" s="93"/>
      <c r="AA1122" s="93"/>
      <c r="AB1122" s="93"/>
    </row>
    <row r="1123" spans="1:28" ht="12.75" customHeight="1">
      <c r="A1123" s="120" t="s">
        <v>590</v>
      </c>
      <c r="B1123" s="150">
        <v>44622</v>
      </c>
      <c r="C1123" s="422">
        <v>5175</v>
      </c>
      <c r="D1123" s="422">
        <f>C1123+C1122</f>
        <v>349</v>
      </c>
      <c r="E1123" s="423">
        <f>IFERROR(-D1123/C1122,0)</f>
        <v>7.2316618317447165E-2</v>
      </c>
      <c r="F1123" s="344">
        <f>B1123-B1122</f>
        <v>43</v>
      </c>
      <c r="G1123" s="4"/>
      <c r="H1123" s="93"/>
      <c r="K1123" s="93"/>
      <c r="L1123" s="93"/>
      <c r="M1123" s="93"/>
      <c r="N1123" s="93"/>
      <c r="O1123" s="93"/>
      <c r="P1123" s="93"/>
      <c r="Q1123" s="93"/>
      <c r="R1123" s="93"/>
      <c r="S1123" s="93"/>
      <c r="T1123" s="93"/>
      <c r="U1123" s="93"/>
      <c r="V1123" s="93"/>
      <c r="W1123" s="93"/>
      <c r="X1123" s="93"/>
      <c r="Y1123" s="93"/>
      <c r="Z1123" s="93"/>
      <c r="AA1123" s="93"/>
      <c r="AB1123" s="93"/>
    </row>
    <row r="1124" spans="1:28" ht="12.75" customHeight="1">
      <c r="A1124" s="149" t="s">
        <v>590</v>
      </c>
      <c r="B1124" s="148">
        <v>44795</v>
      </c>
      <c r="C1124" s="356">
        <v>-5381</v>
      </c>
      <c r="D1124" s="356"/>
      <c r="E1124" s="420"/>
      <c r="F1124" s="424"/>
      <c r="G1124" s="4"/>
      <c r="H1124" s="93"/>
      <c r="K1124" s="93"/>
      <c r="L1124" s="93"/>
      <c r="M1124" s="93"/>
      <c r="N1124" s="93"/>
      <c r="O1124" s="93"/>
      <c r="P1124" s="93"/>
      <c r="Q1124" s="93"/>
      <c r="R1124" s="93"/>
      <c r="S1124" s="93"/>
      <c r="T1124" s="93"/>
      <c r="U1124" s="93"/>
      <c r="V1124" s="93"/>
      <c r="W1124" s="93"/>
      <c r="X1124" s="93"/>
      <c r="Y1124" s="93"/>
      <c r="Z1124" s="93"/>
      <c r="AA1124" s="93"/>
      <c r="AB1124" s="93"/>
    </row>
    <row r="1125" spans="1:28" ht="12.75" customHeight="1">
      <c r="A1125" s="120" t="s">
        <v>590</v>
      </c>
      <c r="B1125" s="150">
        <v>44896</v>
      </c>
      <c r="C1125" s="422">
        <v>5457</v>
      </c>
      <c r="D1125" s="422">
        <f>C1125+C1124</f>
        <v>76</v>
      </c>
      <c r="E1125" s="423">
        <f>IFERROR(-D1125/C1124,0)</f>
        <v>1.4123768816205166E-2</v>
      </c>
      <c r="F1125" s="344">
        <f>B1125-B1124</f>
        <v>101</v>
      </c>
      <c r="G1125" s="4"/>
      <c r="H1125" s="93"/>
      <c r="K1125" s="93"/>
      <c r="L1125" s="93"/>
      <c r="M1125" s="93"/>
      <c r="N1125" s="93"/>
      <c r="O1125" s="93"/>
      <c r="P1125" s="93"/>
      <c r="Q1125" s="93"/>
      <c r="R1125" s="93"/>
      <c r="S1125" s="93"/>
      <c r="T1125" s="93"/>
      <c r="U1125" s="93"/>
      <c r="V1125" s="93"/>
      <c r="W1125" s="93"/>
      <c r="X1125" s="93"/>
      <c r="Y1125" s="93"/>
      <c r="Z1125" s="93"/>
      <c r="AA1125" s="93"/>
      <c r="AB1125" s="93"/>
    </row>
    <row r="1126" spans="1:28" ht="12.75" customHeight="1">
      <c r="A1126" s="149" t="s">
        <v>555</v>
      </c>
      <c r="B1126" s="148">
        <v>44406</v>
      </c>
      <c r="C1126" s="149">
        <v>-2303</v>
      </c>
      <c r="D1126" s="356"/>
      <c r="E1126" s="420"/>
      <c r="F1126" s="424"/>
      <c r="G1126" s="4"/>
      <c r="H1126" s="93"/>
      <c r="K1126" s="93"/>
      <c r="L1126" s="93"/>
      <c r="M1126" s="93"/>
      <c r="N1126" s="93"/>
      <c r="O1126" s="93"/>
      <c r="P1126" s="93"/>
      <c r="Q1126" s="93"/>
      <c r="R1126" s="93"/>
      <c r="S1126" s="93"/>
      <c r="T1126" s="93"/>
      <c r="U1126" s="93"/>
      <c r="V1126" s="93"/>
      <c r="W1126" s="93"/>
      <c r="X1126" s="93"/>
      <c r="Y1126" s="93"/>
      <c r="Z1126" s="93"/>
      <c r="AA1126" s="93"/>
      <c r="AB1126" s="93"/>
    </row>
    <row r="1127" spans="1:28" ht="12.75" customHeight="1">
      <c r="A1127" s="120" t="s">
        <v>555</v>
      </c>
      <c r="B1127" s="150">
        <v>44477</v>
      </c>
      <c r="C1127" s="422">
        <v>2373</v>
      </c>
      <c r="D1127" s="422">
        <f>C1127+C1126</f>
        <v>70</v>
      </c>
      <c r="E1127" s="423">
        <f>-D1127/C1126</f>
        <v>3.0395136778115502E-2</v>
      </c>
      <c r="F1127" s="344">
        <f>B1127-B1126</f>
        <v>71</v>
      </c>
      <c r="G1127" s="4"/>
      <c r="H1127" s="93"/>
      <c r="K1127" s="93"/>
      <c r="L1127" s="93"/>
      <c r="M1127" s="93"/>
      <c r="N1127" s="93"/>
      <c r="O1127" s="93"/>
      <c r="P1127" s="93"/>
      <c r="Q1127" s="93"/>
      <c r="R1127" s="93"/>
      <c r="S1127" s="93"/>
      <c r="T1127" s="93"/>
      <c r="U1127" s="93"/>
      <c r="V1127" s="93"/>
      <c r="W1127" s="93"/>
      <c r="X1127" s="93"/>
      <c r="Y1127" s="93"/>
      <c r="Z1127" s="93"/>
      <c r="AA1127" s="93"/>
      <c r="AB1127" s="93"/>
    </row>
    <row r="1128" spans="1:28" ht="12.75" customHeight="1">
      <c r="A1128" s="149" t="s">
        <v>574</v>
      </c>
      <c r="B1128" s="148">
        <v>44490</v>
      </c>
      <c r="C1128" s="356">
        <v>-7129</v>
      </c>
      <c r="D1128" s="356"/>
      <c r="E1128" s="420"/>
      <c r="F1128" s="424"/>
      <c r="G1128" s="4"/>
      <c r="H1128" s="93"/>
      <c r="K1128" s="93"/>
      <c r="L1128" s="93"/>
      <c r="M1128" s="93"/>
      <c r="N1128" s="93"/>
      <c r="O1128" s="93"/>
      <c r="P1128" s="93"/>
      <c r="Q1128" s="93"/>
      <c r="R1128" s="93"/>
      <c r="S1128" s="93"/>
      <c r="T1128" s="93"/>
      <c r="U1128" s="93"/>
      <c r="V1128" s="93"/>
      <c r="W1128" s="93"/>
      <c r="X1128" s="93"/>
      <c r="Y1128" s="93"/>
      <c r="Z1128" s="93"/>
      <c r="AA1128" s="93"/>
      <c r="AB1128" s="93"/>
    </row>
    <row r="1129" spans="1:28" ht="12.75" customHeight="1">
      <c r="A1129" s="120" t="s">
        <v>574</v>
      </c>
      <c r="B1129" s="150">
        <v>44530</v>
      </c>
      <c r="C1129" s="422">
        <v>7093</v>
      </c>
      <c r="D1129" s="422">
        <f>C1129+C1128</f>
        <v>-36</v>
      </c>
      <c r="E1129" s="423">
        <f>-D1129/C1128</f>
        <v>-5.0497966054145037E-3</v>
      </c>
      <c r="F1129" s="344">
        <f>B1129-B1128</f>
        <v>40</v>
      </c>
      <c r="G1129" s="4"/>
      <c r="H1129" s="93"/>
      <c r="K1129" s="93"/>
      <c r="L1129" s="93"/>
      <c r="M1129" s="93"/>
      <c r="N1129" s="93"/>
      <c r="O1129" s="93"/>
      <c r="P1129" s="93"/>
      <c r="Q1129" s="93"/>
      <c r="R1129" s="93"/>
      <c r="S1129" s="93"/>
      <c r="T1129" s="93"/>
      <c r="U1129" s="93"/>
      <c r="V1129" s="93"/>
      <c r="W1129" s="93"/>
      <c r="X1129" s="93"/>
      <c r="Y1129" s="93"/>
      <c r="Z1129" s="93"/>
      <c r="AA1129" s="93"/>
      <c r="AB1129" s="93"/>
    </row>
    <row r="1130" spans="1:28" ht="12.75" customHeight="1">
      <c r="A1130" s="149" t="s">
        <v>574</v>
      </c>
      <c r="B1130" s="148">
        <v>44491</v>
      </c>
      <c r="C1130" s="356">
        <v>-3519</v>
      </c>
      <c r="D1130" s="356"/>
      <c r="E1130" s="420"/>
      <c r="F1130" s="424"/>
      <c r="G1130" s="4"/>
      <c r="H1130" s="93"/>
      <c r="K1130" s="93"/>
      <c r="L1130" s="93"/>
      <c r="M1130" s="93"/>
      <c r="N1130" s="93"/>
      <c r="O1130" s="93"/>
      <c r="P1130" s="93"/>
      <c r="Q1130" s="93"/>
      <c r="R1130" s="93"/>
      <c r="S1130" s="93"/>
      <c r="T1130" s="93"/>
      <c r="U1130" s="93"/>
      <c r="V1130" s="93"/>
      <c r="W1130" s="93"/>
      <c r="X1130" s="93"/>
      <c r="Y1130" s="93"/>
      <c r="Z1130" s="93"/>
      <c r="AA1130" s="93"/>
      <c r="AB1130" s="93"/>
    </row>
    <row r="1131" spans="1:28" ht="12.75" customHeight="1">
      <c r="A1131" s="120" t="s">
        <v>574</v>
      </c>
      <c r="B1131" s="150">
        <v>44531</v>
      </c>
      <c r="C1131" s="422">
        <v>3547</v>
      </c>
      <c r="D1131" s="422">
        <f>C1131+C1130</f>
        <v>28</v>
      </c>
      <c r="E1131" s="423">
        <f>-D1131/C1130</f>
        <v>7.956805910770106E-3</v>
      </c>
      <c r="F1131" s="344">
        <f>B1131-B1130</f>
        <v>40</v>
      </c>
      <c r="G1131" s="4"/>
      <c r="H1131" s="93"/>
      <c r="K1131" s="93"/>
      <c r="L1131" s="93"/>
      <c r="M1131" s="93"/>
      <c r="N1131" s="93"/>
      <c r="O1131" s="93"/>
      <c r="P1131" s="93"/>
      <c r="Q1131" s="93"/>
      <c r="R1131" s="93"/>
      <c r="S1131" s="93"/>
      <c r="T1131" s="93"/>
      <c r="U1131" s="93"/>
      <c r="V1131" s="93"/>
      <c r="W1131" s="93"/>
      <c r="X1131" s="93"/>
      <c r="Y1131" s="93"/>
      <c r="Z1131" s="93"/>
      <c r="AA1131" s="93"/>
      <c r="AB1131" s="93"/>
    </row>
    <row r="1132" spans="1:28" ht="12.75" customHeight="1">
      <c r="A1132" s="149" t="s">
        <v>574</v>
      </c>
      <c r="B1132" s="148">
        <v>44490</v>
      </c>
      <c r="C1132" s="356">
        <v>-7128</v>
      </c>
      <c r="D1132" s="356"/>
      <c r="E1132" s="420"/>
      <c r="F1132" s="424"/>
      <c r="G1132" s="4"/>
      <c r="H1132" s="93"/>
      <c r="K1132" s="93"/>
      <c r="L1132" s="93"/>
      <c r="M1132" s="93"/>
      <c r="N1132" s="93"/>
      <c r="O1132" s="93"/>
      <c r="P1132" s="93"/>
      <c r="Q1132" s="93"/>
      <c r="R1132" s="93"/>
      <c r="S1132" s="93"/>
      <c r="T1132" s="93"/>
      <c r="U1132" s="93"/>
      <c r="V1132" s="93"/>
      <c r="W1132" s="93"/>
      <c r="X1132" s="93"/>
      <c r="Y1132" s="93"/>
      <c r="Z1132" s="93"/>
      <c r="AA1132" s="93"/>
      <c r="AB1132" s="93"/>
    </row>
    <row r="1133" spans="1:28" ht="12.75" customHeight="1">
      <c r="A1133" s="120" t="s">
        <v>574</v>
      </c>
      <c r="B1133" s="150">
        <v>44531</v>
      </c>
      <c r="C1133" s="422">
        <v>7155</v>
      </c>
      <c r="D1133" s="422">
        <f>C1133+C1132</f>
        <v>27</v>
      </c>
      <c r="E1133" s="423">
        <f>-D1133/C1132</f>
        <v>3.787878787878788E-3</v>
      </c>
      <c r="F1133" s="344">
        <f>B1133-B1132</f>
        <v>41</v>
      </c>
      <c r="G1133" s="4"/>
      <c r="H1133" s="93"/>
      <c r="K1133" s="93"/>
      <c r="L1133" s="93"/>
      <c r="M1133" s="93"/>
      <c r="N1133" s="93"/>
      <c r="O1133" s="93"/>
      <c r="P1133" s="93"/>
      <c r="Q1133" s="93"/>
      <c r="R1133" s="93"/>
      <c r="S1133" s="93"/>
      <c r="T1133" s="93"/>
      <c r="U1133" s="93"/>
      <c r="V1133" s="93"/>
      <c r="W1133" s="93"/>
      <c r="X1133" s="93"/>
      <c r="Y1133" s="93"/>
      <c r="Z1133" s="93"/>
      <c r="AA1133" s="93"/>
      <c r="AB1133" s="93"/>
    </row>
    <row r="1134" spans="1:28" ht="12.75" customHeight="1">
      <c r="A1134" s="149" t="s">
        <v>574</v>
      </c>
      <c r="B1134" s="148">
        <v>44487</v>
      </c>
      <c r="C1134" s="356">
        <v>-3618</v>
      </c>
      <c r="D1134" s="356"/>
      <c r="E1134" s="420"/>
      <c r="F1134" s="424"/>
      <c r="G1134" s="4"/>
      <c r="H1134" s="93"/>
      <c r="K1134" s="93"/>
      <c r="L1134" s="93"/>
      <c r="M1134" s="93"/>
      <c r="N1134" s="93"/>
      <c r="O1134" s="93"/>
      <c r="P1134" s="93"/>
      <c r="Q1134" s="93"/>
      <c r="R1134" s="93"/>
      <c r="S1134" s="93"/>
      <c r="T1134" s="93"/>
      <c r="U1134" s="93"/>
      <c r="V1134" s="93"/>
      <c r="W1134" s="93"/>
      <c r="X1134" s="93"/>
      <c r="Y1134" s="93"/>
      <c r="Z1134" s="93"/>
      <c r="AA1134" s="93"/>
      <c r="AB1134" s="93"/>
    </row>
    <row r="1135" spans="1:28" ht="12.75" customHeight="1">
      <c r="A1135" s="120" t="s">
        <v>574</v>
      </c>
      <c r="B1135" s="150">
        <v>44532</v>
      </c>
      <c r="C1135" s="422">
        <v>3626</v>
      </c>
      <c r="D1135" s="422">
        <f>C1135+C1134</f>
        <v>8</v>
      </c>
      <c r="E1135" s="423">
        <f>-D1135/C1134</f>
        <v>2.2111663902708678E-3</v>
      </c>
      <c r="F1135" s="344">
        <f>B1135-B1134</f>
        <v>45</v>
      </c>
      <c r="G1135" s="4"/>
      <c r="H1135" s="93"/>
      <c r="K1135" s="93"/>
      <c r="L1135" s="93"/>
      <c r="M1135" s="93"/>
      <c r="N1135" s="93"/>
      <c r="O1135" s="93"/>
      <c r="P1135" s="93"/>
      <c r="Q1135" s="93"/>
      <c r="R1135" s="93"/>
      <c r="S1135" s="93"/>
      <c r="T1135" s="93"/>
      <c r="U1135" s="93"/>
      <c r="V1135" s="93"/>
      <c r="W1135" s="93"/>
      <c r="X1135" s="93"/>
      <c r="Y1135" s="93"/>
      <c r="Z1135" s="93"/>
      <c r="AA1135" s="93"/>
      <c r="AB1135" s="93"/>
    </row>
    <row r="1136" spans="1:28" ht="12.75" customHeight="1">
      <c r="A1136" s="149" t="s">
        <v>574</v>
      </c>
      <c r="B1136" s="148">
        <v>44818</v>
      </c>
      <c r="C1136" s="356">
        <v>-6267</v>
      </c>
      <c r="D1136" s="356"/>
      <c r="E1136" s="420"/>
      <c r="F1136" s="424"/>
      <c r="G1136" s="4"/>
      <c r="H1136" s="93"/>
      <c r="K1136" s="93"/>
      <c r="L1136" s="93"/>
      <c r="M1136" s="93"/>
      <c r="N1136" s="93"/>
      <c r="O1136" s="93"/>
      <c r="P1136" s="93"/>
      <c r="Q1136" s="93"/>
      <c r="R1136" s="93"/>
      <c r="S1136" s="93"/>
      <c r="T1136" s="93"/>
      <c r="U1136" s="93"/>
      <c r="V1136" s="93"/>
      <c r="W1136" s="93"/>
      <c r="X1136" s="93"/>
      <c r="Y1136" s="93"/>
      <c r="Z1136" s="93"/>
      <c r="AA1136" s="93"/>
      <c r="AB1136" s="93"/>
    </row>
    <row r="1137" spans="1:28" ht="12.75" customHeight="1">
      <c r="A1137" s="120" t="s">
        <v>574</v>
      </c>
      <c r="B1137" s="150">
        <v>44889</v>
      </c>
      <c r="C1137" s="422">
        <v>6713</v>
      </c>
      <c r="D1137" s="422">
        <f>C1137+C1136</f>
        <v>446</v>
      </c>
      <c r="E1137" s="423">
        <f>IFERROR(-D1137/C1136,0)</f>
        <v>7.1166427317695874E-2</v>
      </c>
      <c r="F1137" s="344">
        <f>B1137-B1136</f>
        <v>71</v>
      </c>
      <c r="G1137" s="4"/>
      <c r="H1137" s="93"/>
      <c r="K1137" s="93"/>
      <c r="L1137" s="93"/>
      <c r="M1137" s="93"/>
      <c r="N1137" s="93"/>
      <c r="O1137" s="93"/>
      <c r="P1137" s="93"/>
      <c r="Q1137" s="93"/>
      <c r="R1137" s="93"/>
      <c r="S1137" s="93"/>
      <c r="T1137" s="93"/>
      <c r="U1137" s="93"/>
      <c r="V1137" s="93"/>
      <c r="W1137" s="93"/>
      <c r="X1137" s="93"/>
      <c r="Y1137" s="93"/>
      <c r="Z1137" s="93"/>
      <c r="AA1137" s="93"/>
      <c r="AB1137" s="93"/>
    </row>
    <row r="1138" spans="1:28" ht="12.75" customHeight="1">
      <c r="A1138" s="149" t="s">
        <v>560</v>
      </c>
      <c r="B1138" s="148">
        <v>44433</v>
      </c>
      <c r="C1138" s="149">
        <v>-848</v>
      </c>
      <c r="D1138" s="356"/>
      <c r="E1138" s="420"/>
      <c r="F1138" s="424"/>
      <c r="G1138" s="4"/>
      <c r="H1138" s="93"/>
      <c r="K1138" s="93"/>
      <c r="L1138" s="93"/>
      <c r="M1138" s="93"/>
      <c r="N1138" s="93"/>
      <c r="O1138" s="93"/>
      <c r="P1138" s="93"/>
      <c r="Q1138" s="93"/>
      <c r="R1138" s="93"/>
      <c r="S1138" s="93"/>
      <c r="T1138" s="93"/>
      <c r="U1138" s="93"/>
      <c r="V1138" s="93"/>
      <c r="W1138" s="93"/>
      <c r="X1138" s="93"/>
      <c r="Y1138" s="93"/>
      <c r="Z1138" s="93"/>
      <c r="AA1138" s="93"/>
      <c r="AB1138" s="93"/>
    </row>
    <row r="1139" spans="1:28" ht="12.75" customHeight="1">
      <c r="A1139" s="120" t="s">
        <v>560</v>
      </c>
      <c r="B1139" s="150">
        <v>44445</v>
      </c>
      <c r="C1139" s="422">
        <v>1133</v>
      </c>
      <c r="D1139" s="422">
        <f>C1139+C1138</f>
        <v>285</v>
      </c>
      <c r="E1139" s="423">
        <f>-D1139/C1138</f>
        <v>0.33608490566037735</v>
      </c>
      <c r="F1139" s="344">
        <f>B1139-B1138</f>
        <v>12</v>
      </c>
      <c r="G1139" s="4"/>
      <c r="H1139" s="93"/>
      <c r="K1139" s="93"/>
      <c r="L1139" s="93"/>
      <c r="M1139" s="93"/>
      <c r="N1139" s="93"/>
      <c r="O1139" s="93"/>
      <c r="P1139" s="93"/>
      <c r="Q1139" s="93"/>
      <c r="R1139" s="93"/>
      <c r="S1139" s="93"/>
      <c r="T1139" s="93"/>
      <c r="U1139" s="93"/>
      <c r="V1139" s="93"/>
      <c r="W1139" s="93"/>
      <c r="X1139" s="93"/>
      <c r="Y1139" s="93"/>
      <c r="Z1139" s="93"/>
      <c r="AA1139" s="93"/>
      <c r="AB1139" s="93"/>
    </row>
    <row r="1140" spans="1:28" ht="12.75" customHeight="1">
      <c r="A1140" s="149" t="s">
        <v>586</v>
      </c>
      <c r="B1140" s="148">
        <v>44572</v>
      </c>
      <c r="C1140" s="356">
        <v>-10553</v>
      </c>
      <c r="D1140" s="356"/>
      <c r="E1140" s="420"/>
      <c r="F1140" s="424"/>
      <c r="G1140" s="4"/>
      <c r="H1140" s="93"/>
      <c r="K1140" s="93"/>
      <c r="L1140" s="93"/>
      <c r="M1140" s="93"/>
      <c r="N1140" s="93"/>
      <c r="O1140" s="93"/>
      <c r="P1140" s="93"/>
      <c r="Q1140" s="93"/>
      <c r="R1140" s="93"/>
      <c r="S1140" s="93"/>
      <c r="T1140" s="93"/>
      <c r="U1140" s="93"/>
      <c r="V1140" s="93"/>
      <c r="W1140" s="93"/>
      <c r="X1140" s="93"/>
      <c r="Y1140" s="93"/>
      <c r="Z1140" s="93"/>
      <c r="AA1140" s="93"/>
      <c r="AB1140" s="93"/>
    </row>
    <row r="1141" spans="1:28" ht="12.75" customHeight="1">
      <c r="A1141" s="120" t="s">
        <v>586</v>
      </c>
      <c r="B1141" s="150">
        <v>44578</v>
      </c>
      <c r="C1141" s="422">
        <v>12673</v>
      </c>
      <c r="D1141" s="422">
        <f>C1141+C1140</f>
        <v>2120</v>
      </c>
      <c r="E1141" s="423">
        <f>-D1141/C1140</f>
        <v>0.20089074196910831</v>
      </c>
      <c r="F1141" s="344">
        <f>B1141-B1140</f>
        <v>6</v>
      </c>
      <c r="G1141" s="4"/>
      <c r="H1141" s="93"/>
      <c r="K1141" s="93"/>
      <c r="L1141" s="93"/>
      <c r="M1141" s="93"/>
      <c r="N1141" s="93"/>
      <c r="O1141" s="93"/>
      <c r="P1141" s="93"/>
      <c r="Q1141" s="93"/>
      <c r="R1141" s="93"/>
      <c r="S1141" s="93"/>
      <c r="T1141" s="93"/>
      <c r="U1141" s="93"/>
      <c r="V1141" s="93"/>
      <c r="W1141" s="93"/>
      <c r="X1141" s="93"/>
      <c r="Y1141" s="93"/>
      <c r="Z1141" s="93"/>
      <c r="AA1141" s="93"/>
      <c r="AB1141" s="93"/>
    </row>
    <row r="1142" spans="1:28" ht="12.75" customHeight="1">
      <c r="A1142" s="149" t="s">
        <v>586</v>
      </c>
      <c r="B1142" s="148">
        <v>44586</v>
      </c>
      <c r="C1142" s="356">
        <v>-3734</v>
      </c>
      <c r="D1142" s="356"/>
      <c r="E1142" s="420"/>
      <c r="F1142" s="424"/>
      <c r="G1142" s="4"/>
      <c r="H1142" s="93"/>
      <c r="K1142" s="93"/>
      <c r="L1142" s="93"/>
      <c r="M1142" s="93"/>
      <c r="N1142" s="93"/>
      <c r="O1142" s="93"/>
      <c r="P1142" s="93"/>
      <c r="Q1142" s="93"/>
      <c r="R1142" s="93"/>
      <c r="S1142" s="93"/>
      <c r="T1142" s="93"/>
      <c r="U1142" s="93"/>
      <c r="V1142" s="93"/>
      <c r="W1142" s="93"/>
      <c r="X1142" s="93"/>
      <c r="Y1142" s="93"/>
      <c r="Z1142" s="93"/>
      <c r="AA1142" s="93"/>
      <c r="AB1142" s="93"/>
    </row>
    <row r="1143" spans="1:28" ht="12.75" customHeight="1">
      <c r="A1143" s="120" t="s">
        <v>586</v>
      </c>
      <c r="B1143" s="150">
        <v>44592</v>
      </c>
      <c r="C1143" s="422">
        <v>4475</v>
      </c>
      <c r="D1143" s="422">
        <f>C1143+C1142</f>
        <v>741</v>
      </c>
      <c r="E1143" s="423">
        <f>IFERROR(-D1143/C1142,0)</f>
        <v>0.1984467059453669</v>
      </c>
      <c r="F1143" s="344">
        <f>B1143-B1142</f>
        <v>6</v>
      </c>
      <c r="G1143" s="4"/>
      <c r="H1143" s="93"/>
      <c r="K1143" s="93"/>
      <c r="L1143" s="93"/>
      <c r="M1143" s="93"/>
      <c r="N1143" s="93"/>
      <c r="O1143" s="93"/>
      <c r="P1143" s="93"/>
      <c r="Q1143" s="93"/>
      <c r="R1143" s="93"/>
      <c r="S1143" s="93"/>
      <c r="T1143" s="93"/>
      <c r="U1143" s="93"/>
      <c r="V1143" s="93"/>
      <c r="W1143" s="93"/>
      <c r="X1143" s="93"/>
      <c r="Y1143" s="93"/>
      <c r="Z1143" s="93"/>
      <c r="AA1143" s="93"/>
      <c r="AB1143" s="93"/>
    </row>
    <row r="1144" spans="1:28" ht="12.75" customHeight="1">
      <c r="A1144" s="149" t="s">
        <v>586</v>
      </c>
      <c r="B1144" s="148">
        <v>44585</v>
      </c>
      <c r="C1144" s="356">
        <v>-7623</v>
      </c>
      <c r="D1144" s="356"/>
      <c r="E1144" s="420"/>
      <c r="F1144" s="424"/>
      <c r="G1144" s="4"/>
      <c r="H1144" s="93"/>
      <c r="K1144" s="93"/>
      <c r="L1144" s="93"/>
      <c r="M1144" s="93"/>
      <c r="N1144" s="93"/>
      <c r="O1144" s="93"/>
      <c r="P1144" s="93"/>
      <c r="Q1144" s="93"/>
      <c r="R1144" s="93"/>
      <c r="S1144" s="93"/>
      <c r="T1144" s="93"/>
      <c r="U1144" s="93"/>
      <c r="V1144" s="93"/>
      <c r="W1144" s="93"/>
      <c r="X1144" s="93"/>
      <c r="Y1144" s="93"/>
      <c r="Z1144" s="93"/>
      <c r="AA1144" s="93"/>
      <c r="AB1144" s="93"/>
    </row>
    <row r="1145" spans="1:28" ht="12.75" customHeight="1">
      <c r="A1145" s="120" t="s">
        <v>586</v>
      </c>
      <c r="B1145" s="150">
        <v>44593</v>
      </c>
      <c r="C1145" s="422">
        <v>9295</v>
      </c>
      <c r="D1145" s="422">
        <f>C1145+C1144</f>
        <v>1672</v>
      </c>
      <c r="E1145" s="423">
        <f>IFERROR(-D1145/C1144,0)</f>
        <v>0.21933621933621933</v>
      </c>
      <c r="F1145" s="344">
        <f>B1145-B1144</f>
        <v>8</v>
      </c>
      <c r="G1145" s="4"/>
      <c r="H1145" s="93"/>
      <c r="K1145" s="93"/>
      <c r="L1145" s="93"/>
      <c r="M1145" s="93"/>
      <c r="N1145" s="93"/>
      <c r="O1145" s="93"/>
      <c r="P1145" s="93"/>
      <c r="Q1145" s="93"/>
      <c r="R1145" s="93"/>
      <c r="S1145" s="93"/>
      <c r="T1145" s="93"/>
      <c r="U1145" s="93"/>
      <c r="V1145" s="93"/>
      <c r="W1145" s="93"/>
      <c r="X1145" s="93"/>
      <c r="Y1145" s="93"/>
      <c r="Z1145" s="93"/>
      <c r="AA1145" s="93"/>
      <c r="AB1145" s="93"/>
    </row>
    <row r="1146" spans="1:28" ht="12.75" customHeight="1">
      <c r="A1146" s="149" t="s">
        <v>586</v>
      </c>
      <c r="B1146" s="148">
        <v>44593</v>
      </c>
      <c r="C1146" s="356">
        <v>-9181</v>
      </c>
      <c r="D1146" s="356"/>
      <c r="E1146" s="420"/>
      <c r="F1146" s="424"/>
      <c r="G1146" s="4"/>
      <c r="H1146" s="93"/>
      <c r="K1146" s="93"/>
      <c r="L1146" s="93"/>
      <c r="M1146" s="93"/>
      <c r="N1146" s="93"/>
      <c r="O1146" s="93"/>
      <c r="P1146" s="93"/>
      <c r="Q1146" s="93"/>
      <c r="R1146" s="93"/>
      <c r="S1146" s="93"/>
      <c r="T1146" s="93"/>
      <c r="U1146" s="93"/>
      <c r="V1146" s="93"/>
      <c r="W1146" s="93"/>
      <c r="X1146" s="93"/>
      <c r="Y1146" s="93"/>
      <c r="Z1146" s="93"/>
      <c r="AA1146" s="93"/>
      <c r="AB1146" s="93"/>
    </row>
    <row r="1147" spans="1:28" ht="12.75" customHeight="1">
      <c r="A1147" s="120" t="s">
        <v>586</v>
      </c>
      <c r="B1147" s="150">
        <v>44651</v>
      </c>
      <c r="C1147" s="422">
        <v>9200</v>
      </c>
      <c r="D1147" s="422">
        <f>C1147+C1146</f>
        <v>19</v>
      </c>
      <c r="E1147" s="423">
        <f>IFERROR(-D1147/C1146,0)</f>
        <v>2.0694913408125476E-3</v>
      </c>
      <c r="F1147" s="344">
        <f>B1147-B1146</f>
        <v>58</v>
      </c>
      <c r="G1147" s="4"/>
      <c r="H1147" s="93"/>
      <c r="K1147" s="93"/>
      <c r="L1147" s="93"/>
      <c r="M1147" s="93"/>
      <c r="N1147" s="93"/>
      <c r="O1147" s="93"/>
      <c r="P1147" s="93"/>
      <c r="Q1147" s="93"/>
      <c r="R1147" s="93"/>
      <c r="S1147" s="93"/>
      <c r="T1147" s="93"/>
      <c r="U1147" s="93"/>
      <c r="V1147" s="93"/>
      <c r="W1147" s="93"/>
      <c r="X1147" s="93"/>
      <c r="Y1147" s="93"/>
      <c r="Z1147" s="93"/>
      <c r="AA1147" s="93"/>
      <c r="AB1147" s="93"/>
    </row>
    <row r="1148" spans="1:28" ht="12.75" customHeight="1">
      <c r="A1148" s="149" t="s">
        <v>586</v>
      </c>
      <c r="B1148" s="148">
        <v>44603</v>
      </c>
      <c r="C1148" s="356">
        <v>-4165</v>
      </c>
      <c r="D1148" s="356"/>
      <c r="E1148" s="420"/>
      <c r="F1148" s="424"/>
      <c r="G1148" s="4"/>
      <c r="H1148" s="93"/>
      <c r="K1148" s="93"/>
      <c r="L1148" s="93"/>
      <c r="M1148" s="93"/>
      <c r="N1148" s="93"/>
      <c r="O1148" s="93"/>
      <c r="P1148" s="93"/>
      <c r="Q1148" s="93"/>
      <c r="R1148" s="93"/>
      <c r="S1148" s="93"/>
      <c r="T1148" s="93"/>
      <c r="U1148" s="93"/>
      <c r="V1148" s="93"/>
      <c r="W1148" s="93"/>
      <c r="X1148" s="93"/>
      <c r="Y1148" s="93"/>
      <c r="Z1148" s="93"/>
      <c r="AA1148" s="93"/>
      <c r="AB1148" s="93"/>
    </row>
    <row r="1149" spans="1:28" ht="12.75" customHeight="1">
      <c r="A1149" s="120" t="s">
        <v>586</v>
      </c>
      <c r="B1149" s="150">
        <v>44651</v>
      </c>
      <c r="C1149" s="422">
        <v>4600</v>
      </c>
      <c r="D1149" s="422">
        <f>C1149+C1148</f>
        <v>435</v>
      </c>
      <c r="E1149" s="423">
        <f>IFERROR(-D1149/C1148,0)</f>
        <v>0.10444177671068428</v>
      </c>
      <c r="F1149" s="344">
        <f>B1149-B1148</f>
        <v>48</v>
      </c>
      <c r="G1149" s="4"/>
      <c r="H1149" s="93"/>
      <c r="K1149" s="93"/>
      <c r="L1149" s="93"/>
      <c r="M1149" s="93"/>
      <c r="N1149" s="93"/>
      <c r="O1149" s="93"/>
      <c r="P1149" s="93"/>
      <c r="Q1149" s="93"/>
      <c r="R1149" s="93"/>
      <c r="S1149" s="93"/>
      <c r="T1149" s="93"/>
      <c r="U1149" s="93"/>
      <c r="V1149" s="93"/>
      <c r="W1149" s="93"/>
      <c r="X1149" s="93"/>
      <c r="Y1149" s="93"/>
      <c r="Z1149" s="93"/>
      <c r="AA1149" s="93"/>
      <c r="AB1149" s="93"/>
    </row>
    <row r="1150" spans="1:28" ht="12.75" customHeight="1">
      <c r="A1150" s="149" t="s">
        <v>586</v>
      </c>
      <c r="B1150" s="148">
        <v>44606</v>
      </c>
      <c r="C1150" s="356">
        <v>-2376</v>
      </c>
      <c r="D1150" s="356"/>
      <c r="E1150" s="420"/>
      <c r="F1150" s="424"/>
      <c r="G1150" s="4"/>
      <c r="H1150" s="93"/>
      <c r="K1150" s="93"/>
      <c r="L1150" s="93"/>
      <c r="M1150" s="93"/>
      <c r="N1150" s="93"/>
      <c r="O1150" s="93"/>
      <c r="P1150" s="93"/>
      <c r="Q1150" s="93"/>
      <c r="R1150" s="93"/>
      <c r="S1150" s="93"/>
      <c r="T1150" s="93"/>
      <c r="U1150" s="93"/>
      <c r="V1150" s="93"/>
      <c r="W1150" s="93"/>
      <c r="X1150" s="93"/>
      <c r="Y1150" s="93"/>
      <c r="Z1150" s="93"/>
      <c r="AA1150" s="93"/>
      <c r="AB1150" s="93"/>
    </row>
    <row r="1151" spans="1:28" ht="12.75" customHeight="1">
      <c r="A1151" s="120" t="s">
        <v>586</v>
      </c>
      <c r="B1151" s="150">
        <v>44655</v>
      </c>
      <c r="C1151" s="422">
        <v>2937</v>
      </c>
      <c r="D1151" s="422">
        <f>C1151+C1150</f>
        <v>561</v>
      </c>
      <c r="E1151" s="423">
        <f>IFERROR(-D1151/C1150,0)</f>
        <v>0.2361111111111111</v>
      </c>
      <c r="F1151" s="344">
        <f>B1151-B1150</f>
        <v>49</v>
      </c>
      <c r="G1151" s="4"/>
      <c r="H1151" s="93"/>
      <c r="K1151" s="93"/>
      <c r="L1151" s="93"/>
      <c r="M1151" s="93"/>
      <c r="N1151" s="93"/>
      <c r="O1151" s="93"/>
      <c r="P1151" s="93"/>
      <c r="Q1151" s="93"/>
      <c r="R1151" s="93"/>
      <c r="S1151" s="93"/>
      <c r="T1151" s="93"/>
      <c r="U1151" s="93"/>
      <c r="V1151" s="93"/>
      <c r="W1151" s="93"/>
      <c r="X1151" s="93"/>
      <c r="Y1151" s="93"/>
      <c r="Z1151" s="93"/>
      <c r="AA1151" s="93"/>
      <c r="AB1151" s="93"/>
    </row>
    <row r="1152" spans="1:28" ht="12.75" customHeight="1">
      <c r="A1152" s="149" t="s">
        <v>586</v>
      </c>
      <c r="B1152" s="148">
        <v>44607</v>
      </c>
      <c r="C1152" s="356">
        <v>-1506</v>
      </c>
      <c r="D1152" s="356"/>
      <c r="E1152" s="420"/>
      <c r="F1152" s="424"/>
      <c r="G1152" s="4"/>
      <c r="H1152" s="93"/>
      <c r="K1152" s="93"/>
      <c r="L1152" s="93"/>
      <c r="M1152" s="93"/>
      <c r="N1152" s="93"/>
      <c r="O1152" s="93"/>
      <c r="P1152" s="93"/>
      <c r="Q1152" s="93"/>
      <c r="R1152" s="93"/>
      <c r="S1152" s="93"/>
      <c r="T1152" s="93"/>
      <c r="U1152" s="93"/>
      <c r="V1152" s="93"/>
      <c r="W1152" s="93"/>
      <c r="X1152" s="93"/>
      <c r="Y1152" s="93"/>
      <c r="Z1152" s="93"/>
      <c r="AA1152" s="93"/>
      <c r="AB1152" s="93"/>
    </row>
    <row r="1153" spans="1:28" ht="12.75" customHeight="1">
      <c r="A1153" s="120" t="s">
        <v>586</v>
      </c>
      <c r="B1153" s="150">
        <v>44656</v>
      </c>
      <c r="C1153" s="422">
        <v>2056</v>
      </c>
      <c r="D1153" s="422">
        <f>C1153+C1152</f>
        <v>550</v>
      </c>
      <c r="E1153" s="423">
        <f>IFERROR(-D1153/C1152,0)</f>
        <v>0.3652058432934927</v>
      </c>
      <c r="F1153" s="344">
        <f>B1153-B1152</f>
        <v>49</v>
      </c>
      <c r="G1153" s="4"/>
      <c r="H1153" s="93"/>
      <c r="K1153" s="93"/>
      <c r="L1153" s="93"/>
      <c r="M1153" s="93"/>
      <c r="N1153" s="93"/>
      <c r="O1153" s="93"/>
      <c r="P1153" s="93"/>
      <c r="Q1153" s="93"/>
      <c r="R1153" s="93"/>
      <c r="S1153" s="93"/>
      <c r="T1153" s="93"/>
      <c r="U1153" s="93"/>
      <c r="V1153" s="93"/>
      <c r="W1153" s="93"/>
      <c r="X1153" s="93"/>
      <c r="Y1153" s="93"/>
      <c r="Z1153" s="93"/>
      <c r="AA1153" s="93"/>
      <c r="AB1153" s="93"/>
    </row>
    <row r="1154" spans="1:28" ht="12.75" customHeight="1">
      <c r="A1154" s="133" t="s">
        <v>517</v>
      </c>
      <c r="B1154" s="425">
        <v>44344</v>
      </c>
      <c r="C1154" s="426">
        <v>-21100</v>
      </c>
      <c r="D1154" s="356"/>
      <c r="E1154" s="420"/>
      <c r="F1154" s="424"/>
      <c r="G1154" s="4"/>
      <c r="H1154" s="93"/>
      <c r="K1154" s="93"/>
      <c r="L1154" s="93"/>
      <c r="M1154" s="93"/>
      <c r="N1154" s="93"/>
      <c r="O1154" s="93"/>
      <c r="P1154" s="93"/>
      <c r="Q1154" s="93"/>
      <c r="R1154" s="93"/>
      <c r="S1154" s="93"/>
      <c r="T1154" s="93"/>
      <c r="U1154" s="93"/>
      <c r="V1154" s="93"/>
      <c r="W1154" s="93"/>
      <c r="X1154" s="93"/>
      <c r="Y1154" s="93"/>
      <c r="Z1154" s="93"/>
      <c r="AA1154" s="93"/>
      <c r="AB1154" s="93"/>
    </row>
    <row r="1155" spans="1:28" ht="12.75" customHeight="1">
      <c r="A1155" s="120" t="s">
        <v>517</v>
      </c>
      <c r="B1155" s="428">
        <v>44356</v>
      </c>
      <c r="C1155" s="429">
        <v>21727</v>
      </c>
      <c r="D1155" s="422">
        <f>C1155+C1154</f>
        <v>627</v>
      </c>
      <c r="E1155" s="423">
        <f>-D1155/C1154</f>
        <v>2.971563981042654E-2</v>
      </c>
      <c r="F1155" s="344">
        <f>B1155-B1154</f>
        <v>12</v>
      </c>
      <c r="G1155" s="4"/>
      <c r="H1155" s="93"/>
      <c r="K1155" s="93"/>
      <c r="L1155" s="93"/>
      <c r="M1155" s="93"/>
      <c r="N1155" s="93"/>
      <c r="O1155" s="93"/>
      <c r="P1155" s="93"/>
      <c r="Q1155" s="93"/>
      <c r="R1155" s="93"/>
      <c r="S1155" s="93"/>
      <c r="T1155" s="93"/>
      <c r="U1155" s="93"/>
      <c r="V1155" s="93"/>
      <c r="W1155" s="93"/>
      <c r="X1155" s="93"/>
      <c r="Y1155" s="93"/>
      <c r="Z1155" s="93"/>
      <c r="AA1155" s="93"/>
      <c r="AB1155" s="93"/>
    </row>
    <row r="1156" spans="1:28" ht="12.75" customHeight="1">
      <c r="A1156" s="149" t="s">
        <v>557</v>
      </c>
      <c r="B1156" s="148">
        <v>44407</v>
      </c>
      <c r="C1156" s="149">
        <v>-1026</v>
      </c>
      <c r="D1156" s="356"/>
      <c r="E1156" s="420"/>
      <c r="F1156" s="424"/>
      <c r="G1156" s="4"/>
      <c r="H1156" s="93"/>
      <c r="K1156" s="93"/>
      <c r="L1156" s="93"/>
      <c r="M1156" s="93"/>
      <c r="N1156" s="93"/>
      <c r="O1156" s="93"/>
      <c r="P1156" s="93"/>
      <c r="Q1156" s="93"/>
      <c r="R1156" s="93"/>
      <c r="S1156" s="93"/>
      <c r="T1156" s="93"/>
      <c r="U1156" s="93"/>
      <c r="V1156" s="93"/>
      <c r="W1156" s="93"/>
      <c r="X1156" s="93"/>
      <c r="Y1156" s="93"/>
      <c r="Z1156" s="93"/>
      <c r="AA1156" s="93"/>
      <c r="AB1156" s="93"/>
    </row>
    <row r="1157" spans="1:28" ht="12.75" customHeight="1">
      <c r="A1157" s="120" t="s">
        <v>557</v>
      </c>
      <c r="B1157" s="150">
        <v>44434</v>
      </c>
      <c r="C1157" s="422">
        <v>1031</v>
      </c>
      <c r="D1157" s="422">
        <f>C1157+C1156</f>
        <v>5</v>
      </c>
      <c r="E1157" s="423">
        <f>-D1157/C1156</f>
        <v>4.8732943469785572E-3</v>
      </c>
      <c r="F1157" s="344">
        <f>B1157-B1156</f>
        <v>27</v>
      </c>
      <c r="G1157" s="4"/>
      <c r="H1157" s="93"/>
      <c r="K1157" s="93"/>
      <c r="L1157" s="93"/>
      <c r="M1157" s="93"/>
      <c r="N1157" s="93"/>
      <c r="O1157" s="93"/>
      <c r="P1157" s="93"/>
      <c r="Q1157" s="93"/>
      <c r="R1157" s="93"/>
      <c r="S1157" s="93"/>
      <c r="T1157" s="93"/>
      <c r="U1157" s="93"/>
      <c r="V1157" s="93"/>
      <c r="W1157" s="93"/>
      <c r="X1157" s="93"/>
      <c r="Y1157" s="93"/>
      <c r="Z1157" s="93"/>
      <c r="AA1157" s="93"/>
      <c r="AB1157" s="93"/>
    </row>
    <row r="1158" spans="1:28" ht="12.75" customHeight="1">
      <c r="A1158" s="133" t="s">
        <v>520</v>
      </c>
      <c r="B1158" s="425">
        <v>44349</v>
      </c>
      <c r="C1158" s="426">
        <v>-11364</v>
      </c>
      <c r="D1158" s="356"/>
      <c r="E1158" s="420"/>
      <c r="F1158" s="424"/>
      <c r="G1158" s="4"/>
      <c r="H1158" s="93"/>
      <c r="K1158" s="93"/>
      <c r="L1158" s="93"/>
      <c r="M1158" s="93"/>
      <c r="N1158" s="93"/>
      <c r="O1158" s="93"/>
      <c r="P1158" s="93"/>
      <c r="Q1158" s="93"/>
      <c r="R1158" s="93"/>
      <c r="S1158" s="93"/>
      <c r="T1158" s="93"/>
      <c r="U1158" s="93"/>
      <c r="V1158" s="93"/>
      <c r="W1158" s="93"/>
      <c r="X1158" s="93"/>
      <c r="Y1158" s="93"/>
      <c r="Z1158" s="93"/>
      <c r="AA1158" s="93"/>
      <c r="AB1158" s="93"/>
    </row>
    <row r="1159" spans="1:28" ht="12.75" customHeight="1">
      <c r="A1159" s="120" t="s">
        <v>520</v>
      </c>
      <c r="B1159" s="428">
        <v>44358</v>
      </c>
      <c r="C1159" s="429">
        <v>11688</v>
      </c>
      <c r="D1159" s="422">
        <f>C1159+C1158</f>
        <v>324</v>
      </c>
      <c r="E1159" s="423">
        <f>-D1159/C1158</f>
        <v>2.8511087645195353E-2</v>
      </c>
      <c r="F1159" s="344">
        <f>B1159-B1158</f>
        <v>9</v>
      </c>
      <c r="G1159" s="4"/>
      <c r="H1159" s="93"/>
      <c r="K1159" s="93"/>
      <c r="L1159" s="93"/>
      <c r="M1159" s="93"/>
      <c r="N1159" s="93"/>
      <c r="O1159" s="93"/>
      <c r="P1159" s="93"/>
      <c r="Q1159" s="93"/>
      <c r="R1159" s="93"/>
      <c r="S1159" s="93"/>
      <c r="T1159" s="93"/>
      <c r="U1159" s="93"/>
      <c r="V1159" s="93"/>
      <c r="W1159" s="93"/>
      <c r="X1159" s="93"/>
      <c r="Y1159" s="93"/>
      <c r="Z1159" s="93"/>
      <c r="AA1159" s="93"/>
      <c r="AB1159" s="93"/>
    </row>
    <row r="1160" spans="1:28" ht="12.75" customHeight="1">
      <c r="A1160" s="149" t="s">
        <v>607</v>
      </c>
      <c r="B1160" s="148">
        <v>44679</v>
      </c>
      <c r="C1160" s="356">
        <v>-4205</v>
      </c>
      <c r="D1160" s="356"/>
      <c r="E1160" s="420"/>
      <c r="F1160" s="424"/>
      <c r="G1160" s="4"/>
      <c r="H1160" s="93"/>
      <c r="K1160" s="93"/>
      <c r="L1160" s="93"/>
      <c r="M1160" s="93"/>
      <c r="N1160" s="93"/>
      <c r="O1160" s="93"/>
      <c r="P1160" s="93"/>
      <c r="Q1160" s="93"/>
      <c r="R1160" s="93"/>
      <c r="S1160" s="93"/>
      <c r="T1160" s="93"/>
      <c r="U1160" s="93"/>
      <c r="V1160" s="93"/>
      <c r="W1160" s="93"/>
      <c r="X1160" s="93"/>
      <c r="Y1160" s="93"/>
      <c r="Z1160" s="93"/>
      <c r="AA1160" s="93"/>
      <c r="AB1160" s="93"/>
    </row>
    <row r="1161" spans="1:28" ht="12.75" customHeight="1">
      <c r="A1161" s="120" t="s">
        <v>607</v>
      </c>
      <c r="B1161" s="150">
        <v>44797</v>
      </c>
      <c r="C1161" s="422">
        <v>4216</v>
      </c>
      <c r="D1161" s="422">
        <f>C1161+C1160</f>
        <v>11</v>
      </c>
      <c r="E1161" s="423">
        <f>IFERROR(-D1161/C1160,0)</f>
        <v>2.6159334126040429E-3</v>
      </c>
      <c r="F1161" s="344">
        <f>B1161-B1160</f>
        <v>118</v>
      </c>
      <c r="G1161" s="4"/>
      <c r="H1161" s="93"/>
      <c r="K1161" s="93"/>
      <c r="L1161" s="93"/>
      <c r="M1161" s="93"/>
      <c r="N1161" s="93"/>
      <c r="O1161" s="93"/>
      <c r="P1161" s="93"/>
      <c r="Q1161" s="93"/>
      <c r="R1161" s="93"/>
      <c r="S1161" s="93"/>
      <c r="T1161" s="93"/>
      <c r="U1161" s="93"/>
      <c r="V1161" s="93"/>
      <c r="W1161" s="93"/>
      <c r="X1161" s="93"/>
      <c r="Y1161" s="93"/>
      <c r="Z1161" s="93"/>
      <c r="AA1161" s="93"/>
      <c r="AB1161" s="93"/>
    </row>
    <row r="1162" spans="1:28" ht="12.75" customHeight="1">
      <c r="A1162" s="149" t="s">
        <v>582</v>
      </c>
      <c r="B1162" s="148">
        <v>44517</v>
      </c>
      <c r="C1162" s="356">
        <v>-3975</v>
      </c>
      <c r="D1162" s="356"/>
      <c r="E1162" s="420"/>
      <c r="F1162" s="424"/>
      <c r="G1162" s="4"/>
      <c r="H1162" s="93"/>
      <c r="K1162" s="93"/>
      <c r="L1162" s="93"/>
      <c r="M1162" s="93"/>
      <c r="N1162" s="93"/>
      <c r="O1162" s="93"/>
      <c r="P1162" s="93"/>
      <c r="Q1162" s="93"/>
      <c r="R1162" s="93"/>
      <c r="S1162" s="93"/>
      <c r="T1162" s="93"/>
      <c r="U1162" s="93"/>
      <c r="V1162" s="93"/>
      <c r="W1162" s="93"/>
      <c r="X1162" s="93"/>
      <c r="Y1162" s="93"/>
      <c r="Z1162" s="93"/>
      <c r="AA1162" s="93"/>
      <c r="AB1162" s="93"/>
    </row>
    <row r="1163" spans="1:28" ht="12.75" customHeight="1">
      <c r="A1163" s="120" t="s">
        <v>582</v>
      </c>
      <c r="B1163" s="150">
        <v>44532</v>
      </c>
      <c r="C1163" s="422">
        <v>4246</v>
      </c>
      <c r="D1163" s="422">
        <f>C1163+C1162</f>
        <v>271</v>
      </c>
      <c r="E1163" s="423">
        <f>-D1163/C1162</f>
        <v>6.8176100628930814E-2</v>
      </c>
      <c r="F1163" s="344">
        <f>B1163-B1162</f>
        <v>15</v>
      </c>
      <c r="G1163" s="4"/>
      <c r="H1163" s="93"/>
      <c r="K1163" s="93"/>
      <c r="L1163" s="93"/>
      <c r="M1163" s="93"/>
      <c r="N1163" s="93"/>
      <c r="O1163" s="93"/>
      <c r="P1163" s="93"/>
      <c r="Q1163" s="93"/>
      <c r="R1163" s="93"/>
      <c r="S1163" s="93"/>
      <c r="T1163" s="93"/>
      <c r="U1163" s="93"/>
      <c r="V1163" s="93"/>
      <c r="W1163" s="93"/>
      <c r="X1163" s="93"/>
      <c r="Y1163" s="93"/>
      <c r="Z1163" s="93"/>
      <c r="AA1163" s="93"/>
      <c r="AB1163" s="93"/>
    </row>
    <row r="1164" spans="1:28" ht="12.75" customHeight="1">
      <c r="A1164" s="149" t="s">
        <v>577</v>
      </c>
      <c r="B1164" s="148">
        <v>44498</v>
      </c>
      <c r="C1164" s="356">
        <v>-792</v>
      </c>
      <c r="D1164" s="356"/>
      <c r="E1164" s="420"/>
      <c r="F1164" s="424"/>
      <c r="G1164" s="4"/>
      <c r="H1164" s="93"/>
      <c r="K1164" s="93"/>
      <c r="L1164" s="93"/>
      <c r="M1164" s="93"/>
      <c r="N1164" s="93"/>
      <c r="O1164" s="93"/>
      <c r="P1164" s="93"/>
      <c r="Q1164" s="93"/>
      <c r="R1164" s="93"/>
      <c r="S1164" s="93"/>
      <c r="T1164" s="93"/>
      <c r="U1164" s="93"/>
      <c r="V1164" s="93"/>
      <c r="W1164" s="93"/>
      <c r="X1164" s="93"/>
      <c r="Y1164" s="93"/>
      <c r="Z1164" s="93"/>
      <c r="AA1164" s="93"/>
      <c r="AB1164" s="93"/>
    </row>
    <row r="1165" spans="1:28" ht="12.75" customHeight="1">
      <c r="A1165" s="120" t="s">
        <v>577</v>
      </c>
      <c r="B1165" s="150">
        <v>44557</v>
      </c>
      <c r="C1165" s="422">
        <v>710</v>
      </c>
      <c r="D1165" s="422">
        <f>C1165+C1164</f>
        <v>-82</v>
      </c>
      <c r="E1165" s="423">
        <f>-D1165/C1164</f>
        <v>-0.10353535353535354</v>
      </c>
      <c r="F1165" s="344">
        <f>B1165-B1164</f>
        <v>59</v>
      </c>
      <c r="G1165" s="4"/>
      <c r="H1165" s="93"/>
      <c r="K1165" s="93"/>
      <c r="L1165" s="93"/>
      <c r="M1165" s="93"/>
      <c r="N1165" s="93"/>
      <c r="O1165" s="93"/>
      <c r="P1165" s="93"/>
      <c r="Q1165" s="93"/>
      <c r="R1165" s="93"/>
      <c r="S1165" s="93"/>
      <c r="T1165" s="93"/>
      <c r="U1165" s="93"/>
      <c r="V1165" s="93"/>
      <c r="W1165" s="93"/>
      <c r="X1165" s="93"/>
      <c r="Y1165" s="93"/>
      <c r="Z1165" s="93"/>
      <c r="AA1165" s="93"/>
      <c r="AB1165" s="93"/>
    </row>
    <row r="1166" spans="1:28" ht="12.75" customHeight="1">
      <c r="A1166" s="149" t="s">
        <v>577</v>
      </c>
      <c r="B1166" s="148">
        <v>44508</v>
      </c>
      <c r="C1166" s="356">
        <v>-1997</v>
      </c>
      <c r="D1166" s="356"/>
      <c r="E1166" s="420"/>
      <c r="F1166" s="424"/>
      <c r="G1166" s="4"/>
      <c r="H1166" s="93"/>
      <c r="K1166" s="93"/>
      <c r="L1166" s="93"/>
      <c r="M1166" s="93"/>
      <c r="N1166" s="93"/>
      <c r="O1166" s="93"/>
      <c r="P1166" s="93"/>
      <c r="Q1166" s="93"/>
      <c r="R1166" s="93"/>
      <c r="S1166" s="93"/>
      <c r="T1166" s="93"/>
      <c r="U1166" s="93"/>
      <c r="V1166" s="93"/>
      <c r="W1166" s="93"/>
      <c r="X1166" s="93"/>
      <c r="Y1166" s="93"/>
      <c r="Z1166" s="93"/>
      <c r="AA1166" s="93"/>
      <c r="AB1166" s="93"/>
    </row>
    <row r="1167" spans="1:28" ht="12.75" customHeight="1">
      <c r="A1167" s="120" t="s">
        <v>577</v>
      </c>
      <c r="B1167" s="150">
        <v>44557</v>
      </c>
      <c r="C1167" s="422">
        <v>1657</v>
      </c>
      <c r="D1167" s="422">
        <f>C1167+C1166</f>
        <v>-340</v>
      </c>
      <c r="E1167" s="423">
        <f>-D1167/C1166</f>
        <v>-0.17025538307461191</v>
      </c>
      <c r="F1167" s="344">
        <f>B1167-B1166</f>
        <v>49</v>
      </c>
      <c r="G1167" s="4"/>
      <c r="H1167" s="93"/>
      <c r="K1167" s="93"/>
      <c r="L1167" s="93"/>
      <c r="M1167" s="93"/>
      <c r="N1167" s="93"/>
      <c r="O1167" s="93"/>
      <c r="P1167" s="93"/>
      <c r="Q1167" s="93"/>
      <c r="R1167" s="93"/>
      <c r="S1167" s="93"/>
      <c r="T1167" s="93"/>
      <c r="U1167" s="93"/>
      <c r="V1167" s="93"/>
      <c r="W1167" s="93"/>
      <c r="X1167" s="93"/>
      <c r="Y1167" s="93"/>
      <c r="Z1167" s="93"/>
      <c r="AA1167" s="93"/>
      <c r="AB1167" s="93"/>
    </row>
    <row r="1168" spans="1:28" ht="12.75" customHeight="1">
      <c r="A1168" s="149" t="s">
        <v>577</v>
      </c>
      <c r="B1168" s="148">
        <v>44511</v>
      </c>
      <c r="C1168" s="356">
        <v>-6808</v>
      </c>
      <c r="D1168" s="356"/>
      <c r="E1168" s="420"/>
      <c r="F1168" s="424"/>
      <c r="G1168" s="4"/>
      <c r="H1168" s="93"/>
      <c r="K1168" s="93"/>
      <c r="L1168" s="93"/>
      <c r="M1168" s="93"/>
      <c r="N1168" s="93"/>
      <c r="O1168" s="93"/>
      <c r="P1168" s="93"/>
      <c r="Q1168" s="93"/>
      <c r="R1168" s="93"/>
      <c r="S1168" s="93"/>
      <c r="T1168" s="93"/>
      <c r="U1168" s="93"/>
      <c r="V1168" s="93"/>
      <c r="W1168" s="93"/>
      <c r="X1168" s="93"/>
      <c r="Y1168" s="93"/>
      <c r="Z1168" s="93"/>
      <c r="AA1168" s="93"/>
      <c r="AB1168" s="93"/>
    </row>
    <row r="1169" spans="1:28" ht="12.75" customHeight="1">
      <c r="A1169" s="120" t="s">
        <v>577</v>
      </c>
      <c r="B1169" s="150">
        <v>44557</v>
      </c>
      <c r="C1169" s="422">
        <v>5919</v>
      </c>
      <c r="D1169" s="422">
        <f>C1169+C1168</f>
        <v>-889</v>
      </c>
      <c r="E1169" s="423">
        <f>-D1169/C1168</f>
        <v>-0.13058166862514689</v>
      </c>
      <c r="F1169" s="344">
        <f>B1169-B1168</f>
        <v>46</v>
      </c>
      <c r="G1169" s="4"/>
      <c r="H1169" s="93"/>
      <c r="K1169" s="93"/>
      <c r="L1169" s="93"/>
      <c r="M1169" s="93"/>
      <c r="N1169" s="93"/>
      <c r="O1169" s="93"/>
      <c r="P1169" s="93"/>
      <c r="Q1169" s="93"/>
      <c r="R1169" s="93"/>
      <c r="S1169" s="93"/>
      <c r="T1169" s="93"/>
      <c r="U1169" s="93"/>
      <c r="V1169" s="93"/>
      <c r="W1169" s="93"/>
      <c r="X1169" s="93"/>
      <c r="Y1169" s="93"/>
      <c r="Z1169" s="93"/>
      <c r="AA1169" s="93"/>
      <c r="AB1169" s="93"/>
    </row>
    <row r="1170" spans="1:28" ht="12.75" customHeight="1">
      <c r="A1170" s="149" t="s">
        <v>577</v>
      </c>
      <c r="B1170" s="148">
        <v>44558</v>
      </c>
      <c r="C1170" s="356">
        <v>-12640</v>
      </c>
      <c r="D1170" s="356"/>
      <c r="E1170" s="420"/>
      <c r="F1170" s="424"/>
      <c r="G1170" s="4"/>
      <c r="H1170" s="93"/>
      <c r="K1170" s="93"/>
      <c r="L1170" s="93"/>
      <c r="M1170" s="93"/>
      <c r="N1170" s="93"/>
      <c r="O1170" s="93"/>
      <c r="P1170" s="93"/>
      <c r="Q1170" s="93"/>
      <c r="R1170" s="93"/>
      <c r="S1170" s="93"/>
      <c r="T1170" s="93"/>
      <c r="U1170" s="93"/>
      <c r="V1170" s="93"/>
      <c r="W1170" s="93"/>
      <c r="X1170" s="93"/>
      <c r="Y1170" s="93"/>
      <c r="Z1170" s="93"/>
      <c r="AA1170" s="93"/>
      <c r="AB1170" s="93"/>
    </row>
    <row r="1171" spans="1:28" ht="12.75" customHeight="1">
      <c r="A1171" s="120" t="s">
        <v>577</v>
      </c>
      <c r="B1171" s="150">
        <v>44566</v>
      </c>
      <c r="C1171" s="422">
        <v>13136</v>
      </c>
      <c r="D1171" s="422">
        <f>C1171+C1170</f>
        <v>496</v>
      </c>
      <c r="E1171" s="423">
        <f>-D1171/C1170</f>
        <v>3.9240506329113925E-2</v>
      </c>
      <c r="F1171" s="344">
        <f>B1171-B1170</f>
        <v>8</v>
      </c>
      <c r="G1171" s="4"/>
      <c r="H1171" s="93"/>
      <c r="K1171" s="93"/>
      <c r="L1171" s="93"/>
      <c r="M1171" s="93"/>
      <c r="N1171" s="93"/>
      <c r="O1171" s="93"/>
      <c r="P1171" s="93"/>
      <c r="Q1171" s="93"/>
      <c r="R1171" s="93"/>
      <c r="S1171" s="93"/>
      <c r="T1171" s="93"/>
      <c r="U1171" s="93"/>
      <c r="V1171" s="93"/>
      <c r="W1171" s="93"/>
      <c r="X1171" s="93"/>
      <c r="Y1171" s="93"/>
      <c r="Z1171" s="93"/>
      <c r="AA1171" s="93"/>
      <c r="AB1171" s="93"/>
    </row>
    <row r="1172" spans="1:28" ht="12.75" customHeight="1">
      <c r="A1172" s="149" t="s">
        <v>577</v>
      </c>
      <c r="B1172" s="148">
        <v>44572</v>
      </c>
      <c r="C1172" s="356">
        <v>-13266</v>
      </c>
      <c r="D1172" s="356"/>
      <c r="E1172" s="420"/>
      <c r="F1172" s="424"/>
      <c r="G1172" s="4"/>
      <c r="H1172" s="93"/>
      <c r="K1172" s="93"/>
      <c r="L1172" s="93"/>
      <c r="M1172" s="93"/>
      <c r="N1172" s="93"/>
      <c r="O1172" s="93"/>
      <c r="P1172" s="93"/>
      <c r="Q1172" s="93"/>
      <c r="R1172" s="93"/>
      <c r="S1172" s="93"/>
      <c r="T1172" s="93"/>
      <c r="U1172" s="93"/>
      <c r="V1172" s="93"/>
      <c r="W1172" s="93"/>
      <c r="X1172" s="93"/>
      <c r="Y1172" s="93"/>
      <c r="Z1172" s="93"/>
      <c r="AA1172" s="93"/>
      <c r="AB1172" s="93"/>
    </row>
    <row r="1173" spans="1:28" ht="12.75" customHeight="1">
      <c r="A1173" s="120" t="s">
        <v>577</v>
      </c>
      <c r="B1173" s="150">
        <v>44581</v>
      </c>
      <c r="C1173" s="422">
        <v>13602</v>
      </c>
      <c r="D1173" s="422">
        <f>C1173+C1172</f>
        <v>336</v>
      </c>
      <c r="E1173" s="423">
        <f>-D1173/C1172</f>
        <v>2.5327905924920849E-2</v>
      </c>
      <c r="F1173" s="344">
        <f>B1173-B1172</f>
        <v>9</v>
      </c>
      <c r="G1173" s="4"/>
      <c r="H1173" s="93"/>
      <c r="K1173" s="93"/>
      <c r="L1173" s="93"/>
      <c r="M1173" s="93"/>
      <c r="N1173" s="93"/>
      <c r="O1173" s="93"/>
      <c r="P1173" s="93"/>
      <c r="Q1173" s="93"/>
      <c r="R1173" s="93"/>
      <c r="S1173" s="93"/>
      <c r="T1173" s="93"/>
      <c r="U1173" s="93"/>
      <c r="V1173" s="93"/>
      <c r="W1173" s="93"/>
      <c r="X1173" s="93"/>
      <c r="Y1173" s="93"/>
      <c r="Z1173" s="93"/>
      <c r="AA1173" s="93"/>
      <c r="AB1173" s="93"/>
    </row>
    <row r="1174" spans="1:28" ht="12.75" customHeight="1">
      <c r="A1174" s="133" t="s">
        <v>524</v>
      </c>
      <c r="B1174" s="425">
        <v>44357</v>
      </c>
      <c r="C1174" s="426">
        <v>-9501</v>
      </c>
      <c r="D1174" s="356"/>
      <c r="E1174" s="420"/>
      <c r="F1174" s="424"/>
      <c r="G1174" s="4"/>
      <c r="H1174" s="93"/>
      <c r="K1174" s="93"/>
      <c r="L1174" s="93"/>
      <c r="M1174" s="93"/>
      <c r="N1174" s="93"/>
      <c r="O1174" s="93"/>
      <c r="P1174" s="93"/>
      <c r="Q1174" s="93"/>
      <c r="R1174" s="93"/>
      <c r="S1174" s="93"/>
      <c r="T1174" s="93"/>
      <c r="U1174" s="93"/>
      <c r="V1174" s="93"/>
      <c r="W1174" s="93"/>
      <c r="X1174" s="93"/>
      <c r="Y1174" s="93"/>
      <c r="Z1174" s="93"/>
      <c r="AA1174" s="93"/>
      <c r="AB1174" s="93"/>
    </row>
    <row r="1175" spans="1:28" ht="12.75" customHeight="1">
      <c r="A1175" s="120" t="s">
        <v>524</v>
      </c>
      <c r="B1175" s="428">
        <v>44361</v>
      </c>
      <c r="C1175" s="429">
        <v>9610</v>
      </c>
      <c r="D1175" s="422">
        <f>C1175+C1174</f>
        <v>109</v>
      </c>
      <c r="E1175" s="423">
        <f>-D1175/C1174</f>
        <v>1.1472476581412483E-2</v>
      </c>
      <c r="F1175" s="344">
        <f>B1175-B1174</f>
        <v>4</v>
      </c>
      <c r="G1175" s="4"/>
      <c r="H1175" s="93"/>
      <c r="K1175" s="93"/>
      <c r="L1175" s="93"/>
      <c r="M1175" s="93"/>
      <c r="N1175" s="93"/>
      <c r="O1175" s="93"/>
      <c r="P1175" s="93"/>
      <c r="Q1175" s="93"/>
      <c r="R1175" s="93"/>
      <c r="S1175" s="93"/>
      <c r="T1175" s="93"/>
      <c r="U1175" s="93"/>
      <c r="V1175" s="93"/>
      <c r="W1175" s="93"/>
      <c r="X1175" s="93"/>
      <c r="Y1175" s="93"/>
      <c r="Z1175" s="93"/>
      <c r="AA1175" s="93"/>
      <c r="AB1175" s="93"/>
    </row>
    <row r="1176" spans="1:28" ht="12.75" customHeight="1">
      <c r="A1176" s="149" t="s">
        <v>553</v>
      </c>
      <c r="B1176" s="148">
        <v>44396</v>
      </c>
      <c r="C1176" s="149">
        <v>-2633</v>
      </c>
      <c r="D1176" s="356"/>
      <c r="E1176" s="420"/>
      <c r="F1176" s="424"/>
      <c r="G1176" s="4"/>
      <c r="H1176" s="93"/>
      <c r="K1176" s="93"/>
      <c r="L1176" s="93"/>
      <c r="M1176" s="93"/>
      <c r="N1176" s="93"/>
      <c r="O1176" s="93"/>
      <c r="P1176" s="93"/>
      <c r="Q1176" s="93"/>
      <c r="R1176" s="93"/>
      <c r="S1176" s="93"/>
      <c r="T1176" s="93"/>
      <c r="U1176" s="93"/>
      <c r="V1176" s="93"/>
      <c r="W1176" s="93"/>
      <c r="X1176" s="93"/>
      <c r="Y1176" s="93"/>
      <c r="Z1176" s="93"/>
      <c r="AA1176" s="93"/>
      <c r="AB1176" s="93"/>
    </row>
    <row r="1177" spans="1:28" ht="12.75" customHeight="1">
      <c r="A1177" s="120" t="s">
        <v>553</v>
      </c>
      <c r="B1177" s="150">
        <v>44455</v>
      </c>
      <c r="C1177" s="422">
        <v>2827</v>
      </c>
      <c r="D1177" s="422">
        <f>C1177+C1176</f>
        <v>194</v>
      </c>
      <c r="E1177" s="423">
        <f>-D1177/C1176</f>
        <v>7.3680212685150015E-2</v>
      </c>
      <c r="F1177" s="344">
        <f>B1177-B1176</f>
        <v>59</v>
      </c>
      <c r="G1177" s="4"/>
      <c r="H1177" s="93"/>
      <c r="K1177" s="93"/>
      <c r="L1177" s="93"/>
      <c r="M1177" s="93"/>
      <c r="N1177" s="93"/>
      <c r="O1177" s="93"/>
      <c r="P1177" s="93"/>
      <c r="Q1177" s="93"/>
      <c r="R1177" s="93"/>
      <c r="S1177" s="93"/>
      <c r="T1177" s="93"/>
      <c r="U1177" s="93"/>
      <c r="V1177" s="93"/>
      <c r="W1177" s="93"/>
      <c r="X1177" s="93"/>
      <c r="Y1177" s="93"/>
      <c r="Z1177" s="93"/>
      <c r="AA1177" s="93"/>
      <c r="AB1177" s="93"/>
    </row>
    <row r="1178" spans="1:28" ht="12.75" customHeight="1">
      <c r="A1178" s="134" t="s">
        <v>514</v>
      </c>
      <c r="B1178" s="425">
        <v>44343</v>
      </c>
      <c r="C1178" s="426">
        <v>-10462</v>
      </c>
      <c r="D1178" s="356"/>
      <c r="E1178" s="420"/>
      <c r="F1178" s="424"/>
      <c r="G1178" s="4"/>
      <c r="H1178" s="93"/>
      <c r="K1178" s="93"/>
      <c r="L1178" s="93"/>
      <c r="M1178" s="93"/>
      <c r="N1178" s="93"/>
      <c r="O1178" s="93"/>
      <c r="P1178" s="93"/>
      <c r="Q1178" s="93"/>
      <c r="R1178" s="93"/>
      <c r="S1178" s="93"/>
      <c r="T1178" s="93"/>
      <c r="U1178" s="93"/>
      <c r="V1178" s="93"/>
      <c r="W1178" s="93"/>
      <c r="X1178" s="93"/>
      <c r="Y1178" s="93"/>
      <c r="Z1178" s="93"/>
      <c r="AA1178" s="93"/>
      <c r="AB1178" s="93"/>
    </row>
    <row r="1179" spans="1:28" ht="12.75" customHeight="1">
      <c r="A1179" s="120" t="s">
        <v>514</v>
      </c>
      <c r="B1179" s="428">
        <v>44344</v>
      </c>
      <c r="C1179" s="429">
        <v>10689</v>
      </c>
      <c r="D1179" s="422">
        <f>C1179+C1178</f>
        <v>227</v>
      </c>
      <c r="E1179" s="423">
        <f>-D1179/C1178</f>
        <v>2.1697572165933855E-2</v>
      </c>
      <c r="F1179" s="344">
        <f>B1179-B1178</f>
        <v>1</v>
      </c>
      <c r="G1179" s="4"/>
      <c r="H1179" s="93"/>
      <c r="K1179" s="93"/>
      <c r="L1179" s="93"/>
      <c r="M1179" s="93"/>
      <c r="N1179" s="93"/>
      <c r="O1179" s="93"/>
      <c r="P1179" s="93"/>
      <c r="Q1179" s="93"/>
      <c r="R1179" s="93"/>
      <c r="S1179" s="93"/>
      <c r="T1179" s="93"/>
      <c r="U1179" s="93"/>
      <c r="V1179" s="93"/>
      <c r="W1179" s="93"/>
      <c r="X1179" s="93"/>
      <c r="Y1179" s="93"/>
      <c r="Z1179" s="93"/>
      <c r="AA1179" s="93"/>
      <c r="AB1179" s="93"/>
    </row>
    <row r="1180" spans="1:28" ht="12.75" customHeight="1">
      <c r="A1180" s="149" t="s">
        <v>563</v>
      </c>
      <c r="B1180" s="148">
        <v>44452</v>
      </c>
      <c r="C1180" s="356">
        <v>-622</v>
      </c>
      <c r="D1180" s="356"/>
      <c r="E1180" s="420"/>
      <c r="F1180" s="424"/>
      <c r="G1180" s="4"/>
      <c r="H1180" s="93"/>
      <c r="K1180" s="93"/>
      <c r="L1180" s="93"/>
      <c r="M1180" s="93"/>
      <c r="N1180" s="93"/>
      <c r="O1180" s="93"/>
      <c r="P1180" s="93"/>
      <c r="Q1180" s="93"/>
      <c r="R1180" s="93"/>
      <c r="S1180" s="93"/>
      <c r="T1180" s="93"/>
      <c r="U1180" s="93"/>
      <c r="V1180" s="93"/>
      <c r="W1180" s="93"/>
      <c r="X1180" s="93"/>
      <c r="Y1180" s="93"/>
      <c r="Z1180" s="93"/>
      <c r="AA1180" s="93"/>
      <c r="AB1180" s="93"/>
    </row>
    <row r="1181" spans="1:28" ht="12.75" customHeight="1">
      <c r="A1181" s="120" t="s">
        <v>563</v>
      </c>
      <c r="B1181" s="150">
        <v>44509</v>
      </c>
      <c r="C1181" s="422">
        <v>662</v>
      </c>
      <c r="D1181" s="422">
        <f>C1181+C1180</f>
        <v>40</v>
      </c>
      <c r="E1181" s="423">
        <f>-D1181/C1180</f>
        <v>6.4308681672025719E-2</v>
      </c>
      <c r="F1181" s="344">
        <f>B1181-B1180</f>
        <v>57</v>
      </c>
      <c r="G1181" s="4"/>
      <c r="H1181" s="93"/>
      <c r="K1181" s="93"/>
      <c r="L1181" s="93"/>
      <c r="M1181" s="93"/>
      <c r="N1181" s="93"/>
      <c r="O1181" s="93"/>
      <c r="P1181" s="93"/>
      <c r="Q1181" s="93"/>
      <c r="R1181" s="93"/>
      <c r="S1181" s="93"/>
      <c r="T1181" s="93"/>
      <c r="U1181" s="93"/>
      <c r="V1181" s="93"/>
      <c r="W1181" s="93"/>
      <c r="X1181" s="93"/>
      <c r="Y1181" s="93"/>
      <c r="Z1181" s="93"/>
      <c r="AA1181" s="93"/>
      <c r="AB1181" s="93"/>
    </row>
    <row r="1182" spans="1:28" ht="12.75" customHeight="1">
      <c r="A1182" s="149" t="s">
        <v>563</v>
      </c>
      <c r="B1182" s="148">
        <v>44454</v>
      </c>
      <c r="C1182" s="356">
        <v>-3744</v>
      </c>
      <c r="D1182" s="356"/>
      <c r="E1182" s="420"/>
      <c r="F1182" s="424"/>
      <c r="G1182" s="4"/>
      <c r="H1182" s="93"/>
      <c r="K1182" s="93"/>
      <c r="L1182" s="93"/>
      <c r="M1182" s="93"/>
      <c r="N1182" s="93"/>
      <c r="O1182" s="93"/>
      <c r="P1182" s="93"/>
      <c r="Q1182" s="93"/>
      <c r="R1182" s="93"/>
      <c r="S1182" s="93"/>
      <c r="T1182" s="93"/>
      <c r="U1182" s="93"/>
      <c r="V1182" s="93"/>
      <c r="W1182" s="93"/>
      <c r="X1182" s="93"/>
      <c r="Y1182" s="93"/>
      <c r="Z1182" s="93"/>
      <c r="AA1182" s="93"/>
      <c r="AB1182" s="93"/>
    </row>
    <row r="1183" spans="1:28" ht="12.75" customHeight="1">
      <c r="A1183" s="120" t="s">
        <v>563</v>
      </c>
      <c r="B1183" s="150">
        <v>44509</v>
      </c>
      <c r="C1183" s="422">
        <v>3753</v>
      </c>
      <c r="D1183" s="422">
        <f>C1183+C1182</f>
        <v>9</v>
      </c>
      <c r="E1183" s="423">
        <f>-D1183/C1182</f>
        <v>2.403846153846154E-3</v>
      </c>
      <c r="F1183" s="344">
        <f>B1183-B1182</f>
        <v>55</v>
      </c>
      <c r="G1183" s="4"/>
      <c r="H1183" s="93"/>
      <c r="K1183" s="93"/>
      <c r="L1183" s="93"/>
      <c r="M1183" s="93"/>
      <c r="N1183" s="93"/>
      <c r="O1183" s="93"/>
      <c r="P1183" s="93"/>
      <c r="Q1183" s="93"/>
      <c r="R1183" s="93"/>
      <c r="S1183" s="93"/>
      <c r="T1183" s="93"/>
      <c r="U1183" s="93"/>
      <c r="V1183" s="93"/>
      <c r="W1183" s="93"/>
      <c r="X1183" s="93"/>
      <c r="Y1183" s="93"/>
      <c r="Z1183" s="93"/>
      <c r="AA1183" s="93"/>
      <c r="AB1183" s="93"/>
    </row>
    <row r="1184" spans="1:28" ht="12.75" customHeight="1">
      <c r="A1184" s="149" t="s">
        <v>598</v>
      </c>
      <c r="B1184" s="148">
        <v>45000</v>
      </c>
      <c r="C1184" s="356">
        <v>-4693</v>
      </c>
      <c r="D1184" s="356"/>
      <c r="E1184" s="420"/>
      <c r="F1184" s="424"/>
      <c r="G1184" s="4"/>
      <c r="H1184" s="93"/>
      <c r="K1184" s="93"/>
      <c r="L1184" s="93"/>
      <c r="M1184" s="93"/>
      <c r="N1184" s="93"/>
      <c r="O1184" s="93"/>
      <c r="P1184" s="93"/>
      <c r="Q1184" s="93"/>
      <c r="R1184" s="93"/>
      <c r="S1184" s="93"/>
      <c r="T1184" s="93"/>
      <c r="U1184" s="93"/>
      <c r="V1184" s="93"/>
      <c r="W1184" s="93"/>
      <c r="X1184" s="93"/>
      <c r="Y1184" s="93"/>
      <c r="Z1184" s="93"/>
      <c r="AA1184" s="93"/>
      <c r="AB1184" s="93"/>
    </row>
    <row r="1185" spans="1:28" ht="12.75" customHeight="1">
      <c r="A1185" s="120" t="s">
        <v>598</v>
      </c>
      <c r="B1185" s="150">
        <v>44991</v>
      </c>
      <c r="C1185" s="422">
        <v>4671</v>
      </c>
      <c r="D1185" s="422">
        <f>C1185+C1184</f>
        <v>-22</v>
      </c>
      <c r="E1185" s="423">
        <f>IFERROR(-D1185/C1184,0)</f>
        <v>-4.6878329426805884E-3</v>
      </c>
      <c r="F1185" s="344">
        <f>B1185-B1184</f>
        <v>-9</v>
      </c>
      <c r="G1185" s="4"/>
      <c r="H1185" s="93"/>
      <c r="K1185" s="93"/>
      <c r="L1185" s="93"/>
      <c r="M1185" s="93"/>
      <c r="N1185" s="93"/>
      <c r="O1185" s="93"/>
      <c r="P1185" s="93"/>
      <c r="Q1185" s="93"/>
      <c r="R1185" s="93"/>
      <c r="S1185" s="93"/>
      <c r="T1185" s="93"/>
      <c r="U1185" s="93"/>
      <c r="V1185" s="93"/>
      <c r="W1185" s="93"/>
      <c r="X1185" s="93"/>
      <c r="Y1185" s="93"/>
      <c r="Z1185" s="93"/>
      <c r="AA1185" s="93"/>
      <c r="AB1185" s="93"/>
    </row>
    <row r="1186" spans="1:28" ht="12.75" customHeight="1">
      <c r="A1186" s="149">
        <f>A560</f>
        <v>0</v>
      </c>
      <c r="B1186" s="148">
        <f>L560</f>
        <v>0</v>
      </c>
      <c r="C1186" s="356">
        <f>-K560</f>
        <v>0</v>
      </c>
      <c r="D1186" s="356"/>
      <c r="E1186" s="420"/>
      <c r="F1186" s="424"/>
      <c r="G1186" s="4"/>
      <c r="H1186" s="93"/>
      <c r="K1186" s="93"/>
      <c r="L1186" s="93"/>
      <c r="M1186" s="93"/>
      <c r="N1186" s="93"/>
      <c r="O1186" s="93"/>
      <c r="P1186" s="93"/>
      <c r="Q1186" s="93"/>
      <c r="R1186" s="93"/>
      <c r="S1186" s="93"/>
      <c r="T1186" s="93"/>
      <c r="U1186" s="93"/>
      <c r="V1186" s="93"/>
      <c r="W1186" s="93"/>
      <c r="X1186" s="93"/>
      <c r="Y1186" s="93"/>
      <c r="Z1186" s="93"/>
      <c r="AA1186" s="93"/>
      <c r="AB1186" s="93"/>
    </row>
    <row r="1187" spans="1:28" ht="12.75" customHeight="1">
      <c r="A1187" s="120">
        <f>A560</f>
        <v>0</v>
      </c>
      <c r="B1187" s="150">
        <f>Q560</f>
        <v>0</v>
      </c>
      <c r="C1187" s="422">
        <f>O560</f>
        <v>0</v>
      </c>
      <c r="D1187" s="422">
        <f>C1187+C1186</f>
        <v>0</v>
      </c>
      <c r="E1187" s="423">
        <f>IFERROR(-D1187/C1186,0)</f>
        <v>0</v>
      </c>
      <c r="F1187" s="344">
        <f>B1187-B1186</f>
        <v>0</v>
      </c>
      <c r="G1187" s="4"/>
      <c r="H1187" s="93"/>
      <c r="K1187" s="93"/>
      <c r="L1187" s="93"/>
      <c r="M1187" s="93"/>
      <c r="N1187" s="93"/>
      <c r="O1187" s="93"/>
      <c r="P1187" s="93"/>
      <c r="Q1187" s="93"/>
      <c r="R1187" s="93"/>
      <c r="S1187" s="93"/>
      <c r="T1187" s="93"/>
      <c r="U1187" s="93"/>
      <c r="V1187" s="93"/>
      <c r="W1187" s="93"/>
      <c r="X1187" s="93"/>
      <c r="Y1187" s="93"/>
      <c r="Z1187" s="93"/>
      <c r="AA1187" s="93"/>
      <c r="AB1187" s="93"/>
    </row>
    <row r="1188" spans="1:28" ht="3.75" customHeight="1">
      <c r="A1188" s="176"/>
      <c r="B1188" s="177"/>
      <c r="C1188" s="93"/>
      <c r="G1188" s="93"/>
      <c r="H1188" s="93"/>
      <c r="K1188" s="93"/>
      <c r="L1188" s="93"/>
      <c r="M1188" s="93"/>
      <c r="N1188" s="93"/>
      <c r="O1188" s="93"/>
      <c r="P1188" s="93"/>
      <c r="Q1188" s="93"/>
      <c r="R1188" s="93"/>
      <c r="S1188" s="93"/>
      <c r="T1188" s="93"/>
      <c r="U1188" s="93"/>
      <c r="V1188" s="93"/>
      <c r="W1188" s="93"/>
      <c r="X1188" s="93"/>
      <c r="Y1188" s="93"/>
      <c r="Z1188" s="93"/>
      <c r="AA1188" s="93"/>
      <c r="AB1188" s="93"/>
    </row>
    <row r="1189" spans="1:28" ht="15.75" customHeight="1">
      <c r="A1189" s="340" t="s">
        <v>422</v>
      </c>
      <c r="B1189" s="419" t="s">
        <v>1392</v>
      </c>
      <c r="C1189" s="340" t="s">
        <v>1393</v>
      </c>
      <c r="D1189" s="340" t="s">
        <v>1394</v>
      </c>
      <c r="E1189" s="340" t="s">
        <v>1395</v>
      </c>
      <c r="F1189" s="340" t="s">
        <v>1396</v>
      </c>
      <c r="G1189" s="93"/>
      <c r="H1189" s="93"/>
      <c r="M1189" s="93"/>
      <c r="O1189" s="4"/>
      <c r="P1189" s="4"/>
      <c r="Q1189" s="93"/>
      <c r="R1189" s="177"/>
      <c r="S1189" s="93"/>
      <c r="T1189" s="93"/>
      <c r="U1189" s="93"/>
      <c r="V1189" s="4"/>
      <c r="W1189" s="93"/>
      <c r="X1189" s="93"/>
      <c r="Y1189" s="93"/>
      <c r="Z1189" s="93"/>
      <c r="AA1189" s="93"/>
      <c r="AB1189" s="93"/>
    </row>
    <row r="1190" spans="1:28" ht="15.75" customHeight="1">
      <c r="A1190" s="43" t="s">
        <v>1397</v>
      </c>
      <c r="D1190" s="177">
        <f>D1191+D1192</f>
        <v>125108.9200000002</v>
      </c>
      <c r="E1190" s="433">
        <f>D1190-T562</f>
        <v>2.0372681319713593E-10</v>
      </c>
      <c r="F1190" s="316">
        <f>AVERAGE(F570:F1188)</f>
        <v>50.796116504854368</v>
      </c>
      <c r="G1190" s="4"/>
      <c r="H1190" s="4"/>
      <c r="J1190" s="4"/>
      <c r="K1190" s="4"/>
      <c r="L1190" s="4"/>
      <c r="M1190" s="4"/>
      <c r="N1190" s="4"/>
      <c r="O1190" s="4"/>
      <c r="P1190" s="4"/>
      <c r="Q1190" s="4"/>
      <c r="R1190" s="4"/>
      <c r="S1190" s="4"/>
      <c r="T1190" s="4"/>
      <c r="U1190" s="4"/>
      <c r="V1190" s="4"/>
      <c r="W1190" s="4"/>
      <c r="X1190" s="4"/>
      <c r="Y1190" s="4"/>
      <c r="Z1190" s="4"/>
      <c r="AA1190" s="4"/>
      <c r="AB1190" s="4"/>
    </row>
    <row r="1191" spans="1:28" ht="15.75" customHeight="1">
      <c r="A1191" s="93" t="s">
        <v>1398</v>
      </c>
      <c r="B1191" s="434">
        <f>SUMIF(C$570:C1188,"&gt;0")</f>
        <v>3540556.1900000004</v>
      </c>
      <c r="C1191" s="434">
        <f>-SUMIF(C$570:C1188,"&lt;0")</f>
        <v>3382377.47</v>
      </c>
      <c r="D1191" s="177">
        <f>B1191-C1191</f>
        <v>158178.7200000002</v>
      </c>
      <c r="E1191" s="435">
        <f>XIRR(C$570:C1187,B$570:B1187)</f>
        <v>0.47514149546623219</v>
      </c>
      <c r="G1191" s="4"/>
      <c r="H1191" s="4"/>
      <c r="J1191" s="4"/>
      <c r="K1191" s="4"/>
      <c r="L1191" s="4"/>
      <c r="M1191" s="4"/>
      <c r="N1191" s="4"/>
      <c r="O1191" s="4"/>
      <c r="P1191" s="4"/>
      <c r="Q1191" s="4"/>
      <c r="R1191" s="4"/>
      <c r="S1191" s="4"/>
      <c r="T1191" s="4"/>
      <c r="U1191" s="4"/>
      <c r="V1191" s="4"/>
      <c r="W1191" s="4"/>
      <c r="X1191" s="4"/>
      <c r="Y1191" s="4"/>
      <c r="Z1191" s="4"/>
      <c r="AA1191" s="4"/>
      <c r="AB1191" s="4"/>
    </row>
    <row r="1192" spans="1:28" ht="15.75" customHeight="1">
      <c r="A1192" s="93" t="s">
        <v>1399</v>
      </c>
      <c r="B1192" s="434">
        <v>29380</v>
      </c>
      <c r="C1192" s="434">
        <v>3689.8</v>
      </c>
      <c r="D1192" s="177">
        <f>-SUM(B1192:C1192)</f>
        <v>-33069.800000000003</v>
      </c>
      <c r="F1192" s="4"/>
      <c r="G1192" s="4"/>
      <c r="H1192" s="4"/>
      <c r="J1192" s="4"/>
      <c r="K1192" s="40"/>
      <c r="L1192" s="4"/>
      <c r="M1192" s="4"/>
      <c r="N1192" s="4"/>
      <c r="O1192" s="4"/>
      <c r="P1192" s="4"/>
      <c r="Q1192" s="4"/>
      <c r="R1192" s="4"/>
      <c r="S1192" s="4"/>
      <c r="T1192" s="4"/>
      <c r="U1192" s="4"/>
      <c r="V1192" s="4"/>
      <c r="W1192" s="4"/>
      <c r="X1192" s="4"/>
      <c r="Y1192" s="4"/>
      <c r="Z1192" s="4"/>
      <c r="AA1192" s="4"/>
      <c r="AB1192" s="4"/>
    </row>
  </sheetData>
  <mergeCells count="1">
    <mergeCell ref="Q566:T566"/>
  </mergeCells>
  <dataValidations count="2">
    <dataValidation type="custom" allowBlank="1" showDropDown="1" sqref="L13 L17 L19:L21 L29:L30 L36:L37 L48 L51:L53 L58 L70:L73 L76:L77 L83 L94 L125 L298 L301 L337:L338 L372:L373 L383 L402 L414:L415 L435 L438 L441 L476:L477 L510 L514 L535">
      <formula1>OR(NOT(ISERROR(DATEVALUE(L13))), AND(ISNUMBER(L13), LEFT(CELL("format", L13))="D"))</formula1>
    </dataValidation>
    <dataValidation type="list" allowBlank="1" showErrorMessage="1" sqref="Q563">
      <formula1>"Satya,Sunita"</formula1>
    </dataValidation>
  </dataValidations>
  <pageMargins left="0.7" right="0.7" top="0.75" bottom="0.75" header="0" footer="0"/>
  <pageSetup paperSize="9"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498"/>
  <sheetViews>
    <sheetView workbookViewId="0"/>
  </sheetViews>
  <sheetFormatPr baseColWidth="10" defaultColWidth="14.42578125" defaultRowHeight="15" customHeight="1" outlineLevelRow="1"/>
  <cols>
    <col min="1" max="1" width="9.28515625" customWidth="1"/>
    <col min="2" max="2" width="4.7109375" customWidth="1"/>
    <col min="3" max="5" width="9.42578125" customWidth="1"/>
    <col min="6" max="10" width="4.42578125" customWidth="1"/>
    <col min="11" max="11" width="5.85546875" customWidth="1"/>
  </cols>
  <sheetData>
    <row r="1" spans="1:26" ht="21">
      <c r="A1" s="436" t="s">
        <v>0</v>
      </c>
      <c r="B1" s="437" t="s">
        <v>1400</v>
      </c>
      <c r="C1" s="436" t="s">
        <v>904</v>
      </c>
      <c r="D1" s="438" t="s">
        <v>1401</v>
      </c>
      <c r="E1" s="436" t="s">
        <v>18</v>
      </c>
      <c r="F1" s="93"/>
      <c r="G1" s="439"/>
      <c r="H1" s="439"/>
      <c r="I1" s="439"/>
      <c r="J1" s="439"/>
      <c r="K1" s="439"/>
      <c r="L1" s="93"/>
      <c r="M1" s="93"/>
      <c r="N1" s="93"/>
      <c r="O1" s="93"/>
      <c r="P1" s="93"/>
      <c r="Q1" s="93"/>
      <c r="R1" s="93"/>
      <c r="S1" s="93"/>
      <c r="T1" s="93"/>
      <c r="U1" s="93"/>
      <c r="V1" s="93"/>
      <c r="W1" s="93"/>
      <c r="X1" s="93"/>
      <c r="Y1" s="93"/>
      <c r="Z1" s="93"/>
    </row>
    <row r="2" spans="1:26">
      <c r="A2" s="440">
        <v>44473</v>
      </c>
      <c r="B2" s="441">
        <f t="shared" ref="B2:B349" si="0">A2</f>
        <v>44473</v>
      </c>
      <c r="C2" s="408">
        <v>4825.18</v>
      </c>
      <c r="D2" s="408">
        <v>0</v>
      </c>
      <c r="E2" s="408">
        <f t="shared" ref="E2:E353" si="1">SUM(C2:D2)</f>
        <v>4825.18</v>
      </c>
      <c r="F2" s="93"/>
      <c r="G2" s="439"/>
      <c r="H2" s="439"/>
      <c r="I2" s="439"/>
      <c r="J2" s="439"/>
      <c r="K2" s="439"/>
      <c r="L2" s="93"/>
      <c r="M2" s="93"/>
      <c r="N2" s="93"/>
      <c r="O2" s="93"/>
      <c r="P2" s="93"/>
      <c r="Q2" s="93"/>
      <c r="R2" s="93"/>
      <c r="S2" s="93"/>
      <c r="T2" s="93"/>
      <c r="U2" s="93"/>
      <c r="V2" s="93"/>
      <c r="W2" s="93"/>
      <c r="X2" s="93"/>
      <c r="Y2" s="93"/>
      <c r="Z2" s="93"/>
    </row>
    <row r="3" spans="1:26">
      <c r="A3" s="440">
        <v>44474</v>
      </c>
      <c r="B3" s="442">
        <f t="shared" si="0"/>
        <v>44474</v>
      </c>
      <c r="C3" s="408">
        <v>-92.8</v>
      </c>
      <c r="D3" s="408">
        <v>0</v>
      </c>
      <c r="E3" s="408">
        <f t="shared" si="1"/>
        <v>-92.8</v>
      </c>
      <c r="F3" s="93"/>
      <c r="G3" s="439"/>
      <c r="H3" s="439"/>
      <c r="I3" s="439"/>
      <c r="J3" s="439"/>
      <c r="K3" s="439"/>
      <c r="L3" s="93"/>
      <c r="M3" s="93"/>
      <c r="N3" s="93"/>
      <c r="O3" s="93"/>
      <c r="P3" s="93"/>
      <c r="Q3" s="93"/>
      <c r="R3" s="93"/>
      <c r="S3" s="93"/>
      <c r="T3" s="93"/>
      <c r="U3" s="93"/>
      <c r="V3" s="93"/>
      <c r="W3" s="93"/>
      <c r="X3" s="93"/>
      <c r="Y3" s="93"/>
      <c r="Z3" s="93"/>
    </row>
    <row r="4" spans="1:26">
      <c r="A4" s="440">
        <v>44475</v>
      </c>
      <c r="B4" s="442">
        <f t="shared" si="0"/>
        <v>44475</v>
      </c>
      <c r="C4" s="408">
        <v>3310.65</v>
      </c>
      <c r="D4" s="408">
        <v>0</v>
      </c>
      <c r="E4" s="408">
        <f t="shared" si="1"/>
        <v>3310.65</v>
      </c>
      <c r="F4" s="93"/>
      <c r="G4" s="439"/>
      <c r="H4" s="439"/>
      <c r="I4" s="439"/>
      <c r="J4" s="439"/>
      <c r="K4" s="439"/>
      <c r="L4" s="93"/>
      <c r="M4" s="93"/>
      <c r="N4" s="93"/>
      <c r="O4" s="93"/>
      <c r="P4" s="93"/>
      <c r="Q4" s="93"/>
      <c r="R4" s="93"/>
      <c r="S4" s="93"/>
      <c r="T4" s="93"/>
      <c r="U4" s="93"/>
      <c r="V4" s="93"/>
      <c r="W4" s="93"/>
      <c r="X4" s="93"/>
      <c r="Y4" s="93"/>
      <c r="Z4" s="93"/>
    </row>
    <row r="5" spans="1:26">
      <c r="A5" s="440">
        <v>44480</v>
      </c>
      <c r="B5" s="442">
        <f t="shared" si="0"/>
        <v>44480</v>
      </c>
      <c r="C5" s="408">
        <v>1407.56</v>
      </c>
      <c r="D5" s="408">
        <v>0</v>
      </c>
      <c r="E5" s="408">
        <f t="shared" si="1"/>
        <v>1407.56</v>
      </c>
      <c r="F5" s="93"/>
      <c r="G5" s="439"/>
      <c r="H5" s="439"/>
      <c r="I5" s="439"/>
      <c r="J5" s="439"/>
      <c r="K5" s="439"/>
      <c r="L5" s="93"/>
      <c r="M5" s="93"/>
      <c r="N5" s="93"/>
      <c r="O5" s="93"/>
      <c r="P5" s="93"/>
      <c r="Q5" s="93"/>
      <c r="R5" s="93"/>
      <c r="S5" s="93"/>
      <c r="T5" s="93"/>
      <c r="U5" s="93"/>
      <c r="V5" s="93"/>
      <c r="W5" s="93"/>
      <c r="X5" s="93"/>
      <c r="Y5" s="93"/>
      <c r="Z5" s="93"/>
    </row>
    <row r="6" spans="1:26">
      <c r="A6" s="440">
        <v>44481</v>
      </c>
      <c r="B6" s="442">
        <f t="shared" si="0"/>
        <v>44481</v>
      </c>
      <c r="C6" s="408">
        <v>1109.6000000000001</v>
      </c>
      <c r="D6" s="408">
        <v>0</v>
      </c>
      <c r="E6" s="408">
        <f t="shared" si="1"/>
        <v>1109.6000000000001</v>
      </c>
      <c r="F6" s="93"/>
      <c r="G6" s="439"/>
      <c r="H6" s="439"/>
      <c r="I6" s="439"/>
      <c r="J6" s="439"/>
      <c r="K6" s="439"/>
      <c r="L6" s="93"/>
      <c r="M6" s="93"/>
      <c r="N6" s="93"/>
      <c r="O6" s="93"/>
      <c r="P6" s="93"/>
      <c r="Q6" s="93"/>
      <c r="R6" s="93"/>
      <c r="S6" s="93"/>
      <c r="T6" s="93"/>
      <c r="U6" s="93"/>
      <c r="V6" s="93"/>
      <c r="W6" s="93"/>
      <c r="X6" s="93"/>
      <c r="Y6" s="93"/>
      <c r="Z6" s="93"/>
    </row>
    <row r="7" spans="1:26">
      <c r="A7" s="440">
        <v>44482</v>
      </c>
      <c r="B7" s="442">
        <f t="shared" si="0"/>
        <v>44482</v>
      </c>
      <c r="C7" s="408">
        <v>1409.58</v>
      </c>
      <c r="D7" s="408">
        <v>0</v>
      </c>
      <c r="E7" s="408">
        <f t="shared" si="1"/>
        <v>1409.58</v>
      </c>
      <c r="F7" s="93"/>
      <c r="G7" s="439"/>
      <c r="H7" s="439"/>
      <c r="I7" s="439"/>
      <c r="J7" s="439"/>
      <c r="K7" s="439"/>
      <c r="L7" s="93"/>
      <c r="M7" s="93"/>
      <c r="N7" s="93"/>
      <c r="O7" s="93"/>
      <c r="P7" s="93"/>
      <c r="Q7" s="93"/>
      <c r="R7" s="93"/>
      <c r="S7" s="93"/>
      <c r="T7" s="93"/>
      <c r="U7" s="93"/>
      <c r="V7" s="93"/>
      <c r="W7" s="93"/>
      <c r="X7" s="93"/>
      <c r="Y7" s="93"/>
      <c r="Z7" s="93"/>
    </row>
    <row r="8" spans="1:26">
      <c r="A8" s="440">
        <v>44483</v>
      </c>
      <c r="B8" s="442">
        <f t="shared" si="0"/>
        <v>44483</v>
      </c>
      <c r="C8" s="408">
        <v>1797.34</v>
      </c>
      <c r="D8" s="408">
        <v>0</v>
      </c>
      <c r="E8" s="408">
        <f t="shared" si="1"/>
        <v>1797.34</v>
      </c>
      <c r="F8" s="93"/>
      <c r="G8" s="439"/>
      <c r="H8" s="439"/>
      <c r="I8" s="439"/>
      <c r="J8" s="439"/>
      <c r="K8" s="439"/>
      <c r="L8" s="93"/>
      <c r="M8" s="93"/>
      <c r="N8" s="93"/>
      <c r="O8" s="93"/>
      <c r="P8" s="93"/>
      <c r="Q8" s="93"/>
      <c r="R8" s="93"/>
      <c r="S8" s="93"/>
      <c r="T8" s="93"/>
      <c r="U8" s="93"/>
      <c r="V8" s="93"/>
      <c r="W8" s="93"/>
      <c r="X8" s="93"/>
      <c r="Y8" s="93"/>
      <c r="Z8" s="93"/>
    </row>
    <row r="9" spans="1:26">
      <c r="A9" s="440">
        <v>44487</v>
      </c>
      <c r="B9" s="442">
        <f t="shared" si="0"/>
        <v>44487</v>
      </c>
      <c r="C9" s="408">
        <v>410.82</v>
      </c>
      <c r="D9" s="408">
        <v>0</v>
      </c>
      <c r="E9" s="408">
        <f t="shared" si="1"/>
        <v>410.82</v>
      </c>
      <c r="F9" s="93"/>
      <c r="G9" s="439"/>
      <c r="H9" s="439"/>
      <c r="I9" s="439"/>
      <c r="J9" s="439"/>
      <c r="K9" s="439"/>
      <c r="L9" s="93"/>
      <c r="M9" s="93"/>
      <c r="N9" s="93"/>
      <c r="O9" s="93"/>
      <c r="P9" s="93"/>
      <c r="Q9" s="93"/>
      <c r="R9" s="93"/>
      <c r="S9" s="93"/>
      <c r="T9" s="93"/>
      <c r="U9" s="93"/>
      <c r="V9" s="93"/>
      <c r="W9" s="93"/>
      <c r="X9" s="93"/>
      <c r="Y9" s="93"/>
      <c r="Z9" s="93"/>
    </row>
    <row r="10" spans="1:26">
      <c r="A10" s="440">
        <v>44488</v>
      </c>
      <c r="B10" s="442">
        <f t="shared" si="0"/>
        <v>44488</v>
      </c>
      <c r="C10" s="408">
        <v>1522.62</v>
      </c>
      <c r="D10" s="408">
        <v>0</v>
      </c>
      <c r="E10" s="408">
        <f t="shared" si="1"/>
        <v>1522.62</v>
      </c>
      <c r="F10" s="93"/>
      <c r="G10" s="439"/>
      <c r="H10" s="439"/>
      <c r="I10" s="439"/>
      <c r="J10" s="439"/>
      <c r="K10" s="439"/>
      <c r="L10" s="93"/>
      <c r="M10" s="93"/>
      <c r="N10" s="93"/>
      <c r="O10" s="93"/>
      <c r="P10" s="93"/>
      <c r="Q10" s="93"/>
      <c r="R10" s="93"/>
      <c r="S10" s="93"/>
      <c r="T10" s="93"/>
      <c r="U10" s="93"/>
      <c r="V10" s="93"/>
      <c r="W10" s="93"/>
      <c r="X10" s="93"/>
      <c r="Y10" s="93"/>
      <c r="Z10" s="93"/>
    </row>
    <row r="11" spans="1:26">
      <c r="A11" s="440">
        <v>44494</v>
      </c>
      <c r="B11" s="442">
        <f t="shared" si="0"/>
        <v>44494</v>
      </c>
      <c r="C11" s="408">
        <v>523.52</v>
      </c>
      <c r="D11" s="408">
        <v>0</v>
      </c>
      <c r="E11" s="408">
        <f t="shared" si="1"/>
        <v>523.52</v>
      </c>
      <c r="F11" s="93"/>
      <c r="G11" s="439"/>
      <c r="H11" s="439"/>
      <c r="I11" s="439"/>
      <c r="J11" s="439"/>
      <c r="K11" s="439"/>
      <c r="L11" s="93"/>
      <c r="M11" s="93"/>
      <c r="N11" s="93"/>
      <c r="O11" s="93"/>
      <c r="P11" s="93"/>
      <c r="Q11" s="93"/>
      <c r="R11" s="93"/>
      <c r="S11" s="93"/>
      <c r="T11" s="93"/>
      <c r="U11" s="93"/>
      <c r="V11" s="93"/>
      <c r="W11" s="93"/>
      <c r="X11" s="93"/>
      <c r="Y11" s="93"/>
      <c r="Z11" s="93"/>
    </row>
    <row r="12" spans="1:26">
      <c r="A12" s="440">
        <v>44495</v>
      </c>
      <c r="B12" s="442">
        <f t="shared" si="0"/>
        <v>44495</v>
      </c>
      <c r="C12" s="408">
        <v>416.49</v>
      </c>
      <c r="D12" s="408">
        <v>0</v>
      </c>
      <c r="E12" s="408">
        <f t="shared" si="1"/>
        <v>416.49</v>
      </c>
      <c r="F12" s="93"/>
      <c r="G12" s="439"/>
      <c r="H12" s="439"/>
      <c r="I12" s="439"/>
      <c r="J12" s="439"/>
      <c r="K12" s="439"/>
      <c r="L12" s="93"/>
      <c r="M12" s="93"/>
      <c r="N12" s="93"/>
      <c r="O12" s="93"/>
      <c r="P12" s="93"/>
      <c r="Q12" s="93"/>
      <c r="R12" s="93"/>
      <c r="S12" s="93"/>
      <c r="T12" s="93"/>
      <c r="U12" s="93"/>
      <c r="V12" s="93"/>
      <c r="W12" s="93"/>
      <c r="X12" s="93"/>
      <c r="Y12" s="93"/>
      <c r="Z12" s="93"/>
    </row>
    <row r="13" spans="1:26">
      <c r="A13" s="440">
        <v>44496</v>
      </c>
      <c r="B13" s="442">
        <f t="shared" si="0"/>
        <v>44496</v>
      </c>
      <c r="C13" s="408">
        <v>0</v>
      </c>
      <c r="D13" s="408">
        <v>-833.93</v>
      </c>
      <c r="E13" s="408">
        <f t="shared" si="1"/>
        <v>-833.93</v>
      </c>
      <c r="F13" s="93"/>
      <c r="G13" s="439"/>
      <c r="H13" s="439"/>
      <c r="I13" s="439"/>
      <c r="J13" s="439"/>
      <c r="K13" s="439"/>
      <c r="L13" s="93"/>
      <c r="M13" s="93"/>
      <c r="N13" s="93"/>
      <c r="O13" s="93"/>
      <c r="P13" s="93"/>
      <c r="Q13" s="93"/>
      <c r="R13" s="93"/>
      <c r="S13" s="93"/>
      <c r="T13" s="93"/>
      <c r="U13" s="93"/>
      <c r="V13" s="93"/>
      <c r="W13" s="93"/>
      <c r="X13" s="93"/>
      <c r="Y13" s="93"/>
      <c r="Z13" s="93"/>
    </row>
    <row r="14" spans="1:26">
      <c r="A14" s="440">
        <v>44502</v>
      </c>
      <c r="B14" s="442">
        <f t="shared" si="0"/>
        <v>44502</v>
      </c>
      <c r="C14" s="408">
        <v>918.13</v>
      </c>
      <c r="D14" s="408">
        <v>0</v>
      </c>
      <c r="E14" s="408">
        <f t="shared" si="1"/>
        <v>918.13</v>
      </c>
      <c r="F14" s="93"/>
      <c r="G14" s="439"/>
      <c r="H14" s="439"/>
      <c r="I14" s="439"/>
      <c r="J14" s="439"/>
      <c r="K14" s="439"/>
      <c r="L14" s="93"/>
      <c r="M14" s="93"/>
      <c r="N14" s="93"/>
      <c r="O14" s="93"/>
      <c r="P14" s="93"/>
      <c r="Q14" s="93"/>
      <c r="R14" s="93"/>
      <c r="S14" s="93"/>
      <c r="T14" s="93"/>
      <c r="U14" s="93"/>
      <c r="V14" s="93"/>
      <c r="W14" s="93"/>
      <c r="X14" s="93"/>
      <c r="Y14" s="93"/>
      <c r="Z14" s="93"/>
    </row>
    <row r="15" spans="1:26">
      <c r="A15" s="440">
        <v>44509</v>
      </c>
      <c r="B15" s="442">
        <f t="shared" si="0"/>
        <v>44509</v>
      </c>
      <c r="C15" s="408">
        <v>0</v>
      </c>
      <c r="D15" s="408">
        <v>0</v>
      </c>
      <c r="E15" s="408">
        <f t="shared" si="1"/>
        <v>0</v>
      </c>
      <c r="F15" s="93"/>
      <c r="G15" s="439"/>
      <c r="H15" s="439"/>
      <c r="I15" s="439"/>
      <c r="J15" s="439"/>
      <c r="K15" s="439"/>
      <c r="L15" s="93"/>
      <c r="M15" s="93"/>
      <c r="N15" s="93"/>
      <c r="O15" s="93"/>
      <c r="P15" s="93"/>
      <c r="Q15" s="93"/>
      <c r="R15" s="93"/>
      <c r="S15" s="93"/>
      <c r="T15" s="93"/>
      <c r="U15" s="93"/>
      <c r="V15" s="93"/>
      <c r="W15" s="93"/>
      <c r="X15" s="93"/>
      <c r="Y15" s="93"/>
      <c r="Z15" s="93"/>
    </row>
    <row r="16" spans="1:26">
      <c r="A16" s="440">
        <v>44510</v>
      </c>
      <c r="B16" s="442">
        <f t="shared" si="0"/>
        <v>44510</v>
      </c>
      <c r="C16" s="408">
        <v>0</v>
      </c>
      <c r="D16" s="408">
        <v>-306</v>
      </c>
      <c r="E16" s="408">
        <f t="shared" si="1"/>
        <v>-306</v>
      </c>
      <c r="F16" s="93"/>
      <c r="G16" s="439"/>
      <c r="H16" s="439"/>
      <c r="I16" s="439"/>
      <c r="J16" s="439"/>
      <c r="K16" s="439"/>
      <c r="L16" s="93"/>
      <c r="M16" s="93"/>
      <c r="N16" s="93"/>
      <c r="O16" s="93"/>
      <c r="P16" s="93"/>
      <c r="Q16" s="93"/>
      <c r="R16" s="93"/>
      <c r="S16" s="93"/>
      <c r="T16" s="93"/>
      <c r="U16" s="93"/>
      <c r="V16" s="93"/>
      <c r="W16" s="93"/>
      <c r="X16" s="93"/>
      <c r="Y16" s="93"/>
      <c r="Z16" s="93"/>
    </row>
    <row r="17" spans="1:26">
      <c r="A17" s="440">
        <v>44512</v>
      </c>
      <c r="B17" s="442">
        <f t="shared" si="0"/>
        <v>44512</v>
      </c>
      <c r="C17" s="408">
        <v>273.36</v>
      </c>
      <c r="D17" s="408">
        <v>547</v>
      </c>
      <c r="E17" s="408">
        <f t="shared" si="1"/>
        <v>820.36</v>
      </c>
      <c r="F17" s="93"/>
      <c r="G17" s="439"/>
      <c r="H17" s="439"/>
      <c r="I17" s="439"/>
      <c r="J17" s="439"/>
      <c r="K17" s="439"/>
      <c r="L17" s="93"/>
      <c r="M17" s="93"/>
      <c r="N17" s="93"/>
      <c r="O17" s="93"/>
      <c r="P17" s="93"/>
      <c r="Q17" s="93"/>
      <c r="R17" s="93"/>
      <c r="S17" s="93"/>
      <c r="T17" s="93"/>
      <c r="U17" s="93"/>
      <c r="V17" s="93"/>
      <c r="W17" s="93"/>
      <c r="X17" s="93"/>
      <c r="Y17" s="93"/>
      <c r="Z17" s="93"/>
    </row>
    <row r="18" spans="1:26">
      <c r="A18" s="440">
        <v>44515</v>
      </c>
      <c r="B18" s="442">
        <f t="shared" si="0"/>
        <v>44515</v>
      </c>
      <c r="C18" s="408">
        <v>502.83</v>
      </c>
      <c r="D18" s="408">
        <v>1593.07</v>
      </c>
      <c r="E18" s="408">
        <f t="shared" si="1"/>
        <v>2095.9</v>
      </c>
      <c r="F18" s="93"/>
      <c r="G18" s="439"/>
      <c r="H18" s="439"/>
      <c r="I18" s="439"/>
      <c r="J18" s="439"/>
      <c r="K18" s="439"/>
      <c r="L18" s="93"/>
      <c r="M18" s="93"/>
      <c r="N18" s="93"/>
      <c r="O18" s="93"/>
      <c r="P18" s="93"/>
      <c r="Q18" s="93"/>
      <c r="R18" s="93"/>
      <c r="S18" s="93"/>
      <c r="T18" s="93"/>
      <c r="U18" s="93"/>
      <c r="V18" s="93"/>
      <c r="W18" s="93"/>
      <c r="X18" s="93"/>
      <c r="Y18" s="93"/>
      <c r="Z18" s="93"/>
    </row>
    <row r="19" spans="1:26">
      <c r="A19" s="440">
        <v>44525</v>
      </c>
      <c r="B19" s="442">
        <f t="shared" si="0"/>
        <v>44525</v>
      </c>
      <c r="C19" s="408">
        <v>769.26</v>
      </c>
      <c r="D19" s="408">
        <v>0</v>
      </c>
      <c r="E19" s="408">
        <f t="shared" si="1"/>
        <v>769.26</v>
      </c>
      <c r="F19" s="93"/>
      <c r="G19" s="439"/>
      <c r="H19" s="439"/>
      <c r="I19" s="439"/>
      <c r="J19" s="439"/>
      <c r="K19" s="439"/>
      <c r="L19" s="93"/>
      <c r="M19" s="93"/>
      <c r="N19" s="93"/>
      <c r="O19" s="93"/>
      <c r="P19" s="93"/>
      <c r="Q19" s="93"/>
      <c r="R19" s="93"/>
      <c r="S19" s="93"/>
      <c r="T19" s="93"/>
      <c r="U19" s="93"/>
      <c r="V19" s="93"/>
      <c r="W19" s="93"/>
      <c r="X19" s="93"/>
      <c r="Y19" s="93"/>
      <c r="Z19" s="93"/>
    </row>
    <row r="20" spans="1:26">
      <c r="A20" s="440">
        <v>44526</v>
      </c>
      <c r="B20" s="442">
        <f t="shared" si="0"/>
        <v>44526</v>
      </c>
      <c r="C20" s="408">
        <v>439.59</v>
      </c>
      <c r="D20" s="408">
        <v>0</v>
      </c>
      <c r="E20" s="408">
        <f t="shared" si="1"/>
        <v>439.59</v>
      </c>
      <c r="F20" s="93"/>
      <c r="G20" s="439"/>
      <c r="H20" s="439"/>
      <c r="I20" s="439"/>
      <c r="J20" s="439"/>
      <c r="K20" s="439"/>
      <c r="L20" s="93"/>
      <c r="M20" s="93"/>
      <c r="N20" s="93"/>
      <c r="O20" s="93"/>
      <c r="P20" s="93"/>
      <c r="Q20" s="93"/>
      <c r="R20" s="93"/>
      <c r="S20" s="93"/>
      <c r="T20" s="93"/>
      <c r="U20" s="93"/>
      <c r="V20" s="93"/>
      <c r="W20" s="93"/>
      <c r="X20" s="93"/>
      <c r="Y20" s="93"/>
      <c r="Z20" s="93"/>
    </row>
    <row r="21" spans="1:26" ht="15.75" customHeight="1">
      <c r="A21" s="440">
        <v>44529</v>
      </c>
      <c r="B21" s="442">
        <f t="shared" si="0"/>
        <v>44529</v>
      </c>
      <c r="C21" s="408">
        <v>0</v>
      </c>
      <c r="D21" s="408">
        <v>0</v>
      </c>
      <c r="E21" s="408">
        <f t="shared" si="1"/>
        <v>0</v>
      </c>
      <c r="F21" s="93"/>
      <c r="G21" s="439"/>
      <c r="H21" s="439"/>
      <c r="I21" s="439"/>
      <c r="J21" s="439"/>
      <c r="K21" s="439"/>
      <c r="L21" s="93"/>
      <c r="M21" s="93"/>
      <c r="N21" s="93"/>
      <c r="O21" s="93"/>
      <c r="P21" s="93"/>
      <c r="Q21" s="93"/>
      <c r="R21" s="93"/>
      <c r="S21" s="93"/>
      <c r="T21" s="93"/>
      <c r="U21" s="93"/>
      <c r="V21" s="93"/>
      <c r="W21" s="93"/>
      <c r="X21" s="93"/>
      <c r="Y21" s="93"/>
      <c r="Z21" s="93"/>
    </row>
    <row r="22" spans="1:26" ht="15.75" customHeight="1">
      <c r="A22" s="440">
        <v>44530</v>
      </c>
      <c r="B22" s="442">
        <f t="shared" si="0"/>
        <v>44530</v>
      </c>
      <c r="C22" s="408">
        <v>1638.71</v>
      </c>
      <c r="D22" s="408">
        <v>0</v>
      </c>
      <c r="E22" s="408">
        <f t="shared" si="1"/>
        <v>1638.71</v>
      </c>
      <c r="F22" s="93"/>
      <c r="G22" s="439"/>
      <c r="H22" s="439"/>
      <c r="I22" s="439"/>
      <c r="J22" s="439"/>
      <c r="K22" s="439"/>
      <c r="L22" s="93"/>
      <c r="M22" s="93"/>
      <c r="N22" s="93"/>
      <c r="O22" s="93"/>
      <c r="P22" s="93"/>
      <c r="Q22" s="93"/>
      <c r="R22" s="93"/>
      <c r="S22" s="93"/>
      <c r="T22" s="93"/>
      <c r="U22" s="93"/>
      <c r="V22" s="93"/>
      <c r="W22" s="93"/>
      <c r="X22" s="93"/>
      <c r="Y22" s="93"/>
      <c r="Z22" s="93"/>
    </row>
    <row r="23" spans="1:26" ht="15.75" customHeight="1">
      <c r="A23" s="440">
        <v>44531</v>
      </c>
      <c r="B23" s="442">
        <f t="shared" si="0"/>
        <v>44531</v>
      </c>
      <c r="C23" s="408">
        <v>1724.31</v>
      </c>
      <c r="D23" s="408">
        <v>0</v>
      </c>
      <c r="E23" s="408">
        <f t="shared" si="1"/>
        <v>1724.31</v>
      </c>
      <c r="F23" s="93"/>
      <c r="G23" s="439"/>
      <c r="H23" s="439"/>
      <c r="I23" s="439"/>
      <c r="J23" s="439"/>
      <c r="K23" s="439"/>
      <c r="L23" s="93"/>
      <c r="M23" s="93"/>
      <c r="N23" s="93"/>
      <c r="O23" s="93"/>
      <c r="P23" s="93"/>
      <c r="Q23" s="93"/>
      <c r="R23" s="93"/>
      <c r="S23" s="93"/>
      <c r="T23" s="93"/>
      <c r="U23" s="93"/>
      <c r="V23" s="93"/>
      <c r="W23" s="93"/>
      <c r="X23" s="93"/>
      <c r="Y23" s="93"/>
      <c r="Z23" s="93"/>
    </row>
    <row r="24" spans="1:26" ht="15.75" customHeight="1">
      <c r="A24" s="440">
        <v>44532</v>
      </c>
      <c r="B24" s="442">
        <f t="shared" si="0"/>
        <v>44532</v>
      </c>
      <c r="C24" s="408">
        <v>566.97</v>
      </c>
      <c r="D24" s="408">
        <v>0</v>
      </c>
      <c r="E24" s="408">
        <f t="shared" si="1"/>
        <v>566.97</v>
      </c>
      <c r="F24" s="93"/>
      <c r="G24" s="439"/>
      <c r="H24" s="439"/>
      <c r="I24" s="439"/>
      <c r="J24" s="439"/>
      <c r="K24" s="439"/>
      <c r="L24" s="93"/>
      <c r="M24" s="93"/>
      <c r="N24" s="93"/>
      <c r="O24" s="93"/>
      <c r="P24" s="93"/>
      <c r="Q24" s="93"/>
      <c r="R24" s="93"/>
      <c r="S24" s="93"/>
      <c r="T24" s="93"/>
      <c r="U24" s="93"/>
      <c r="V24" s="93"/>
      <c r="W24" s="93"/>
      <c r="X24" s="93"/>
      <c r="Y24" s="93"/>
      <c r="Z24" s="93"/>
    </row>
    <row r="25" spans="1:26" ht="15.75" customHeight="1">
      <c r="A25" s="440">
        <v>44533</v>
      </c>
      <c r="B25" s="442">
        <f t="shared" si="0"/>
        <v>44533</v>
      </c>
      <c r="C25" s="408">
        <v>879.18</v>
      </c>
      <c r="D25" s="408">
        <v>0</v>
      </c>
      <c r="E25" s="408">
        <f t="shared" si="1"/>
        <v>879.18</v>
      </c>
      <c r="F25" s="93"/>
      <c r="G25" s="439"/>
      <c r="H25" s="439"/>
      <c r="I25" s="439"/>
      <c r="J25" s="439"/>
      <c r="K25" s="439"/>
      <c r="L25" s="93"/>
      <c r="M25" s="93"/>
      <c r="N25" s="93"/>
      <c r="O25" s="93"/>
      <c r="P25" s="93"/>
      <c r="Q25" s="93"/>
      <c r="R25" s="93"/>
      <c r="S25" s="93"/>
      <c r="T25" s="93"/>
      <c r="U25" s="93"/>
      <c r="V25" s="93"/>
      <c r="W25" s="93"/>
      <c r="X25" s="93"/>
      <c r="Y25" s="93"/>
      <c r="Z25" s="93"/>
    </row>
    <row r="26" spans="1:26" ht="15.75" customHeight="1">
      <c r="A26" s="440">
        <v>44538</v>
      </c>
      <c r="B26" s="442">
        <f t="shared" si="0"/>
        <v>44538</v>
      </c>
      <c r="C26" s="408">
        <v>418</v>
      </c>
      <c r="D26" s="408">
        <v>0</v>
      </c>
      <c r="E26" s="408">
        <f t="shared" si="1"/>
        <v>418</v>
      </c>
      <c r="F26" s="93"/>
      <c r="G26" s="439"/>
      <c r="H26" s="439"/>
      <c r="I26" s="439"/>
      <c r="J26" s="439"/>
      <c r="K26" s="439"/>
      <c r="L26" s="93"/>
      <c r="M26" s="93"/>
      <c r="N26" s="93"/>
      <c r="O26" s="93"/>
      <c r="P26" s="93"/>
      <c r="Q26" s="93"/>
      <c r="R26" s="93"/>
      <c r="S26" s="93"/>
      <c r="T26" s="93"/>
      <c r="U26" s="93"/>
      <c r="V26" s="93"/>
      <c r="W26" s="93"/>
      <c r="X26" s="93"/>
      <c r="Y26" s="93"/>
      <c r="Z26" s="93"/>
    </row>
    <row r="27" spans="1:26" ht="15.75" customHeight="1">
      <c r="A27" s="440">
        <v>44543</v>
      </c>
      <c r="B27" s="442">
        <f t="shared" si="0"/>
        <v>44543</v>
      </c>
      <c r="C27" s="408">
        <v>0</v>
      </c>
      <c r="D27" s="408">
        <v>-228.93</v>
      </c>
      <c r="E27" s="408">
        <f t="shared" si="1"/>
        <v>-228.93</v>
      </c>
      <c r="F27" s="93"/>
      <c r="G27" s="439"/>
      <c r="H27" s="439"/>
      <c r="I27" s="439"/>
      <c r="J27" s="439"/>
      <c r="K27" s="439"/>
      <c r="L27" s="93"/>
      <c r="M27" s="93"/>
      <c r="N27" s="93"/>
      <c r="O27" s="93"/>
      <c r="P27" s="93"/>
      <c r="Q27" s="93"/>
      <c r="R27" s="93"/>
      <c r="S27" s="93"/>
      <c r="T27" s="93"/>
      <c r="U27" s="93"/>
      <c r="V27" s="93"/>
      <c r="W27" s="93"/>
      <c r="X27" s="93"/>
      <c r="Y27" s="93"/>
      <c r="Z27" s="93"/>
    </row>
    <row r="28" spans="1:26" ht="15.75" customHeight="1">
      <c r="A28" s="440">
        <v>44544</v>
      </c>
      <c r="B28" s="442">
        <f t="shared" si="0"/>
        <v>44544</v>
      </c>
      <c r="C28" s="408">
        <v>1571.02</v>
      </c>
      <c r="D28" s="408">
        <v>0</v>
      </c>
      <c r="E28" s="408">
        <f t="shared" si="1"/>
        <v>1571.02</v>
      </c>
      <c r="F28" s="93"/>
      <c r="G28" s="439"/>
      <c r="H28" s="439"/>
      <c r="I28" s="439"/>
      <c r="J28" s="439"/>
      <c r="K28" s="439"/>
      <c r="L28" s="93"/>
      <c r="M28" s="93"/>
      <c r="N28" s="93"/>
      <c r="O28" s="93"/>
      <c r="P28" s="93"/>
      <c r="Q28" s="93"/>
      <c r="R28" s="93"/>
      <c r="S28" s="93"/>
      <c r="T28" s="93"/>
      <c r="U28" s="93"/>
      <c r="V28" s="93"/>
      <c r="W28" s="93"/>
      <c r="X28" s="93"/>
      <c r="Y28" s="93"/>
      <c r="Z28" s="93"/>
    </row>
    <row r="29" spans="1:26" ht="15.75" customHeight="1">
      <c r="A29" s="440">
        <v>44545</v>
      </c>
      <c r="B29" s="442">
        <f t="shared" si="0"/>
        <v>44545</v>
      </c>
      <c r="C29" s="408">
        <v>0</v>
      </c>
      <c r="D29" s="408">
        <v>711.07</v>
      </c>
      <c r="E29" s="408">
        <f t="shared" si="1"/>
        <v>711.07</v>
      </c>
      <c r="F29" s="93"/>
      <c r="G29" s="439"/>
      <c r="H29" s="439"/>
      <c r="I29" s="439"/>
      <c r="J29" s="439"/>
      <c r="K29" s="439"/>
      <c r="L29" s="93"/>
      <c r="M29" s="93"/>
      <c r="N29" s="93"/>
      <c r="O29" s="93"/>
      <c r="P29" s="93"/>
      <c r="Q29" s="93"/>
      <c r="R29" s="93"/>
      <c r="S29" s="93"/>
      <c r="T29" s="93"/>
      <c r="U29" s="93"/>
      <c r="V29" s="93"/>
      <c r="W29" s="93"/>
      <c r="X29" s="93"/>
      <c r="Y29" s="93"/>
      <c r="Z29" s="93"/>
    </row>
    <row r="30" spans="1:26" ht="15.75" customHeight="1">
      <c r="A30" s="440">
        <v>44546</v>
      </c>
      <c r="B30" s="442">
        <f t="shared" si="0"/>
        <v>44546</v>
      </c>
      <c r="C30" s="408">
        <v>416.33</v>
      </c>
      <c r="D30" s="408">
        <v>0</v>
      </c>
      <c r="E30" s="408">
        <f t="shared" si="1"/>
        <v>416.33</v>
      </c>
      <c r="F30" s="93"/>
      <c r="G30" s="439"/>
      <c r="H30" s="439"/>
      <c r="I30" s="439"/>
      <c r="J30" s="439"/>
      <c r="K30" s="439"/>
      <c r="L30" s="93"/>
      <c r="M30" s="93"/>
      <c r="N30" s="93"/>
      <c r="O30" s="93"/>
      <c r="P30" s="93"/>
      <c r="Q30" s="93"/>
      <c r="R30" s="93"/>
      <c r="S30" s="93"/>
      <c r="T30" s="93"/>
      <c r="U30" s="93"/>
      <c r="V30" s="93"/>
      <c r="W30" s="93"/>
      <c r="X30" s="93"/>
      <c r="Y30" s="93"/>
      <c r="Z30" s="93"/>
    </row>
    <row r="31" spans="1:26" ht="15.75" customHeight="1">
      <c r="A31" s="440">
        <v>44547</v>
      </c>
      <c r="B31" s="442">
        <f t="shared" si="0"/>
        <v>44547</v>
      </c>
      <c r="C31" s="408">
        <v>730.1</v>
      </c>
      <c r="D31" s="408">
        <v>0</v>
      </c>
      <c r="E31" s="408">
        <f t="shared" si="1"/>
        <v>730.1</v>
      </c>
      <c r="F31" s="93"/>
      <c r="G31" s="439"/>
      <c r="H31" s="439"/>
      <c r="I31" s="439"/>
      <c r="J31" s="439"/>
      <c r="K31" s="439"/>
      <c r="L31" s="93"/>
      <c r="M31" s="93"/>
      <c r="N31" s="93"/>
      <c r="O31" s="93"/>
      <c r="P31" s="93"/>
      <c r="Q31" s="93"/>
      <c r="R31" s="93"/>
      <c r="S31" s="93"/>
      <c r="T31" s="93"/>
      <c r="U31" s="93"/>
      <c r="V31" s="93"/>
      <c r="W31" s="93"/>
      <c r="X31" s="93"/>
      <c r="Y31" s="93"/>
      <c r="Z31" s="93"/>
    </row>
    <row r="32" spans="1:26" ht="15.75" customHeight="1">
      <c r="A32" s="440">
        <v>44550</v>
      </c>
      <c r="B32" s="442">
        <f t="shared" si="0"/>
        <v>44550</v>
      </c>
      <c r="C32" s="408">
        <v>3773.22</v>
      </c>
      <c r="D32" s="408">
        <v>1564.07</v>
      </c>
      <c r="E32" s="408">
        <f t="shared" si="1"/>
        <v>5337.29</v>
      </c>
      <c r="F32" s="93"/>
      <c r="G32" s="439"/>
      <c r="H32" s="439"/>
      <c r="I32" s="439"/>
      <c r="J32" s="439"/>
      <c r="K32" s="439"/>
      <c r="L32" s="93"/>
      <c r="M32" s="93"/>
      <c r="N32" s="93"/>
      <c r="O32" s="93"/>
      <c r="P32" s="93"/>
      <c r="Q32" s="93"/>
      <c r="R32" s="93"/>
      <c r="S32" s="93"/>
      <c r="T32" s="93"/>
      <c r="U32" s="93"/>
      <c r="V32" s="93"/>
      <c r="W32" s="93"/>
      <c r="X32" s="93"/>
      <c r="Y32" s="93"/>
      <c r="Z32" s="93"/>
    </row>
    <row r="33" spans="1:26" ht="15.75" customHeight="1">
      <c r="A33" s="440">
        <v>44551</v>
      </c>
      <c r="B33" s="442">
        <f t="shared" si="0"/>
        <v>44551</v>
      </c>
      <c r="C33" s="408">
        <v>1570.47</v>
      </c>
      <c r="D33" s="408">
        <v>0</v>
      </c>
      <c r="E33" s="408">
        <f t="shared" si="1"/>
        <v>1570.47</v>
      </c>
      <c r="F33" s="93"/>
      <c r="G33" s="439"/>
      <c r="H33" s="439"/>
      <c r="I33" s="439"/>
      <c r="J33" s="439"/>
      <c r="K33" s="439"/>
      <c r="L33" s="93"/>
      <c r="M33" s="93"/>
      <c r="N33" s="93"/>
      <c r="O33" s="93"/>
      <c r="P33" s="93"/>
      <c r="Q33" s="93"/>
      <c r="R33" s="93"/>
      <c r="S33" s="93"/>
      <c r="T33" s="93"/>
      <c r="U33" s="93"/>
      <c r="V33" s="93"/>
      <c r="W33" s="93"/>
      <c r="X33" s="93"/>
      <c r="Y33" s="93"/>
      <c r="Z33" s="93"/>
    </row>
    <row r="34" spans="1:26" ht="15.75" customHeight="1">
      <c r="A34" s="440">
        <v>44552</v>
      </c>
      <c r="B34" s="442">
        <f t="shared" si="0"/>
        <v>44552</v>
      </c>
      <c r="C34" s="408">
        <v>374.82</v>
      </c>
      <c r="D34" s="408">
        <v>367.07</v>
      </c>
      <c r="E34" s="408">
        <f t="shared" si="1"/>
        <v>741.89</v>
      </c>
      <c r="F34" s="93"/>
      <c r="G34" s="439"/>
      <c r="H34" s="439"/>
      <c r="I34" s="439"/>
      <c r="J34" s="439"/>
      <c r="K34" s="439"/>
      <c r="L34" s="93"/>
      <c r="M34" s="93"/>
      <c r="N34" s="93"/>
      <c r="O34" s="93"/>
      <c r="P34" s="93"/>
      <c r="Q34" s="93"/>
      <c r="R34" s="93"/>
      <c r="S34" s="93"/>
      <c r="T34" s="93"/>
      <c r="U34" s="93"/>
      <c r="V34" s="93"/>
      <c r="W34" s="93"/>
      <c r="X34" s="93"/>
      <c r="Y34" s="93"/>
      <c r="Z34" s="93"/>
    </row>
    <row r="35" spans="1:26" ht="15.75" customHeight="1">
      <c r="A35" s="440">
        <v>44553</v>
      </c>
      <c r="B35" s="442">
        <f t="shared" si="0"/>
        <v>44553</v>
      </c>
      <c r="C35" s="408">
        <v>0</v>
      </c>
      <c r="D35" s="408">
        <v>361.07</v>
      </c>
      <c r="E35" s="408">
        <f t="shared" si="1"/>
        <v>361.07</v>
      </c>
      <c r="F35" s="93"/>
      <c r="G35" s="439"/>
      <c r="H35" s="439"/>
      <c r="I35" s="439"/>
      <c r="J35" s="439"/>
      <c r="K35" s="439"/>
      <c r="L35" s="93"/>
      <c r="M35" s="93"/>
      <c r="N35" s="93"/>
      <c r="O35" s="93"/>
      <c r="P35" s="93"/>
      <c r="Q35" s="93"/>
      <c r="R35" s="93"/>
      <c r="S35" s="93"/>
      <c r="T35" s="93"/>
      <c r="U35" s="93"/>
      <c r="V35" s="93"/>
      <c r="W35" s="93"/>
      <c r="X35" s="93"/>
      <c r="Y35" s="93"/>
      <c r="Z35" s="93"/>
    </row>
    <row r="36" spans="1:26" ht="15.75" customHeight="1">
      <c r="A36" s="440">
        <v>44554</v>
      </c>
      <c r="B36" s="442">
        <f t="shared" si="0"/>
        <v>44554</v>
      </c>
      <c r="C36" s="408">
        <v>0</v>
      </c>
      <c r="D36" s="408">
        <v>0</v>
      </c>
      <c r="E36" s="408">
        <f t="shared" si="1"/>
        <v>0</v>
      </c>
      <c r="F36" s="93"/>
      <c r="G36" s="439"/>
      <c r="H36" s="439"/>
      <c r="I36" s="439"/>
      <c r="J36" s="439"/>
      <c r="K36" s="439"/>
      <c r="L36" s="93"/>
      <c r="M36" s="93"/>
      <c r="N36" s="93"/>
      <c r="O36" s="93"/>
      <c r="P36" s="93"/>
      <c r="Q36" s="93"/>
      <c r="R36" s="93"/>
      <c r="S36" s="93"/>
      <c r="T36" s="93"/>
      <c r="U36" s="93"/>
      <c r="V36" s="93"/>
      <c r="W36" s="93"/>
      <c r="X36" s="93"/>
      <c r="Y36" s="93"/>
      <c r="Z36" s="93"/>
    </row>
    <row r="37" spans="1:26" ht="15.75" customHeight="1">
      <c r="A37" s="440">
        <v>44559</v>
      </c>
      <c r="B37" s="442">
        <f t="shared" si="0"/>
        <v>44559</v>
      </c>
      <c r="C37" s="408">
        <v>601.42999999999995</v>
      </c>
      <c r="D37" s="408">
        <v>0</v>
      </c>
      <c r="E37" s="408">
        <f t="shared" si="1"/>
        <v>601.42999999999995</v>
      </c>
      <c r="F37" s="93"/>
      <c r="G37" s="439"/>
      <c r="H37" s="439"/>
      <c r="I37" s="439"/>
      <c r="J37" s="439"/>
      <c r="K37" s="439"/>
      <c r="L37" s="93"/>
      <c r="M37" s="93"/>
      <c r="N37" s="93"/>
      <c r="O37" s="93"/>
      <c r="P37" s="93"/>
      <c r="Q37" s="93"/>
      <c r="R37" s="93"/>
      <c r="S37" s="93"/>
      <c r="T37" s="93"/>
      <c r="U37" s="93"/>
      <c r="V37" s="93"/>
      <c r="W37" s="93"/>
      <c r="X37" s="93"/>
      <c r="Y37" s="93"/>
      <c r="Z37" s="93"/>
    </row>
    <row r="38" spans="1:26" ht="15.75" customHeight="1">
      <c r="A38" s="440">
        <v>44561</v>
      </c>
      <c r="B38" s="442">
        <f t="shared" si="0"/>
        <v>44561</v>
      </c>
      <c r="C38" s="408">
        <v>26.79</v>
      </c>
      <c r="D38" s="408">
        <v>0</v>
      </c>
      <c r="E38" s="408">
        <f t="shared" si="1"/>
        <v>26.79</v>
      </c>
      <c r="F38" s="93"/>
      <c r="G38" s="439"/>
      <c r="H38" s="439"/>
      <c r="I38" s="439"/>
      <c r="J38" s="439"/>
      <c r="K38" s="439"/>
      <c r="L38" s="93"/>
      <c r="M38" s="93"/>
      <c r="N38" s="93"/>
      <c r="O38" s="93"/>
      <c r="P38" s="93"/>
      <c r="Q38" s="93"/>
      <c r="R38" s="93"/>
      <c r="S38" s="93"/>
      <c r="T38" s="93"/>
      <c r="U38" s="93"/>
      <c r="V38" s="93"/>
      <c r="W38" s="93"/>
      <c r="X38" s="93"/>
      <c r="Y38" s="93"/>
      <c r="Z38" s="93"/>
    </row>
    <row r="39" spans="1:26" ht="15.75" customHeight="1">
      <c r="A39" s="440">
        <v>44564</v>
      </c>
      <c r="B39" s="442">
        <f t="shared" si="0"/>
        <v>44564</v>
      </c>
      <c r="C39" s="408">
        <v>0</v>
      </c>
      <c r="D39" s="408">
        <v>77.069999999999993</v>
      </c>
      <c r="E39" s="408">
        <f t="shared" si="1"/>
        <v>77.069999999999993</v>
      </c>
      <c r="F39" s="93"/>
      <c r="G39" s="439"/>
      <c r="H39" s="439"/>
      <c r="I39" s="439"/>
      <c r="J39" s="439"/>
      <c r="K39" s="439"/>
      <c r="L39" s="93"/>
      <c r="M39" s="93"/>
      <c r="N39" s="93"/>
      <c r="O39" s="93"/>
      <c r="P39" s="93"/>
      <c r="Q39" s="93"/>
      <c r="R39" s="93"/>
      <c r="S39" s="93"/>
      <c r="T39" s="93"/>
      <c r="U39" s="93"/>
      <c r="V39" s="93"/>
      <c r="W39" s="93"/>
      <c r="X39" s="93"/>
      <c r="Y39" s="93"/>
      <c r="Z39" s="93"/>
    </row>
    <row r="40" spans="1:26" ht="15.75" customHeight="1">
      <c r="A40" s="440">
        <v>44565</v>
      </c>
      <c r="B40" s="442">
        <f t="shared" si="0"/>
        <v>44565</v>
      </c>
      <c r="C40" s="408">
        <v>1519.71</v>
      </c>
      <c r="D40" s="408">
        <v>0</v>
      </c>
      <c r="E40" s="408">
        <f t="shared" si="1"/>
        <v>1519.71</v>
      </c>
      <c r="F40" s="93"/>
      <c r="G40" s="439"/>
      <c r="H40" s="439"/>
      <c r="I40" s="439"/>
      <c r="J40" s="439"/>
      <c r="K40" s="439"/>
      <c r="L40" s="93"/>
      <c r="M40" s="93"/>
      <c r="N40" s="93"/>
      <c r="O40" s="93"/>
      <c r="P40" s="93"/>
      <c r="Q40" s="93"/>
      <c r="R40" s="93"/>
      <c r="S40" s="93"/>
      <c r="T40" s="93"/>
      <c r="U40" s="93"/>
      <c r="V40" s="93"/>
      <c r="W40" s="93"/>
      <c r="X40" s="93"/>
      <c r="Y40" s="93"/>
      <c r="Z40" s="93"/>
    </row>
    <row r="41" spans="1:26" ht="15.75" customHeight="1">
      <c r="A41" s="440">
        <v>44566</v>
      </c>
      <c r="B41" s="442">
        <f t="shared" si="0"/>
        <v>44566</v>
      </c>
      <c r="C41" s="408">
        <v>0</v>
      </c>
      <c r="D41" s="408">
        <v>430.07</v>
      </c>
      <c r="E41" s="408">
        <f t="shared" si="1"/>
        <v>430.07</v>
      </c>
      <c r="F41" s="93"/>
      <c r="G41" s="439"/>
      <c r="H41" s="439"/>
      <c r="I41" s="439"/>
      <c r="J41" s="439"/>
      <c r="K41" s="439"/>
      <c r="L41" s="93"/>
      <c r="M41" s="93"/>
      <c r="N41" s="93"/>
      <c r="O41" s="93"/>
      <c r="P41" s="93"/>
      <c r="Q41" s="93"/>
      <c r="R41" s="93"/>
      <c r="S41" s="93"/>
      <c r="T41" s="93"/>
      <c r="U41" s="93"/>
      <c r="V41" s="93"/>
      <c r="W41" s="93"/>
      <c r="X41" s="93"/>
      <c r="Y41" s="93"/>
      <c r="Z41" s="93"/>
    </row>
    <row r="42" spans="1:26" ht="15.75" customHeight="1">
      <c r="A42" s="440">
        <v>44567</v>
      </c>
      <c r="B42" s="442">
        <f t="shared" si="0"/>
        <v>44567</v>
      </c>
      <c r="C42" s="408">
        <v>3017.38</v>
      </c>
      <c r="D42" s="408">
        <v>609</v>
      </c>
      <c r="E42" s="408">
        <f t="shared" si="1"/>
        <v>3626.38</v>
      </c>
      <c r="F42" s="93"/>
      <c r="G42" s="439"/>
      <c r="H42" s="439"/>
      <c r="I42" s="439"/>
      <c r="J42" s="439"/>
      <c r="K42" s="439"/>
      <c r="L42" s="93"/>
      <c r="M42" s="93"/>
      <c r="N42" s="93"/>
      <c r="O42" s="93"/>
      <c r="P42" s="93"/>
      <c r="Q42" s="93"/>
      <c r="R42" s="93"/>
      <c r="S42" s="93"/>
      <c r="T42" s="93"/>
      <c r="U42" s="93"/>
      <c r="V42" s="93"/>
      <c r="W42" s="93"/>
      <c r="X42" s="93"/>
      <c r="Y42" s="93"/>
      <c r="Z42" s="93"/>
    </row>
    <row r="43" spans="1:26" ht="15.75" customHeight="1">
      <c r="A43" s="440">
        <v>44568</v>
      </c>
      <c r="B43" s="442">
        <f t="shared" si="0"/>
        <v>44568</v>
      </c>
      <c r="C43" s="408">
        <v>566.16999999999996</v>
      </c>
      <c r="D43" s="408">
        <v>0</v>
      </c>
      <c r="E43" s="408">
        <f t="shared" si="1"/>
        <v>566.16999999999996</v>
      </c>
      <c r="F43" s="93"/>
      <c r="G43" s="439"/>
      <c r="H43" s="439"/>
      <c r="I43" s="439"/>
      <c r="J43" s="439"/>
      <c r="K43" s="439"/>
      <c r="L43" s="93"/>
      <c r="M43" s="93"/>
      <c r="N43" s="93"/>
      <c r="O43" s="93"/>
      <c r="P43" s="93"/>
      <c r="Q43" s="93"/>
      <c r="R43" s="93"/>
      <c r="S43" s="93"/>
      <c r="T43" s="93"/>
      <c r="U43" s="93"/>
      <c r="V43" s="93"/>
      <c r="W43" s="93"/>
      <c r="X43" s="93"/>
      <c r="Y43" s="93"/>
      <c r="Z43" s="93"/>
    </row>
    <row r="44" spans="1:26" ht="15.75" customHeight="1">
      <c r="A44" s="440">
        <v>44571</v>
      </c>
      <c r="B44" s="442">
        <f t="shared" si="0"/>
        <v>44571</v>
      </c>
      <c r="C44" s="408">
        <v>259.83</v>
      </c>
      <c r="D44" s="408">
        <v>173.07</v>
      </c>
      <c r="E44" s="408">
        <f t="shared" si="1"/>
        <v>432.9</v>
      </c>
      <c r="F44" s="93"/>
      <c r="G44" s="439"/>
      <c r="H44" s="439"/>
      <c r="I44" s="439"/>
      <c r="J44" s="439"/>
      <c r="K44" s="439"/>
      <c r="L44" s="93"/>
      <c r="M44" s="93"/>
      <c r="N44" s="93"/>
      <c r="O44" s="93"/>
      <c r="P44" s="93"/>
      <c r="Q44" s="93"/>
      <c r="R44" s="93"/>
      <c r="S44" s="93"/>
      <c r="T44" s="93"/>
      <c r="U44" s="93"/>
      <c r="V44" s="93"/>
      <c r="W44" s="93"/>
      <c r="X44" s="93"/>
      <c r="Y44" s="93"/>
      <c r="Z44" s="93"/>
    </row>
    <row r="45" spans="1:26" ht="15.75" customHeight="1">
      <c r="A45" s="440">
        <v>44572</v>
      </c>
      <c r="B45" s="442">
        <f t="shared" si="0"/>
        <v>44572</v>
      </c>
      <c r="C45" s="408">
        <v>86.12</v>
      </c>
      <c r="D45" s="408">
        <v>0</v>
      </c>
      <c r="E45" s="408">
        <f t="shared" si="1"/>
        <v>86.12</v>
      </c>
      <c r="F45" s="93"/>
      <c r="G45" s="439"/>
      <c r="H45" s="439"/>
      <c r="I45" s="439"/>
      <c r="J45" s="439"/>
      <c r="K45" s="439"/>
      <c r="L45" s="93"/>
      <c r="M45" s="93"/>
      <c r="N45" s="93"/>
      <c r="O45" s="93"/>
      <c r="P45" s="93"/>
      <c r="Q45" s="93"/>
      <c r="R45" s="93"/>
      <c r="S45" s="93"/>
      <c r="T45" s="93"/>
      <c r="U45" s="93"/>
      <c r="V45" s="93"/>
      <c r="W45" s="93"/>
      <c r="X45" s="93"/>
      <c r="Y45" s="93"/>
      <c r="Z45" s="93"/>
    </row>
    <row r="46" spans="1:26" ht="15.75" customHeight="1">
      <c r="A46" s="440">
        <v>44573</v>
      </c>
      <c r="B46" s="442">
        <f t="shared" si="0"/>
        <v>44573</v>
      </c>
      <c r="C46" s="408">
        <v>39.229999999999997</v>
      </c>
      <c r="D46" s="408">
        <v>0</v>
      </c>
      <c r="E46" s="408">
        <f t="shared" si="1"/>
        <v>39.229999999999997</v>
      </c>
      <c r="F46" s="93"/>
      <c r="G46" s="439"/>
      <c r="H46" s="439"/>
      <c r="I46" s="439"/>
      <c r="J46" s="439"/>
      <c r="K46" s="439"/>
      <c r="L46" s="93"/>
      <c r="M46" s="93"/>
      <c r="N46" s="93"/>
      <c r="O46" s="93"/>
      <c r="P46" s="93"/>
      <c r="Q46" s="93"/>
      <c r="R46" s="93"/>
      <c r="S46" s="93"/>
      <c r="T46" s="93"/>
      <c r="U46" s="93"/>
      <c r="V46" s="93"/>
      <c r="W46" s="93"/>
      <c r="X46" s="93"/>
      <c r="Y46" s="93"/>
      <c r="Z46" s="93"/>
    </row>
    <row r="47" spans="1:26" ht="15.75" customHeight="1">
      <c r="A47" s="440">
        <v>44574</v>
      </c>
      <c r="B47" s="442">
        <f t="shared" si="0"/>
        <v>44574</v>
      </c>
      <c r="C47" s="408">
        <v>82.92</v>
      </c>
      <c r="D47" s="408">
        <v>0</v>
      </c>
      <c r="E47" s="408">
        <f t="shared" si="1"/>
        <v>82.92</v>
      </c>
      <c r="F47" s="93"/>
      <c r="G47" s="439"/>
      <c r="H47" s="439"/>
      <c r="I47" s="439"/>
      <c r="J47" s="439"/>
      <c r="K47" s="439"/>
      <c r="L47" s="93"/>
      <c r="M47" s="93"/>
      <c r="N47" s="93"/>
      <c r="O47" s="93"/>
      <c r="P47" s="93"/>
      <c r="Q47" s="93"/>
      <c r="R47" s="93"/>
      <c r="S47" s="93"/>
      <c r="T47" s="93"/>
      <c r="U47" s="93"/>
      <c r="V47" s="93"/>
      <c r="W47" s="93"/>
      <c r="X47" s="93"/>
      <c r="Y47" s="93"/>
      <c r="Z47" s="93"/>
    </row>
    <row r="48" spans="1:26" ht="15.75" customHeight="1">
      <c r="A48" s="440">
        <v>44575</v>
      </c>
      <c r="B48" s="442">
        <f t="shared" si="0"/>
        <v>44575</v>
      </c>
      <c r="C48" s="408">
        <v>427.71</v>
      </c>
      <c r="D48" s="408">
        <v>761.06999999999971</v>
      </c>
      <c r="E48" s="408">
        <f t="shared" si="1"/>
        <v>1188.7799999999997</v>
      </c>
      <c r="F48" s="93"/>
      <c r="G48" s="439"/>
      <c r="H48" s="439"/>
      <c r="I48" s="439"/>
      <c r="J48" s="439"/>
      <c r="K48" s="439"/>
      <c r="L48" s="93"/>
      <c r="M48" s="93"/>
      <c r="N48" s="93"/>
      <c r="O48" s="93"/>
      <c r="P48" s="93"/>
      <c r="Q48" s="93"/>
      <c r="R48" s="93"/>
      <c r="S48" s="93"/>
      <c r="T48" s="93"/>
      <c r="U48" s="93"/>
      <c r="V48" s="93"/>
      <c r="W48" s="93"/>
      <c r="X48" s="93"/>
      <c r="Y48" s="93"/>
      <c r="Z48" s="93"/>
    </row>
    <row r="49" spans="1:26" ht="15.75" customHeight="1">
      <c r="A49" s="440">
        <v>44578</v>
      </c>
      <c r="B49" s="442">
        <f t="shared" si="0"/>
        <v>44578</v>
      </c>
      <c r="C49" s="408">
        <v>962.64</v>
      </c>
      <c r="D49" s="408">
        <v>0</v>
      </c>
      <c r="E49" s="408">
        <f t="shared" si="1"/>
        <v>962.64</v>
      </c>
      <c r="F49" s="93"/>
      <c r="G49" s="439"/>
      <c r="H49" s="439"/>
      <c r="I49" s="439"/>
      <c r="J49" s="439"/>
      <c r="K49" s="439"/>
      <c r="L49" s="93"/>
      <c r="M49" s="93"/>
      <c r="N49" s="93"/>
      <c r="O49" s="93"/>
      <c r="P49" s="93"/>
      <c r="Q49" s="93"/>
      <c r="R49" s="93"/>
      <c r="S49" s="93"/>
      <c r="T49" s="93"/>
      <c r="U49" s="93"/>
      <c r="V49" s="93"/>
      <c r="W49" s="93"/>
      <c r="X49" s="93"/>
      <c r="Y49" s="93"/>
      <c r="Z49" s="93"/>
    </row>
    <row r="50" spans="1:26" ht="15.75" customHeight="1">
      <c r="A50" s="440">
        <v>44579</v>
      </c>
      <c r="B50" s="442">
        <f t="shared" si="0"/>
        <v>44579</v>
      </c>
      <c r="C50" s="408">
        <v>139.18000000000029</v>
      </c>
      <c r="D50" s="408">
        <v>703.14</v>
      </c>
      <c r="E50" s="408">
        <f t="shared" si="1"/>
        <v>842.32000000000028</v>
      </c>
      <c r="F50" s="93"/>
      <c r="G50" s="439"/>
      <c r="H50" s="439"/>
      <c r="I50" s="439"/>
      <c r="J50" s="439"/>
      <c r="K50" s="439"/>
      <c r="L50" s="93"/>
      <c r="M50" s="93"/>
      <c r="N50" s="93"/>
      <c r="O50" s="93"/>
      <c r="P50" s="93"/>
      <c r="Q50" s="93"/>
      <c r="R50" s="93"/>
      <c r="S50" s="93"/>
      <c r="T50" s="93"/>
      <c r="U50" s="93"/>
      <c r="V50" s="93"/>
      <c r="W50" s="93"/>
      <c r="X50" s="93"/>
      <c r="Y50" s="93"/>
      <c r="Z50" s="93"/>
    </row>
    <row r="51" spans="1:26" ht="15.75" customHeight="1">
      <c r="A51" s="440">
        <v>44580</v>
      </c>
      <c r="B51" s="442">
        <f t="shared" si="0"/>
        <v>44580</v>
      </c>
      <c r="C51" s="408">
        <v>3699.2299999999959</v>
      </c>
      <c r="D51" s="408">
        <v>3211.0699999999997</v>
      </c>
      <c r="E51" s="408">
        <f t="shared" si="1"/>
        <v>6910.2999999999956</v>
      </c>
      <c r="F51" s="93"/>
      <c r="G51" s="439"/>
      <c r="H51" s="439"/>
      <c r="I51" s="439"/>
      <c r="J51" s="439"/>
      <c r="K51" s="439"/>
      <c r="L51" s="93"/>
      <c r="M51" s="93"/>
      <c r="N51" s="93"/>
      <c r="O51" s="93"/>
      <c r="P51" s="93"/>
      <c r="Q51" s="93"/>
      <c r="R51" s="93"/>
      <c r="S51" s="93"/>
      <c r="T51" s="93"/>
      <c r="U51" s="93"/>
      <c r="V51" s="93"/>
      <c r="W51" s="93"/>
      <c r="X51" s="93"/>
      <c r="Y51" s="93"/>
      <c r="Z51" s="93"/>
    </row>
    <row r="52" spans="1:26" ht="15.75" customHeight="1">
      <c r="A52" s="440">
        <v>44581</v>
      </c>
      <c r="B52" s="442">
        <f t="shared" si="0"/>
        <v>44581</v>
      </c>
      <c r="C52" s="408">
        <v>2508.85</v>
      </c>
      <c r="D52" s="408">
        <v>0</v>
      </c>
      <c r="E52" s="408">
        <f t="shared" si="1"/>
        <v>2508.85</v>
      </c>
      <c r="F52" s="93"/>
      <c r="G52" s="439"/>
      <c r="H52" s="439"/>
      <c r="I52" s="439"/>
      <c r="J52" s="439"/>
      <c r="K52" s="439"/>
      <c r="L52" s="93"/>
      <c r="M52" s="93"/>
      <c r="N52" s="93"/>
      <c r="O52" s="93"/>
      <c r="P52" s="93"/>
      <c r="Q52" s="93"/>
      <c r="R52" s="93"/>
      <c r="S52" s="93"/>
      <c r="T52" s="93"/>
      <c r="U52" s="93"/>
      <c r="V52" s="93"/>
      <c r="W52" s="93"/>
      <c r="X52" s="93"/>
      <c r="Y52" s="93"/>
      <c r="Z52" s="93"/>
    </row>
    <row r="53" spans="1:26" ht="15.75" customHeight="1">
      <c r="A53" s="440">
        <v>44582</v>
      </c>
      <c r="B53" s="442">
        <f t="shared" si="0"/>
        <v>44582</v>
      </c>
      <c r="C53" s="408">
        <v>299.04000000000002</v>
      </c>
      <c r="D53" s="408">
        <v>0</v>
      </c>
      <c r="E53" s="408">
        <f t="shared" si="1"/>
        <v>299.04000000000002</v>
      </c>
      <c r="F53" s="93"/>
      <c r="G53" s="439"/>
      <c r="H53" s="439"/>
      <c r="I53" s="439"/>
      <c r="J53" s="439"/>
      <c r="K53" s="439"/>
      <c r="L53" s="93"/>
      <c r="M53" s="93"/>
      <c r="N53" s="93"/>
      <c r="O53" s="93"/>
      <c r="P53" s="93"/>
      <c r="Q53" s="93"/>
      <c r="R53" s="93"/>
      <c r="S53" s="93"/>
      <c r="T53" s="93"/>
      <c r="U53" s="93"/>
      <c r="V53" s="93"/>
      <c r="W53" s="93"/>
      <c r="X53" s="93"/>
      <c r="Y53" s="93"/>
      <c r="Z53" s="93"/>
    </row>
    <row r="54" spans="1:26" ht="15.75" customHeight="1">
      <c r="A54" s="440">
        <v>44585</v>
      </c>
      <c r="B54" s="442">
        <f t="shared" si="0"/>
        <v>44585</v>
      </c>
      <c r="C54" s="408">
        <v>1611.1200000000026</v>
      </c>
      <c r="D54" s="408">
        <v>0</v>
      </c>
      <c r="E54" s="408">
        <f t="shared" si="1"/>
        <v>1611.1200000000026</v>
      </c>
      <c r="F54" s="93"/>
      <c r="G54" s="439"/>
      <c r="H54" s="439"/>
      <c r="I54" s="439"/>
      <c r="J54" s="439"/>
      <c r="K54" s="439"/>
      <c r="L54" s="93"/>
      <c r="M54" s="93"/>
      <c r="N54" s="93"/>
      <c r="O54" s="93"/>
      <c r="P54" s="93"/>
      <c r="Q54" s="93"/>
      <c r="R54" s="93"/>
      <c r="S54" s="93"/>
      <c r="T54" s="93"/>
      <c r="U54" s="93"/>
      <c r="V54" s="93"/>
      <c r="W54" s="93"/>
      <c r="X54" s="93"/>
      <c r="Y54" s="93"/>
      <c r="Z54" s="93"/>
    </row>
    <row r="55" spans="1:26" ht="15.75" customHeight="1">
      <c r="A55" s="440">
        <v>44586</v>
      </c>
      <c r="B55" s="442">
        <f t="shared" si="0"/>
        <v>44586</v>
      </c>
      <c r="C55" s="408">
        <v>488.96</v>
      </c>
      <c r="D55" s="408">
        <v>0</v>
      </c>
      <c r="E55" s="408">
        <f t="shared" si="1"/>
        <v>488.96</v>
      </c>
      <c r="F55" s="93"/>
      <c r="G55" s="439"/>
      <c r="H55" s="439"/>
      <c r="I55" s="439"/>
      <c r="J55" s="439"/>
      <c r="K55" s="439"/>
      <c r="L55" s="93"/>
      <c r="M55" s="93"/>
      <c r="N55" s="93"/>
      <c r="O55" s="93"/>
      <c r="P55" s="93"/>
      <c r="Q55" s="93"/>
      <c r="R55" s="93"/>
      <c r="S55" s="93"/>
      <c r="T55" s="93"/>
      <c r="U55" s="93"/>
      <c r="V55" s="93"/>
      <c r="W55" s="93"/>
      <c r="X55" s="93"/>
      <c r="Y55" s="93"/>
      <c r="Z55" s="93"/>
    </row>
    <row r="56" spans="1:26" ht="15.75" customHeight="1">
      <c r="A56" s="440">
        <v>44588</v>
      </c>
      <c r="B56" s="442">
        <f t="shared" si="0"/>
        <v>44588</v>
      </c>
      <c r="C56" s="408">
        <v>1207.6200000000026</v>
      </c>
      <c r="D56" s="408">
        <v>0</v>
      </c>
      <c r="E56" s="408">
        <f t="shared" si="1"/>
        <v>1207.6200000000026</v>
      </c>
      <c r="F56" s="93"/>
      <c r="G56" s="439"/>
      <c r="H56" s="439"/>
      <c r="I56" s="439"/>
      <c r="J56" s="439"/>
      <c r="K56" s="439"/>
      <c r="L56" s="93"/>
      <c r="M56" s="93"/>
      <c r="N56" s="93"/>
      <c r="O56" s="93"/>
      <c r="P56" s="93"/>
      <c r="Q56" s="93"/>
      <c r="R56" s="93"/>
      <c r="S56" s="93"/>
      <c r="T56" s="93"/>
      <c r="U56" s="93"/>
      <c r="V56" s="93"/>
      <c r="W56" s="93"/>
      <c r="X56" s="93"/>
      <c r="Y56" s="93"/>
      <c r="Z56" s="93"/>
    </row>
    <row r="57" spans="1:26" ht="15.75" customHeight="1">
      <c r="A57" s="440">
        <v>44589</v>
      </c>
      <c r="B57" s="442">
        <f t="shared" si="0"/>
        <v>44589</v>
      </c>
      <c r="C57" s="408">
        <v>1375.6200000000026</v>
      </c>
      <c r="D57" s="408">
        <v>0</v>
      </c>
      <c r="E57" s="408">
        <f t="shared" si="1"/>
        <v>1375.6200000000026</v>
      </c>
      <c r="F57" s="93"/>
      <c r="G57" s="439"/>
      <c r="H57" s="439"/>
      <c r="I57" s="439"/>
      <c r="J57" s="439"/>
      <c r="K57" s="439"/>
      <c r="L57" s="93"/>
      <c r="M57" s="93"/>
      <c r="N57" s="93"/>
      <c r="O57" s="93"/>
      <c r="P57" s="93"/>
      <c r="Q57" s="93"/>
      <c r="R57" s="93"/>
      <c r="S57" s="93"/>
      <c r="T57" s="93"/>
      <c r="U57" s="93"/>
      <c r="V57" s="93"/>
      <c r="W57" s="93"/>
      <c r="X57" s="93"/>
      <c r="Y57" s="93"/>
      <c r="Z57" s="93"/>
    </row>
    <row r="58" spans="1:26" ht="15.75" customHeight="1">
      <c r="A58" s="440">
        <v>44592</v>
      </c>
      <c r="B58" s="442">
        <f t="shared" si="0"/>
        <v>44592</v>
      </c>
      <c r="C58" s="408">
        <v>217.58</v>
      </c>
      <c r="D58" s="408">
        <v>0</v>
      </c>
      <c r="E58" s="408">
        <f t="shared" si="1"/>
        <v>217.58</v>
      </c>
      <c r="F58" s="93"/>
      <c r="G58" s="439"/>
      <c r="H58" s="439"/>
      <c r="I58" s="439"/>
      <c r="J58" s="439"/>
      <c r="K58" s="439"/>
      <c r="L58" s="93"/>
      <c r="M58" s="93"/>
      <c r="N58" s="93"/>
      <c r="O58" s="93"/>
      <c r="P58" s="93"/>
      <c r="Q58" s="93"/>
      <c r="R58" s="93"/>
      <c r="S58" s="93"/>
      <c r="T58" s="93"/>
      <c r="U58" s="93"/>
      <c r="V58" s="93"/>
      <c r="W58" s="93"/>
      <c r="X58" s="93"/>
      <c r="Y58" s="93"/>
      <c r="Z58" s="93"/>
    </row>
    <row r="59" spans="1:26" ht="15.75" customHeight="1">
      <c r="A59" s="440">
        <v>44593</v>
      </c>
      <c r="B59" s="442">
        <f t="shared" si="0"/>
        <v>44593</v>
      </c>
      <c r="C59" s="408">
        <v>378.48</v>
      </c>
      <c r="D59" s="408">
        <v>0</v>
      </c>
      <c r="E59" s="408">
        <f t="shared" si="1"/>
        <v>378.48</v>
      </c>
      <c r="F59" s="93"/>
      <c r="G59" s="439"/>
      <c r="H59" s="439"/>
      <c r="I59" s="439"/>
      <c r="J59" s="439"/>
      <c r="K59" s="439"/>
      <c r="L59" s="93"/>
      <c r="M59" s="93"/>
      <c r="N59" s="93"/>
      <c r="O59" s="93"/>
      <c r="P59" s="93"/>
      <c r="Q59" s="93"/>
      <c r="R59" s="93"/>
      <c r="S59" s="93"/>
      <c r="T59" s="93"/>
      <c r="U59" s="93"/>
      <c r="V59" s="93"/>
      <c r="W59" s="93"/>
      <c r="X59" s="93"/>
      <c r="Y59" s="93"/>
      <c r="Z59" s="93"/>
    </row>
    <row r="60" spans="1:26" ht="15.75" customHeight="1">
      <c r="A60" s="440">
        <v>44594</v>
      </c>
      <c r="B60" s="442">
        <f t="shared" si="0"/>
        <v>44594</v>
      </c>
      <c r="C60" s="408">
        <v>1060.8399999999965</v>
      </c>
      <c r="D60" s="408">
        <v>0</v>
      </c>
      <c r="E60" s="408">
        <f t="shared" si="1"/>
        <v>1060.8399999999965</v>
      </c>
      <c r="F60" s="93"/>
      <c r="G60" s="439"/>
      <c r="H60" s="439"/>
      <c r="I60" s="439"/>
      <c r="J60" s="439"/>
      <c r="K60" s="439"/>
      <c r="L60" s="93"/>
      <c r="M60" s="93"/>
      <c r="N60" s="93"/>
      <c r="O60" s="93"/>
      <c r="P60" s="93"/>
      <c r="Q60" s="93"/>
      <c r="R60" s="93"/>
      <c r="S60" s="93"/>
      <c r="T60" s="93"/>
      <c r="U60" s="93"/>
      <c r="V60" s="93"/>
      <c r="W60" s="93"/>
      <c r="X60" s="93"/>
      <c r="Y60" s="93"/>
      <c r="Z60" s="93"/>
    </row>
    <row r="61" spans="1:26" ht="15.75" customHeight="1">
      <c r="A61" s="440">
        <v>44595</v>
      </c>
      <c r="B61" s="442">
        <f t="shared" si="0"/>
        <v>44595</v>
      </c>
      <c r="C61" s="408">
        <v>1004.06</v>
      </c>
      <c r="D61" s="408">
        <v>0</v>
      </c>
      <c r="E61" s="408">
        <f t="shared" si="1"/>
        <v>1004.06</v>
      </c>
      <c r="F61" s="93"/>
      <c r="G61" s="439"/>
      <c r="H61" s="439"/>
      <c r="I61" s="439"/>
      <c r="J61" s="439"/>
      <c r="K61" s="439"/>
      <c r="L61" s="93"/>
      <c r="M61" s="93"/>
      <c r="N61" s="93"/>
      <c r="O61" s="93"/>
      <c r="P61" s="93"/>
      <c r="Q61" s="93"/>
      <c r="R61" s="93"/>
      <c r="S61" s="93"/>
      <c r="T61" s="93"/>
      <c r="U61" s="93"/>
      <c r="V61" s="93"/>
      <c r="W61" s="93"/>
      <c r="X61" s="93"/>
      <c r="Y61" s="93"/>
      <c r="Z61" s="93"/>
    </row>
    <row r="62" spans="1:26" ht="15.75" customHeight="1">
      <c r="A62" s="440">
        <v>44596</v>
      </c>
      <c r="B62" s="442">
        <f t="shared" si="0"/>
        <v>44596</v>
      </c>
      <c r="C62" s="408">
        <v>516.05999999999995</v>
      </c>
      <c r="D62" s="408">
        <v>0</v>
      </c>
      <c r="E62" s="408">
        <f t="shared" si="1"/>
        <v>516.05999999999995</v>
      </c>
      <c r="F62" s="93"/>
      <c r="G62" s="439"/>
      <c r="H62" s="439"/>
      <c r="I62" s="439"/>
      <c r="J62" s="439"/>
      <c r="K62" s="439"/>
      <c r="L62" s="93"/>
      <c r="M62" s="93"/>
      <c r="N62" s="93"/>
      <c r="O62" s="93"/>
      <c r="P62" s="93"/>
      <c r="Q62" s="93"/>
      <c r="R62" s="93"/>
      <c r="S62" s="93"/>
      <c r="T62" s="93"/>
      <c r="U62" s="93"/>
      <c r="V62" s="93"/>
      <c r="W62" s="93"/>
      <c r="X62" s="93"/>
      <c r="Y62" s="93"/>
      <c r="Z62" s="93"/>
    </row>
    <row r="63" spans="1:26" ht="15.75" customHeight="1">
      <c r="A63" s="440">
        <v>44599</v>
      </c>
      <c r="B63" s="442">
        <f t="shared" si="0"/>
        <v>44599</v>
      </c>
      <c r="C63" s="408">
        <v>0</v>
      </c>
      <c r="D63" s="408">
        <v>0</v>
      </c>
      <c r="E63" s="408">
        <f t="shared" si="1"/>
        <v>0</v>
      </c>
      <c r="F63" s="93"/>
      <c r="G63" s="439"/>
      <c r="H63" s="439"/>
      <c r="I63" s="439"/>
      <c r="J63" s="439"/>
      <c r="K63" s="439"/>
      <c r="L63" s="93"/>
      <c r="M63" s="93"/>
      <c r="N63" s="93"/>
      <c r="O63" s="93"/>
      <c r="P63" s="93"/>
      <c r="Q63" s="93"/>
      <c r="R63" s="93"/>
      <c r="S63" s="93"/>
      <c r="T63" s="93"/>
      <c r="U63" s="93"/>
      <c r="V63" s="93"/>
      <c r="W63" s="93"/>
      <c r="X63" s="93"/>
      <c r="Y63" s="93"/>
      <c r="Z63" s="93"/>
    </row>
    <row r="64" spans="1:26" ht="15.75" customHeight="1">
      <c r="A64" s="440">
        <v>44600</v>
      </c>
      <c r="B64" s="442">
        <f t="shared" si="0"/>
        <v>44600</v>
      </c>
      <c r="C64" s="408">
        <v>677.81</v>
      </c>
      <c r="D64" s="408">
        <v>-77.930000000000007</v>
      </c>
      <c r="E64" s="408">
        <f t="shared" si="1"/>
        <v>599.87999999999988</v>
      </c>
      <c r="F64" s="93"/>
      <c r="G64" s="439"/>
      <c r="H64" s="439"/>
      <c r="I64" s="439"/>
      <c r="J64" s="439"/>
      <c r="K64" s="439"/>
      <c r="L64" s="93"/>
      <c r="M64" s="93"/>
      <c r="N64" s="93"/>
      <c r="O64" s="93"/>
      <c r="P64" s="93"/>
      <c r="Q64" s="93"/>
      <c r="R64" s="93"/>
      <c r="S64" s="93"/>
      <c r="T64" s="93"/>
      <c r="U64" s="93"/>
      <c r="V64" s="93"/>
      <c r="W64" s="93"/>
      <c r="X64" s="93"/>
      <c r="Y64" s="93"/>
      <c r="Z64" s="93"/>
    </row>
    <row r="65" spans="1:26" ht="15.75" customHeight="1">
      <c r="A65" s="440">
        <v>44601</v>
      </c>
      <c r="B65" s="442">
        <f t="shared" si="0"/>
        <v>44601</v>
      </c>
      <c r="C65" s="408">
        <v>293.95</v>
      </c>
      <c r="D65" s="408">
        <v>357.06999999999971</v>
      </c>
      <c r="E65" s="408">
        <f t="shared" si="1"/>
        <v>651.01999999999975</v>
      </c>
      <c r="F65" s="93"/>
      <c r="G65" s="439"/>
      <c r="H65" s="439"/>
      <c r="I65" s="439"/>
      <c r="J65" s="439"/>
      <c r="K65" s="439"/>
      <c r="L65" s="93"/>
      <c r="M65" s="93"/>
      <c r="N65" s="93"/>
      <c r="O65" s="93"/>
      <c r="P65" s="93"/>
      <c r="Q65" s="93"/>
      <c r="R65" s="93"/>
      <c r="S65" s="93"/>
      <c r="T65" s="93"/>
      <c r="U65" s="93"/>
      <c r="V65" s="93"/>
      <c r="W65" s="93"/>
      <c r="X65" s="93"/>
      <c r="Y65" s="93"/>
      <c r="Z65" s="93"/>
    </row>
    <row r="66" spans="1:26" ht="15.75" customHeight="1">
      <c r="A66" s="440">
        <v>44602</v>
      </c>
      <c r="B66" s="442">
        <f t="shared" si="0"/>
        <v>44602</v>
      </c>
      <c r="C66" s="408">
        <v>0</v>
      </c>
      <c r="D66" s="408">
        <v>0</v>
      </c>
      <c r="E66" s="408">
        <f t="shared" si="1"/>
        <v>0</v>
      </c>
      <c r="F66" s="93"/>
      <c r="G66" s="439"/>
      <c r="H66" s="439"/>
      <c r="I66" s="439"/>
      <c r="J66" s="439"/>
      <c r="K66" s="439"/>
      <c r="L66" s="93"/>
      <c r="M66" s="93"/>
      <c r="N66" s="93"/>
      <c r="O66" s="93"/>
      <c r="P66" s="93"/>
      <c r="Q66" s="93"/>
      <c r="R66" s="93"/>
      <c r="S66" s="93"/>
      <c r="T66" s="93"/>
      <c r="U66" s="93"/>
      <c r="V66" s="93"/>
      <c r="W66" s="93"/>
      <c r="X66" s="93"/>
      <c r="Y66" s="93"/>
      <c r="Z66" s="93"/>
    </row>
    <row r="67" spans="1:26" ht="15.75" customHeight="1">
      <c r="A67" s="440">
        <v>44603</v>
      </c>
      <c r="B67" s="442">
        <f t="shared" si="0"/>
        <v>44603</v>
      </c>
      <c r="C67" s="408">
        <v>58.27</v>
      </c>
      <c r="D67" s="408">
        <v>358.06999999999971</v>
      </c>
      <c r="E67" s="408">
        <f t="shared" si="1"/>
        <v>416.33999999999969</v>
      </c>
      <c r="F67" s="93"/>
      <c r="G67" s="439"/>
      <c r="H67" s="439"/>
      <c r="I67" s="439"/>
      <c r="J67" s="439"/>
      <c r="K67" s="439"/>
      <c r="L67" s="93"/>
      <c r="M67" s="93"/>
      <c r="N67" s="93"/>
      <c r="O67" s="93"/>
      <c r="P67" s="93"/>
      <c r="Q67" s="93"/>
      <c r="R67" s="93"/>
      <c r="S67" s="93"/>
      <c r="T67" s="93"/>
      <c r="U67" s="93"/>
      <c r="V67" s="93"/>
      <c r="W67" s="93"/>
      <c r="X67" s="93"/>
      <c r="Y67" s="93"/>
      <c r="Z67" s="93"/>
    </row>
    <row r="68" spans="1:26" ht="15.75" customHeight="1">
      <c r="A68" s="440">
        <v>44606</v>
      </c>
      <c r="B68" s="442">
        <f t="shared" si="0"/>
        <v>44606</v>
      </c>
      <c r="C68" s="408">
        <v>201.78</v>
      </c>
      <c r="D68" s="408">
        <v>0</v>
      </c>
      <c r="E68" s="408">
        <f t="shared" si="1"/>
        <v>201.78</v>
      </c>
      <c r="F68" s="93"/>
      <c r="G68" s="439"/>
      <c r="H68" s="439"/>
      <c r="I68" s="439"/>
      <c r="J68" s="439"/>
      <c r="K68" s="439"/>
      <c r="L68" s="93"/>
      <c r="M68" s="93"/>
      <c r="N68" s="93"/>
      <c r="O68" s="93"/>
      <c r="P68" s="93"/>
      <c r="Q68" s="93"/>
      <c r="R68" s="93"/>
      <c r="S68" s="93"/>
      <c r="T68" s="93"/>
      <c r="U68" s="93"/>
      <c r="V68" s="93"/>
      <c r="W68" s="93"/>
      <c r="X68" s="93"/>
      <c r="Y68" s="93"/>
      <c r="Z68" s="93"/>
    </row>
    <row r="69" spans="1:26" ht="15.75" customHeight="1">
      <c r="A69" s="440">
        <v>44607</v>
      </c>
      <c r="B69" s="442">
        <f t="shared" si="0"/>
        <v>44607</v>
      </c>
      <c r="C69" s="408">
        <v>468.79</v>
      </c>
      <c r="D69" s="408">
        <v>0</v>
      </c>
      <c r="E69" s="408">
        <f t="shared" si="1"/>
        <v>468.79</v>
      </c>
      <c r="F69" s="93"/>
      <c r="G69" s="439"/>
      <c r="H69" s="439"/>
      <c r="I69" s="439"/>
      <c r="J69" s="439"/>
      <c r="K69" s="439"/>
      <c r="L69" s="93"/>
      <c r="M69" s="93"/>
      <c r="N69" s="93"/>
      <c r="O69" s="93"/>
      <c r="P69" s="93"/>
      <c r="Q69" s="93"/>
      <c r="R69" s="93"/>
      <c r="S69" s="93"/>
      <c r="T69" s="93"/>
      <c r="U69" s="93"/>
      <c r="V69" s="93"/>
      <c r="W69" s="93"/>
      <c r="X69" s="93"/>
      <c r="Y69" s="93"/>
      <c r="Z69" s="93"/>
    </row>
    <row r="70" spans="1:26" ht="15.75" customHeight="1">
      <c r="A70" s="440">
        <v>44608</v>
      </c>
      <c r="B70" s="442">
        <f t="shared" si="0"/>
        <v>44608</v>
      </c>
      <c r="C70" s="408">
        <v>0</v>
      </c>
      <c r="D70" s="408">
        <v>0</v>
      </c>
      <c r="E70" s="408">
        <f t="shared" si="1"/>
        <v>0</v>
      </c>
      <c r="F70" s="93"/>
      <c r="G70" s="439"/>
      <c r="H70" s="439"/>
      <c r="I70" s="439"/>
      <c r="J70" s="439"/>
      <c r="K70" s="439"/>
      <c r="L70" s="93"/>
      <c r="M70" s="93"/>
      <c r="N70" s="93"/>
      <c r="O70" s="93"/>
      <c r="P70" s="93"/>
      <c r="Q70" s="93"/>
      <c r="R70" s="93"/>
      <c r="S70" s="93"/>
      <c r="T70" s="93"/>
      <c r="U70" s="93"/>
      <c r="V70" s="93"/>
      <c r="W70" s="93"/>
      <c r="X70" s="93"/>
      <c r="Y70" s="93"/>
      <c r="Z70" s="93"/>
    </row>
    <row r="71" spans="1:26" ht="15.75" customHeight="1">
      <c r="A71" s="440">
        <v>44609</v>
      </c>
      <c r="B71" s="442">
        <f t="shared" si="0"/>
        <v>44609</v>
      </c>
      <c r="C71" s="408">
        <v>0</v>
      </c>
      <c r="D71" s="408">
        <v>0</v>
      </c>
      <c r="E71" s="408">
        <f t="shared" si="1"/>
        <v>0</v>
      </c>
      <c r="F71" s="93"/>
      <c r="G71" s="439"/>
      <c r="H71" s="439"/>
      <c r="I71" s="439"/>
      <c r="J71" s="439"/>
      <c r="K71" s="439"/>
      <c r="L71" s="93"/>
      <c r="M71" s="93"/>
      <c r="N71" s="93"/>
      <c r="O71" s="93"/>
      <c r="P71" s="93"/>
      <c r="Q71" s="93"/>
      <c r="R71" s="93"/>
      <c r="S71" s="93"/>
      <c r="T71" s="93"/>
      <c r="U71" s="93"/>
      <c r="V71" s="93"/>
      <c r="W71" s="93"/>
      <c r="X71" s="93"/>
      <c r="Y71" s="93"/>
      <c r="Z71" s="93"/>
    </row>
    <row r="72" spans="1:26" ht="15.75" customHeight="1">
      <c r="A72" s="440">
        <v>44610</v>
      </c>
      <c r="B72" s="442">
        <f t="shared" si="0"/>
        <v>44610</v>
      </c>
      <c r="C72" s="408">
        <v>55.71</v>
      </c>
      <c r="D72" s="408">
        <v>600.06999999999971</v>
      </c>
      <c r="E72" s="408">
        <f t="shared" si="1"/>
        <v>655.77999999999975</v>
      </c>
      <c r="F72" s="93"/>
      <c r="G72" s="439"/>
      <c r="H72" s="439"/>
      <c r="I72" s="439"/>
      <c r="J72" s="439"/>
      <c r="K72" s="439"/>
      <c r="L72" s="93"/>
      <c r="M72" s="93"/>
      <c r="N72" s="93"/>
      <c r="O72" s="93"/>
      <c r="P72" s="93"/>
      <c r="Q72" s="93"/>
      <c r="R72" s="93"/>
      <c r="S72" s="93"/>
      <c r="T72" s="93"/>
      <c r="U72" s="93"/>
      <c r="V72" s="93"/>
      <c r="W72" s="93"/>
      <c r="X72" s="93"/>
      <c r="Y72" s="93"/>
      <c r="Z72" s="93"/>
    </row>
    <row r="73" spans="1:26" ht="15.75" customHeight="1">
      <c r="A73" s="440">
        <v>44613</v>
      </c>
      <c r="B73" s="442">
        <f t="shared" si="0"/>
        <v>44613</v>
      </c>
      <c r="C73" s="408">
        <v>41.03</v>
      </c>
      <c r="D73" s="408">
        <v>1537.07</v>
      </c>
      <c r="E73" s="408">
        <f t="shared" si="1"/>
        <v>1578.1</v>
      </c>
      <c r="F73" s="93"/>
      <c r="G73" s="439"/>
      <c r="H73" s="439"/>
      <c r="I73" s="439"/>
      <c r="J73" s="439"/>
      <c r="K73" s="439"/>
      <c r="L73" s="93"/>
      <c r="M73" s="93"/>
      <c r="N73" s="93"/>
      <c r="O73" s="93"/>
      <c r="P73" s="93"/>
      <c r="Q73" s="93"/>
      <c r="R73" s="93"/>
      <c r="S73" s="93"/>
      <c r="T73" s="93"/>
      <c r="U73" s="93"/>
      <c r="V73" s="93"/>
      <c r="W73" s="93"/>
      <c r="X73" s="93"/>
      <c r="Y73" s="93"/>
      <c r="Z73" s="93"/>
    </row>
    <row r="74" spans="1:26" ht="15.75" customHeight="1">
      <c r="A74" s="440">
        <v>44614</v>
      </c>
      <c r="B74" s="442">
        <f t="shared" si="0"/>
        <v>44614</v>
      </c>
      <c r="C74" s="408">
        <v>88.28</v>
      </c>
      <c r="D74" s="408">
        <v>2705</v>
      </c>
      <c r="E74" s="408">
        <f t="shared" si="1"/>
        <v>2793.28</v>
      </c>
      <c r="F74" s="93"/>
      <c r="G74" s="439"/>
      <c r="H74" s="439"/>
      <c r="I74" s="439"/>
      <c r="J74" s="439"/>
      <c r="K74" s="439"/>
      <c r="L74" s="93"/>
      <c r="M74" s="93"/>
      <c r="N74" s="93"/>
      <c r="O74" s="93"/>
      <c r="P74" s="93"/>
      <c r="Q74" s="93"/>
      <c r="R74" s="93"/>
      <c r="S74" s="93"/>
      <c r="T74" s="93"/>
      <c r="U74" s="93"/>
      <c r="V74" s="93"/>
      <c r="W74" s="93"/>
      <c r="X74" s="93"/>
      <c r="Y74" s="93"/>
      <c r="Z74" s="93"/>
    </row>
    <row r="75" spans="1:26" ht="15.75" customHeight="1">
      <c r="A75" s="440">
        <v>44615</v>
      </c>
      <c r="B75" s="442">
        <f t="shared" si="0"/>
        <v>44615</v>
      </c>
      <c r="C75" s="408">
        <v>58.2</v>
      </c>
      <c r="D75" s="408">
        <v>0</v>
      </c>
      <c r="E75" s="408">
        <f t="shared" si="1"/>
        <v>58.2</v>
      </c>
      <c r="F75" s="93"/>
      <c r="G75" s="439"/>
      <c r="H75" s="439"/>
      <c r="I75" s="439"/>
      <c r="J75" s="439"/>
      <c r="K75" s="439"/>
      <c r="L75" s="93"/>
      <c r="M75" s="93"/>
      <c r="N75" s="93"/>
      <c r="O75" s="93"/>
      <c r="P75" s="93"/>
      <c r="Q75" s="93"/>
      <c r="R75" s="93"/>
      <c r="S75" s="93"/>
      <c r="T75" s="93"/>
      <c r="U75" s="93"/>
      <c r="V75" s="93"/>
      <c r="W75" s="93"/>
      <c r="X75" s="93"/>
      <c r="Y75" s="93"/>
      <c r="Z75" s="93"/>
    </row>
    <row r="76" spans="1:26" ht="15.75" customHeight="1">
      <c r="A76" s="440">
        <v>44616</v>
      </c>
      <c r="B76" s="442">
        <f t="shared" si="0"/>
        <v>44616</v>
      </c>
      <c r="C76" s="408">
        <v>234.97</v>
      </c>
      <c r="D76" s="408">
        <v>263.07</v>
      </c>
      <c r="E76" s="408">
        <f t="shared" si="1"/>
        <v>498.03999999999996</v>
      </c>
      <c r="F76" s="93"/>
      <c r="G76" s="439"/>
      <c r="H76" s="439"/>
      <c r="I76" s="439"/>
      <c r="J76" s="439"/>
      <c r="K76" s="439"/>
      <c r="L76" s="93"/>
      <c r="M76" s="93"/>
      <c r="N76" s="93"/>
      <c r="O76" s="93"/>
      <c r="P76" s="93"/>
      <c r="Q76" s="93"/>
      <c r="R76" s="93"/>
      <c r="S76" s="93"/>
      <c r="T76" s="93"/>
      <c r="U76" s="93"/>
      <c r="V76" s="93"/>
      <c r="W76" s="93"/>
      <c r="X76" s="93"/>
      <c r="Y76" s="93"/>
      <c r="Z76" s="93"/>
    </row>
    <row r="77" spans="1:26" ht="15.75" customHeight="1">
      <c r="A77" s="440">
        <v>44617</v>
      </c>
      <c r="B77" s="442">
        <f t="shared" si="0"/>
        <v>44617</v>
      </c>
      <c r="C77" s="408">
        <v>94</v>
      </c>
      <c r="D77" s="408">
        <v>756.07</v>
      </c>
      <c r="E77" s="408">
        <f t="shared" si="1"/>
        <v>850.07</v>
      </c>
      <c r="F77" s="93"/>
      <c r="G77" s="439"/>
      <c r="H77" s="439"/>
      <c r="I77" s="439"/>
      <c r="J77" s="439"/>
      <c r="K77" s="439"/>
      <c r="L77" s="93"/>
      <c r="M77" s="93"/>
      <c r="N77" s="93"/>
      <c r="O77" s="93"/>
      <c r="P77" s="93"/>
      <c r="Q77" s="93"/>
      <c r="R77" s="93"/>
      <c r="S77" s="93"/>
      <c r="T77" s="93"/>
      <c r="U77" s="93"/>
      <c r="V77" s="93"/>
      <c r="W77" s="93"/>
      <c r="X77" s="93"/>
      <c r="Y77" s="93"/>
      <c r="Z77" s="93"/>
    </row>
    <row r="78" spans="1:26" ht="15.75" customHeight="1">
      <c r="A78" s="440">
        <v>44620</v>
      </c>
      <c r="B78" s="442">
        <f t="shared" si="0"/>
        <v>44620</v>
      </c>
      <c r="C78" s="408">
        <v>43.34</v>
      </c>
      <c r="D78" s="408">
        <v>212.14</v>
      </c>
      <c r="E78" s="408">
        <f t="shared" si="1"/>
        <v>255.48</v>
      </c>
      <c r="F78" s="93"/>
      <c r="G78" s="439"/>
      <c r="H78" s="439"/>
      <c r="I78" s="439"/>
      <c r="J78" s="439"/>
      <c r="K78" s="439"/>
      <c r="L78" s="93"/>
      <c r="M78" s="93"/>
      <c r="N78" s="93"/>
      <c r="O78" s="93"/>
      <c r="P78" s="93"/>
      <c r="Q78" s="93"/>
      <c r="R78" s="93"/>
      <c r="S78" s="93"/>
      <c r="T78" s="93"/>
      <c r="U78" s="93"/>
      <c r="V78" s="93"/>
      <c r="W78" s="93"/>
      <c r="X78" s="93"/>
      <c r="Y78" s="93"/>
      <c r="Z78" s="93"/>
    </row>
    <row r="79" spans="1:26" ht="15.75" customHeight="1">
      <c r="A79" s="440">
        <v>44622</v>
      </c>
      <c r="B79" s="442">
        <f t="shared" si="0"/>
        <v>44622</v>
      </c>
      <c r="C79" s="408">
        <v>16.91</v>
      </c>
      <c r="D79" s="408">
        <v>0</v>
      </c>
      <c r="E79" s="408">
        <f t="shared" si="1"/>
        <v>16.91</v>
      </c>
      <c r="F79" s="93"/>
      <c r="G79" s="439"/>
      <c r="H79" s="439"/>
      <c r="I79" s="439"/>
      <c r="J79" s="439"/>
      <c r="K79" s="439"/>
      <c r="L79" s="93"/>
      <c r="M79" s="93"/>
      <c r="N79" s="93"/>
      <c r="O79" s="93"/>
      <c r="P79" s="93"/>
      <c r="Q79" s="93"/>
      <c r="R79" s="93"/>
      <c r="S79" s="93"/>
      <c r="T79" s="93"/>
      <c r="U79" s="93"/>
      <c r="V79" s="93"/>
      <c r="W79" s="93"/>
      <c r="X79" s="93"/>
      <c r="Y79" s="93"/>
      <c r="Z79" s="93"/>
    </row>
    <row r="80" spans="1:26" ht="15.75" customHeight="1">
      <c r="A80" s="440">
        <v>44623</v>
      </c>
      <c r="B80" s="442">
        <f t="shared" si="0"/>
        <v>44623</v>
      </c>
      <c r="C80" s="408">
        <v>127.64</v>
      </c>
      <c r="D80" s="408">
        <v>0</v>
      </c>
      <c r="E80" s="408">
        <f t="shared" si="1"/>
        <v>127.64</v>
      </c>
      <c r="F80" s="93"/>
      <c r="G80" s="439"/>
      <c r="H80" s="439"/>
      <c r="I80" s="439"/>
      <c r="J80" s="439"/>
      <c r="K80" s="439"/>
      <c r="L80" s="93"/>
      <c r="M80" s="93"/>
      <c r="N80" s="93"/>
      <c r="O80" s="93"/>
      <c r="P80" s="93"/>
      <c r="Q80" s="93"/>
      <c r="R80" s="93"/>
      <c r="S80" s="93"/>
      <c r="T80" s="93"/>
      <c r="U80" s="93"/>
      <c r="V80" s="93"/>
      <c r="W80" s="93"/>
      <c r="X80" s="93"/>
      <c r="Y80" s="93"/>
      <c r="Z80" s="93"/>
    </row>
    <row r="81" spans="1:26" ht="15.75" customHeight="1">
      <c r="A81" s="440">
        <v>44624</v>
      </c>
      <c r="B81" s="442">
        <f t="shared" si="0"/>
        <v>44624</v>
      </c>
      <c r="C81" s="408">
        <v>157.06999999999971</v>
      </c>
      <c r="D81" s="408">
        <v>0</v>
      </c>
      <c r="E81" s="408">
        <f t="shared" si="1"/>
        <v>157.06999999999971</v>
      </c>
      <c r="F81" s="93"/>
      <c r="G81" s="439"/>
      <c r="H81" s="439"/>
      <c r="I81" s="439"/>
      <c r="J81" s="439"/>
      <c r="K81" s="439"/>
      <c r="L81" s="93"/>
      <c r="M81" s="93"/>
      <c r="N81" s="93"/>
      <c r="O81" s="93"/>
      <c r="P81" s="93"/>
      <c r="Q81" s="93"/>
      <c r="R81" s="93"/>
      <c r="S81" s="93"/>
      <c r="T81" s="93"/>
      <c r="U81" s="93"/>
      <c r="V81" s="93"/>
      <c r="W81" s="93"/>
      <c r="X81" s="93"/>
      <c r="Y81" s="93"/>
      <c r="Z81" s="93"/>
    </row>
    <row r="82" spans="1:26" ht="15.75" customHeight="1">
      <c r="A82" s="440">
        <v>44627</v>
      </c>
      <c r="B82" s="442">
        <f t="shared" si="0"/>
        <v>44627</v>
      </c>
      <c r="C82" s="408">
        <v>69.55</v>
      </c>
      <c r="D82" s="408">
        <v>162.06999999999971</v>
      </c>
      <c r="E82" s="408">
        <f t="shared" si="1"/>
        <v>231.61999999999972</v>
      </c>
      <c r="F82" s="93"/>
      <c r="G82" s="439"/>
      <c r="H82" s="439"/>
      <c r="I82" s="439"/>
      <c r="J82" s="439"/>
      <c r="K82" s="439"/>
      <c r="L82" s="93"/>
      <c r="M82" s="93"/>
      <c r="N82" s="93"/>
      <c r="O82" s="93"/>
      <c r="P82" s="93"/>
      <c r="Q82" s="93"/>
      <c r="R82" s="93"/>
      <c r="S82" s="93"/>
      <c r="T82" s="93"/>
      <c r="U82" s="93"/>
      <c r="V82" s="93"/>
      <c r="W82" s="93"/>
      <c r="X82" s="93"/>
      <c r="Y82" s="93"/>
      <c r="Z82" s="93"/>
    </row>
    <row r="83" spans="1:26" ht="15.75" customHeight="1">
      <c r="A83" s="440">
        <v>44628</v>
      </c>
      <c r="B83" s="442">
        <f t="shared" si="0"/>
        <v>44628</v>
      </c>
      <c r="C83" s="408">
        <v>933.77</v>
      </c>
      <c r="D83" s="408">
        <v>0</v>
      </c>
      <c r="E83" s="408">
        <f t="shared" si="1"/>
        <v>933.77</v>
      </c>
      <c r="F83" s="93"/>
      <c r="G83" s="439"/>
      <c r="H83" s="439"/>
      <c r="I83" s="439"/>
      <c r="J83" s="439"/>
      <c r="K83" s="439"/>
      <c r="L83" s="93"/>
      <c r="M83" s="93"/>
      <c r="N83" s="93"/>
      <c r="O83" s="93"/>
      <c r="P83" s="93"/>
      <c r="Q83" s="93"/>
      <c r="R83" s="93"/>
      <c r="S83" s="93"/>
      <c r="T83" s="93"/>
      <c r="U83" s="93"/>
      <c r="V83" s="93"/>
      <c r="W83" s="93"/>
      <c r="X83" s="93"/>
      <c r="Y83" s="93"/>
      <c r="Z83" s="93"/>
    </row>
    <row r="84" spans="1:26" ht="15.75" customHeight="1">
      <c r="A84" s="440">
        <v>44629</v>
      </c>
      <c r="B84" s="442">
        <f t="shared" si="0"/>
        <v>44629</v>
      </c>
      <c r="C84" s="408">
        <v>468.06</v>
      </c>
      <c r="D84" s="408">
        <v>65.069999999999993</v>
      </c>
      <c r="E84" s="408">
        <f t="shared" si="1"/>
        <v>533.13</v>
      </c>
      <c r="F84" s="93"/>
      <c r="G84" s="439"/>
      <c r="H84" s="439"/>
      <c r="I84" s="439"/>
      <c r="J84" s="439"/>
      <c r="K84" s="439"/>
      <c r="L84" s="93"/>
      <c r="M84" s="93"/>
      <c r="N84" s="93"/>
      <c r="O84" s="93"/>
      <c r="P84" s="93"/>
      <c r="Q84" s="93"/>
      <c r="R84" s="93"/>
      <c r="S84" s="93"/>
      <c r="T84" s="93"/>
      <c r="U84" s="93"/>
      <c r="V84" s="93"/>
      <c r="W84" s="93"/>
      <c r="X84" s="93"/>
      <c r="Y84" s="93"/>
      <c r="Z84" s="93"/>
    </row>
    <row r="85" spans="1:26" ht="15.75" customHeight="1">
      <c r="A85" s="440">
        <v>44630</v>
      </c>
      <c r="B85" s="442">
        <f t="shared" si="0"/>
        <v>44630</v>
      </c>
      <c r="C85" s="408">
        <v>0</v>
      </c>
      <c r="D85" s="408">
        <v>1975.0699999999997</v>
      </c>
      <c r="E85" s="408">
        <f t="shared" si="1"/>
        <v>1975.0699999999997</v>
      </c>
      <c r="F85" s="93"/>
      <c r="G85" s="439"/>
      <c r="H85" s="439"/>
      <c r="I85" s="439"/>
      <c r="J85" s="439"/>
      <c r="K85" s="439"/>
      <c r="L85" s="93"/>
      <c r="M85" s="93"/>
      <c r="N85" s="93"/>
      <c r="O85" s="93"/>
      <c r="P85" s="93"/>
      <c r="Q85" s="93"/>
      <c r="R85" s="93"/>
      <c r="S85" s="93"/>
      <c r="T85" s="93"/>
      <c r="U85" s="93"/>
      <c r="V85" s="93"/>
      <c r="W85" s="93"/>
      <c r="X85" s="93"/>
      <c r="Y85" s="93"/>
      <c r="Z85" s="93"/>
    </row>
    <row r="86" spans="1:26" ht="15.75" customHeight="1">
      <c r="A86" s="440">
        <v>44631</v>
      </c>
      <c r="B86" s="442">
        <f t="shared" si="0"/>
        <v>44631</v>
      </c>
      <c r="C86" s="408">
        <v>0</v>
      </c>
      <c r="D86" s="408">
        <v>0</v>
      </c>
      <c r="E86" s="408">
        <f t="shared" si="1"/>
        <v>0</v>
      </c>
      <c r="F86" s="93"/>
      <c r="G86" s="439"/>
      <c r="H86" s="439"/>
      <c r="I86" s="439"/>
      <c r="J86" s="439"/>
      <c r="K86" s="439"/>
      <c r="L86" s="93"/>
      <c r="M86" s="93"/>
      <c r="N86" s="93"/>
      <c r="O86" s="93"/>
      <c r="P86" s="93"/>
      <c r="Q86" s="93"/>
      <c r="R86" s="93"/>
      <c r="S86" s="93"/>
      <c r="T86" s="93"/>
      <c r="U86" s="93"/>
      <c r="V86" s="93"/>
      <c r="W86" s="93"/>
      <c r="X86" s="93"/>
      <c r="Y86" s="93"/>
      <c r="Z86" s="93"/>
    </row>
    <row r="87" spans="1:26" ht="15.75" customHeight="1">
      <c r="A87" s="440">
        <v>44634</v>
      </c>
      <c r="B87" s="442">
        <f t="shared" si="0"/>
        <v>44634</v>
      </c>
      <c r="C87" s="408">
        <v>104.65</v>
      </c>
      <c r="D87" s="408">
        <v>427.06999999999971</v>
      </c>
      <c r="E87" s="408">
        <f t="shared" si="1"/>
        <v>531.71999999999969</v>
      </c>
      <c r="F87" s="93"/>
      <c r="G87" s="439"/>
      <c r="H87" s="439"/>
      <c r="I87" s="439"/>
      <c r="J87" s="439"/>
      <c r="K87" s="439"/>
      <c r="L87" s="93"/>
      <c r="M87" s="93"/>
      <c r="N87" s="93"/>
      <c r="O87" s="93"/>
      <c r="P87" s="93"/>
      <c r="Q87" s="93"/>
      <c r="R87" s="93"/>
      <c r="S87" s="93"/>
      <c r="T87" s="93"/>
      <c r="U87" s="93"/>
      <c r="V87" s="93"/>
      <c r="W87" s="93"/>
      <c r="X87" s="93"/>
      <c r="Y87" s="93"/>
      <c r="Z87" s="93"/>
    </row>
    <row r="88" spans="1:26" ht="15.75" customHeight="1">
      <c r="A88" s="440">
        <v>44635</v>
      </c>
      <c r="B88" s="442">
        <f t="shared" si="0"/>
        <v>44635</v>
      </c>
      <c r="C88" s="408">
        <v>198.58</v>
      </c>
      <c r="D88" s="408">
        <v>87</v>
      </c>
      <c r="E88" s="408">
        <f t="shared" si="1"/>
        <v>285.58000000000004</v>
      </c>
      <c r="F88" s="93"/>
      <c r="G88" s="439"/>
      <c r="H88" s="439"/>
      <c r="I88" s="439"/>
      <c r="J88" s="439"/>
      <c r="K88" s="439"/>
      <c r="L88" s="93"/>
      <c r="M88" s="93"/>
      <c r="N88" s="93"/>
      <c r="O88" s="93"/>
      <c r="P88" s="93"/>
      <c r="Q88" s="93"/>
      <c r="R88" s="93"/>
      <c r="S88" s="93"/>
      <c r="T88" s="93"/>
      <c r="U88" s="93"/>
      <c r="V88" s="93"/>
      <c r="W88" s="93"/>
      <c r="X88" s="93"/>
      <c r="Y88" s="93"/>
      <c r="Z88" s="93"/>
    </row>
    <row r="89" spans="1:26" ht="15.75" customHeight="1">
      <c r="A89" s="440">
        <v>44636</v>
      </c>
      <c r="B89" s="442">
        <f t="shared" si="0"/>
        <v>44636</v>
      </c>
      <c r="C89" s="408">
        <v>38.85</v>
      </c>
      <c r="D89" s="408">
        <v>0</v>
      </c>
      <c r="E89" s="408">
        <f t="shared" si="1"/>
        <v>38.85</v>
      </c>
      <c r="F89" s="93"/>
      <c r="G89" s="439"/>
      <c r="H89" s="439"/>
      <c r="I89" s="439"/>
      <c r="J89" s="439"/>
      <c r="K89" s="439"/>
      <c r="L89" s="93"/>
      <c r="M89" s="93"/>
      <c r="N89" s="93"/>
      <c r="O89" s="93"/>
      <c r="P89" s="93"/>
      <c r="Q89" s="93"/>
      <c r="R89" s="93"/>
      <c r="S89" s="93"/>
      <c r="T89" s="93"/>
      <c r="U89" s="93"/>
      <c r="V89" s="93"/>
      <c r="W89" s="93"/>
      <c r="X89" s="93"/>
      <c r="Y89" s="93"/>
      <c r="Z89" s="93"/>
    </row>
    <row r="90" spans="1:26" ht="15.75" customHeight="1">
      <c r="A90" s="440">
        <v>44637</v>
      </c>
      <c r="B90" s="442">
        <f t="shared" si="0"/>
        <v>44637</v>
      </c>
      <c r="C90" s="408">
        <v>126.02</v>
      </c>
      <c r="D90" s="408">
        <v>0</v>
      </c>
      <c r="E90" s="408">
        <f t="shared" si="1"/>
        <v>126.02</v>
      </c>
      <c r="F90" s="93"/>
      <c r="G90" s="439"/>
      <c r="H90" s="439"/>
      <c r="I90" s="439"/>
      <c r="J90" s="439"/>
      <c r="K90" s="439"/>
      <c r="L90" s="93"/>
      <c r="M90" s="93"/>
      <c r="N90" s="93"/>
      <c r="O90" s="93"/>
      <c r="P90" s="93"/>
      <c r="Q90" s="93"/>
      <c r="R90" s="93"/>
      <c r="S90" s="93"/>
      <c r="T90" s="93"/>
      <c r="U90" s="93"/>
      <c r="V90" s="93"/>
      <c r="W90" s="93"/>
      <c r="X90" s="93"/>
      <c r="Y90" s="93"/>
      <c r="Z90" s="93"/>
    </row>
    <row r="91" spans="1:26" ht="15.75" customHeight="1">
      <c r="A91" s="440">
        <v>44641</v>
      </c>
      <c r="B91" s="442">
        <f t="shared" si="0"/>
        <v>44641</v>
      </c>
      <c r="C91" s="408">
        <v>117.12</v>
      </c>
      <c r="D91" s="408">
        <v>0</v>
      </c>
      <c r="E91" s="408">
        <f t="shared" si="1"/>
        <v>117.12</v>
      </c>
      <c r="F91" s="93"/>
      <c r="G91" s="439"/>
      <c r="H91" s="439"/>
      <c r="I91" s="439"/>
      <c r="J91" s="439"/>
      <c r="K91" s="439"/>
      <c r="L91" s="93"/>
      <c r="M91" s="93"/>
      <c r="N91" s="93"/>
      <c r="O91" s="93"/>
      <c r="P91" s="93"/>
      <c r="Q91" s="93"/>
      <c r="R91" s="93"/>
      <c r="S91" s="93"/>
      <c r="T91" s="93"/>
      <c r="U91" s="93"/>
      <c r="V91" s="93"/>
      <c r="W91" s="93"/>
      <c r="X91" s="93"/>
      <c r="Y91" s="93"/>
      <c r="Z91" s="93"/>
    </row>
    <row r="92" spans="1:26" ht="15.75" customHeight="1">
      <c r="A92" s="440">
        <v>44642</v>
      </c>
      <c r="B92" s="442">
        <f t="shared" si="0"/>
        <v>44642</v>
      </c>
      <c r="C92" s="408">
        <v>161.97999999999999</v>
      </c>
      <c r="D92" s="408">
        <v>0</v>
      </c>
      <c r="E92" s="408">
        <f t="shared" si="1"/>
        <v>161.97999999999999</v>
      </c>
      <c r="F92" s="93"/>
      <c r="G92" s="439"/>
      <c r="H92" s="439"/>
      <c r="I92" s="439"/>
      <c r="J92" s="439"/>
      <c r="K92" s="439"/>
      <c r="L92" s="93"/>
      <c r="M92" s="93"/>
      <c r="N92" s="93"/>
      <c r="O92" s="93"/>
      <c r="P92" s="93"/>
      <c r="Q92" s="93"/>
      <c r="R92" s="93"/>
      <c r="S92" s="93"/>
      <c r="T92" s="93"/>
      <c r="U92" s="93"/>
      <c r="V92" s="93"/>
      <c r="W92" s="93"/>
      <c r="X92" s="93"/>
      <c r="Y92" s="93"/>
      <c r="Z92" s="93"/>
    </row>
    <row r="93" spans="1:26" ht="15.75" customHeight="1">
      <c r="A93" s="440">
        <v>44643</v>
      </c>
      <c r="B93" s="442">
        <f t="shared" si="0"/>
        <v>44643</v>
      </c>
      <c r="C93" s="408">
        <v>69.540000000000006</v>
      </c>
      <c r="D93" s="408">
        <v>26.07</v>
      </c>
      <c r="E93" s="408">
        <f t="shared" si="1"/>
        <v>95.610000000000014</v>
      </c>
      <c r="F93" s="93"/>
      <c r="G93" s="439"/>
      <c r="H93" s="439"/>
      <c r="I93" s="439"/>
      <c r="J93" s="439"/>
      <c r="K93" s="439"/>
      <c r="L93" s="93"/>
      <c r="M93" s="93"/>
      <c r="N93" s="93"/>
      <c r="O93" s="93"/>
      <c r="P93" s="93"/>
      <c r="Q93" s="93"/>
      <c r="R93" s="93"/>
      <c r="S93" s="93"/>
      <c r="T93" s="93"/>
      <c r="U93" s="93"/>
      <c r="V93" s="93"/>
      <c r="W93" s="93"/>
      <c r="X93" s="93"/>
      <c r="Y93" s="93"/>
      <c r="Z93" s="93"/>
    </row>
    <row r="94" spans="1:26" ht="15.75" customHeight="1">
      <c r="A94" s="440">
        <v>44644</v>
      </c>
      <c r="B94" s="442">
        <f t="shared" si="0"/>
        <v>44644</v>
      </c>
      <c r="C94" s="408">
        <v>23.23</v>
      </c>
      <c r="D94" s="408">
        <v>0</v>
      </c>
      <c r="E94" s="408">
        <f t="shared" si="1"/>
        <v>23.23</v>
      </c>
      <c r="F94" s="93"/>
      <c r="G94" s="439"/>
      <c r="H94" s="439"/>
      <c r="I94" s="439"/>
      <c r="J94" s="439"/>
      <c r="K94" s="439"/>
      <c r="L94" s="93"/>
      <c r="M94" s="93"/>
      <c r="N94" s="93"/>
      <c r="O94" s="93"/>
      <c r="P94" s="93"/>
      <c r="Q94" s="93"/>
      <c r="R94" s="93"/>
      <c r="S94" s="93"/>
      <c r="T94" s="93"/>
      <c r="U94" s="93"/>
      <c r="V94" s="93"/>
      <c r="W94" s="93"/>
      <c r="X94" s="93"/>
      <c r="Y94" s="93"/>
      <c r="Z94" s="93"/>
    </row>
    <row r="95" spans="1:26" ht="15.75" customHeight="1">
      <c r="A95" s="440">
        <v>44645</v>
      </c>
      <c r="B95" s="442">
        <f t="shared" si="0"/>
        <v>44645</v>
      </c>
      <c r="C95" s="408">
        <v>48.7</v>
      </c>
      <c r="D95" s="408">
        <v>0</v>
      </c>
      <c r="E95" s="408">
        <f t="shared" si="1"/>
        <v>48.7</v>
      </c>
      <c r="F95" s="93"/>
      <c r="G95" s="439"/>
      <c r="H95" s="439"/>
      <c r="I95" s="439"/>
      <c r="J95" s="439"/>
      <c r="K95" s="439"/>
      <c r="L95" s="93"/>
      <c r="M95" s="93"/>
      <c r="N95" s="93"/>
      <c r="O95" s="93"/>
      <c r="P95" s="93"/>
      <c r="Q95" s="93"/>
      <c r="R95" s="93"/>
      <c r="S95" s="93"/>
      <c r="T95" s="93"/>
      <c r="U95" s="93"/>
      <c r="V95" s="93"/>
      <c r="W95" s="93"/>
      <c r="X95" s="93"/>
      <c r="Y95" s="93"/>
      <c r="Z95" s="93"/>
    </row>
    <row r="96" spans="1:26" ht="15.75" customHeight="1">
      <c r="A96" s="440">
        <v>44648</v>
      </c>
      <c r="B96" s="442">
        <f t="shared" si="0"/>
        <v>44648</v>
      </c>
      <c r="C96" s="408">
        <v>127.79</v>
      </c>
      <c r="D96" s="408">
        <v>0</v>
      </c>
      <c r="E96" s="408">
        <f t="shared" si="1"/>
        <v>127.79</v>
      </c>
      <c r="F96" s="93"/>
      <c r="G96" s="439"/>
      <c r="H96" s="439"/>
      <c r="I96" s="439"/>
      <c r="J96" s="439"/>
      <c r="K96" s="439"/>
      <c r="L96" s="93"/>
      <c r="M96" s="93"/>
      <c r="N96" s="93"/>
      <c r="O96" s="93"/>
      <c r="P96" s="93"/>
      <c r="Q96" s="93"/>
      <c r="R96" s="93"/>
      <c r="S96" s="93"/>
      <c r="T96" s="93"/>
      <c r="U96" s="93"/>
      <c r="V96" s="93"/>
      <c r="W96" s="93"/>
      <c r="X96" s="93"/>
      <c r="Y96" s="93"/>
      <c r="Z96" s="93"/>
    </row>
    <row r="97" spans="1:26" ht="15.75" customHeight="1">
      <c r="A97" s="440">
        <v>44649</v>
      </c>
      <c r="B97" s="442">
        <f t="shared" si="0"/>
        <v>44649</v>
      </c>
      <c r="C97" s="408">
        <v>355.47</v>
      </c>
      <c r="D97" s="408">
        <v>0</v>
      </c>
      <c r="E97" s="408">
        <f t="shared" si="1"/>
        <v>355.47</v>
      </c>
      <c r="F97" s="93"/>
      <c r="G97" s="439"/>
      <c r="H97" s="439"/>
      <c r="I97" s="439"/>
      <c r="J97" s="439"/>
      <c r="K97" s="439"/>
      <c r="L97" s="93"/>
      <c r="M97" s="93"/>
      <c r="N97" s="93"/>
      <c r="O97" s="93"/>
      <c r="P97" s="93"/>
      <c r="Q97" s="93"/>
      <c r="R97" s="93"/>
      <c r="S97" s="93"/>
      <c r="T97" s="93"/>
      <c r="U97" s="93"/>
      <c r="V97" s="93"/>
      <c r="W97" s="93"/>
      <c r="X97" s="93"/>
      <c r="Y97" s="93"/>
      <c r="Z97" s="93"/>
    </row>
    <row r="98" spans="1:26" ht="15.75" customHeight="1">
      <c r="A98" s="440">
        <v>44650</v>
      </c>
      <c r="B98" s="442">
        <f t="shared" si="0"/>
        <v>44650</v>
      </c>
      <c r="C98" s="408">
        <v>704.31</v>
      </c>
      <c r="D98" s="408">
        <v>257.06999999999971</v>
      </c>
      <c r="E98" s="408">
        <f t="shared" si="1"/>
        <v>961.37999999999965</v>
      </c>
      <c r="F98" s="93"/>
      <c r="G98" s="439"/>
      <c r="H98" s="439"/>
      <c r="I98" s="439"/>
      <c r="J98" s="439"/>
      <c r="K98" s="439"/>
      <c r="L98" s="93"/>
      <c r="M98" s="93"/>
      <c r="N98" s="93"/>
      <c r="O98" s="93"/>
      <c r="P98" s="93"/>
      <c r="Q98" s="93"/>
      <c r="R98" s="93"/>
      <c r="S98" s="93"/>
      <c r="T98" s="93"/>
      <c r="U98" s="93"/>
      <c r="V98" s="93"/>
      <c r="W98" s="93"/>
      <c r="X98" s="93"/>
      <c r="Y98" s="93"/>
      <c r="Z98" s="93"/>
    </row>
    <row r="99" spans="1:26" ht="15.75" customHeight="1">
      <c r="A99" s="440">
        <v>44651</v>
      </c>
      <c r="B99" s="442">
        <f t="shared" si="0"/>
        <v>44651</v>
      </c>
      <c r="C99" s="408">
        <v>2012.41</v>
      </c>
      <c r="D99" s="408">
        <v>0</v>
      </c>
      <c r="E99" s="408">
        <f t="shared" si="1"/>
        <v>2012.41</v>
      </c>
      <c r="F99" s="93"/>
      <c r="G99" s="439"/>
      <c r="H99" s="439"/>
      <c r="I99" s="439"/>
      <c r="J99" s="439"/>
      <c r="K99" s="439"/>
      <c r="L99" s="93"/>
      <c r="M99" s="93"/>
      <c r="N99" s="93"/>
      <c r="O99" s="93"/>
      <c r="P99" s="93"/>
      <c r="Q99" s="93"/>
      <c r="R99" s="93"/>
      <c r="S99" s="93"/>
      <c r="T99" s="93"/>
      <c r="U99" s="93"/>
      <c r="V99" s="93"/>
      <c r="W99" s="93"/>
      <c r="X99" s="93"/>
      <c r="Y99" s="93"/>
      <c r="Z99" s="93"/>
    </row>
    <row r="100" spans="1:26" ht="15.75" customHeight="1">
      <c r="A100" s="440">
        <v>44652</v>
      </c>
      <c r="B100" s="442">
        <f t="shared" si="0"/>
        <v>44652</v>
      </c>
      <c r="C100" s="408">
        <v>804.83</v>
      </c>
      <c r="D100" s="408">
        <v>3958.0699999999997</v>
      </c>
      <c r="E100" s="408">
        <f t="shared" si="1"/>
        <v>4762.8999999999996</v>
      </c>
      <c r="F100" s="93"/>
      <c r="G100" s="439"/>
      <c r="H100" s="439"/>
      <c r="I100" s="439"/>
      <c r="J100" s="439"/>
      <c r="K100" s="439"/>
      <c r="L100" s="93"/>
      <c r="M100" s="93"/>
      <c r="N100" s="93"/>
      <c r="O100" s="93"/>
      <c r="P100" s="93"/>
      <c r="Q100" s="93"/>
      <c r="R100" s="93"/>
      <c r="S100" s="93"/>
      <c r="T100" s="93"/>
      <c r="U100" s="93"/>
      <c r="V100" s="93"/>
      <c r="W100" s="93"/>
      <c r="X100" s="93"/>
      <c r="Y100" s="93"/>
      <c r="Z100" s="93"/>
    </row>
    <row r="101" spans="1:26" ht="15.75" customHeight="1">
      <c r="A101" s="440">
        <v>44655</v>
      </c>
      <c r="B101" s="442">
        <f t="shared" si="0"/>
        <v>44655</v>
      </c>
      <c r="C101" s="408">
        <v>0</v>
      </c>
      <c r="D101" s="408">
        <v>0</v>
      </c>
      <c r="E101" s="408">
        <f t="shared" si="1"/>
        <v>0</v>
      </c>
      <c r="F101" s="93"/>
      <c r="G101" s="439"/>
      <c r="H101" s="439"/>
      <c r="I101" s="439"/>
      <c r="J101" s="439"/>
      <c r="K101" s="439"/>
      <c r="L101" s="93"/>
      <c r="M101" s="93"/>
      <c r="N101" s="93"/>
      <c r="O101" s="93"/>
      <c r="P101" s="93"/>
      <c r="Q101" s="93"/>
      <c r="R101" s="93"/>
      <c r="S101" s="93"/>
      <c r="T101" s="93"/>
      <c r="U101" s="93"/>
      <c r="V101" s="93"/>
      <c r="W101" s="93"/>
      <c r="X101" s="93"/>
      <c r="Y101" s="93"/>
      <c r="Z101" s="93"/>
    </row>
    <row r="102" spans="1:26" ht="15.75" customHeight="1">
      <c r="A102" s="440">
        <v>44656</v>
      </c>
      <c r="B102" s="442">
        <f t="shared" si="0"/>
        <v>44656</v>
      </c>
      <c r="C102" s="408">
        <v>0</v>
      </c>
      <c r="D102" s="408">
        <v>289.06999999999971</v>
      </c>
      <c r="E102" s="408">
        <f t="shared" si="1"/>
        <v>289.06999999999971</v>
      </c>
      <c r="F102" s="93"/>
      <c r="G102" s="439"/>
      <c r="H102" s="439"/>
      <c r="I102" s="439"/>
      <c r="J102" s="439"/>
      <c r="K102" s="439"/>
      <c r="L102" s="93"/>
      <c r="M102" s="93"/>
      <c r="N102" s="93"/>
      <c r="O102" s="93"/>
      <c r="P102" s="93"/>
      <c r="Q102" s="93"/>
      <c r="R102" s="93"/>
      <c r="S102" s="93"/>
      <c r="T102" s="93"/>
      <c r="U102" s="93"/>
      <c r="V102" s="93"/>
      <c r="W102" s="93"/>
      <c r="X102" s="93"/>
      <c r="Y102" s="93"/>
      <c r="Z102" s="93"/>
    </row>
    <row r="103" spans="1:26" ht="15.75" customHeight="1">
      <c r="A103" s="440">
        <v>44657</v>
      </c>
      <c r="B103" s="442">
        <f t="shared" si="0"/>
        <v>44657</v>
      </c>
      <c r="C103" s="408">
        <v>866</v>
      </c>
      <c r="D103" s="408">
        <v>0</v>
      </c>
      <c r="E103" s="408">
        <f t="shared" si="1"/>
        <v>866</v>
      </c>
      <c r="F103" s="93"/>
      <c r="G103" s="439"/>
      <c r="H103" s="439"/>
      <c r="I103" s="439"/>
      <c r="J103" s="439"/>
      <c r="K103" s="439"/>
      <c r="L103" s="93"/>
      <c r="M103" s="93"/>
      <c r="N103" s="93"/>
      <c r="O103" s="93"/>
      <c r="P103" s="93"/>
      <c r="Q103" s="93"/>
      <c r="R103" s="93"/>
      <c r="S103" s="93"/>
      <c r="T103" s="93"/>
      <c r="U103" s="93"/>
      <c r="V103" s="93"/>
      <c r="W103" s="93"/>
      <c r="X103" s="93"/>
      <c r="Y103" s="93"/>
      <c r="Z103" s="93"/>
    </row>
    <row r="104" spans="1:26" ht="15.75" customHeight="1">
      <c r="A104" s="440">
        <v>44658</v>
      </c>
      <c r="B104" s="442">
        <f t="shared" si="0"/>
        <v>44658</v>
      </c>
      <c r="C104" s="408">
        <v>2055.1299999999974</v>
      </c>
      <c r="D104" s="408">
        <v>0</v>
      </c>
      <c r="E104" s="408">
        <f t="shared" si="1"/>
        <v>2055.1299999999974</v>
      </c>
      <c r="F104" s="93"/>
      <c r="G104" s="439"/>
      <c r="H104" s="439"/>
      <c r="I104" s="439"/>
      <c r="J104" s="439"/>
      <c r="K104" s="439"/>
      <c r="L104" s="93"/>
      <c r="M104" s="93"/>
      <c r="N104" s="93"/>
      <c r="O104" s="93"/>
      <c r="P104" s="93"/>
      <c r="Q104" s="93"/>
      <c r="R104" s="93"/>
      <c r="S104" s="93"/>
      <c r="T104" s="93"/>
      <c r="U104" s="93"/>
      <c r="V104" s="93"/>
      <c r="W104" s="93"/>
      <c r="X104" s="93"/>
      <c r="Y104" s="93"/>
      <c r="Z104" s="93"/>
    </row>
    <row r="105" spans="1:26" ht="15.75" customHeight="1">
      <c r="A105" s="440">
        <v>44659</v>
      </c>
      <c r="B105" s="442">
        <f t="shared" si="0"/>
        <v>44659</v>
      </c>
      <c r="C105" s="408">
        <v>806.41</v>
      </c>
      <c r="D105" s="408">
        <v>0</v>
      </c>
      <c r="E105" s="408">
        <f t="shared" si="1"/>
        <v>806.41</v>
      </c>
      <c r="F105" s="93"/>
      <c r="G105" s="439"/>
      <c r="H105" s="439"/>
      <c r="I105" s="439"/>
      <c r="J105" s="439"/>
      <c r="K105" s="439"/>
      <c r="L105" s="93"/>
      <c r="M105" s="93"/>
      <c r="N105" s="93"/>
      <c r="O105" s="93"/>
      <c r="P105" s="93"/>
      <c r="Q105" s="93"/>
      <c r="R105" s="93"/>
      <c r="S105" s="93"/>
      <c r="T105" s="93"/>
      <c r="U105" s="93"/>
      <c r="V105" s="93"/>
      <c r="W105" s="93"/>
      <c r="X105" s="93"/>
      <c r="Y105" s="93"/>
      <c r="Z105" s="93"/>
    </row>
    <row r="106" spans="1:26" ht="15.75" customHeight="1">
      <c r="A106" s="440">
        <v>44662</v>
      </c>
      <c r="B106" s="442">
        <f t="shared" si="0"/>
        <v>44662</v>
      </c>
      <c r="C106" s="408">
        <v>0</v>
      </c>
      <c r="D106" s="408">
        <v>11609.07</v>
      </c>
      <c r="E106" s="408">
        <f t="shared" si="1"/>
        <v>11609.07</v>
      </c>
      <c r="F106" s="93"/>
      <c r="G106" s="439"/>
      <c r="H106" s="439"/>
      <c r="I106" s="439"/>
      <c r="J106" s="439"/>
      <c r="K106" s="439"/>
      <c r="L106" s="93"/>
      <c r="M106" s="93"/>
      <c r="N106" s="93"/>
      <c r="O106" s="93"/>
      <c r="P106" s="93"/>
      <c r="Q106" s="93"/>
      <c r="R106" s="93"/>
      <c r="S106" s="93"/>
      <c r="T106" s="93"/>
      <c r="U106" s="93"/>
      <c r="V106" s="93"/>
      <c r="W106" s="93"/>
      <c r="X106" s="93"/>
      <c r="Y106" s="93"/>
      <c r="Z106" s="93"/>
    </row>
    <row r="107" spans="1:26" ht="15.75" customHeight="1">
      <c r="A107" s="440">
        <v>44663</v>
      </c>
      <c r="B107" s="442">
        <f t="shared" si="0"/>
        <v>44663</v>
      </c>
      <c r="C107" s="408">
        <v>1846.8300000000017</v>
      </c>
      <c r="D107" s="408">
        <v>3407</v>
      </c>
      <c r="E107" s="408">
        <f t="shared" si="1"/>
        <v>5253.8300000000017</v>
      </c>
      <c r="F107" s="93"/>
      <c r="G107" s="439"/>
      <c r="H107" s="439"/>
      <c r="I107" s="439"/>
      <c r="J107" s="439"/>
      <c r="K107" s="439"/>
      <c r="L107" s="93"/>
      <c r="M107" s="93"/>
      <c r="N107" s="93"/>
      <c r="O107" s="93"/>
      <c r="P107" s="93"/>
      <c r="Q107" s="93"/>
      <c r="R107" s="93"/>
      <c r="S107" s="93"/>
      <c r="T107" s="93"/>
      <c r="U107" s="93"/>
      <c r="V107" s="93"/>
      <c r="W107" s="93"/>
      <c r="X107" s="93"/>
      <c r="Y107" s="93"/>
      <c r="Z107" s="93"/>
    </row>
    <row r="108" spans="1:26" ht="15.75" customHeight="1">
      <c r="A108" s="440">
        <v>44664</v>
      </c>
      <c r="B108" s="442">
        <f t="shared" si="0"/>
        <v>44664</v>
      </c>
      <c r="C108" s="408">
        <v>1427.4700000000012</v>
      </c>
      <c r="D108" s="408">
        <v>0</v>
      </c>
      <c r="E108" s="408">
        <f t="shared" si="1"/>
        <v>1427.4700000000012</v>
      </c>
      <c r="F108" s="93"/>
      <c r="G108" s="439"/>
      <c r="H108" s="439"/>
      <c r="I108" s="439"/>
      <c r="J108" s="439"/>
      <c r="K108" s="439"/>
      <c r="L108" s="93"/>
      <c r="M108" s="93"/>
      <c r="N108" s="93"/>
      <c r="O108" s="93"/>
      <c r="P108" s="93"/>
      <c r="Q108" s="93"/>
      <c r="R108" s="93"/>
      <c r="S108" s="93"/>
      <c r="T108" s="93"/>
      <c r="U108" s="93"/>
      <c r="V108" s="93"/>
      <c r="W108" s="93"/>
      <c r="X108" s="93"/>
      <c r="Y108" s="93"/>
      <c r="Z108" s="93"/>
    </row>
    <row r="109" spans="1:26" ht="15.75" customHeight="1">
      <c r="A109" s="440">
        <v>44669</v>
      </c>
      <c r="B109" s="442">
        <f t="shared" si="0"/>
        <v>44669</v>
      </c>
      <c r="C109" s="408">
        <v>0</v>
      </c>
      <c r="D109" s="408">
        <v>1235.0699999999997</v>
      </c>
      <c r="E109" s="408">
        <f t="shared" si="1"/>
        <v>1235.0699999999997</v>
      </c>
      <c r="F109" s="93"/>
      <c r="G109" s="439"/>
      <c r="H109" s="439"/>
      <c r="I109" s="439"/>
      <c r="J109" s="439"/>
      <c r="K109" s="439"/>
      <c r="L109" s="93"/>
      <c r="M109" s="93"/>
      <c r="N109" s="93"/>
      <c r="O109" s="93"/>
      <c r="P109" s="93"/>
      <c r="Q109" s="93"/>
      <c r="R109" s="93"/>
      <c r="S109" s="93"/>
      <c r="T109" s="93"/>
      <c r="U109" s="93"/>
      <c r="V109" s="93"/>
      <c r="W109" s="93"/>
      <c r="X109" s="93"/>
      <c r="Y109" s="93"/>
      <c r="Z109" s="93"/>
    </row>
    <row r="110" spans="1:26" ht="15.75" customHeight="1">
      <c r="A110" s="440">
        <v>44670</v>
      </c>
      <c r="B110" s="442">
        <f t="shared" si="0"/>
        <v>44670</v>
      </c>
      <c r="C110" s="408">
        <v>489</v>
      </c>
      <c r="D110" s="408">
        <v>1951</v>
      </c>
      <c r="E110" s="408">
        <f t="shared" si="1"/>
        <v>2440</v>
      </c>
      <c r="F110" s="93"/>
      <c r="G110" s="439"/>
      <c r="H110" s="439"/>
      <c r="I110" s="439"/>
      <c r="J110" s="439"/>
      <c r="K110" s="439"/>
      <c r="L110" s="93"/>
      <c r="M110" s="93"/>
      <c r="N110" s="93"/>
      <c r="O110" s="93"/>
      <c r="P110" s="93"/>
      <c r="Q110" s="93"/>
      <c r="R110" s="93"/>
      <c r="S110" s="93"/>
      <c r="T110" s="93"/>
      <c r="U110" s="93"/>
      <c r="V110" s="93"/>
      <c r="W110" s="93"/>
      <c r="X110" s="93"/>
      <c r="Y110" s="93"/>
      <c r="Z110" s="93"/>
    </row>
    <row r="111" spans="1:26" ht="15.75" customHeight="1">
      <c r="A111" s="440">
        <v>44671</v>
      </c>
      <c r="B111" s="442">
        <f t="shared" si="0"/>
        <v>44671</v>
      </c>
      <c r="C111" s="408">
        <v>278.54000000000002</v>
      </c>
      <c r="D111" s="408">
        <v>722.06999999999971</v>
      </c>
      <c r="E111" s="408">
        <f t="shared" si="1"/>
        <v>1000.6099999999997</v>
      </c>
      <c r="F111" s="93"/>
      <c r="G111" s="439"/>
      <c r="H111" s="439"/>
      <c r="I111" s="439"/>
      <c r="J111" s="439"/>
      <c r="K111" s="439"/>
      <c r="L111" s="93"/>
      <c r="M111" s="93"/>
      <c r="N111" s="93"/>
      <c r="O111" s="93"/>
      <c r="P111" s="93"/>
      <c r="Q111" s="93"/>
      <c r="R111" s="93"/>
      <c r="S111" s="93"/>
      <c r="T111" s="93"/>
      <c r="U111" s="93"/>
      <c r="V111" s="93"/>
      <c r="W111" s="93"/>
      <c r="X111" s="93"/>
      <c r="Y111" s="93"/>
      <c r="Z111" s="93"/>
    </row>
    <row r="112" spans="1:26" ht="15.75" customHeight="1">
      <c r="A112" s="440">
        <v>44672</v>
      </c>
      <c r="B112" s="442">
        <f t="shared" si="0"/>
        <v>44672</v>
      </c>
      <c r="C112" s="408">
        <v>761.97</v>
      </c>
      <c r="D112" s="408">
        <v>306.07</v>
      </c>
      <c r="E112" s="408">
        <f t="shared" si="1"/>
        <v>1068.04</v>
      </c>
      <c r="F112" s="93"/>
      <c r="G112" s="439"/>
      <c r="H112" s="439"/>
      <c r="I112" s="439"/>
      <c r="J112" s="439"/>
      <c r="K112" s="439"/>
      <c r="L112" s="93"/>
      <c r="M112" s="93"/>
      <c r="N112" s="93"/>
      <c r="O112" s="93"/>
      <c r="P112" s="93"/>
      <c r="Q112" s="93"/>
      <c r="R112" s="93"/>
      <c r="S112" s="93"/>
      <c r="T112" s="93"/>
      <c r="U112" s="93"/>
      <c r="V112" s="93"/>
      <c r="W112" s="93"/>
      <c r="X112" s="93"/>
      <c r="Y112" s="93"/>
      <c r="Z112" s="93"/>
    </row>
    <row r="113" spans="1:26" ht="15.75" customHeight="1">
      <c r="A113" s="440">
        <v>44673</v>
      </c>
      <c r="B113" s="442">
        <f t="shared" si="0"/>
        <v>44673</v>
      </c>
      <c r="C113" s="408">
        <v>537.89</v>
      </c>
      <c r="D113" s="408">
        <v>438</v>
      </c>
      <c r="E113" s="408">
        <f t="shared" si="1"/>
        <v>975.89</v>
      </c>
      <c r="F113" s="93"/>
      <c r="G113" s="439"/>
      <c r="H113" s="439"/>
      <c r="I113" s="439"/>
      <c r="J113" s="439"/>
      <c r="K113" s="439"/>
      <c r="L113" s="93"/>
      <c r="M113" s="93"/>
      <c r="N113" s="93"/>
      <c r="O113" s="93"/>
      <c r="P113" s="93"/>
      <c r="Q113" s="93"/>
      <c r="R113" s="93"/>
      <c r="S113" s="93"/>
      <c r="T113" s="93"/>
      <c r="U113" s="93"/>
      <c r="V113" s="93"/>
      <c r="W113" s="93"/>
      <c r="X113" s="93"/>
      <c r="Y113" s="93"/>
      <c r="Z113" s="93"/>
    </row>
    <row r="114" spans="1:26" ht="15.75" customHeight="1">
      <c r="A114" s="440">
        <v>44676</v>
      </c>
      <c r="B114" s="442">
        <f t="shared" si="0"/>
        <v>44676</v>
      </c>
      <c r="C114" s="408">
        <v>1188</v>
      </c>
      <c r="D114" s="408">
        <v>0</v>
      </c>
      <c r="E114" s="408">
        <f t="shared" si="1"/>
        <v>1188</v>
      </c>
      <c r="F114" s="93"/>
      <c r="G114" s="439"/>
      <c r="H114" s="439"/>
      <c r="I114" s="439"/>
      <c r="J114" s="439"/>
      <c r="K114" s="439"/>
      <c r="L114" s="93"/>
      <c r="M114" s="93"/>
      <c r="N114" s="93"/>
      <c r="O114" s="93"/>
      <c r="P114" s="93"/>
      <c r="Q114" s="93"/>
      <c r="R114" s="93"/>
      <c r="S114" s="93"/>
      <c r="T114" s="93"/>
      <c r="U114" s="93"/>
      <c r="V114" s="93"/>
      <c r="W114" s="93"/>
      <c r="X114" s="93"/>
      <c r="Y114" s="93"/>
      <c r="Z114" s="93"/>
    </row>
    <row r="115" spans="1:26" ht="15.75" customHeight="1">
      <c r="A115" s="440">
        <v>44677</v>
      </c>
      <c r="B115" s="442">
        <f t="shared" si="0"/>
        <v>44677</v>
      </c>
      <c r="C115" s="408">
        <v>1506</v>
      </c>
      <c r="D115" s="408">
        <v>857.06999999999971</v>
      </c>
      <c r="E115" s="408">
        <f t="shared" si="1"/>
        <v>2363.0699999999997</v>
      </c>
      <c r="F115" s="93"/>
      <c r="G115" s="439"/>
      <c r="H115" s="439"/>
      <c r="I115" s="439"/>
      <c r="J115" s="439"/>
      <c r="K115" s="439"/>
      <c r="L115" s="93"/>
      <c r="M115" s="93"/>
      <c r="N115" s="93"/>
      <c r="O115" s="93"/>
      <c r="P115" s="93"/>
      <c r="Q115" s="93"/>
      <c r="R115" s="93"/>
      <c r="S115" s="93"/>
      <c r="T115" s="93"/>
      <c r="U115" s="93"/>
      <c r="V115" s="93"/>
      <c r="W115" s="93"/>
      <c r="X115" s="93"/>
      <c r="Y115" s="93"/>
      <c r="Z115" s="93"/>
    </row>
    <row r="116" spans="1:26" ht="15.75" customHeight="1">
      <c r="A116" s="440">
        <v>44678</v>
      </c>
      <c r="B116" s="442">
        <f t="shared" si="0"/>
        <v>44678</v>
      </c>
      <c r="C116" s="408">
        <v>505.19</v>
      </c>
      <c r="D116" s="408">
        <v>0</v>
      </c>
      <c r="E116" s="408">
        <f t="shared" si="1"/>
        <v>505.19</v>
      </c>
      <c r="F116" s="93"/>
      <c r="G116" s="439"/>
      <c r="H116" s="439"/>
      <c r="I116" s="439"/>
      <c r="J116" s="439"/>
      <c r="K116" s="439"/>
      <c r="L116" s="93"/>
      <c r="M116" s="93"/>
      <c r="N116" s="93"/>
      <c r="O116" s="93"/>
      <c r="P116" s="93"/>
      <c r="Q116" s="93"/>
      <c r="R116" s="93"/>
      <c r="S116" s="93"/>
      <c r="T116" s="93"/>
      <c r="U116" s="93"/>
      <c r="V116" s="93"/>
      <c r="W116" s="93"/>
      <c r="X116" s="93"/>
      <c r="Y116" s="93"/>
      <c r="Z116" s="93"/>
    </row>
    <row r="117" spans="1:26" ht="15.75" customHeight="1">
      <c r="A117" s="440">
        <v>44679</v>
      </c>
      <c r="B117" s="442">
        <f t="shared" si="0"/>
        <v>44679</v>
      </c>
      <c r="C117" s="408">
        <v>5248.4400000000023</v>
      </c>
      <c r="D117" s="408">
        <v>0</v>
      </c>
      <c r="E117" s="408">
        <f t="shared" si="1"/>
        <v>5248.4400000000023</v>
      </c>
      <c r="F117" s="93"/>
      <c r="G117" s="439"/>
      <c r="H117" s="439"/>
      <c r="I117" s="439"/>
      <c r="J117" s="439"/>
      <c r="K117" s="439"/>
      <c r="L117" s="93"/>
      <c r="M117" s="93"/>
      <c r="N117" s="93"/>
      <c r="O117" s="93"/>
      <c r="P117" s="93"/>
      <c r="Q117" s="93"/>
      <c r="R117" s="93"/>
      <c r="S117" s="93"/>
      <c r="T117" s="93"/>
      <c r="U117" s="93"/>
      <c r="V117" s="93"/>
      <c r="W117" s="93"/>
      <c r="X117" s="93"/>
      <c r="Y117" s="93"/>
      <c r="Z117" s="93"/>
    </row>
    <row r="118" spans="1:26" ht="15.75" customHeight="1">
      <c r="A118" s="440">
        <v>44680</v>
      </c>
      <c r="B118" s="442">
        <f t="shared" si="0"/>
        <v>44680</v>
      </c>
      <c r="C118" s="408">
        <v>3945.0500000000029</v>
      </c>
      <c r="D118" s="408">
        <v>0</v>
      </c>
      <c r="E118" s="408">
        <f t="shared" si="1"/>
        <v>3945.0500000000029</v>
      </c>
      <c r="F118" s="93"/>
      <c r="G118" s="439"/>
      <c r="H118" s="439"/>
      <c r="I118" s="439"/>
      <c r="J118" s="439"/>
      <c r="K118" s="439"/>
      <c r="L118" s="93"/>
      <c r="M118" s="93"/>
      <c r="N118" s="93"/>
      <c r="O118" s="93"/>
      <c r="P118" s="93"/>
      <c r="Q118" s="93"/>
      <c r="R118" s="93"/>
      <c r="S118" s="93"/>
      <c r="T118" s="93"/>
      <c r="U118" s="93"/>
      <c r="V118" s="93"/>
      <c r="W118" s="93"/>
      <c r="X118" s="93"/>
      <c r="Y118" s="93"/>
      <c r="Z118" s="93"/>
    </row>
    <row r="119" spans="1:26" ht="15.75" customHeight="1">
      <c r="A119" s="440">
        <v>44683</v>
      </c>
      <c r="B119" s="442">
        <f t="shared" si="0"/>
        <v>44683</v>
      </c>
      <c r="C119" s="408">
        <v>3014</v>
      </c>
      <c r="D119" s="408">
        <v>1491.0000000000036</v>
      </c>
      <c r="E119" s="408">
        <f t="shared" si="1"/>
        <v>4505.0000000000036</v>
      </c>
      <c r="F119" s="93"/>
      <c r="G119" s="439"/>
      <c r="H119" s="439"/>
      <c r="I119" s="439"/>
      <c r="J119" s="439"/>
      <c r="K119" s="439"/>
      <c r="L119" s="93"/>
      <c r="M119" s="93"/>
      <c r="N119" s="93"/>
      <c r="O119" s="93"/>
      <c r="P119" s="93"/>
      <c r="Q119" s="93"/>
      <c r="R119" s="93"/>
      <c r="S119" s="93"/>
      <c r="T119" s="93"/>
      <c r="U119" s="93"/>
      <c r="V119" s="93"/>
      <c r="W119" s="93"/>
      <c r="X119" s="93"/>
      <c r="Y119" s="93"/>
      <c r="Z119" s="93"/>
    </row>
    <row r="120" spans="1:26" ht="15.75" customHeight="1">
      <c r="A120" s="440">
        <v>44685</v>
      </c>
      <c r="B120" s="442">
        <f t="shared" si="0"/>
        <v>44685</v>
      </c>
      <c r="C120" s="408">
        <v>4645.3</v>
      </c>
      <c r="D120" s="408">
        <v>1061.0699999999997</v>
      </c>
      <c r="E120" s="408">
        <f t="shared" si="1"/>
        <v>5706.37</v>
      </c>
      <c r="F120" s="93"/>
      <c r="G120" s="439"/>
      <c r="H120" s="439"/>
      <c r="I120" s="439"/>
      <c r="J120" s="439"/>
      <c r="K120" s="439"/>
      <c r="L120" s="93"/>
      <c r="M120" s="93"/>
      <c r="N120" s="93"/>
      <c r="O120" s="93"/>
      <c r="P120" s="93"/>
      <c r="Q120" s="93"/>
      <c r="R120" s="93"/>
      <c r="S120" s="93"/>
      <c r="T120" s="93"/>
      <c r="U120" s="93"/>
      <c r="V120" s="93"/>
      <c r="W120" s="93"/>
      <c r="X120" s="93"/>
      <c r="Y120" s="93"/>
      <c r="Z120" s="93"/>
    </row>
    <row r="121" spans="1:26" ht="15.75" customHeight="1">
      <c r="A121" s="440">
        <v>44686</v>
      </c>
      <c r="B121" s="442">
        <f t="shared" si="0"/>
        <v>44686</v>
      </c>
      <c r="C121" s="408">
        <v>5676.71</v>
      </c>
      <c r="D121" s="408">
        <v>1372.0699999999924</v>
      </c>
      <c r="E121" s="408">
        <f t="shared" si="1"/>
        <v>7048.7799999999925</v>
      </c>
      <c r="F121" s="93"/>
      <c r="G121" s="439"/>
      <c r="H121" s="439"/>
      <c r="I121" s="439"/>
      <c r="J121" s="439"/>
      <c r="K121" s="439"/>
      <c r="L121" s="93"/>
      <c r="M121" s="93"/>
      <c r="N121" s="93"/>
      <c r="O121" s="93"/>
      <c r="P121" s="93"/>
      <c r="Q121" s="93"/>
      <c r="R121" s="93"/>
      <c r="S121" s="93"/>
      <c r="T121" s="93"/>
      <c r="U121" s="93"/>
      <c r="V121" s="93"/>
      <c r="W121" s="93"/>
      <c r="X121" s="93"/>
      <c r="Y121" s="93"/>
      <c r="Z121" s="93"/>
    </row>
    <row r="122" spans="1:26" ht="15.75" customHeight="1">
      <c r="A122" s="440">
        <v>44687</v>
      </c>
      <c r="B122" s="442">
        <f t="shared" si="0"/>
        <v>44687</v>
      </c>
      <c r="C122" s="408">
        <v>1934.3600000000006</v>
      </c>
      <c r="D122" s="408">
        <v>6736</v>
      </c>
      <c r="E122" s="408">
        <f t="shared" si="1"/>
        <v>8670.36</v>
      </c>
      <c r="F122" s="93"/>
      <c r="G122" s="439"/>
      <c r="H122" s="439"/>
      <c r="I122" s="439"/>
      <c r="J122" s="439"/>
      <c r="K122" s="439"/>
      <c r="L122" s="93"/>
      <c r="M122" s="93"/>
      <c r="N122" s="93"/>
      <c r="O122" s="93"/>
      <c r="P122" s="93"/>
      <c r="Q122" s="93"/>
      <c r="R122" s="93"/>
      <c r="S122" s="93"/>
      <c r="T122" s="93"/>
      <c r="U122" s="93"/>
      <c r="V122" s="93"/>
      <c r="W122" s="93"/>
      <c r="X122" s="93"/>
      <c r="Y122" s="93"/>
      <c r="Z122" s="93"/>
    </row>
    <row r="123" spans="1:26" ht="15.75" customHeight="1">
      <c r="A123" s="440">
        <v>44690</v>
      </c>
      <c r="B123" s="442">
        <f t="shared" si="0"/>
        <v>44690</v>
      </c>
      <c r="C123" s="408">
        <v>1748.45</v>
      </c>
      <c r="D123" s="408">
        <v>1528.07</v>
      </c>
      <c r="E123" s="408">
        <f t="shared" si="1"/>
        <v>3276.52</v>
      </c>
      <c r="F123" s="93"/>
      <c r="G123" s="439"/>
      <c r="H123" s="439"/>
      <c r="I123" s="439"/>
      <c r="J123" s="439"/>
      <c r="K123" s="439"/>
      <c r="L123" s="93"/>
      <c r="M123" s="93"/>
      <c r="N123" s="93"/>
      <c r="O123" s="93"/>
      <c r="P123" s="93"/>
      <c r="Q123" s="93"/>
      <c r="R123" s="93"/>
      <c r="S123" s="93"/>
      <c r="T123" s="93"/>
      <c r="U123" s="93"/>
      <c r="V123" s="93"/>
      <c r="W123" s="93"/>
      <c r="X123" s="93"/>
      <c r="Y123" s="93"/>
      <c r="Z123" s="93"/>
    </row>
    <row r="124" spans="1:26" ht="15.75" customHeight="1">
      <c r="A124" s="440">
        <v>44691</v>
      </c>
      <c r="B124" s="442">
        <f t="shared" si="0"/>
        <v>44691</v>
      </c>
      <c r="C124" s="408">
        <v>2503.46</v>
      </c>
      <c r="D124" s="408">
        <v>0</v>
      </c>
      <c r="E124" s="408">
        <f t="shared" si="1"/>
        <v>2503.46</v>
      </c>
      <c r="F124" s="93"/>
      <c r="G124" s="439"/>
      <c r="H124" s="439"/>
      <c r="I124" s="439"/>
      <c r="J124" s="439"/>
      <c r="K124" s="439"/>
      <c r="L124" s="93"/>
      <c r="M124" s="93"/>
      <c r="N124" s="93"/>
      <c r="O124" s="93"/>
      <c r="P124" s="93"/>
      <c r="Q124" s="93"/>
      <c r="R124" s="93"/>
      <c r="S124" s="93"/>
      <c r="T124" s="93"/>
      <c r="U124" s="93"/>
      <c r="V124" s="93"/>
      <c r="W124" s="93"/>
      <c r="X124" s="93"/>
      <c r="Y124" s="93"/>
      <c r="Z124" s="93"/>
    </row>
    <row r="125" spans="1:26" ht="15.75" customHeight="1">
      <c r="A125" s="440">
        <v>44692</v>
      </c>
      <c r="B125" s="442">
        <f t="shared" si="0"/>
        <v>44692</v>
      </c>
      <c r="C125" s="408">
        <v>2978.78</v>
      </c>
      <c r="D125" s="408">
        <v>0</v>
      </c>
      <c r="E125" s="408">
        <f t="shared" si="1"/>
        <v>2978.78</v>
      </c>
      <c r="F125" s="93"/>
      <c r="G125" s="439"/>
      <c r="H125" s="439"/>
      <c r="I125" s="439"/>
      <c r="J125" s="439"/>
      <c r="K125" s="439"/>
      <c r="L125" s="93"/>
      <c r="M125" s="93"/>
      <c r="N125" s="93"/>
      <c r="O125" s="93"/>
      <c r="P125" s="93"/>
      <c r="Q125" s="93"/>
      <c r="R125" s="93"/>
      <c r="S125" s="93"/>
      <c r="T125" s="93"/>
      <c r="U125" s="93"/>
      <c r="V125" s="93"/>
      <c r="W125" s="93"/>
      <c r="X125" s="93"/>
      <c r="Y125" s="93"/>
      <c r="Z125" s="93"/>
    </row>
    <row r="126" spans="1:26" ht="15.75" customHeight="1">
      <c r="A126" s="440">
        <v>44693</v>
      </c>
      <c r="B126" s="442">
        <f t="shared" si="0"/>
        <v>44693</v>
      </c>
      <c r="C126" s="408">
        <v>2291.6199999999953</v>
      </c>
      <c r="D126" s="408">
        <v>130.06999999999971</v>
      </c>
      <c r="E126" s="408">
        <f t="shared" si="1"/>
        <v>2421.6899999999951</v>
      </c>
      <c r="F126" s="93"/>
      <c r="G126" s="439"/>
      <c r="H126" s="439"/>
      <c r="I126" s="439"/>
      <c r="J126" s="439"/>
      <c r="K126" s="439"/>
      <c r="L126" s="93"/>
      <c r="M126" s="93"/>
      <c r="N126" s="93"/>
      <c r="O126" s="93"/>
      <c r="P126" s="93"/>
      <c r="Q126" s="93"/>
      <c r="R126" s="93"/>
      <c r="S126" s="93"/>
      <c r="T126" s="93"/>
      <c r="U126" s="93"/>
      <c r="V126" s="93"/>
      <c r="W126" s="93"/>
      <c r="X126" s="93"/>
      <c r="Y126" s="93"/>
      <c r="Z126" s="93"/>
    </row>
    <row r="127" spans="1:26" ht="15.75" customHeight="1">
      <c r="A127" s="440">
        <v>44694</v>
      </c>
      <c r="B127" s="442">
        <f t="shared" si="0"/>
        <v>44694</v>
      </c>
      <c r="C127" s="408">
        <v>28.62</v>
      </c>
      <c r="D127" s="408">
        <v>619</v>
      </c>
      <c r="E127" s="408">
        <f t="shared" si="1"/>
        <v>647.62</v>
      </c>
      <c r="F127" s="93"/>
      <c r="G127" s="439"/>
      <c r="H127" s="439"/>
      <c r="I127" s="439"/>
      <c r="J127" s="439"/>
      <c r="K127" s="439"/>
      <c r="L127" s="93"/>
      <c r="M127" s="93"/>
      <c r="N127" s="93"/>
      <c r="O127" s="93"/>
      <c r="P127" s="93"/>
      <c r="Q127" s="93"/>
      <c r="R127" s="93"/>
      <c r="S127" s="93"/>
      <c r="T127" s="93"/>
      <c r="U127" s="93"/>
      <c r="V127" s="93"/>
      <c r="W127" s="93"/>
      <c r="X127" s="93"/>
      <c r="Y127" s="93"/>
      <c r="Z127" s="93"/>
    </row>
    <row r="128" spans="1:26" ht="15.75" customHeight="1">
      <c r="A128" s="440">
        <v>44697</v>
      </c>
      <c r="B128" s="442">
        <f t="shared" si="0"/>
        <v>44697</v>
      </c>
      <c r="C128" s="408">
        <v>0</v>
      </c>
      <c r="D128" s="408">
        <v>1282</v>
      </c>
      <c r="E128" s="408">
        <f t="shared" si="1"/>
        <v>1282</v>
      </c>
      <c r="F128" s="93"/>
      <c r="G128" s="439"/>
      <c r="H128" s="439"/>
      <c r="I128" s="439"/>
      <c r="J128" s="439"/>
      <c r="K128" s="439"/>
      <c r="L128" s="93"/>
      <c r="M128" s="93"/>
      <c r="N128" s="93"/>
      <c r="O128" s="93"/>
      <c r="P128" s="93"/>
      <c r="Q128" s="93"/>
      <c r="R128" s="93"/>
      <c r="S128" s="93"/>
      <c r="T128" s="93"/>
      <c r="U128" s="93"/>
      <c r="V128" s="93"/>
      <c r="W128" s="93"/>
      <c r="X128" s="93"/>
      <c r="Y128" s="93"/>
      <c r="Z128" s="93"/>
    </row>
    <row r="129" spans="1:26" ht="15.75" customHeight="1">
      <c r="A129" s="440">
        <v>44698</v>
      </c>
      <c r="B129" s="442">
        <f t="shared" si="0"/>
        <v>44698</v>
      </c>
      <c r="C129" s="408">
        <v>293.83</v>
      </c>
      <c r="D129" s="408">
        <v>0</v>
      </c>
      <c r="E129" s="408">
        <f t="shared" si="1"/>
        <v>293.83</v>
      </c>
      <c r="F129" s="93"/>
      <c r="G129" s="439"/>
      <c r="H129" s="439"/>
      <c r="I129" s="439"/>
      <c r="J129" s="439"/>
      <c r="K129" s="439"/>
      <c r="L129" s="93"/>
      <c r="M129" s="93"/>
      <c r="N129" s="93"/>
      <c r="O129" s="93"/>
      <c r="P129" s="93"/>
      <c r="Q129" s="93"/>
      <c r="R129" s="93"/>
      <c r="S129" s="93"/>
      <c r="T129" s="93"/>
      <c r="U129" s="93"/>
      <c r="V129" s="93"/>
      <c r="W129" s="93"/>
      <c r="X129" s="93"/>
      <c r="Y129" s="93"/>
      <c r="Z129" s="93"/>
    </row>
    <row r="130" spans="1:26" ht="15.75" customHeight="1">
      <c r="A130" s="440">
        <v>44699</v>
      </c>
      <c r="B130" s="442">
        <f t="shared" si="0"/>
        <v>44699</v>
      </c>
      <c r="C130" s="408">
        <v>374.02</v>
      </c>
      <c r="D130" s="408">
        <v>0</v>
      </c>
      <c r="E130" s="408">
        <f t="shared" si="1"/>
        <v>374.02</v>
      </c>
      <c r="F130" s="93"/>
      <c r="G130" s="439"/>
      <c r="H130" s="439"/>
      <c r="I130" s="439"/>
      <c r="J130" s="439"/>
      <c r="K130" s="439"/>
      <c r="L130" s="93"/>
      <c r="M130" s="93"/>
      <c r="N130" s="93"/>
      <c r="O130" s="93"/>
      <c r="P130" s="93"/>
      <c r="Q130" s="93"/>
      <c r="R130" s="93"/>
      <c r="S130" s="93"/>
      <c r="T130" s="93"/>
      <c r="U130" s="93"/>
      <c r="V130" s="93"/>
      <c r="W130" s="93"/>
      <c r="X130" s="93"/>
      <c r="Y130" s="93"/>
      <c r="Z130" s="93"/>
    </row>
    <row r="131" spans="1:26" ht="15.75" customHeight="1">
      <c r="A131" s="440">
        <v>44700</v>
      </c>
      <c r="B131" s="442">
        <f t="shared" si="0"/>
        <v>44700</v>
      </c>
      <c r="C131" s="408">
        <v>485.33</v>
      </c>
      <c r="D131" s="408">
        <v>0</v>
      </c>
      <c r="E131" s="408">
        <f t="shared" si="1"/>
        <v>485.33</v>
      </c>
      <c r="F131" s="93"/>
      <c r="G131" s="439"/>
      <c r="H131" s="439"/>
      <c r="I131" s="439"/>
      <c r="J131" s="439"/>
      <c r="K131" s="439"/>
      <c r="L131" s="93"/>
      <c r="M131" s="93"/>
      <c r="N131" s="93"/>
      <c r="O131" s="93"/>
      <c r="P131" s="93"/>
      <c r="Q131" s="93"/>
      <c r="R131" s="93"/>
      <c r="S131" s="93"/>
      <c r="T131" s="93"/>
      <c r="U131" s="93"/>
      <c r="V131" s="93"/>
      <c r="W131" s="93"/>
      <c r="X131" s="93"/>
      <c r="Y131" s="93"/>
      <c r="Z131" s="93"/>
    </row>
    <row r="132" spans="1:26" ht="15.75" customHeight="1">
      <c r="A132" s="440">
        <v>44701</v>
      </c>
      <c r="B132" s="442">
        <f t="shared" si="0"/>
        <v>44701</v>
      </c>
      <c r="C132" s="408">
        <v>857.32</v>
      </c>
      <c r="D132" s="408">
        <v>640.06999999999971</v>
      </c>
      <c r="E132" s="408">
        <f t="shared" si="1"/>
        <v>1497.3899999999999</v>
      </c>
      <c r="F132" s="93"/>
      <c r="G132" s="439"/>
      <c r="H132" s="439"/>
      <c r="I132" s="439"/>
      <c r="J132" s="439"/>
      <c r="K132" s="439"/>
      <c r="L132" s="93"/>
      <c r="M132" s="93"/>
      <c r="N132" s="93"/>
      <c r="O132" s="93"/>
      <c r="P132" s="93"/>
      <c r="Q132" s="93"/>
      <c r="R132" s="93"/>
      <c r="S132" s="93"/>
      <c r="T132" s="93"/>
      <c r="U132" s="93"/>
      <c r="V132" s="93"/>
      <c r="W132" s="93"/>
      <c r="X132" s="93"/>
      <c r="Y132" s="93"/>
      <c r="Z132" s="93"/>
    </row>
    <row r="133" spans="1:26" ht="15.75" customHeight="1">
      <c r="A133" s="440">
        <v>44704</v>
      </c>
      <c r="B133" s="442">
        <f t="shared" si="0"/>
        <v>44704</v>
      </c>
      <c r="C133" s="408">
        <v>589.71</v>
      </c>
      <c r="D133" s="408">
        <v>271</v>
      </c>
      <c r="E133" s="408">
        <f t="shared" si="1"/>
        <v>860.71</v>
      </c>
      <c r="F133" s="93"/>
      <c r="G133" s="439"/>
      <c r="H133" s="439"/>
      <c r="I133" s="439"/>
      <c r="J133" s="439"/>
      <c r="K133" s="439"/>
      <c r="L133" s="93"/>
      <c r="M133" s="93"/>
      <c r="N133" s="93"/>
      <c r="O133" s="93"/>
      <c r="P133" s="93"/>
      <c r="Q133" s="93"/>
      <c r="R133" s="93"/>
      <c r="S133" s="93"/>
      <c r="T133" s="93"/>
      <c r="U133" s="93"/>
      <c r="V133" s="93"/>
      <c r="W133" s="93"/>
      <c r="X133" s="93"/>
      <c r="Y133" s="93"/>
      <c r="Z133" s="93"/>
    </row>
    <row r="134" spans="1:26" ht="15.75" customHeight="1">
      <c r="A134" s="440">
        <v>44705</v>
      </c>
      <c r="B134" s="442">
        <f t="shared" si="0"/>
        <v>44705</v>
      </c>
      <c r="C134" s="408">
        <v>445.93</v>
      </c>
      <c r="D134" s="408">
        <v>376</v>
      </c>
      <c r="E134" s="408">
        <f t="shared" si="1"/>
        <v>821.93000000000006</v>
      </c>
      <c r="F134" s="93"/>
      <c r="G134" s="439"/>
      <c r="H134" s="439"/>
      <c r="I134" s="439"/>
      <c r="J134" s="439"/>
      <c r="K134" s="439"/>
      <c r="L134" s="93"/>
      <c r="M134" s="93"/>
      <c r="N134" s="93"/>
      <c r="O134" s="93"/>
      <c r="P134" s="93"/>
      <c r="Q134" s="93"/>
      <c r="R134" s="93"/>
      <c r="S134" s="93"/>
      <c r="T134" s="93"/>
      <c r="U134" s="93"/>
      <c r="V134" s="93"/>
      <c r="W134" s="93"/>
      <c r="X134" s="93"/>
      <c r="Y134" s="93"/>
      <c r="Z134" s="93"/>
    </row>
    <row r="135" spans="1:26" ht="15.75" customHeight="1">
      <c r="A135" s="440">
        <v>44706</v>
      </c>
      <c r="B135" s="442">
        <f t="shared" si="0"/>
        <v>44706</v>
      </c>
      <c r="C135" s="408">
        <v>239.74</v>
      </c>
      <c r="D135" s="408">
        <v>688</v>
      </c>
      <c r="E135" s="408">
        <f t="shared" si="1"/>
        <v>927.74</v>
      </c>
      <c r="F135" s="93"/>
      <c r="G135" s="439"/>
      <c r="H135" s="439"/>
      <c r="I135" s="439"/>
      <c r="J135" s="439"/>
      <c r="K135" s="439"/>
      <c r="L135" s="93"/>
      <c r="M135" s="93"/>
      <c r="N135" s="93"/>
      <c r="O135" s="93"/>
      <c r="P135" s="93"/>
      <c r="Q135" s="93"/>
      <c r="R135" s="93"/>
      <c r="S135" s="93"/>
      <c r="T135" s="93"/>
      <c r="U135" s="93"/>
      <c r="V135" s="93"/>
      <c r="W135" s="93"/>
      <c r="X135" s="93"/>
      <c r="Y135" s="93"/>
      <c r="Z135" s="93"/>
    </row>
    <row r="136" spans="1:26" ht="15.75" customHeight="1">
      <c r="A136" s="440">
        <v>44707</v>
      </c>
      <c r="B136" s="442">
        <f t="shared" si="0"/>
        <v>44707</v>
      </c>
      <c r="C136" s="408">
        <v>158.4</v>
      </c>
      <c r="D136" s="408">
        <v>114</v>
      </c>
      <c r="E136" s="408">
        <f t="shared" si="1"/>
        <v>272.39999999999998</v>
      </c>
      <c r="F136" s="93"/>
      <c r="G136" s="439"/>
      <c r="H136" s="439"/>
      <c r="I136" s="439"/>
      <c r="J136" s="439"/>
      <c r="K136" s="439"/>
      <c r="L136" s="93"/>
      <c r="M136" s="93"/>
      <c r="N136" s="93"/>
      <c r="O136" s="93"/>
      <c r="P136" s="93"/>
      <c r="Q136" s="93"/>
      <c r="R136" s="93"/>
      <c r="S136" s="93"/>
      <c r="T136" s="93"/>
      <c r="U136" s="93"/>
      <c r="V136" s="93"/>
      <c r="W136" s="93"/>
      <c r="X136" s="93"/>
      <c r="Y136" s="93"/>
      <c r="Z136" s="93"/>
    </row>
    <row r="137" spans="1:26" ht="15.75" customHeight="1">
      <c r="A137" s="440">
        <v>44708</v>
      </c>
      <c r="B137" s="442">
        <f t="shared" si="0"/>
        <v>44708</v>
      </c>
      <c r="C137" s="408">
        <v>214.99</v>
      </c>
      <c r="D137" s="408">
        <v>575.07000000000698</v>
      </c>
      <c r="E137" s="408">
        <f t="shared" si="1"/>
        <v>790.06000000000699</v>
      </c>
      <c r="F137" s="93"/>
      <c r="G137" s="439"/>
      <c r="H137" s="439"/>
      <c r="I137" s="439"/>
      <c r="J137" s="439"/>
      <c r="K137" s="439"/>
      <c r="L137" s="93"/>
      <c r="M137" s="93"/>
      <c r="N137" s="93"/>
      <c r="O137" s="93"/>
      <c r="P137" s="93"/>
      <c r="Q137" s="93"/>
      <c r="R137" s="93"/>
      <c r="S137" s="93"/>
      <c r="T137" s="93"/>
      <c r="U137" s="93"/>
      <c r="V137" s="93"/>
      <c r="W137" s="93"/>
      <c r="X137" s="93"/>
      <c r="Y137" s="93"/>
      <c r="Z137" s="93"/>
    </row>
    <row r="138" spans="1:26" ht="15.75" customHeight="1">
      <c r="A138" s="440">
        <v>44711</v>
      </c>
      <c r="B138" s="442">
        <f t="shared" si="0"/>
        <v>44711</v>
      </c>
      <c r="C138" s="408">
        <v>0</v>
      </c>
      <c r="D138" s="408">
        <v>1148.0699999999997</v>
      </c>
      <c r="E138" s="408">
        <f t="shared" si="1"/>
        <v>1148.0699999999997</v>
      </c>
      <c r="F138" s="93"/>
      <c r="G138" s="439"/>
      <c r="H138" s="439"/>
      <c r="I138" s="439"/>
      <c r="J138" s="439"/>
      <c r="K138" s="439"/>
      <c r="L138" s="93"/>
      <c r="M138" s="93"/>
      <c r="N138" s="93"/>
      <c r="O138" s="93"/>
      <c r="P138" s="93"/>
      <c r="Q138" s="93"/>
      <c r="R138" s="93"/>
      <c r="S138" s="93"/>
      <c r="T138" s="93"/>
      <c r="U138" s="93"/>
      <c r="V138" s="93"/>
      <c r="W138" s="93"/>
      <c r="X138" s="93"/>
      <c r="Y138" s="93"/>
      <c r="Z138" s="93"/>
    </row>
    <row r="139" spans="1:26" ht="15.75" customHeight="1">
      <c r="A139" s="440">
        <v>44712</v>
      </c>
      <c r="B139" s="442">
        <f t="shared" si="0"/>
        <v>44712</v>
      </c>
      <c r="C139" s="408">
        <v>198.68</v>
      </c>
      <c r="D139" s="408">
        <v>0</v>
      </c>
      <c r="E139" s="408">
        <f t="shared" si="1"/>
        <v>198.68</v>
      </c>
      <c r="F139" s="93"/>
      <c r="G139" s="439"/>
      <c r="H139" s="439"/>
      <c r="I139" s="439"/>
      <c r="J139" s="439"/>
      <c r="K139" s="439"/>
      <c r="L139" s="93"/>
      <c r="M139" s="93"/>
      <c r="N139" s="93"/>
      <c r="O139" s="93"/>
      <c r="P139" s="93"/>
      <c r="Q139" s="93"/>
      <c r="R139" s="93"/>
      <c r="S139" s="93"/>
      <c r="T139" s="93"/>
      <c r="U139" s="93"/>
      <c r="V139" s="93"/>
      <c r="W139" s="93"/>
      <c r="X139" s="93"/>
      <c r="Y139" s="93"/>
      <c r="Z139" s="93"/>
    </row>
    <row r="140" spans="1:26" ht="15.75" customHeight="1">
      <c r="A140" s="440">
        <v>44713</v>
      </c>
      <c r="B140" s="442">
        <f t="shared" si="0"/>
        <v>44713</v>
      </c>
      <c r="C140" s="408">
        <v>470.91</v>
      </c>
      <c r="D140" s="408">
        <v>0</v>
      </c>
      <c r="E140" s="408">
        <f t="shared" si="1"/>
        <v>470.91</v>
      </c>
      <c r="F140" s="93"/>
      <c r="G140" s="439"/>
      <c r="H140" s="439"/>
      <c r="I140" s="439"/>
      <c r="J140" s="439"/>
      <c r="K140" s="439"/>
      <c r="L140" s="93"/>
      <c r="M140" s="93"/>
      <c r="N140" s="93"/>
      <c r="O140" s="93"/>
      <c r="P140" s="93"/>
      <c r="Q140" s="93"/>
      <c r="R140" s="93"/>
      <c r="S140" s="93"/>
      <c r="T140" s="93"/>
      <c r="U140" s="93"/>
      <c r="V140" s="93"/>
      <c r="W140" s="93"/>
      <c r="X140" s="93"/>
      <c r="Y140" s="93"/>
      <c r="Z140" s="93"/>
    </row>
    <row r="141" spans="1:26" ht="15.75" customHeight="1">
      <c r="A141" s="440">
        <v>44714</v>
      </c>
      <c r="B141" s="442">
        <f t="shared" si="0"/>
        <v>44714</v>
      </c>
      <c r="C141" s="408">
        <v>530.34</v>
      </c>
      <c r="D141" s="408">
        <v>0</v>
      </c>
      <c r="E141" s="408">
        <f t="shared" si="1"/>
        <v>530.34</v>
      </c>
      <c r="F141" s="93"/>
      <c r="G141" s="439"/>
      <c r="H141" s="439"/>
      <c r="I141" s="439"/>
      <c r="J141" s="439"/>
      <c r="K141" s="439"/>
      <c r="L141" s="93"/>
      <c r="M141" s="93"/>
      <c r="N141" s="93"/>
      <c r="O141" s="93"/>
      <c r="P141" s="93"/>
      <c r="Q141" s="93"/>
      <c r="R141" s="93"/>
      <c r="S141" s="93"/>
      <c r="T141" s="93"/>
      <c r="U141" s="93"/>
      <c r="V141" s="93"/>
      <c r="W141" s="93"/>
      <c r="X141" s="93"/>
      <c r="Y141" s="93"/>
      <c r="Z141" s="93"/>
    </row>
    <row r="142" spans="1:26" ht="15.75" customHeight="1">
      <c r="A142" s="440">
        <v>44715</v>
      </c>
      <c r="B142" s="442">
        <f t="shared" si="0"/>
        <v>44715</v>
      </c>
      <c r="C142" s="408">
        <v>187.24</v>
      </c>
      <c r="D142" s="408">
        <v>0</v>
      </c>
      <c r="E142" s="408">
        <f t="shared" si="1"/>
        <v>187.24</v>
      </c>
      <c r="F142" s="93"/>
      <c r="G142" s="439"/>
      <c r="H142" s="439"/>
      <c r="I142" s="439"/>
      <c r="J142" s="439"/>
      <c r="K142" s="439"/>
      <c r="L142" s="93"/>
      <c r="M142" s="93"/>
      <c r="N142" s="93"/>
      <c r="O142" s="93"/>
      <c r="P142" s="93"/>
      <c r="Q142" s="93"/>
      <c r="R142" s="93"/>
      <c r="S142" s="93"/>
      <c r="T142" s="93"/>
      <c r="U142" s="93"/>
      <c r="V142" s="93"/>
      <c r="W142" s="93"/>
      <c r="X142" s="93"/>
      <c r="Y142" s="93"/>
      <c r="Z142" s="93"/>
    </row>
    <row r="143" spans="1:26" ht="15.75" customHeight="1">
      <c r="A143" s="440">
        <v>44718</v>
      </c>
      <c r="B143" s="442">
        <f t="shared" si="0"/>
        <v>44718</v>
      </c>
      <c r="C143" s="408">
        <v>312.79000000000002</v>
      </c>
      <c r="D143" s="408">
        <v>0</v>
      </c>
      <c r="E143" s="408">
        <f t="shared" si="1"/>
        <v>312.79000000000002</v>
      </c>
      <c r="F143" s="93"/>
      <c r="G143" s="439"/>
      <c r="H143" s="439"/>
      <c r="I143" s="439"/>
      <c r="J143" s="439"/>
      <c r="K143" s="439"/>
      <c r="L143" s="93"/>
      <c r="M143" s="93"/>
      <c r="N143" s="93"/>
      <c r="O143" s="93"/>
      <c r="P143" s="93"/>
      <c r="Q143" s="93"/>
      <c r="R143" s="93"/>
      <c r="S143" s="93"/>
      <c r="T143" s="93"/>
      <c r="U143" s="93"/>
      <c r="V143" s="93"/>
      <c r="W143" s="93"/>
      <c r="X143" s="93"/>
      <c r="Y143" s="93"/>
      <c r="Z143" s="93"/>
    </row>
    <row r="144" spans="1:26" ht="15.75" customHeight="1">
      <c r="A144" s="440">
        <v>44719</v>
      </c>
      <c r="B144" s="442">
        <f t="shared" si="0"/>
        <v>44719</v>
      </c>
      <c r="C144" s="408">
        <v>851.54</v>
      </c>
      <c r="D144" s="408">
        <v>0</v>
      </c>
      <c r="E144" s="408">
        <f t="shared" si="1"/>
        <v>851.54</v>
      </c>
      <c r="F144" s="93"/>
      <c r="G144" s="439"/>
      <c r="H144" s="439"/>
      <c r="I144" s="439"/>
      <c r="J144" s="439"/>
      <c r="K144" s="439"/>
      <c r="L144" s="93"/>
      <c r="M144" s="93"/>
      <c r="N144" s="93"/>
      <c r="O144" s="93"/>
      <c r="P144" s="93"/>
      <c r="Q144" s="93"/>
      <c r="R144" s="93"/>
      <c r="S144" s="93"/>
      <c r="T144" s="93"/>
      <c r="U144" s="93"/>
      <c r="V144" s="93"/>
      <c r="W144" s="93"/>
      <c r="X144" s="93"/>
      <c r="Y144" s="93"/>
      <c r="Z144" s="93"/>
    </row>
    <row r="145" spans="1:26" ht="15.75" customHeight="1">
      <c r="A145" s="440">
        <v>44720</v>
      </c>
      <c r="B145" s="442">
        <f t="shared" si="0"/>
        <v>44720</v>
      </c>
      <c r="C145" s="408">
        <v>378.05</v>
      </c>
      <c r="D145" s="408">
        <v>225.06999999999971</v>
      </c>
      <c r="E145" s="408">
        <f t="shared" si="1"/>
        <v>603.11999999999966</v>
      </c>
      <c r="F145" s="93"/>
      <c r="G145" s="439"/>
      <c r="H145" s="439"/>
      <c r="I145" s="439"/>
      <c r="J145" s="439"/>
      <c r="K145" s="439"/>
      <c r="L145" s="93"/>
      <c r="M145" s="93"/>
      <c r="N145" s="93"/>
      <c r="O145" s="93"/>
      <c r="P145" s="93"/>
      <c r="Q145" s="93"/>
      <c r="R145" s="93"/>
      <c r="S145" s="93"/>
      <c r="T145" s="93"/>
      <c r="U145" s="93"/>
      <c r="V145" s="93"/>
      <c r="W145" s="93"/>
      <c r="X145" s="93"/>
      <c r="Y145" s="93"/>
      <c r="Z145" s="93"/>
    </row>
    <row r="146" spans="1:26" ht="15.75" customHeight="1">
      <c r="A146" s="440">
        <v>44721</v>
      </c>
      <c r="B146" s="442">
        <f t="shared" si="0"/>
        <v>44721</v>
      </c>
      <c r="C146" s="408">
        <v>1223.6600000000035</v>
      </c>
      <c r="D146" s="408">
        <v>0</v>
      </c>
      <c r="E146" s="408">
        <f t="shared" si="1"/>
        <v>1223.6600000000035</v>
      </c>
      <c r="F146" s="93"/>
      <c r="G146" s="439"/>
      <c r="H146" s="439"/>
      <c r="I146" s="439"/>
      <c r="J146" s="439"/>
      <c r="K146" s="439"/>
      <c r="L146" s="93"/>
      <c r="M146" s="93"/>
      <c r="N146" s="93"/>
      <c r="O146" s="93"/>
      <c r="P146" s="93"/>
      <c r="Q146" s="93"/>
      <c r="R146" s="93"/>
      <c r="S146" s="93"/>
      <c r="T146" s="93"/>
      <c r="U146" s="93"/>
      <c r="V146" s="93"/>
      <c r="W146" s="93"/>
      <c r="X146" s="93"/>
      <c r="Y146" s="93"/>
      <c r="Z146" s="93"/>
    </row>
    <row r="147" spans="1:26" ht="15.75" customHeight="1">
      <c r="A147" s="440">
        <v>44722</v>
      </c>
      <c r="B147" s="442">
        <f t="shared" si="0"/>
        <v>44722</v>
      </c>
      <c r="C147" s="408">
        <v>336.3</v>
      </c>
      <c r="D147" s="408">
        <v>0</v>
      </c>
      <c r="E147" s="408">
        <f t="shared" si="1"/>
        <v>336.3</v>
      </c>
      <c r="F147" s="93"/>
      <c r="G147" s="439"/>
      <c r="H147" s="439"/>
      <c r="I147" s="439"/>
      <c r="J147" s="439"/>
      <c r="K147" s="439"/>
      <c r="L147" s="93"/>
      <c r="M147" s="93"/>
      <c r="N147" s="93"/>
      <c r="O147" s="93"/>
      <c r="P147" s="93"/>
      <c r="Q147" s="93"/>
      <c r="R147" s="93"/>
      <c r="S147" s="93"/>
      <c r="T147" s="93"/>
      <c r="U147" s="93"/>
      <c r="V147" s="93"/>
      <c r="W147" s="93"/>
      <c r="X147" s="93"/>
      <c r="Y147" s="93"/>
      <c r="Z147" s="93"/>
    </row>
    <row r="148" spans="1:26" ht="15.75" customHeight="1">
      <c r="A148" s="440">
        <v>44725</v>
      </c>
      <c r="B148" s="442">
        <f t="shared" si="0"/>
        <v>44725</v>
      </c>
      <c r="C148" s="408">
        <v>1034.1300000000047</v>
      </c>
      <c r="D148" s="408">
        <v>20.139999999999418</v>
      </c>
      <c r="E148" s="408">
        <f t="shared" si="1"/>
        <v>1054.2700000000041</v>
      </c>
      <c r="F148" s="93"/>
      <c r="G148" s="439"/>
      <c r="H148" s="439"/>
      <c r="I148" s="439"/>
      <c r="J148" s="439"/>
      <c r="K148" s="439"/>
      <c r="L148" s="93"/>
      <c r="M148" s="93"/>
      <c r="N148" s="93"/>
      <c r="O148" s="93"/>
      <c r="P148" s="93"/>
      <c r="Q148" s="93"/>
      <c r="R148" s="93"/>
      <c r="S148" s="93"/>
      <c r="T148" s="93"/>
      <c r="U148" s="93"/>
      <c r="V148" s="93"/>
      <c r="W148" s="93"/>
      <c r="X148" s="93"/>
      <c r="Y148" s="93"/>
      <c r="Z148" s="93"/>
    </row>
    <row r="149" spans="1:26" ht="15.75" customHeight="1">
      <c r="A149" s="440">
        <v>44726</v>
      </c>
      <c r="B149" s="442">
        <f t="shared" si="0"/>
        <v>44726</v>
      </c>
      <c r="C149" s="408">
        <v>977.58</v>
      </c>
      <c r="D149" s="408">
        <v>0</v>
      </c>
      <c r="E149" s="408">
        <f t="shared" si="1"/>
        <v>977.58</v>
      </c>
      <c r="F149" s="93"/>
      <c r="G149" s="439"/>
      <c r="H149" s="439"/>
      <c r="I149" s="439"/>
      <c r="J149" s="439"/>
      <c r="K149" s="439"/>
      <c r="L149" s="93"/>
      <c r="M149" s="93"/>
      <c r="N149" s="93"/>
      <c r="O149" s="93"/>
      <c r="P149" s="93"/>
      <c r="Q149" s="93"/>
      <c r="R149" s="93"/>
      <c r="S149" s="93"/>
      <c r="T149" s="93"/>
      <c r="U149" s="93"/>
      <c r="V149" s="93"/>
      <c r="W149" s="93"/>
      <c r="X149" s="93"/>
      <c r="Y149" s="93"/>
      <c r="Z149" s="93"/>
    </row>
    <row r="150" spans="1:26" ht="15.75" customHeight="1">
      <c r="A150" s="440">
        <v>44727</v>
      </c>
      <c r="B150" s="442">
        <f t="shared" si="0"/>
        <v>44727</v>
      </c>
      <c r="C150" s="408">
        <v>554.95000000000005</v>
      </c>
      <c r="D150" s="408">
        <v>0</v>
      </c>
      <c r="E150" s="408">
        <f t="shared" si="1"/>
        <v>554.95000000000005</v>
      </c>
      <c r="F150" s="93"/>
      <c r="G150" s="439"/>
      <c r="H150" s="439"/>
      <c r="I150" s="439"/>
      <c r="J150" s="439"/>
      <c r="K150" s="439"/>
      <c r="L150" s="93"/>
      <c r="M150" s="93"/>
      <c r="N150" s="93"/>
      <c r="O150" s="93"/>
      <c r="P150" s="93"/>
      <c r="Q150" s="93"/>
      <c r="R150" s="93"/>
      <c r="S150" s="93"/>
      <c r="T150" s="93"/>
      <c r="U150" s="93"/>
      <c r="V150" s="93"/>
      <c r="W150" s="93"/>
      <c r="X150" s="93"/>
      <c r="Y150" s="93"/>
      <c r="Z150" s="93"/>
    </row>
    <row r="151" spans="1:26" ht="15.75" customHeight="1">
      <c r="A151" s="440">
        <v>44728</v>
      </c>
      <c r="B151" s="442">
        <f t="shared" si="0"/>
        <v>44728</v>
      </c>
      <c r="C151" s="408">
        <v>0</v>
      </c>
      <c r="D151" s="408">
        <v>637.06999999999971</v>
      </c>
      <c r="E151" s="408">
        <f t="shared" si="1"/>
        <v>637.06999999999971</v>
      </c>
      <c r="F151" s="93"/>
      <c r="G151" s="439"/>
      <c r="H151" s="439"/>
      <c r="I151" s="439"/>
      <c r="J151" s="439"/>
      <c r="K151" s="439"/>
      <c r="L151" s="93"/>
      <c r="M151" s="93"/>
      <c r="N151" s="93"/>
      <c r="O151" s="93"/>
      <c r="P151" s="93"/>
      <c r="Q151" s="93"/>
      <c r="R151" s="93"/>
      <c r="S151" s="93"/>
      <c r="T151" s="93"/>
      <c r="U151" s="93"/>
      <c r="V151" s="93"/>
      <c r="W151" s="93"/>
      <c r="X151" s="93"/>
      <c r="Y151" s="93"/>
      <c r="Z151" s="93"/>
    </row>
    <row r="152" spans="1:26" ht="15.75" customHeight="1">
      <c r="A152" s="440">
        <v>44729</v>
      </c>
      <c r="B152" s="442">
        <f t="shared" si="0"/>
        <v>44729</v>
      </c>
      <c r="C152" s="408">
        <v>257.31</v>
      </c>
      <c r="D152" s="408">
        <v>0</v>
      </c>
      <c r="E152" s="408">
        <f t="shared" si="1"/>
        <v>257.31</v>
      </c>
      <c r="F152" s="93"/>
      <c r="G152" s="439"/>
      <c r="H152" s="439"/>
      <c r="I152" s="439"/>
      <c r="J152" s="439"/>
      <c r="K152" s="439"/>
      <c r="L152" s="93"/>
      <c r="M152" s="93"/>
      <c r="N152" s="93"/>
      <c r="O152" s="93"/>
      <c r="P152" s="93"/>
      <c r="Q152" s="93"/>
      <c r="R152" s="93"/>
      <c r="S152" s="93"/>
      <c r="T152" s="93"/>
      <c r="U152" s="93"/>
      <c r="V152" s="93"/>
      <c r="W152" s="93"/>
      <c r="X152" s="93"/>
      <c r="Y152" s="93"/>
      <c r="Z152" s="93"/>
    </row>
    <row r="153" spans="1:26" ht="15.75" customHeight="1">
      <c r="A153" s="440">
        <v>44732</v>
      </c>
      <c r="B153" s="442">
        <f t="shared" si="0"/>
        <v>44732</v>
      </c>
      <c r="C153" s="408">
        <v>519.58000000000004</v>
      </c>
      <c r="D153" s="408">
        <v>0</v>
      </c>
      <c r="E153" s="408">
        <f t="shared" si="1"/>
        <v>519.58000000000004</v>
      </c>
      <c r="F153" s="93"/>
      <c r="G153" s="439"/>
      <c r="H153" s="439"/>
      <c r="I153" s="439"/>
      <c r="J153" s="439"/>
      <c r="K153" s="439"/>
      <c r="L153" s="93"/>
      <c r="M153" s="93"/>
      <c r="N153" s="93"/>
      <c r="O153" s="93"/>
      <c r="P153" s="93"/>
      <c r="Q153" s="93"/>
      <c r="R153" s="93"/>
      <c r="S153" s="93"/>
      <c r="T153" s="93"/>
      <c r="U153" s="93"/>
      <c r="V153" s="93"/>
      <c r="W153" s="93"/>
      <c r="X153" s="93"/>
      <c r="Y153" s="93"/>
      <c r="Z153" s="93"/>
    </row>
    <row r="154" spans="1:26" ht="15.75" customHeight="1">
      <c r="A154" s="440">
        <v>44733</v>
      </c>
      <c r="B154" s="442">
        <f t="shared" si="0"/>
        <v>44733</v>
      </c>
      <c r="C154" s="408">
        <v>825.62</v>
      </c>
      <c r="D154" s="408">
        <v>0</v>
      </c>
      <c r="E154" s="408">
        <f t="shared" si="1"/>
        <v>825.62</v>
      </c>
      <c r="F154" s="93"/>
      <c r="G154" s="439"/>
      <c r="H154" s="439"/>
      <c r="I154" s="439"/>
      <c r="J154" s="439"/>
      <c r="K154" s="439"/>
      <c r="L154" s="93"/>
      <c r="M154" s="93"/>
      <c r="N154" s="93"/>
      <c r="O154" s="93"/>
      <c r="P154" s="93"/>
      <c r="Q154" s="93"/>
      <c r="R154" s="93"/>
      <c r="S154" s="93"/>
      <c r="T154" s="93"/>
      <c r="U154" s="93"/>
      <c r="V154" s="93"/>
      <c r="W154" s="93"/>
      <c r="X154" s="93"/>
      <c r="Y154" s="93"/>
      <c r="Z154" s="93"/>
    </row>
    <row r="155" spans="1:26" ht="15.75" customHeight="1">
      <c r="A155" s="440">
        <v>44734</v>
      </c>
      <c r="B155" s="442">
        <f t="shared" si="0"/>
        <v>44734</v>
      </c>
      <c r="C155" s="408">
        <v>83.69</v>
      </c>
      <c r="D155" s="408">
        <v>0</v>
      </c>
      <c r="E155" s="408">
        <f t="shared" si="1"/>
        <v>83.69</v>
      </c>
      <c r="F155" s="93"/>
      <c r="G155" s="439"/>
      <c r="H155" s="439"/>
      <c r="I155" s="439"/>
      <c r="J155" s="439"/>
      <c r="K155" s="439"/>
      <c r="L155" s="93"/>
      <c r="M155" s="93"/>
      <c r="N155" s="93"/>
      <c r="O155" s="93"/>
      <c r="P155" s="93"/>
      <c r="Q155" s="93"/>
      <c r="R155" s="93"/>
      <c r="S155" s="93"/>
      <c r="T155" s="93"/>
      <c r="U155" s="93"/>
      <c r="V155" s="93"/>
      <c r="W155" s="93"/>
      <c r="X155" s="93"/>
      <c r="Y155" s="93"/>
      <c r="Z155" s="93"/>
    </row>
    <row r="156" spans="1:26" ht="15.75" customHeight="1">
      <c r="A156" s="440">
        <v>44735</v>
      </c>
      <c r="B156" s="442">
        <f t="shared" si="0"/>
        <v>44735</v>
      </c>
      <c r="C156" s="408">
        <v>0</v>
      </c>
      <c r="D156" s="408">
        <v>0</v>
      </c>
      <c r="E156" s="408">
        <f t="shared" si="1"/>
        <v>0</v>
      </c>
      <c r="F156" s="93"/>
      <c r="G156" s="439"/>
      <c r="H156" s="439"/>
      <c r="I156" s="439"/>
      <c r="J156" s="439"/>
      <c r="K156" s="439"/>
      <c r="L156" s="93"/>
      <c r="M156" s="93"/>
      <c r="N156" s="93"/>
      <c r="O156" s="93"/>
      <c r="P156" s="93"/>
      <c r="Q156" s="93"/>
      <c r="R156" s="93"/>
      <c r="S156" s="93"/>
      <c r="T156" s="93"/>
      <c r="U156" s="93"/>
      <c r="V156" s="93"/>
      <c r="W156" s="93"/>
      <c r="X156" s="93"/>
      <c r="Y156" s="93"/>
      <c r="Z156" s="93"/>
    </row>
    <row r="157" spans="1:26" ht="15.75" customHeight="1">
      <c r="A157" s="440">
        <v>44736</v>
      </c>
      <c r="B157" s="442">
        <f t="shared" si="0"/>
        <v>44736</v>
      </c>
      <c r="C157" s="408">
        <v>632.1200000000099</v>
      </c>
      <c r="D157" s="408">
        <v>0</v>
      </c>
      <c r="E157" s="408">
        <f t="shared" si="1"/>
        <v>632.1200000000099</v>
      </c>
      <c r="F157" s="93"/>
      <c r="G157" s="439"/>
      <c r="H157" s="439"/>
      <c r="I157" s="439"/>
      <c r="J157" s="439"/>
      <c r="K157" s="439"/>
      <c r="L157" s="93"/>
      <c r="M157" s="93"/>
      <c r="N157" s="93"/>
      <c r="O157" s="93"/>
      <c r="P157" s="93"/>
      <c r="Q157" s="93"/>
      <c r="R157" s="93"/>
      <c r="S157" s="93"/>
      <c r="T157" s="93"/>
      <c r="U157" s="93"/>
      <c r="V157" s="93"/>
      <c r="W157" s="93"/>
      <c r="X157" s="93"/>
      <c r="Y157" s="93"/>
      <c r="Z157" s="93"/>
    </row>
    <row r="158" spans="1:26" ht="15.75" customHeight="1">
      <c r="A158" s="440">
        <v>44739</v>
      </c>
      <c r="B158" s="442">
        <f t="shared" si="0"/>
        <v>44739</v>
      </c>
      <c r="C158" s="408">
        <v>218.16</v>
      </c>
      <c r="D158" s="408">
        <v>0</v>
      </c>
      <c r="E158" s="408">
        <f t="shared" si="1"/>
        <v>218.16</v>
      </c>
      <c r="F158" s="93"/>
      <c r="G158" s="439"/>
      <c r="H158" s="439"/>
      <c r="I158" s="439"/>
      <c r="J158" s="439"/>
      <c r="K158" s="439"/>
      <c r="L158" s="93"/>
      <c r="M158" s="93"/>
      <c r="N158" s="93"/>
      <c r="O158" s="93"/>
      <c r="P158" s="93"/>
      <c r="Q158" s="93"/>
      <c r="R158" s="93"/>
      <c r="S158" s="93"/>
      <c r="T158" s="93"/>
      <c r="U158" s="93"/>
      <c r="V158" s="93"/>
      <c r="W158" s="93"/>
      <c r="X158" s="93"/>
      <c r="Y158" s="93"/>
      <c r="Z158" s="93"/>
    </row>
    <row r="159" spans="1:26" ht="15.75" customHeight="1">
      <c r="A159" s="440">
        <v>44740</v>
      </c>
      <c r="B159" s="442">
        <f t="shared" si="0"/>
        <v>44740</v>
      </c>
      <c r="C159" s="408">
        <v>618.37</v>
      </c>
      <c r="D159" s="408">
        <v>0</v>
      </c>
      <c r="E159" s="408">
        <f t="shared" si="1"/>
        <v>618.37</v>
      </c>
      <c r="F159" s="93"/>
      <c r="G159" s="439"/>
      <c r="H159" s="439"/>
      <c r="I159" s="439"/>
      <c r="J159" s="439"/>
      <c r="K159" s="439"/>
      <c r="L159" s="93"/>
      <c r="M159" s="93"/>
      <c r="N159" s="93"/>
      <c r="O159" s="93"/>
      <c r="P159" s="93"/>
      <c r="Q159" s="93"/>
      <c r="R159" s="93"/>
      <c r="S159" s="93"/>
      <c r="T159" s="93"/>
      <c r="U159" s="93"/>
      <c r="V159" s="93"/>
      <c r="W159" s="93"/>
      <c r="X159" s="93"/>
      <c r="Y159" s="93"/>
      <c r="Z159" s="93"/>
    </row>
    <row r="160" spans="1:26" ht="15.75" customHeight="1">
      <c r="A160" s="440">
        <v>44741</v>
      </c>
      <c r="B160" s="442">
        <f t="shared" si="0"/>
        <v>44741</v>
      </c>
      <c r="C160" s="408">
        <v>0</v>
      </c>
      <c r="D160" s="408">
        <v>311</v>
      </c>
      <c r="E160" s="408">
        <f t="shared" si="1"/>
        <v>311</v>
      </c>
      <c r="F160" s="93"/>
      <c r="G160" s="439"/>
      <c r="H160" s="439"/>
      <c r="I160" s="439"/>
      <c r="J160" s="439"/>
      <c r="K160" s="439"/>
      <c r="L160" s="93"/>
      <c r="M160" s="93"/>
      <c r="N160" s="93"/>
      <c r="O160" s="93"/>
      <c r="P160" s="93"/>
      <c r="Q160" s="93"/>
      <c r="R160" s="93"/>
      <c r="S160" s="93"/>
      <c r="T160" s="93"/>
      <c r="U160" s="93"/>
      <c r="V160" s="93"/>
      <c r="W160" s="93"/>
      <c r="X160" s="93"/>
      <c r="Y160" s="93"/>
      <c r="Z160" s="93"/>
    </row>
    <row r="161" spans="1:26" ht="15.75" customHeight="1">
      <c r="A161" s="440">
        <v>44742</v>
      </c>
      <c r="B161" s="442">
        <f t="shared" si="0"/>
        <v>44742</v>
      </c>
      <c r="C161" s="408">
        <v>0</v>
      </c>
      <c r="D161" s="408">
        <v>0</v>
      </c>
      <c r="E161" s="408">
        <f t="shared" si="1"/>
        <v>0</v>
      </c>
      <c r="F161" s="93"/>
      <c r="G161" s="439"/>
      <c r="H161" s="439"/>
      <c r="I161" s="439"/>
      <c r="J161" s="439"/>
      <c r="K161" s="439"/>
      <c r="L161" s="93"/>
      <c r="M161" s="93"/>
      <c r="N161" s="93"/>
      <c r="O161" s="93"/>
      <c r="P161" s="93"/>
      <c r="Q161" s="93"/>
      <c r="R161" s="93"/>
      <c r="S161" s="93"/>
      <c r="T161" s="93"/>
      <c r="U161" s="93"/>
      <c r="V161" s="93"/>
      <c r="W161" s="93"/>
      <c r="X161" s="93"/>
      <c r="Y161" s="93"/>
      <c r="Z161" s="93"/>
    </row>
    <row r="162" spans="1:26" ht="15.75" customHeight="1">
      <c r="A162" s="440">
        <v>44743</v>
      </c>
      <c r="B162" s="442">
        <f t="shared" si="0"/>
        <v>44743</v>
      </c>
      <c r="C162" s="443">
        <v>217.37</v>
      </c>
      <c r="D162" s="408">
        <v>0</v>
      </c>
      <c r="E162" s="408">
        <f t="shared" si="1"/>
        <v>217.37</v>
      </c>
      <c r="F162" s="93"/>
      <c r="G162" s="439"/>
      <c r="H162" s="439"/>
      <c r="I162" s="439"/>
      <c r="J162" s="439"/>
      <c r="K162" s="439"/>
      <c r="L162" s="93"/>
      <c r="M162" s="93"/>
      <c r="N162" s="93"/>
      <c r="O162" s="93"/>
      <c r="P162" s="93"/>
      <c r="Q162" s="93"/>
      <c r="R162" s="93"/>
      <c r="S162" s="93"/>
      <c r="T162" s="93"/>
      <c r="U162" s="93"/>
      <c r="V162" s="93"/>
      <c r="W162" s="93"/>
      <c r="X162" s="93"/>
      <c r="Y162" s="93"/>
      <c r="Z162" s="93"/>
    </row>
    <row r="163" spans="1:26" ht="15.75" customHeight="1">
      <c r="A163" s="440">
        <v>44746</v>
      </c>
      <c r="B163" s="442">
        <f t="shared" si="0"/>
        <v>44746</v>
      </c>
      <c r="C163" s="443">
        <v>107.09</v>
      </c>
      <c r="D163" s="408">
        <v>0</v>
      </c>
      <c r="E163" s="408">
        <f t="shared" si="1"/>
        <v>107.09</v>
      </c>
      <c r="F163" s="93"/>
      <c r="G163" s="439"/>
      <c r="H163" s="439"/>
      <c r="I163" s="439"/>
      <c r="J163" s="439"/>
      <c r="K163" s="439"/>
      <c r="L163" s="93"/>
      <c r="M163" s="93"/>
      <c r="N163" s="93"/>
      <c r="O163" s="93"/>
      <c r="P163" s="93"/>
      <c r="Q163" s="93"/>
      <c r="R163" s="93"/>
      <c r="S163" s="93"/>
      <c r="T163" s="93"/>
      <c r="U163" s="93"/>
      <c r="V163" s="93"/>
      <c r="W163" s="93"/>
      <c r="X163" s="93"/>
      <c r="Y163" s="93"/>
      <c r="Z163" s="93"/>
    </row>
    <row r="164" spans="1:26" ht="15.75" customHeight="1">
      <c r="A164" s="440">
        <v>44747</v>
      </c>
      <c r="B164" s="442">
        <f t="shared" si="0"/>
        <v>44747</v>
      </c>
      <c r="C164" s="443">
        <v>408.18</v>
      </c>
      <c r="D164" s="408">
        <v>25.07</v>
      </c>
      <c r="E164" s="408">
        <f t="shared" si="1"/>
        <v>433.25</v>
      </c>
      <c r="F164" s="93"/>
      <c r="G164" s="439"/>
      <c r="H164" s="439"/>
      <c r="I164" s="439"/>
      <c r="J164" s="439"/>
      <c r="K164" s="439"/>
      <c r="L164" s="93"/>
      <c r="M164" s="93"/>
      <c r="N164" s="93"/>
      <c r="O164" s="93"/>
      <c r="P164" s="93"/>
      <c r="Q164" s="93"/>
      <c r="R164" s="93"/>
      <c r="S164" s="93"/>
      <c r="T164" s="93"/>
      <c r="U164" s="93"/>
      <c r="V164" s="93"/>
      <c r="W164" s="93"/>
      <c r="X164" s="93"/>
      <c r="Y164" s="93"/>
      <c r="Z164" s="93"/>
    </row>
    <row r="165" spans="1:26" ht="15.75" customHeight="1">
      <c r="A165" s="440">
        <v>44748</v>
      </c>
      <c r="B165" s="442">
        <f t="shared" si="0"/>
        <v>44748</v>
      </c>
      <c r="C165" s="443">
        <v>98.31</v>
      </c>
      <c r="D165" s="408">
        <v>0</v>
      </c>
      <c r="E165" s="408">
        <f t="shared" si="1"/>
        <v>98.31</v>
      </c>
      <c r="F165" s="93"/>
      <c r="G165" s="439"/>
      <c r="H165" s="439"/>
      <c r="I165" s="439"/>
      <c r="J165" s="439"/>
      <c r="K165" s="439"/>
      <c r="L165" s="93"/>
      <c r="M165" s="93"/>
      <c r="N165" s="93"/>
      <c r="O165" s="93"/>
      <c r="P165" s="93"/>
      <c r="Q165" s="93"/>
      <c r="R165" s="93"/>
      <c r="S165" s="93"/>
      <c r="T165" s="93"/>
      <c r="U165" s="93"/>
      <c r="V165" s="93"/>
      <c r="W165" s="93"/>
      <c r="X165" s="93"/>
      <c r="Y165" s="93"/>
      <c r="Z165" s="93"/>
    </row>
    <row r="166" spans="1:26" ht="15.75" customHeight="1">
      <c r="A166" s="440">
        <v>44749</v>
      </c>
      <c r="B166" s="442">
        <f t="shared" si="0"/>
        <v>44749</v>
      </c>
      <c r="C166" s="443">
        <v>0</v>
      </c>
      <c r="D166" s="408">
        <v>253.06999999999971</v>
      </c>
      <c r="E166" s="408">
        <f t="shared" si="1"/>
        <v>253.06999999999971</v>
      </c>
      <c r="F166" s="93"/>
      <c r="G166" s="439"/>
      <c r="H166" s="439"/>
      <c r="I166" s="439"/>
      <c r="J166" s="439"/>
      <c r="K166" s="439"/>
      <c r="L166" s="93"/>
      <c r="M166" s="93"/>
      <c r="N166" s="93"/>
      <c r="O166" s="93"/>
      <c r="P166" s="93"/>
      <c r="Q166" s="93"/>
      <c r="R166" s="93"/>
      <c r="S166" s="93"/>
      <c r="T166" s="93"/>
      <c r="U166" s="93"/>
      <c r="V166" s="93"/>
      <c r="W166" s="93"/>
      <c r="X166" s="93"/>
      <c r="Y166" s="93"/>
      <c r="Z166" s="93"/>
    </row>
    <row r="167" spans="1:26" ht="15.75" customHeight="1">
      <c r="A167" s="440">
        <v>44750</v>
      </c>
      <c r="B167" s="442">
        <f t="shared" si="0"/>
        <v>44750</v>
      </c>
      <c r="C167" s="443">
        <v>0</v>
      </c>
      <c r="D167" s="408">
        <v>277</v>
      </c>
      <c r="E167" s="408">
        <f t="shared" si="1"/>
        <v>277</v>
      </c>
      <c r="F167" s="93"/>
      <c r="G167" s="439"/>
      <c r="H167" s="439"/>
      <c r="I167" s="439"/>
      <c r="J167" s="439"/>
      <c r="K167" s="439"/>
      <c r="L167" s="93"/>
      <c r="M167" s="93"/>
      <c r="N167" s="93"/>
      <c r="O167" s="93"/>
      <c r="P167" s="93"/>
      <c r="Q167" s="93"/>
      <c r="R167" s="93"/>
      <c r="S167" s="93"/>
      <c r="T167" s="93"/>
      <c r="U167" s="93"/>
      <c r="V167" s="93"/>
      <c r="W167" s="93"/>
      <c r="X167" s="93"/>
      <c r="Y167" s="93"/>
      <c r="Z167" s="93"/>
    </row>
    <row r="168" spans="1:26" ht="15.75" customHeight="1">
      <c r="A168" s="440">
        <v>44753</v>
      </c>
      <c r="B168" s="442">
        <f t="shared" si="0"/>
        <v>44753</v>
      </c>
      <c r="C168" s="443">
        <v>34</v>
      </c>
      <c r="D168" s="408">
        <v>0</v>
      </c>
      <c r="E168" s="408">
        <f t="shared" si="1"/>
        <v>34</v>
      </c>
      <c r="F168" s="93"/>
      <c r="G168" s="439"/>
      <c r="H168" s="439"/>
      <c r="I168" s="439"/>
      <c r="J168" s="439"/>
      <c r="K168" s="439"/>
      <c r="L168" s="93"/>
      <c r="M168" s="93"/>
      <c r="N168" s="93"/>
      <c r="O168" s="93"/>
      <c r="P168" s="93"/>
      <c r="Q168" s="93"/>
      <c r="R168" s="93"/>
      <c r="S168" s="93"/>
      <c r="T168" s="93"/>
      <c r="U168" s="93"/>
      <c r="V168" s="93"/>
      <c r="W168" s="93"/>
      <c r="X168" s="93"/>
      <c r="Y168" s="93"/>
      <c r="Z168" s="93"/>
    </row>
    <row r="169" spans="1:26" ht="15.75" customHeight="1">
      <c r="A169" s="440">
        <v>44754</v>
      </c>
      <c r="B169" s="442">
        <f t="shared" si="0"/>
        <v>44754</v>
      </c>
      <c r="C169" s="443">
        <v>262.45999999999998</v>
      </c>
      <c r="D169" s="408">
        <v>1174.0699999999997</v>
      </c>
      <c r="E169" s="408">
        <f t="shared" si="1"/>
        <v>1436.5299999999997</v>
      </c>
      <c r="F169" s="93"/>
      <c r="G169" s="439"/>
      <c r="H169" s="439"/>
      <c r="I169" s="439"/>
      <c r="J169" s="439"/>
      <c r="K169" s="439"/>
      <c r="L169" s="93"/>
      <c r="M169" s="93"/>
      <c r="N169" s="93"/>
      <c r="O169" s="93"/>
      <c r="P169" s="93"/>
      <c r="Q169" s="93"/>
      <c r="R169" s="93"/>
      <c r="S169" s="93"/>
      <c r="T169" s="93"/>
      <c r="U169" s="93"/>
      <c r="V169" s="93"/>
      <c r="W169" s="93"/>
      <c r="X169" s="93"/>
      <c r="Y169" s="93"/>
      <c r="Z169" s="93"/>
    </row>
    <row r="170" spans="1:26" ht="15.75" customHeight="1">
      <c r="A170" s="440">
        <v>44755</v>
      </c>
      <c r="B170" s="442">
        <f t="shared" si="0"/>
        <v>44755</v>
      </c>
      <c r="C170" s="443">
        <v>0</v>
      </c>
      <c r="D170" s="408">
        <v>0</v>
      </c>
      <c r="E170" s="408">
        <f t="shared" si="1"/>
        <v>0</v>
      </c>
      <c r="F170" s="93"/>
      <c r="G170" s="439"/>
      <c r="H170" s="439"/>
      <c r="I170" s="439"/>
      <c r="J170" s="439"/>
      <c r="K170" s="439"/>
      <c r="L170" s="93"/>
      <c r="M170" s="93"/>
      <c r="N170" s="93"/>
      <c r="O170" s="93"/>
      <c r="P170" s="93"/>
      <c r="Q170" s="93"/>
      <c r="R170" s="93"/>
      <c r="S170" s="93"/>
      <c r="T170" s="93"/>
      <c r="U170" s="93"/>
      <c r="V170" s="93"/>
      <c r="W170" s="93"/>
      <c r="X170" s="93"/>
      <c r="Y170" s="93"/>
      <c r="Z170" s="93"/>
    </row>
    <row r="171" spans="1:26" ht="15.75" customHeight="1">
      <c r="A171" s="440">
        <v>44756</v>
      </c>
      <c r="B171" s="442">
        <f t="shared" si="0"/>
        <v>44756</v>
      </c>
      <c r="C171" s="443">
        <v>638.05999999999995</v>
      </c>
      <c r="D171" s="408">
        <v>0</v>
      </c>
      <c r="E171" s="408">
        <f t="shared" si="1"/>
        <v>638.05999999999995</v>
      </c>
      <c r="F171" s="93"/>
      <c r="G171" s="439"/>
      <c r="H171" s="439"/>
      <c r="I171" s="439"/>
      <c r="J171" s="439"/>
      <c r="K171" s="439"/>
      <c r="L171" s="93"/>
      <c r="M171" s="93"/>
      <c r="N171" s="93"/>
      <c r="O171" s="93"/>
      <c r="P171" s="93"/>
      <c r="Q171" s="93"/>
      <c r="R171" s="93"/>
      <c r="S171" s="93"/>
      <c r="T171" s="93"/>
      <c r="U171" s="93"/>
      <c r="V171" s="93"/>
      <c r="W171" s="93"/>
      <c r="X171" s="93"/>
      <c r="Y171" s="93"/>
      <c r="Z171" s="93"/>
    </row>
    <row r="172" spans="1:26" ht="15.75" customHeight="1">
      <c r="A172" s="440">
        <v>44757</v>
      </c>
      <c r="B172" s="442">
        <f t="shared" si="0"/>
        <v>44757</v>
      </c>
      <c r="C172" s="443">
        <v>584.59</v>
      </c>
      <c r="D172" s="408">
        <v>541</v>
      </c>
      <c r="E172" s="408">
        <f t="shared" si="1"/>
        <v>1125.5900000000001</v>
      </c>
      <c r="F172" s="93"/>
      <c r="G172" s="439"/>
      <c r="H172" s="439"/>
      <c r="I172" s="439"/>
      <c r="J172" s="439"/>
      <c r="K172" s="439"/>
      <c r="L172" s="93"/>
      <c r="M172" s="93"/>
      <c r="N172" s="93"/>
      <c r="O172" s="93"/>
      <c r="P172" s="93"/>
      <c r="Q172" s="93"/>
      <c r="R172" s="93"/>
      <c r="S172" s="93"/>
      <c r="T172" s="93"/>
      <c r="U172" s="93"/>
      <c r="V172" s="93"/>
      <c r="W172" s="93"/>
      <c r="X172" s="93"/>
      <c r="Y172" s="93"/>
      <c r="Z172" s="93"/>
    </row>
    <row r="173" spans="1:26" ht="15.75" customHeight="1">
      <c r="A173" s="440">
        <v>44760</v>
      </c>
      <c r="B173" s="442">
        <f t="shared" si="0"/>
        <v>44760</v>
      </c>
      <c r="C173" s="443">
        <v>0</v>
      </c>
      <c r="D173" s="408">
        <v>0</v>
      </c>
      <c r="E173" s="408">
        <f t="shared" si="1"/>
        <v>0</v>
      </c>
      <c r="F173" s="93"/>
      <c r="G173" s="439"/>
      <c r="H173" s="439"/>
      <c r="I173" s="439"/>
      <c r="J173" s="439"/>
      <c r="K173" s="439"/>
      <c r="L173" s="93"/>
      <c r="M173" s="93"/>
      <c r="N173" s="93"/>
      <c r="O173" s="93"/>
      <c r="P173" s="93"/>
      <c r="Q173" s="93"/>
      <c r="R173" s="93"/>
      <c r="S173" s="93"/>
      <c r="T173" s="93"/>
      <c r="U173" s="93"/>
      <c r="V173" s="93"/>
      <c r="W173" s="93"/>
      <c r="X173" s="93"/>
      <c r="Y173" s="93"/>
      <c r="Z173" s="93"/>
    </row>
    <row r="174" spans="1:26" ht="15.75" customHeight="1">
      <c r="A174" s="440">
        <v>44761</v>
      </c>
      <c r="B174" s="442">
        <f t="shared" si="0"/>
        <v>44761</v>
      </c>
      <c r="C174" s="443">
        <v>0</v>
      </c>
      <c r="D174" s="408">
        <v>0</v>
      </c>
      <c r="E174" s="408">
        <f t="shared" si="1"/>
        <v>0</v>
      </c>
      <c r="F174" s="93"/>
      <c r="G174" s="439"/>
      <c r="H174" s="439"/>
      <c r="I174" s="439"/>
      <c r="J174" s="439"/>
      <c r="K174" s="439"/>
      <c r="L174" s="93"/>
      <c r="M174" s="93"/>
      <c r="N174" s="93"/>
      <c r="O174" s="93"/>
      <c r="P174" s="93"/>
      <c r="Q174" s="93"/>
      <c r="R174" s="93"/>
      <c r="S174" s="93"/>
      <c r="T174" s="93"/>
      <c r="U174" s="93"/>
      <c r="V174" s="93"/>
      <c r="W174" s="93"/>
      <c r="X174" s="93"/>
      <c r="Y174" s="93"/>
      <c r="Z174" s="93"/>
    </row>
    <row r="175" spans="1:26" ht="15.75" customHeight="1">
      <c r="A175" s="440">
        <v>44762</v>
      </c>
      <c r="B175" s="442">
        <f t="shared" si="0"/>
        <v>44762</v>
      </c>
      <c r="C175" s="443">
        <v>0</v>
      </c>
      <c r="D175" s="408">
        <v>0</v>
      </c>
      <c r="E175" s="408">
        <f t="shared" si="1"/>
        <v>0</v>
      </c>
      <c r="F175" s="93"/>
      <c r="G175" s="439"/>
      <c r="H175" s="439"/>
      <c r="I175" s="439"/>
      <c r="J175" s="439"/>
      <c r="K175" s="439"/>
      <c r="L175" s="93"/>
      <c r="M175" s="93"/>
      <c r="N175" s="93"/>
      <c r="O175" s="93"/>
      <c r="P175" s="93"/>
      <c r="Q175" s="93"/>
      <c r="R175" s="93"/>
      <c r="S175" s="93"/>
      <c r="T175" s="93"/>
      <c r="U175" s="93"/>
      <c r="V175" s="93"/>
      <c r="W175" s="93"/>
      <c r="X175" s="93"/>
      <c r="Y175" s="93"/>
      <c r="Z175" s="93"/>
    </row>
    <row r="176" spans="1:26" ht="15.75" customHeight="1">
      <c r="A176" s="440">
        <v>44763</v>
      </c>
      <c r="B176" s="442">
        <f t="shared" si="0"/>
        <v>44763</v>
      </c>
      <c r="C176" s="443">
        <v>690</v>
      </c>
      <c r="D176" s="408">
        <v>486.28</v>
      </c>
      <c r="E176" s="408">
        <f t="shared" si="1"/>
        <v>1176.28</v>
      </c>
      <c r="F176" s="93"/>
      <c r="G176" s="439"/>
      <c r="H176" s="439"/>
      <c r="I176" s="439"/>
      <c r="J176" s="439"/>
      <c r="K176" s="439"/>
      <c r="L176" s="93"/>
      <c r="M176" s="93"/>
      <c r="N176" s="93"/>
      <c r="O176" s="93"/>
      <c r="P176" s="93"/>
      <c r="Q176" s="93"/>
      <c r="R176" s="93"/>
      <c r="S176" s="93"/>
      <c r="T176" s="93"/>
      <c r="U176" s="93"/>
      <c r="V176" s="93"/>
      <c r="W176" s="93"/>
      <c r="X176" s="93"/>
      <c r="Y176" s="93"/>
      <c r="Z176" s="93"/>
    </row>
    <row r="177" spans="1:26" ht="15.75" customHeight="1">
      <c r="A177" s="440">
        <v>44764</v>
      </c>
      <c r="B177" s="442">
        <f t="shared" si="0"/>
        <v>44764</v>
      </c>
      <c r="C177" s="443">
        <v>0</v>
      </c>
      <c r="D177" s="408">
        <v>240.07</v>
      </c>
      <c r="E177" s="408">
        <f t="shared" si="1"/>
        <v>240.07</v>
      </c>
      <c r="F177" s="93"/>
      <c r="G177" s="439"/>
      <c r="H177" s="439"/>
      <c r="I177" s="439"/>
      <c r="J177" s="439"/>
      <c r="K177" s="439"/>
      <c r="L177" s="93"/>
      <c r="M177" s="93"/>
      <c r="N177" s="93"/>
      <c r="O177" s="93"/>
      <c r="P177" s="93"/>
      <c r="Q177" s="93"/>
      <c r="R177" s="93"/>
      <c r="S177" s="93"/>
      <c r="T177" s="93"/>
      <c r="U177" s="93"/>
      <c r="V177" s="93"/>
      <c r="W177" s="93"/>
      <c r="X177" s="93"/>
      <c r="Y177" s="93"/>
      <c r="Z177" s="93"/>
    </row>
    <row r="178" spans="1:26" ht="15.75" customHeight="1">
      <c r="A178" s="440">
        <v>44767</v>
      </c>
      <c r="B178" s="442">
        <f t="shared" si="0"/>
        <v>44767</v>
      </c>
      <c r="C178" s="443">
        <v>74.260000000000005</v>
      </c>
      <c r="D178" s="408">
        <v>0</v>
      </c>
      <c r="E178" s="408">
        <f t="shared" si="1"/>
        <v>74.260000000000005</v>
      </c>
      <c r="F178" s="93"/>
      <c r="G178" s="439"/>
      <c r="H178" s="439"/>
      <c r="I178" s="439"/>
      <c r="J178" s="439"/>
      <c r="K178" s="439"/>
      <c r="L178" s="93"/>
      <c r="M178" s="93"/>
      <c r="N178" s="93"/>
      <c r="O178" s="93"/>
      <c r="P178" s="93"/>
      <c r="Q178" s="93"/>
      <c r="R178" s="93"/>
      <c r="S178" s="93"/>
      <c r="T178" s="93"/>
      <c r="U178" s="93"/>
      <c r="V178" s="93"/>
      <c r="W178" s="93"/>
      <c r="X178" s="93"/>
      <c r="Y178" s="93"/>
      <c r="Z178" s="93"/>
    </row>
    <row r="179" spans="1:26" ht="15.75" customHeight="1">
      <c r="A179" s="440">
        <v>44768</v>
      </c>
      <c r="B179" s="442">
        <f t="shared" si="0"/>
        <v>44768</v>
      </c>
      <c r="C179" s="443">
        <v>204.17</v>
      </c>
      <c r="D179" s="408">
        <v>0</v>
      </c>
      <c r="E179" s="408">
        <f t="shared" si="1"/>
        <v>204.17</v>
      </c>
      <c r="F179" s="93"/>
      <c r="G179" s="439"/>
      <c r="H179" s="439"/>
      <c r="I179" s="439"/>
      <c r="J179" s="439"/>
      <c r="K179" s="439"/>
      <c r="L179" s="93"/>
      <c r="M179" s="93"/>
      <c r="N179" s="93"/>
      <c r="O179" s="93"/>
      <c r="P179" s="93"/>
      <c r="Q179" s="93"/>
      <c r="R179" s="93"/>
      <c r="S179" s="93"/>
      <c r="T179" s="93"/>
      <c r="U179" s="93"/>
      <c r="V179" s="93"/>
      <c r="W179" s="93"/>
      <c r="X179" s="93"/>
      <c r="Y179" s="93"/>
      <c r="Z179" s="93"/>
    </row>
    <row r="180" spans="1:26" ht="15.75" customHeight="1">
      <c r="A180" s="440">
        <v>44769</v>
      </c>
      <c r="B180" s="442">
        <f t="shared" si="0"/>
        <v>44769</v>
      </c>
      <c r="C180" s="443">
        <v>0</v>
      </c>
      <c r="D180" s="408">
        <v>0</v>
      </c>
      <c r="E180" s="408">
        <f t="shared" si="1"/>
        <v>0</v>
      </c>
      <c r="F180" s="93"/>
      <c r="G180" s="439"/>
      <c r="H180" s="439"/>
      <c r="I180" s="439"/>
      <c r="J180" s="439"/>
      <c r="K180" s="439"/>
      <c r="L180" s="93"/>
      <c r="M180" s="93"/>
      <c r="N180" s="93"/>
      <c r="O180" s="93"/>
      <c r="P180" s="93"/>
      <c r="Q180" s="93"/>
      <c r="R180" s="93"/>
      <c r="S180" s="93"/>
      <c r="T180" s="93"/>
      <c r="U180" s="93"/>
      <c r="V180" s="93"/>
      <c r="W180" s="93"/>
      <c r="X180" s="93"/>
      <c r="Y180" s="93"/>
      <c r="Z180" s="93"/>
    </row>
    <row r="181" spans="1:26" ht="15.75" customHeight="1">
      <c r="A181" s="440">
        <v>44770</v>
      </c>
      <c r="B181" s="442">
        <f t="shared" si="0"/>
        <v>44770</v>
      </c>
      <c r="C181" s="443">
        <v>0</v>
      </c>
      <c r="D181" s="408">
        <v>0</v>
      </c>
      <c r="E181" s="408">
        <f t="shared" si="1"/>
        <v>0</v>
      </c>
      <c r="F181" s="93"/>
      <c r="G181" s="439"/>
      <c r="H181" s="439"/>
      <c r="I181" s="439"/>
      <c r="J181" s="439"/>
      <c r="K181" s="439"/>
      <c r="L181" s="93"/>
      <c r="M181" s="93"/>
      <c r="N181" s="93"/>
      <c r="O181" s="93"/>
      <c r="P181" s="93"/>
      <c r="Q181" s="93"/>
      <c r="R181" s="93"/>
      <c r="S181" s="93"/>
      <c r="T181" s="93"/>
      <c r="U181" s="93"/>
      <c r="V181" s="93"/>
      <c r="W181" s="93"/>
      <c r="X181" s="93"/>
      <c r="Y181" s="93"/>
      <c r="Z181" s="93"/>
    </row>
    <row r="182" spans="1:26" ht="15.75" customHeight="1">
      <c r="A182" s="440">
        <v>44771</v>
      </c>
      <c r="B182" s="442">
        <f t="shared" si="0"/>
        <v>44771</v>
      </c>
      <c r="C182" s="443">
        <v>279.76</v>
      </c>
      <c r="D182" s="408">
        <v>610.07000000000005</v>
      </c>
      <c r="E182" s="408">
        <f t="shared" si="1"/>
        <v>889.83</v>
      </c>
      <c r="F182" s="93"/>
      <c r="G182" s="439"/>
      <c r="H182" s="439"/>
      <c r="I182" s="439"/>
      <c r="J182" s="439"/>
      <c r="K182" s="439"/>
      <c r="L182" s="93"/>
      <c r="M182" s="93"/>
      <c r="N182" s="93"/>
      <c r="O182" s="93"/>
      <c r="P182" s="93"/>
      <c r="Q182" s="93"/>
      <c r="R182" s="93"/>
      <c r="S182" s="93"/>
      <c r="T182" s="93"/>
      <c r="U182" s="93"/>
      <c r="V182" s="93"/>
      <c r="W182" s="93"/>
      <c r="X182" s="93"/>
      <c r="Y182" s="93"/>
      <c r="Z182" s="93"/>
    </row>
    <row r="183" spans="1:26" ht="15.75" customHeight="1">
      <c r="A183" s="440">
        <v>44774</v>
      </c>
      <c r="B183" s="442">
        <f t="shared" si="0"/>
        <v>44774</v>
      </c>
      <c r="C183" s="443">
        <v>409.59</v>
      </c>
      <c r="D183" s="408">
        <v>0</v>
      </c>
      <c r="E183" s="408">
        <f t="shared" si="1"/>
        <v>409.59</v>
      </c>
      <c r="F183" s="93"/>
      <c r="G183" s="439"/>
      <c r="H183" s="439"/>
      <c r="I183" s="439"/>
      <c r="J183" s="439"/>
      <c r="K183" s="439"/>
      <c r="L183" s="93"/>
      <c r="M183" s="93"/>
      <c r="N183" s="93"/>
      <c r="O183" s="93"/>
      <c r="P183" s="93"/>
      <c r="Q183" s="93"/>
      <c r="R183" s="93"/>
      <c r="S183" s="93"/>
      <c r="T183" s="93"/>
      <c r="U183" s="93"/>
      <c r="V183" s="93"/>
      <c r="W183" s="93"/>
      <c r="X183" s="93"/>
      <c r="Y183" s="93"/>
      <c r="Z183" s="93"/>
    </row>
    <row r="184" spans="1:26" ht="15.75" customHeight="1">
      <c r="A184" s="440">
        <v>44775</v>
      </c>
      <c r="B184" s="442">
        <f t="shared" si="0"/>
        <v>44775</v>
      </c>
      <c r="C184" s="443">
        <v>1364.9499999999971</v>
      </c>
      <c r="D184" s="408">
        <v>0</v>
      </c>
      <c r="E184" s="408">
        <f t="shared" si="1"/>
        <v>1364.9499999999971</v>
      </c>
      <c r="F184" s="93"/>
      <c r="G184" s="439"/>
      <c r="H184" s="439"/>
      <c r="I184" s="439"/>
      <c r="J184" s="439"/>
      <c r="K184" s="439"/>
      <c r="L184" s="93"/>
      <c r="M184" s="93"/>
      <c r="N184" s="93"/>
      <c r="O184" s="93"/>
      <c r="P184" s="93"/>
      <c r="Q184" s="93"/>
      <c r="R184" s="93"/>
      <c r="S184" s="93"/>
      <c r="T184" s="93"/>
      <c r="U184" s="93"/>
      <c r="V184" s="93"/>
      <c r="W184" s="93"/>
      <c r="X184" s="93"/>
      <c r="Y184" s="93"/>
      <c r="Z184" s="93"/>
    </row>
    <row r="185" spans="1:26" ht="15.75" customHeight="1">
      <c r="A185" s="440">
        <v>44776</v>
      </c>
      <c r="B185" s="442">
        <f t="shared" si="0"/>
        <v>44776</v>
      </c>
      <c r="C185" s="443">
        <v>245.93000000000757</v>
      </c>
      <c r="D185" s="408">
        <v>0</v>
      </c>
      <c r="E185" s="408">
        <f t="shared" si="1"/>
        <v>245.93000000000757</v>
      </c>
      <c r="F185" s="93"/>
      <c r="G185" s="439"/>
      <c r="H185" s="439"/>
      <c r="I185" s="439"/>
      <c r="J185" s="439"/>
      <c r="K185" s="439"/>
      <c r="L185" s="93"/>
      <c r="M185" s="93"/>
      <c r="N185" s="93"/>
      <c r="O185" s="93"/>
      <c r="P185" s="93"/>
      <c r="Q185" s="93"/>
      <c r="R185" s="93"/>
      <c r="S185" s="93"/>
      <c r="T185" s="93"/>
      <c r="U185" s="93"/>
      <c r="V185" s="93"/>
      <c r="W185" s="93"/>
      <c r="X185" s="93"/>
      <c r="Y185" s="93"/>
      <c r="Z185" s="93"/>
    </row>
    <row r="186" spans="1:26" ht="15.75" customHeight="1">
      <c r="A186" s="440">
        <v>44777</v>
      </c>
      <c r="B186" s="442">
        <f t="shared" si="0"/>
        <v>44777</v>
      </c>
      <c r="C186" s="443">
        <v>519.49</v>
      </c>
      <c r="D186" s="408">
        <v>2835</v>
      </c>
      <c r="E186" s="408">
        <f t="shared" si="1"/>
        <v>3354.49</v>
      </c>
      <c r="F186" s="93"/>
      <c r="G186" s="439"/>
      <c r="H186" s="439"/>
      <c r="I186" s="439"/>
      <c r="J186" s="439"/>
      <c r="K186" s="439"/>
      <c r="L186" s="93"/>
      <c r="M186" s="93"/>
      <c r="N186" s="93"/>
      <c r="O186" s="93"/>
      <c r="P186" s="93"/>
      <c r="Q186" s="93"/>
      <c r="R186" s="93"/>
      <c r="S186" s="93"/>
      <c r="T186" s="93"/>
      <c r="U186" s="93"/>
      <c r="V186" s="93"/>
      <c r="W186" s="93"/>
      <c r="X186" s="93"/>
      <c r="Y186" s="93"/>
      <c r="Z186" s="93"/>
    </row>
    <row r="187" spans="1:26" ht="15.75" customHeight="1">
      <c r="A187" s="440">
        <v>44778</v>
      </c>
      <c r="B187" s="442">
        <f t="shared" si="0"/>
        <v>44778</v>
      </c>
      <c r="C187" s="443">
        <v>0</v>
      </c>
      <c r="D187" s="408">
        <v>0</v>
      </c>
      <c r="E187" s="408">
        <f t="shared" si="1"/>
        <v>0</v>
      </c>
      <c r="F187" s="93"/>
      <c r="G187" s="439"/>
      <c r="H187" s="439"/>
      <c r="I187" s="439"/>
      <c r="J187" s="439"/>
      <c r="K187" s="439"/>
      <c r="L187" s="93"/>
      <c r="M187" s="93"/>
      <c r="N187" s="93"/>
      <c r="O187" s="93"/>
      <c r="P187" s="93"/>
      <c r="Q187" s="93"/>
      <c r="R187" s="93"/>
      <c r="S187" s="93"/>
      <c r="T187" s="93"/>
      <c r="U187" s="93"/>
      <c r="V187" s="93"/>
      <c r="W187" s="93"/>
      <c r="X187" s="93"/>
      <c r="Y187" s="93"/>
      <c r="Z187" s="93"/>
    </row>
    <row r="188" spans="1:26" ht="15.75" customHeight="1">
      <c r="A188" s="440">
        <v>44781</v>
      </c>
      <c r="B188" s="442">
        <f t="shared" si="0"/>
        <v>44781</v>
      </c>
      <c r="C188" s="443">
        <v>522.5</v>
      </c>
      <c r="D188" s="408"/>
      <c r="E188" s="408">
        <f t="shared" si="1"/>
        <v>522.5</v>
      </c>
      <c r="F188" s="93"/>
      <c r="G188" s="439"/>
      <c r="H188" s="439"/>
      <c r="I188" s="439"/>
      <c r="J188" s="439"/>
      <c r="K188" s="439"/>
      <c r="L188" s="93"/>
      <c r="M188" s="93"/>
      <c r="N188" s="93"/>
      <c r="O188" s="93"/>
      <c r="P188" s="93"/>
      <c r="Q188" s="93"/>
      <c r="R188" s="93"/>
      <c r="S188" s="93"/>
      <c r="T188" s="93"/>
      <c r="U188" s="93"/>
      <c r="V188" s="93"/>
      <c r="W188" s="93"/>
      <c r="X188" s="93"/>
      <c r="Y188" s="93"/>
      <c r="Z188" s="93"/>
    </row>
    <row r="189" spans="1:26" ht="15.75" customHeight="1">
      <c r="A189" s="440">
        <v>44783</v>
      </c>
      <c r="B189" s="442">
        <f t="shared" si="0"/>
        <v>44783</v>
      </c>
      <c r="C189" s="443">
        <v>0</v>
      </c>
      <c r="D189" s="408">
        <v>903.07</v>
      </c>
      <c r="E189" s="408">
        <f t="shared" si="1"/>
        <v>903.07</v>
      </c>
      <c r="F189" s="93"/>
      <c r="G189" s="439"/>
      <c r="H189" s="439"/>
      <c r="I189" s="439"/>
      <c r="J189" s="439"/>
      <c r="K189" s="439"/>
      <c r="L189" s="93"/>
      <c r="M189" s="93"/>
      <c r="N189" s="93"/>
      <c r="O189" s="93"/>
      <c r="P189" s="93"/>
      <c r="Q189" s="93"/>
      <c r="R189" s="93"/>
      <c r="S189" s="93"/>
      <c r="T189" s="93"/>
      <c r="U189" s="93"/>
      <c r="V189" s="93"/>
      <c r="W189" s="93"/>
      <c r="X189" s="93"/>
      <c r="Y189" s="93"/>
      <c r="Z189" s="93"/>
    </row>
    <row r="190" spans="1:26" ht="15.75" customHeight="1">
      <c r="A190" s="440">
        <v>44784</v>
      </c>
      <c r="B190" s="442">
        <f t="shared" si="0"/>
        <v>44784</v>
      </c>
      <c r="C190" s="443">
        <v>0</v>
      </c>
      <c r="D190" s="408">
        <v>0</v>
      </c>
      <c r="E190" s="408">
        <f t="shared" si="1"/>
        <v>0</v>
      </c>
      <c r="F190" s="93"/>
      <c r="G190" s="439"/>
      <c r="H190" s="439"/>
      <c r="I190" s="439"/>
      <c r="J190" s="439"/>
      <c r="K190" s="439"/>
      <c r="L190" s="93"/>
      <c r="M190" s="93"/>
      <c r="N190" s="93"/>
      <c r="O190" s="93"/>
      <c r="P190" s="93"/>
      <c r="Q190" s="93"/>
      <c r="R190" s="93"/>
      <c r="S190" s="93"/>
      <c r="T190" s="93"/>
      <c r="U190" s="93"/>
      <c r="V190" s="93"/>
      <c r="W190" s="93"/>
      <c r="X190" s="93"/>
      <c r="Y190" s="93"/>
      <c r="Z190" s="93"/>
    </row>
    <row r="191" spans="1:26" ht="15.75" customHeight="1">
      <c r="A191" s="440">
        <v>44785</v>
      </c>
      <c r="B191" s="442">
        <f t="shared" si="0"/>
        <v>44785</v>
      </c>
      <c r="C191" s="443">
        <v>145.22999999999999</v>
      </c>
      <c r="D191" s="408">
        <v>0</v>
      </c>
      <c r="E191" s="408">
        <f t="shared" si="1"/>
        <v>145.22999999999999</v>
      </c>
      <c r="F191" s="93"/>
      <c r="G191" s="439"/>
      <c r="H191" s="439"/>
      <c r="I191" s="439"/>
      <c r="J191" s="439"/>
      <c r="K191" s="439"/>
      <c r="L191" s="93"/>
      <c r="M191" s="93"/>
      <c r="N191" s="93"/>
      <c r="O191" s="93"/>
      <c r="P191" s="93"/>
      <c r="Q191" s="93"/>
      <c r="R191" s="93"/>
      <c r="S191" s="93"/>
      <c r="T191" s="93"/>
      <c r="U191" s="93"/>
      <c r="V191" s="93"/>
      <c r="W191" s="93"/>
      <c r="X191" s="93"/>
      <c r="Y191" s="93"/>
      <c r="Z191" s="93"/>
    </row>
    <row r="192" spans="1:26" ht="15.75" customHeight="1">
      <c r="A192" s="440">
        <v>44789</v>
      </c>
      <c r="B192" s="442">
        <f t="shared" si="0"/>
        <v>44789</v>
      </c>
      <c r="C192" s="443">
        <v>0</v>
      </c>
      <c r="D192" s="408">
        <v>0</v>
      </c>
      <c r="E192" s="408">
        <f t="shared" si="1"/>
        <v>0</v>
      </c>
      <c r="F192" s="93"/>
      <c r="G192" s="439"/>
      <c r="H192" s="439"/>
      <c r="I192" s="439"/>
      <c r="J192" s="439"/>
      <c r="K192" s="439"/>
      <c r="L192" s="93"/>
      <c r="M192" s="93"/>
      <c r="N192" s="93"/>
      <c r="O192" s="93"/>
      <c r="P192" s="93"/>
      <c r="Q192" s="93"/>
      <c r="R192" s="93"/>
      <c r="S192" s="93"/>
      <c r="T192" s="93"/>
      <c r="U192" s="93"/>
      <c r="V192" s="93"/>
      <c r="W192" s="93"/>
      <c r="X192" s="93"/>
      <c r="Y192" s="93"/>
      <c r="Z192" s="93"/>
    </row>
    <row r="193" spans="1:26" ht="15.75" customHeight="1">
      <c r="A193" s="440">
        <v>44790</v>
      </c>
      <c r="B193" s="442">
        <f t="shared" si="0"/>
        <v>44790</v>
      </c>
      <c r="C193" s="443">
        <v>0</v>
      </c>
      <c r="D193" s="408"/>
      <c r="E193" s="408">
        <f t="shared" si="1"/>
        <v>0</v>
      </c>
      <c r="F193" s="93"/>
      <c r="G193" s="439"/>
      <c r="H193" s="439"/>
      <c r="I193" s="439"/>
      <c r="J193" s="439"/>
      <c r="K193" s="439"/>
      <c r="L193" s="93"/>
      <c r="M193" s="93"/>
      <c r="N193" s="93"/>
      <c r="O193" s="93"/>
      <c r="P193" s="93"/>
      <c r="Q193" s="93"/>
      <c r="R193" s="93"/>
      <c r="S193" s="93"/>
      <c r="T193" s="93"/>
      <c r="U193" s="93"/>
      <c r="V193" s="93"/>
      <c r="W193" s="93"/>
      <c r="X193" s="93"/>
      <c r="Y193" s="93"/>
      <c r="Z193" s="93"/>
    </row>
    <row r="194" spans="1:26" ht="15.75" customHeight="1">
      <c r="A194" s="440">
        <v>44791</v>
      </c>
      <c r="B194" s="442">
        <f t="shared" si="0"/>
        <v>44791</v>
      </c>
      <c r="C194" s="443">
        <v>0</v>
      </c>
      <c r="D194" s="408">
        <v>0</v>
      </c>
      <c r="E194" s="408">
        <f t="shared" si="1"/>
        <v>0</v>
      </c>
      <c r="F194" s="93"/>
      <c r="G194" s="439"/>
      <c r="H194" s="439"/>
      <c r="I194" s="439"/>
      <c r="J194" s="439"/>
      <c r="K194" s="439"/>
      <c r="L194" s="93"/>
      <c r="M194" s="93"/>
      <c r="N194" s="93"/>
      <c r="O194" s="93"/>
      <c r="P194" s="93"/>
      <c r="Q194" s="93"/>
      <c r="R194" s="93"/>
      <c r="S194" s="93"/>
      <c r="T194" s="93"/>
      <c r="U194" s="93"/>
      <c r="V194" s="93"/>
      <c r="W194" s="93"/>
      <c r="X194" s="93"/>
      <c r="Y194" s="93"/>
      <c r="Z194" s="93"/>
    </row>
    <row r="195" spans="1:26" ht="15.75" customHeight="1">
      <c r="A195" s="440">
        <v>44792</v>
      </c>
      <c r="B195" s="442">
        <f t="shared" si="0"/>
        <v>44792</v>
      </c>
      <c r="C195" s="443">
        <v>0</v>
      </c>
      <c r="D195" s="408">
        <v>0</v>
      </c>
      <c r="E195" s="408">
        <f t="shared" si="1"/>
        <v>0</v>
      </c>
      <c r="F195" s="93"/>
      <c r="G195" s="439"/>
      <c r="H195" s="439"/>
      <c r="I195" s="439"/>
      <c r="J195" s="439"/>
      <c r="K195" s="439"/>
      <c r="L195" s="93"/>
      <c r="M195" s="93"/>
      <c r="N195" s="93"/>
      <c r="O195" s="93"/>
      <c r="P195" s="93"/>
      <c r="Q195" s="93"/>
      <c r="R195" s="93"/>
      <c r="S195" s="93"/>
      <c r="T195" s="93"/>
      <c r="U195" s="93"/>
      <c r="V195" s="93"/>
      <c r="W195" s="93"/>
      <c r="X195" s="93"/>
      <c r="Y195" s="93"/>
      <c r="Z195" s="93"/>
    </row>
    <row r="196" spans="1:26" ht="15.75" customHeight="1">
      <c r="A196" s="440">
        <v>44795</v>
      </c>
      <c r="B196" s="442">
        <f t="shared" si="0"/>
        <v>44795</v>
      </c>
      <c r="C196" s="443">
        <v>1726.2</v>
      </c>
      <c r="D196" s="408">
        <v>2250.0699999999924</v>
      </c>
      <c r="E196" s="408">
        <f t="shared" si="1"/>
        <v>3976.2699999999923</v>
      </c>
      <c r="F196" s="93"/>
      <c r="G196" s="439"/>
      <c r="H196" s="439"/>
      <c r="I196" s="439"/>
      <c r="J196" s="439"/>
      <c r="K196" s="439"/>
      <c r="L196" s="93"/>
      <c r="M196" s="93"/>
      <c r="N196" s="93"/>
      <c r="O196" s="93"/>
      <c r="P196" s="93"/>
      <c r="Q196" s="93"/>
      <c r="R196" s="93"/>
      <c r="S196" s="93"/>
      <c r="T196" s="93"/>
      <c r="U196" s="93"/>
      <c r="V196" s="93"/>
      <c r="W196" s="93"/>
      <c r="X196" s="93"/>
      <c r="Y196" s="93"/>
      <c r="Z196" s="93"/>
    </row>
    <row r="197" spans="1:26" ht="15.75" customHeight="1">
      <c r="A197" s="440">
        <v>44796</v>
      </c>
      <c r="B197" s="442">
        <f t="shared" si="0"/>
        <v>44796</v>
      </c>
      <c r="C197" s="443">
        <v>0</v>
      </c>
      <c r="D197" s="408">
        <v>0</v>
      </c>
      <c r="E197" s="408">
        <f t="shared" si="1"/>
        <v>0</v>
      </c>
      <c r="F197" s="93"/>
      <c r="G197" s="439"/>
      <c r="H197" s="439"/>
      <c r="I197" s="439"/>
      <c r="J197" s="439"/>
      <c r="K197" s="439"/>
      <c r="L197" s="93"/>
      <c r="M197" s="93"/>
      <c r="N197" s="93"/>
      <c r="O197" s="93"/>
      <c r="P197" s="93"/>
      <c r="Q197" s="93"/>
      <c r="R197" s="93"/>
      <c r="S197" s="93"/>
      <c r="T197" s="93"/>
      <c r="U197" s="93"/>
      <c r="V197" s="93"/>
      <c r="W197" s="93"/>
      <c r="X197" s="93"/>
      <c r="Y197" s="93"/>
      <c r="Z197" s="93"/>
    </row>
    <row r="198" spans="1:26" ht="15.75" customHeight="1">
      <c r="A198" s="440">
        <v>44797</v>
      </c>
      <c r="B198" s="442">
        <f t="shared" si="0"/>
        <v>44797</v>
      </c>
      <c r="C198" s="443">
        <v>0</v>
      </c>
      <c r="D198" s="408">
        <v>0</v>
      </c>
      <c r="E198" s="408">
        <f t="shared" si="1"/>
        <v>0</v>
      </c>
      <c r="F198" s="93"/>
      <c r="G198" s="439"/>
      <c r="H198" s="439"/>
      <c r="I198" s="439"/>
      <c r="J198" s="439"/>
      <c r="K198" s="439"/>
      <c r="L198" s="93"/>
      <c r="M198" s="93"/>
      <c r="N198" s="93"/>
      <c r="O198" s="93"/>
      <c r="P198" s="93"/>
      <c r="Q198" s="93"/>
      <c r="R198" s="93"/>
      <c r="S198" s="93"/>
      <c r="T198" s="93"/>
      <c r="U198" s="93"/>
      <c r="V198" s="93"/>
      <c r="W198" s="93"/>
      <c r="X198" s="93"/>
      <c r="Y198" s="93"/>
      <c r="Z198" s="93"/>
    </row>
    <row r="199" spans="1:26" ht="15.75" customHeight="1">
      <c r="A199" s="440">
        <v>44798</v>
      </c>
      <c r="B199" s="442">
        <f t="shared" si="0"/>
        <v>44798</v>
      </c>
      <c r="C199" s="443">
        <v>1039</v>
      </c>
      <c r="D199" s="408">
        <v>0</v>
      </c>
      <c r="E199" s="408">
        <f t="shared" si="1"/>
        <v>1039</v>
      </c>
      <c r="F199" s="93"/>
      <c r="G199" s="439"/>
      <c r="H199" s="439"/>
      <c r="I199" s="439"/>
      <c r="J199" s="439"/>
      <c r="K199" s="439"/>
      <c r="L199" s="93"/>
      <c r="M199" s="93"/>
      <c r="N199" s="93"/>
      <c r="O199" s="93"/>
      <c r="P199" s="93"/>
      <c r="Q199" s="93"/>
      <c r="R199" s="93"/>
      <c r="S199" s="93"/>
      <c r="T199" s="93"/>
      <c r="U199" s="93"/>
      <c r="V199" s="93"/>
      <c r="W199" s="93"/>
      <c r="X199" s="93"/>
      <c r="Y199" s="93"/>
      <c r="Z199" s="93"/>
    </row>
    <row r="200" spans="1:26" ht="15.75" customHeight="1">
      <c r="A200" s="440">
        <v>44799</v>
      </c>
      <c r="B200" s="442">
        <f t="shared" si="0"/>
        <v>44799</v>
      </c>
      <c r="C200" s="443">
        <v>548.04</v>
      </c>
      <c r="D200" s="408">
        <v>0</v>
      </c>
      <c r="E200" s="408">
        <f t="shared" si="1"/>
        <v>548.04</v>
      </c>
      <c r="F200" s="93"/>
      <c r="G200" s="439"/>
      <c r="H200" s="439"/>
      <c r="I200" s="439"/>
      <c r="J200" s="439"/>
      <c r="K200" s="439"/>
      <c r="L200" s="93"/>
      <c r="M200" s="93"/>
      <c r="N200" s="93"/>
      <c r="O200" s="93"/>
      <c r="P200" s="93"/>
      <c r="Q200" s="93"/>
      <c r="R200" s="93"/>
      <c r="S200" s="93"/>
      <c r="T200" s="93"/>
      <c r="U200" s="93"/>
      <c r="V200" s="93"/>
      <c r="W200" s="93"/>
      <c r="X200" s="93"/>
      <c r="Y200" s="93"/>
      <c r="Z200" s="93"/>
    </row>
    <row r="201" spans="1:26" ht="15.75" customHeight="1">
      <c r="A201" s="440">
        <v>44802</v>
      </c>
      <c r="B201" s="442">
        <f t="shared" si="0"/>
        <v>44802</v>
      </c>
      <c r="C201" s="443">
        <v>278.32</v>
      </c>
      <c r="D201" s="408">
        <v>0</v>
      </c>
      <c r="E201" s="408">
        <f t="shared" si="1"/>
        <v>278.32</v>
      </c>
      <c r="F201" s="93"/>
      <c r="G201" s="439"/>
      <c r="H201" s="439"/>
      <c r="I201" s="439"/>
      <c r="J201" s="439"/>
      <c r="K201" s="439"/>
      <c r="L201" s="93"/>
      <c r="M201" s="93"/>
      <c r="N201" s="93"/>
      <c r="O201" s="93"/>
      <c r="P201" s="93"/>
      <c r="Q201" s="93"/>
      <c r="R201" s="93"/>
      <c r="S201" s="93"/>
      <c r="T201" s="93"/>
      <c r="U201" s="93"/>
      <c r="V201" s="93"/>
      <c r="W201" s="93"/>
      <c r="X201" s="93"/>
      <c r="Y201" s="93"/>
      <c r="Z201" s="93"/>
    </row>
    <row r="202" spans="1:26" ht="15.75" customHeight="1">
      <c r="A202" s="440">
        <v>44803</v>
      </c>
      <c r="B202" s="442">
        <f t="shared" si="0"/>
        <v>44803</v>
      </c>
      <c r="C202" s="443">
        <v>1856.35</v>
      </c>
      <c r="D202" s="408">
        <v>0</v>
      </c>
      <c r="E202" s="408">
        <f t="shared" si="1"/>
        <v>1856.35</v>
      </c>
      <c r="F202" s="93"/>
      <c r="G202" s="439"/>
      <c r="H202" s="439"/>
      <c r="I202" s="439"/>
      <c r="J202" s="439"/>
      <c r="K202" s="439"/>
      <c r="L202" s="93"/>
      <c r="M202" s="93"/>
      <c r="N202" s="93"/>
      <c r="O202" s="93"/>
      <c r="P202" s="93"/>
      <c r="Q202" s="93"/>
      <c r="R202" s="93"/>
      <c r="S202" s="93"/>
      <c r="T202" s="93"/>
      <c r="U202" s="93"/>
      <c r="V202" s="93"/>
      <c r="W202" s="93"/>
      <c r="X202" s="93"/>
      <c r="Y202" s="93"/>
      <c r="Z202" s="93"/>
    </row>
    <row r="203" spans="1:26" ht="15.75" customHeight="1">
      <c r="A203" s="440">
        <v>44805</v>
      </c>
      <c r="B203" s="442">
        <f t="shared" si="0"/>
        <v>44805</v>
      </c>
      <c r="C203" s="443">
        <v>1430.72</v>
      </c>
      <c r="D203" s="408">
        <v>0</v>
      </c>
      <c r="E203" s="408">
        <f t="shared" si="1"/>
        <v>1430.72</v>
      </c>
      <c r="F203" s="93"/>
      <c r="G203" s="439"/>
      <c r="H203" s="439"/>
      <c r="I203" s="439"/>
      <c r="J203" s="439"/>
      <c r="K203" s="439"/>
      <c r="L203" s="93"/>
      <c r="M203" s="93"/>
      <c r="N203" s="93"/>
      <c r="O203" s="93"/>
      <c r="P203" s="93"/>
      <c r="Q203" s="93"/>
      <c r="R203" s="93"/>
      <c r="S203" s="93"/>
      <c r="T203" s="93"/>
      <c r="U203" s="93"/>
      <c r="V203" s="93"/>
      <c r="W203" s="93"/>
      <c r="X203" s="93"/>
      <c r="Y203" s="93"/>
      <c r="Z203" s="93"/>
    </row>
    <row r="204" spans="1:26" ht="15.75" customHeight="1">
      <c r="A204" s="440">
        <v>44806</v>
      </c>
      <c r="B204" s="442">
        <f t="shared" si="0"/>
        <v>44806</v>
      </c>
      <c r="C204" s="443">
        <v>0</v>
      </c>
      <c r="D204" s="408">
        <v>0</v>
      </c>
      <c r="E204" s="408">
        <f t="shared" si="1"/>
        <v>0</v>
      </c>
      <c r="F204" s="93"/>
      <c r="G204" s="439"/>
      <c r="H204" s="439"/>
      <c r="I204" s="439"/>
      <c r="J204" s="439"/>
      <c r="K204" s="439"/>
      <c r="L204" s="93"/>
      <c r="M204" s="93"/>
      <c r="N204" s="93"/>
      <c r="O204" s="93"/>
      <c r="P204" s="93"/>
      <c r="Q204" s="93"/>
      <c r="R204" s="93"/>
      <c r="S204" s="93"/>
      <c r="T204" s="93"/>
      <c r="U204" s="93"/>
      <c r="V204" s="93"/>
      <c r="W204" s="93"/>
      <c r="X204" s="93"/>
      <c r="Y204" s="93"/>
      <c r="Z204" s="93"/>
    </row>
    <row r="205" spans="1:26" ht="15.75" customHeight="1">
      <c r="A205" s="440">
        <v>44809</v>
      </c>
      <c r="B205" s="442">
        <f t="shared" si="0"/>
        <v>44809</v>
      </c>
      <c r="C205" s="443">
        <v>0</v>
      </c>
      <c r="D205" s="408">
        <v>2871.07</v>
      </c>
      <c r="E205" s="408">
        <f t="shared" si="1"/>
        <v>2871.07</v>
      </c>
      <c r="F205" s="93"/>
      <c r="G205" s="439"/>
      <c r="H205" s="439"/>
      <c r="I205" s="439"/>
      <c r="J205" s="439"/>
      <c r="K205" s="439"/>
      <c r="L205" s="93"/>
      <c r="M205" s="93"/>
      <c r="N205" s="93"/>
      <c r="O205" s="93"/>
      <c r="P205" s="93"/>
      <c r="Q205" s="93"/>
      <c r="R205" s="93"/>
      <c r="S205" s="93"/>
      <c r="T205" s="93"/>
      <c r="U205" s="93"/>
      <c r="V205" s="93"/>
      <c r="W205" s="93"/>
      <c r="X205" s="93"/>
      <c r="Y205" s="93"/>
      <c r="Z205" s="93"/>
    </row>
    <row r="206" spans="1:26" ht="15.75" customHeight="1">
      <c r="A206" s="440">
        <v>44810</v>
      </c>
      <c r="B206" s="442">
        <f t="shared" si="0"/>
        <v>44810</v>
      </c>
      <c r="C206" s="443">
        <v>975.93</v>
      </c>
      <c r="D206" s="408">
        <v>0</v>
      </c>
      <c r="E206" s="408">
        <f t="shared" si="1"/>
        <v>975.93</v>
      </c>
      <c r="F206" s="93"/>
      <c r="G206" s="439"/>
      <c r="H206" s="439"/>
      <c r="I206" s="439"/>
      <c r="J206" s="439"/>
      <c r="K206" s="439"/>
      <c r="L206" s="93"/>
      <c r="M206" s="93"/>
      <c r="N206" s="93"/>
      <c r="O206" s="93"/>
      <c r="P206" s="93"/>
      <c r="Q206" s="93"/>
      <c r="R206" s="93"/>
      <c r="S206" s="93"/>
      <c r="T206" s="93"/>
      <c r="U206" s="93"/>
      <c r="V206" s="93"/>
      <c r="W206" s="93"/>
      <c r="X206" s="93"/>
      <c r="Y206" s="93"/>
      <c r="Z206" s="93"/>
    </row>
    <row r="207" spans="1:26" ht="15.75" customHeight="1">
      <c r="A207" s="440">
        <v>44811</v>
      </c>
      <c r="B207" s="442">
        <f t="shared" si="0"/>
        <v>44811</v>
      </c>
      <c r="C207" s="443">
        <v>406.67</v>
      </c>
      <c r="D207" s="408">
        <v>0</v>
      </c>
      <c r="E207" s="408">
        <f t="shared" si="1"/>
        <v>406.67</v>
      </c>
      <c r="F207" s="93"/>
      <c r="G207" s="439"/>
      <c r="H207" s="439"/>
      <c r="I207" s="439"/>
      <c r="J207" s="439"/>
      <c r="K207" s="439"/>
      <c r="L207" s="93"/>
      <c r="M207" s="93"/>
      <c r="N207" s="93"/>
      <c r="O207" s="93"/>
      <c r="P207" s="93"/>
      <c r="Q207" s="93"/>
      <c r="R207" s="93"/>
      <c r="S207" s="93"/>
      <c r="T207" s="93"/>
      <c r="U207" s="93"/>
      <c r="V207" s="93"/>
      <c r="W207" s="93"/>
      <c r="X207" s="93"/>
      <c r="Y207" s="93"/>
      <c r="Z207" s="93"/>
    </row>
    <row r="208" spans="1:26" ht="15.75" customHeight="1">
      <c r="A208" s="440">
        <v>44812</v>
      </c>
      <c r="B208" s="442">
        <f t="shared" si="0"/>
        <v>44812</v>
      </c>
      <c r="C208" s="443">
        <v>0</v>
      </c>
      <c r="D208" s="408">
        <v>0</v>
      </c>
      <c r="E208" s="408">
        <f t="shared" si="1"/>
        <v>0</v>
      </c>
      <c r="F208" s="93"/>
      <c r="G208" s="439"/>
      <c r="H208" s="439"/>
      <c r="I208" s="439"/>
      <c r="J208" s="439"/>
      <c r="K208" s="439"/>
      <c r="L208" s="93"/>
      <c r="M208" s="93"/>
      <c r="N208" s="93"/>
      <c r="O208" s="93"/>
      <c r="P208" s="93"/>
      <c r="Q208" s="93"/>
      <c r="R208" s="93"/>
      <c r="S208" s="93"/>
      <c r="T208" s="93"/>
      <c r="U208" s="93"/>
      <c r="V208" s="93"/>
      <c r="W208" s="93"/>
      <c r="X208" s="93"/>
      <c r="Y208" s="93"/>
      <c r="Z208" s="93"/>
    </row>
    <row r="209" spans="1:26" ht="15.75" customHeight="1">
      <c r="A209" s="440">
        <v>44813</v>
      </c>
      <c r="B209" s="442">
        <f t="shared" si="0"/>
        <v>44813</v>
      </c>
      <c r="C209" s="443">
        <v>2044.14</v>
      </c>
      <c r="D209" s="408">
        <v>0</v>
      </c>
      <c r="E209" s="408">
        <f t="shared" si="1"/>
        <v>2044.14</v>
      </c>
      <c r="F209" s="93"/>
      <c r="G209" s="439"/>
      <c r="H209" s="439"/>
      <c r="I209" s="439"/>
      <c r="J209" s="439"/>
      <c r="K209" s="439"/>
      <c r="L209" s="93"/>
      <c r="M209" s="93"/>
      <c r="N209" s="93"/>
      <c r="O209" s="93"/>
      <c r="P209" s="93"/>
      <c r="Q209" s="93"/>
      <c r="R209" s="93"/>
      <c r="S209" s="93"/>
      <c r="T209" s="93"/>
      <c r="U209" s="93"/>
      <c r="V209" s="93"/>
      <c r="W209" s="93"/>
      <c r="X209" s="93"/>
      <c r="Y209" s="93"/>
      <c r="Z209" s="93"/>
    </row>
    <row r="210" spans="1:26" ht="15.75" customHeight="1">
      <c r="A210" s="440">
        <v>44816</v>
      </c>
      <c r="B210" s="442">
        <f t="shared" si="0"/>
        <v>44816</v>
      </c>
      <c r="C210" s="443">
        <v>501.07</v>
      </c>
      <c r="D210" s="408">
        <v>0</v>
      </c>
      <c r="E210" s="408">
        <f t="shared" si="1"/>
        <v>501.07</v>
      </c>
      <c r="F210" s="93"/>
      <c r="G210" s="439"/>
      <c r="H210" s="439"/>
      <c r="I210" s="439"/>
      <c r="J210" s="439"/>
      <c r="K210" s="439"/>
      <c r="L210" s="93"/>
      <c r="M210" s="93"/>
      <c r="N210" s="93"/>
      <c r="O210" s="93"/>
      <c r="P210" s="93"/>
      <c r="Q210" s="93"/>
      <c r="R210" s="93"/>
      <c r="S210" s="93"/>
      <c r="T210" s="93"/>
      <c r="U210" s="93"/>
      <c r="V210" s="93"/>
      <c r="W210" s="93"/>
      <c r="X210" s="93"/>
      <c r="Y210" s="93"/>
      <c r="Z210" s="93"/>
    </row>
    <row r="211" spans="1:26" ht="15.75" customHeight="1">
      <c r="A211" s="440">
        <v>44817</v>
      </c>
      <c r="B211" s="442">
        <f t="shared" si="0"/>
        <v>44817</v>
      </c>
      <c r="C211" s="443">
        <v>1655.24</v>
      </c>
      <c r="D211" s="408">
        <v>0</v>
      </c>
      <c r="E211" s="408">
        <f t="shared" si="1"/>
        <v>1655.24</v>
      </c>
      <c r="F211" s="93"/>
      <c r="G211" s="439"/>
      <c r="H211" s="439"/>
      <c r="I211" s="439"/>
      <c r="J211" s="439"/>
      <c r="K211" s="439"/>
      <c r="L211" s="93"/>
      <c r="M211" s="93"/>
      <c r="N211" s="93"/>
      <c r="O211" s="93"/>
      <c r="P211" s="93"/>
      <c r="Q211" s="93"/>
      <c r="R211" s="93"/>
      <c r="S211" s="93"/>
      <c r="T211" s="93"/>
      <c r="U211" s="93"/>
      <c r="V211" s="93"/>
      <c r="W211" s="93"/>
      <c r="X211" s="93"/>
      <c r="Y211" s="93"/>
      <c r="Z211" s="93"/>
    </row>
    <row r="212" spans="1:26" ht="15.75" customHeight="1">
      <c r="A212" s="440">
        <v>44818</v>
      </c>
      <c r="B212" s="442">
        <f t="shared" si="0"/>
        <v>44818</v>
      </c>
      <c r="C212" s="443">
        <v>103.54</v>
      </c>
      <c r="D212" s="408">
        <v>2099.1399999999994</v>
      </c>
      <c r="E212" s="408">
        <f t="shared" si="1"/>
        <v>2202.6799999999994</v>
      </c>
      <c r="F212" s="93"/>
      <c r="G212" s="439"/>
      <c r="H212" s="439"/>
      <c r="I212" s="439"/>
      <c r="J212" s="439"/>
      <c r="K212" s="439"/>
      <c r="L212" s="93"/>
      <c r="M212" s="93"/>
      <c r="N212" s="93"/>
      <c r="O212" s="93"/>
      <c r="P212" s="93"/>
      <c r="Q212" s="93"/>
      <c r="R212" s="93"/>
      <c r="S212" s="93"/>
      <c r="T212" s="93"/>
      <c r="U212" s="93"/>
      <c r="V212" s="93"/>
      <c r="W212" s="93"/>
      <c r="X212" s="93"/>
      <c r="Y212" s="93"/>
      <c r="Z212" s="93"/>
    </row>
    <row r="213" spans="1:26" ht="15.75" customHeight="1">
      <c r="A213" s="440">
        <v>44819</v>
      </c>
      <c r="B213" s="442">
        <f t="shared" si="0"/>
        <v>44819</v>
      </c>
      <c r="C213" s="443">
        <v>1102.42</v>
      </c>
      <c r="D213" s="408">
        <v>4554.07</v>
      </c>
      <c r="E213" s="408">
        <f t="shared" si="1"/>
        <v>5656.49</v>
      </c>
      <c r="F213" s="93"/>
      <c r="G213" s="439"/>
      <c r="H213" s="439"/>
      <c r="I213" s="439"/>
      <c r="J213" s="439"/>
      <c r="K213" s="439"/>
      <c r="L213" s="93"/>
      <c r="M213" s="93"/>
      <c r="N213" s="93"/>
      <c r="O213" s="93"/>
      <c r="P213" s="93"/>
      <c r="Q213" s="93"/>
      <c r="R213" s="93"/>
      <c r="S213" s="93"/>
      <c r="T213" s="93"/>
      <c r="U213" s="93"/>
      <c r="V213" s="93"/>
      <c r="W213" s="93"/>
      <c r="X213" s="93"/>
      <c r="Y213" s="93"/>
      <c r="Z213" s="93"/>
    </row>
    <row r="214" spans="1:26" ht="15.75" customHeight="1">
      <c r="A214" s="440">
        <v>44820</v>
      </c>
      <c r="B214" s="442">
        <f t="shared" si="0"/>
        <v>44820</v>
      </c>
      <c r="C214" s="443">
        <v>745.64</v>
      </c>
      <c r="D214" s="408">
        <v>41</v>
      </c>
      <c r="E214" s="408">
        <f t="shared" si="1"/>
        <v>786.64</v>
      </c>
      <c r="F214" s="93"/>
      <c r="G214" s="439"/>
      <c r="H214" s="439"/>
      <c r="I214" s="439"/>
      <c r="J214" s="439"/>
      <c r="K214" s="439"/>
      <c r="L214" s="93"/>
      <c r="M214" s="93"/>
      <c r="N214" s="93"/>
      <c r="O214" s="93"/>
      <c r="P214" s="93"/>
      <c r="Q214" s="93"/>
      <c r="R214" s="93"/>
      <c r="S214" s="93"/>
      <c r="T214" s="93"/>
      <c r="U214" s="93"/>
      <c r="V214" s="93"/>
      <c r="W214" s="93"/>
      <c r="X214" s="93"/>
      <c r="Y214" s="93"/>
      <c r="Z214" s="93"/>
    </row>
    <row r="215" spans="1:26" ht="15.75" customHeight="1">
      <c r="A215" s="440">
        <v>44823</v>
      </c>
      <c r="B215" s="442">
        <f t="shared" si="0"/>
        <v>44823</v>
      </c>
      <c r="C215" s="443">
        <v>0</v>
      </c>
      <c r="D215" s="408">
        <v>0</v>
      </c>
      <c r="E215" s="408">
        <f t="shared" si="1"/>
        <v>0</v>
      </c>
      <c r="F215" s="93"/>
      <c r="G215" s="439"/>
      <c r="H215" s="439"/>
      <c r="I215" s="439"/>
      <c r="J215" s="439"/>
      <c r="K215" s="439"/>
      <c r="L215" s="93"/>
      <c r="M215" s="93"/>
      <c r="N215" s="93"/>
      <c r="O215" s="93"/>
      <c r="P215" s="93"/>
      <c r="Q215" s="93"/>
      <c r="R215" s="93"/>
      <c r="S215" s="93"/>
      <c r="T215" s="93"/>
      <c r="U215" s="93"/>
      <c r="V215" s="93"/>
      <c r="W215" s="93"/>
      <c r="X215" s="93"/>
      <c r="Y215" s="93"/>
      <c r="Z215" s="93"/>
    </row>
    <row r="216" spans="1:26" ht="15.75" customHeight="1">
      <c r="A216" s="440">
        <v>44824</v>
      </c>
      <c r="B216" s="442">
        <f t="shared" si="0"/>
        <v>44824</v>
      </c>
      <c r="C216" s="443">
        <v>0</v>
      </c>
      <c r="D216" s="408">
        <v>966.07</v>
      </c>
      <c r="E216" s="408">
        <f t="shared" si="1"/>
        <v>966.07</v>
      </c>
      <c r="F216" s="93"/>
      <c r="G216" s="439"/>
      <c r="H216" s="439"/>
      <c r="I216" s="439"/>
      <c r="J216" s="439"/>
      <c r="K216" s="439"/>
      <c r="L216" s="93"/>
      <c r="M216" s="93"/>
      <c r="N216" s="93"/>
      <c r="O216" s="93"/>
      <c r="P216" s="93"/>
      <c r="Q216" s="93"/>
      <c r="R216" s="93"/>
      <c r="S216" s="93"/>
      <c r="T216" s="93"/>
      <c r="U216" s="93"/>
      <c r="V216" s="93"/>
      <c r="W216" s="93"/>
      <c r="X216" s="93"/>
      <c r="Y216" s="93"/>
      <c r="Z216" s="93"/>
    </row>
    <row r="217" spans="1:26" ht="15.75" customHeight="1">
      <c r="A217" s="440">
        <v>44825</v>
      </c>
      <c r="B217" s="442">
        <f t="shared" si="0"/>
        <v>44825</v>
      </c>
      <c r="C217" s="443">
        <v>0</v>
      </c>
      <c r="D217" s="408">
        <v>0</v>
      </c>
      <c r="E217" s="408">
        <f t="shared" si="1"/>
        <v>0</v>
      </c>
      <c r="F217" s="93"/>
      <c r="G217" s="439"/>
      <c r="H217" s="439"/>
      <c r="I217" s="439"/>
      <c r="J217" s="439"/>
      <c r="K217" s="439"/>
      <c r="L217" s="93"/>
      <c r="M217" s="93"/>
      <c r="N217" s="93"/>
      <c r="O217" s="93"/>
      <c r="P217" s="93"/>
      <c r="Q217" s="93"/>
      <c r="R217" s="93"/>
      <c r="S217" s="93"/>
      <c r="T217" s="93"/>
      <c r="U217" s="93"/>
      <c r="V217" s="93"/>
      <c r="W217" s="93"/>
      <c r="X217" s="93"/>
      <c r="Y217" s="93"/>
      <c r="Z217" s="93"/>
    </row>
    <row r="218" spans="1:26" ht="15.75" customHeight="1">
      <c r="A218" s="440">
        <v>44826</v>
      </c>
      <c r="B218" s="442">
        <f t="shared" si="0"/>
        <v>44826</v>
      </c>
      <c r="C218" s="443">
        <v>0</v>
      </c>
      <c r="D218" s="408">
        <v>0</v>
      </c>
      <c r="E218" s="408">
        <f t="shared" si="1"/>
        <v>0</v>
      </c>
      <c r="F218" s="93"/>
      <c r="G218" s="439"/>
      <c r="H218" s="439"/>
      <c r="I218" s="439"/>
      <c r="J218" s="439"/>
      <c r="K218" s="439"/>
      <c r="L218" s="93"/>
      <c r="M218" s="93"/>
      <c r="N218" s="93"/>
      <c r="O218" s="93"/>
      <c r="P218" s="93"/>
      <c r="Q218" s="93"/>
      <c r="R218" s="93"/>
      <c r="S218" s="93"/>
      <c r="T218" s="93"/>
      <c r="U218" s="93"/>
      <c r="V218" s="93"/>
      <c r="W218" s="93"/>
      <c r="X218" s="93"/>
      <c r="Y218" s="93"/>
      <c r="Z218" s="93"/>
    </row>
    <row r="219" spans="1:26" ht="15.75" customHeight="1">
      <c r="A219" s="440">
        <v>44827</v>
      </c>
      <c r="B219" s="442">
        <f t="shared" si="0"/>
        <v>44827</v>
      </c>
      <c r="C219" s="443">
        <v>0</v>
      </c>
      <c r="D219" s="408">
        <v>0</v>
      </c>
      <c r="E219" s="408">
        <f t="shared" si="1"/>
        <v>0</v>
      </c>
      <c r="F219" s="93"/>
      <c r="G219" s="439"/>
      <c r="H219" s="439"/>
      <c r="I219" s="439"/>
      <c r="J219" s="439"/>
      <c r="K219" s="439"/>
      <c r="L219" s="93"/>
      <c r="M219" s="93"/>
      <c r="N219" s="93"/>
      <c r="O219" s="93"/>
      <c r="P219" s="93"/>
      <c r="Q219" s="93"/>
      <c r="R219" s="93"/>
      <c r="S219" s="93"/>
      <c r="T219" s="93"/>
      <c r="U219" s="93"/>
      <c r="V219" s="93"/>
      <c r="W219" s="93"/>
      <c r="X219" s="93"/>
      <c r="Y219" s="93"/>
      <c r="Z219" s="93"/>
    </row>
    <row r="220" spans="1:26" ht="15.75" customHeight="1">
      <c r="A220" s="440">
        <v>44830</v>
      </c>
      <c r="B220" s="442">
        <f t="shared" si="0"/>
        <v>44830</v>
      </c>
      <c r="C220" s="443">
        <v>241.54</v>
      </c>
      <c r="D220" s="408">
        <v>0</v>
      </c>
      <c r="E220" s="408">
        <f t="shared" si="1"/>
        <v>241.54</v>
      </c>
      <c r="F220" s="93"/>
      <c r="G220" s="439"/>
      <c r="H220" s="439"/>
      <c r="I220" s="439"/>
      <c r="J220" s="439"/>
      <c r="K220" s="439"/>
      <c r="L220" s="93"/>
      <c r="M220" s="93"/>
      <c r="N220" s="93"/>
      <c r="O220" s="93"/>
      <c r="P220" s="93"/>
      <c r="Q220" s="93"/>
      <c r="R220" s="93"/>
      <c r="S220" s="93"/>
      <c r="T220" s="93"/>
      <c r="U220" s="93"/>
      <c r="V220" s="93"/>
      <c r="W220" s="93"/>
      <c r="X220" s="93"/>
      <c r="Y220" s="93"/>
      <c r="Z220" s="93"/>
    </row>
    <row r="221" spans="1:26" ht="15.75" customHeight="1">
      <c r="A221" s="440">
        <v>44831</v>
      </c>
      <c r="B221" s="442">
        <f t="shared" si="0"/>
        <v>44831</v>
      </c>
      <c r="C221" s="443">
        <v>79.319999999999993</v>
      </c>
      <c r="D221" s="408">
        <v>0</v>
      </c>
      <c r="E221" s="408">
        <f t="shared" si="1"/>
        <v>79.319999999999993</v>
      </c>
      <c r="F221" s="93"/>
      <c r="G221" s="439"/>
      <c r="H221" s="439"/>
      <c r="I221" s="439"/>
      <c r="J221" s="439"/>
      <c r="K221" s="439"/>
      <c r="L221" s="93"/>
      <c r="M221" s="93"/>
      <c r="N221" s="93"/>
      <c r="O221" s="93"/>
      <c r="P221" s="93"/>
      <c r="Q221" s="93"/>
      <c r="R221" s="93"/>
      <c r="S221" s="93"/>
      <c r="T221" s="93"/>
      <c r="U221" s="93"/>
      <c r="V221" s="93"/>
      <c r="W221" s="93"/>
      <c r="X221" s="93"/>
      <c r="Y221" s="93"/>
      <c r="Z221" s="93"/>
    </row>
    <row r="222" spans="1:26" ht="15.75" customHeight="1">
      <c r="A222" s="440">
        <v>44832</v>
      </c>
      <c r="B222" s="442">
        <f t="shared" si="0"/>
        <v>44832</v>
      </c>
      <c r="C222" s="443">
        <v>74.44</v>
      </c>
      <c r="D222" s="408">
        <v>57.07</v>
      </c>
      <c r="E222" s="408">
        <f t="shared" si="1"/>
        <v>131.51</v>
      </c>
      <c r="F222" s="93"/>
      <c r="G222" s="439"/>
      <c r="H222" s="439"/>
      <c r="I222" s="439"/>
      <c r="J222" s="439"/>
      <c r="K222" s="439"/>
      <c r="L222" s="93"/>
      <c r="M222" s="93"/>
      <c r="N222" s="93"/>
      <c r="O222" s="93"/>
      <c r="P222" s="93"/>
      <c r="Q222" s="93"/>
      <c r="R222" s="93"/>
      <c r="S222" s="93"/>
      <c r="T222" s="93"/>
      <c r="U222" s="93"/>
      <c r="V222" s="93"/>
      <c r="W222" s="93"/>
      <c r="X222" s="93"/>
      <c r="Y222" s="93"/>
      <c r="Z222" s="93"/>
    </row>
    <row r="223" spans="1:26" ht="15.75" customHeight="1">
      <c r="A223" s="440">
        <v>44833</v>
      </c>
      <c r="B223" s="442">
        <f t="shared" si="0"/>
        <v>44833</v>
      </c>
      <c r="C223" s="443">
        <v>99.45</v>
      </c>
      <c r="D223" s="408">
        <v>0</v>
      </c>
      <c r="E223" s="408">
        <f t="shared" si="1"/>
        <v>99.45</v>
      </c>
      <c r="F223" s="93"/>
      <c r="G223" s="439"/>
      <c r="H223" s="439"/>
      <c r="I223" s="439"/>
      <c r="J223" s="439"/>
      <c r="K223" s="439"/>
      <c r="L223" s="93"/>
      <c r="M223" s="93"/>
      <c r="N223" s="93"/>
      <c r="O223" s="93"/>
      <c r="P223" s="93"/>
      <c r="Q223" s="93"/>
      <c r="R223" s="93"/>
      <c r="S223" s="93"/>
      <c r="T223" s="93"/>
      <c r="U223" s="93"/>
      <c r="V223" s="93"/>
      <c r="W223" s="93"/>
      <c r="X223" s="93"/>
      <c r="Y223" s="93"/>
      <c r="Z223" s="93"/>
    </row>
    <row r="224" spans="1:26" ht="15.75" customHeight="1">
      <c r="A224" s="440">
        <v>44834</v>
      </c>
      <c r="B224" s="442">
        <f t="shared" si="0"/>
        <v>44834</v>
      </c>
      <c r="C224" s="443">
        <v>307.89</v>
      </c>
      <c r="D224" s="408">
        <v>0</v>
      </c>
      <c r="E224" s="408">
        <f t="shared" si="1"/>
        <v>307.89</v>
      </c>
      <c r="F224" s="93"/>
      <c r="G224" s="439"/>
      <c r="H224" s="439"/>
      <c r="I224" s="439"/>
      <c r="J224" s="439"/>
      <c r="K224" s="439"/>
      <c r="L224" s="93"/>
      <c r="M224" s="93"/>
      <c r="N224" s="93"/>
      <c r="O224" s="93"/>
      <c r="P224" s="93"/>
      <c r="Q224" s="93"/>
      <c r="R224" s="93"/>
      <c r="S224" s="93"/>
      <c r="T224" s="93"/>
      <c r="U224" s="93"/>
      <c r="V224" s="93"/>
      <c r="W224" s="93"/>
      <c r="X224" s="93"/>
      <c r="Y224" s="93"/>
      <c r="Z224" s="93"/>
    </row>
    <row r="225" spans="1:26" ht="15.75" customHeight="1">
      <c r="A225" s="440">
        <v>44837</v>
      </c>
      <c r="B225" s="442">
        <f t="shared" si="0"/>
        <v>44837</v>
      </c>
      <c r="C225" s="443">
        <v>472</v>
      </c>
      <c r="D225" s="408">
        <v>0</v>
      </c>
      <c r="E225" s="408">
        <f t="shared" si="1"/>
        <v>472</v>
      </c>
      <c r="F225" s="93"/>
      <c r="G225" s="439"/>
      <c r="H225" s="439"/>
      <c r="I225" s="439"/>
      <c r="J225" s="439"/>
      <c r="K225" s="439"/>
      <c r="L225" s="93"/>
      <c r="M225" s="93"/>
      <c r="N225" s="93"/>
      <c r="O225" s="93"/>
      <c r="P225" s="93"/>
      <c r="Q225" s="93"/>
      <c r="R225" s="93"/>
      <c r="S225" s="93"/>
      <c r="T225" s="93"/>
      <c r="U225" s="93"/>
      <c r="V225" s="93"/>
      <c r="W225" s="93"/>
      <c r="X225" s="93"/>
      <c r="Y225" s="93"/>
      <c r="Z225" s="93"/>
    </row>
    <row r="226" spans="1:26" ht="15.75" customHeight="1">
      <c r="A226" s="440">
        <v>44838</v>
      </c>
      <c r="B226" s="442">
        <f t="shared" si="0"/>
        <v>44838</v>
      </c>
      <c r="C226" s="443">
        <v>208.18</v>
      </c>
      <c r="D226" s="408">
        <v>0</v>
      </c>
      <c r="E226" s="408">
        <f t="shared" si="1"/>
        <v>208.18</v>
      </c>
      <c r="F226" s="93"/>
      <c r="G226" s="439"/>
      <c r="H226" s="439"/>
      <c r="I226" s="439"/>
      <c r="J226" s="439"/>
      <c r="K226" s="439"/>
      <c r="L226" s="93"/>
      <c r="M226" s="93"/>
      <c r="N226" s="93"/>
      <c r="O226" s="93"/>
      <c r="P226" s="93"/>
      <c r="Q226" s="93"/>
      <c r="R226" s="93"/>
      <c r="S226" s="93"/>
      <c r="T226" s="93"/>
      <c r="U226" s="93"/>
      <c r="V226" s="93"/>
      <c r="W226" s="93"/>
      <c r="X226" s="93"/>
      <c r="Y226" s="93"/>
      <c r="Z226" s="93"/>
    </row>
    <row r="227" spans="1:26" ht="15.75" customHeight="1">
      <c r="A227" s="440">
        <v>44840</v>
      </c>
      <c r="B227" s="442">
        <f t="shared" si="0"/>
        <v>44840</v>
      </c>
      <c r="C227" s="408">
        <v>0</v>
      </c>
      <c r="D227" s="408">
        <v>0</v>
      </c>
      <c r="E227" s="408">
        <f t="shared" si="1"/>
        <v>0</v>
      </c>
      <c r="F227" s="93"/>
      <c r="G227" s="439"/>
      <c r="H227" s="439"/>
      <c r="I227" s="439"/>
      <c r="J227" s="439"/>
      <c r="K227" s="439"/>
      <c r="L227" s="93"/>
      <c r="M227" s="93"/>
      <c r="N227" s="93"/>
      <c r="O227" s="93"/>
      <c r="P227" s="93"/>
      <c r="Q227" s="93"/>
      <c r="R227" s="93"/>
      <c r="S227" s="93"/>
      <c r="T227" s="93"/>
      <c r="U227" s="93"/>
      <c r="V227" s="93"/>
      <c r="W227" s="93"/>
      <c r="X227" s="93"/>
      <c r="Y227" s="93"/>
      <c r="Z227" s="93"/>
    </row>
    <row r="228" spans="1:26" ht="15.75" customHeight="1">
      <c r="A228" s="440">
        <v>44841</v>
      </c>
      <c r="B228" s="442">
        <f t="shared" si="0"/>
        <v>44841</v>
      </c>
      <c r="C228" s="408">
        <v>0</v>
      </c>
      <c r="D228" s="408">
        <v>0</v>
      </c>
      <c r="E228" s="408">
        <f t="shared" si="1"/>
        <v>0</v>
      </c>
      <c r="F228" s="93"/>
      <c r="G228" s="439"/>
      <c r="H228" s="439"/>
      <c r="I228" s="439"/>
      <c r="J228" s="439"/>
      <c r="K228" s="439"/>
      <c r="L228" s="93"/>
      <c r="M228" s="93"/>
      <c r="N228" s="93"/>
      <c r="O228" s="93"/>
      <c r="P228" s="93"/>
      <c r="Q228" s="93"/>
      <c r="R228" s="93"/>
      <c r="S228" s="93"/>
      <c r="T228" s="93"/>
      <c r="U228" s="93"/>
      <c r="V228" s="93"/>
      <c r="W228" s="93"/>
      <c r="X228" s="93"/>
      <c r="Y228" s="93"/>
      <c r="Z228" s="93"/>
    </row>
    <row r="229" spans="1:26" ht="15.75" customHeight="1">
      <c r="A229" s="440">
        <v>44844</v>
      </c>
      <c r="B229" s="442">
        <f t="shared" si="0"/>
        <v>44844</v>
      </c>
      <c r="C229" s="408">
        <v>0</v>
      </c>
      <c r="D229" s="408">
        <v>0</v>
      </c>
      <c r="E229" s="408">
        <f t="shared" si="1"/>
        <v>0</v>
      </c>
      <c r="F229" s="93"/>
      <c r="G229" s="439"/>
      <c r="H229" s="439"/>
      <c r="I229" s="439"/>
      <c r="J229" s="439"/>
      <c r="K229" s="439"/>
      <c r="L229" s="93"/>
      <c r="M229" s="93"/>
      <c r="N229" s="93"/>
      <c r="O229" s="93"/>
      <c r="P229" s="93"/>
      <c r="Q229" s="93"/>
      <c r="R229" s="93"/>
      <c r="S229" s="93"/>
      <c r="T229" s="93"/>
      <c r="U229" s="93"/>
      <c r="V229" s="93"/>
      <c r="W229" s="93"/>
      <c r="X229" s="93"/>
      <c r="Y229" s="93"/>
      <c r="Z229" s="93"/>
    </row>
    <row r="230" spans="1:26" ht="15.75" customHeight="1">
      <c r="A230" s="440">
        <v>44845</v>
      </c>
      <c r="B230" s="442">
        <f t="shared" si="0"/>
        <v>44845</v>
      </c>
      <c r="C230" s="408">
        <v>0</v>
      </c>
      <c r="D230" s="408">
        <v>0</v>
      </c>
      <c r="E230" s="408">
        <f t="shared" si="1"/>
        <v>0</v>
      </c>
      <c r="F230" s="93"/>
      <c r="G230" s="439"/>
      <c r="H230" s="439"/>
      <c r="I230" s="439"/>
      <c r="J230" s="439"/>
      <c r="K230" s="439"/>
      <c r="L230" s="93"/>
      <c r="M230" s="93"/>
      <c r="N230" s="93"/>
      <c r="O230" s="93"/>
      <c r="P230" s="93"/>
      <c r="Q230" s="93"/>
      <c r="R230" s="93"/>
      <c r="S230" s="93"/>
      <c r="T230" s="93"/>
      <c r="U230" s="93"/>
      <c r="V230" s="93"/>
      <c r="W230" s="93"/>
      <c r="X230" s="93"/>
      <c r="Y230" s="93"/>
      <c r="Z230" s="93"/>
    </row>
    <row r="231" spans="1:26" ht="15.75" customHeight="1">
      <c r="A231" s="440">
        <v>44846</v>
      </c>
      <c r="B231" s="442">
        <f t="shared" si="0"/>
        <v>44846</v>
      </c>
      <c r="C231" s="408">
        <v>0</v>
      </c>
      <c r="D231" s="408">
        <v>0</v>
      </c>
      <c r="E231" s="408">
        <f t="shared" si="1"/>
        <v>0</v>
      </c>
      <c r="F231" s="93"/>
      <c r="G231" s="439"/>
      <c r="H231" s="439"/>
      <c r="I231" s="439"/>
      <c r="J231" s="439"/>
      <c r="K231" s="439"/>
      <c r="L231" s="93"/>
      <c r="M231" s="93"/>
      <c r="N231" s="93"/>
      <c r="O231" s="93"/>
      <c r="P231" s="93"/>
      <c r="Q231" s="93"/>
      <c r="R231" s="93"/>
      <c r="S231" s="93"/>
      <c r="T231" s="93"/>
      <c r="U231" s="93"/>
      <c r="V231" s="93"/>
      <c r="W231" s="93"/>
      <c r="X231" s="93"/>
      <c r="Y231" s="93"/>
      <c r="Z231" s="93"/>
    </row>
    <row r="232" spans="1:26" ht="15.75" customHeight="1">
      <c r="A232" s="440">
        <v>44847</v>
      </c>
      <c r="B232" s="442">
        <f t="shared" si="0"/>
        <v>44847</v>
      </c>
      <c r="C232" s="408">
        <v>0</v>
      </c>
      <c r="D232" s="408">
        <v>0</v>
      </c>
      <c r="E232" s="408">
        <f t="shared" si="1"/>
        <v>0</v>
      </c>
      <c r="F232" s="93"/>
      <c r="G232" s="439"/>
      <c r="H232" s="439"/>
      <c r="I232" s="439"/>
      <c r="J232" s="439"/>
      <c r="K232" s="439"/>
      <c r="L232" s="93"/>
      <c r="M232" s="93"/>
      <c r="N232" s="93"/>
      <c r="O232" s="93"/>
      <c r="P232" s="93"/>
      <c r="Q232" s="93"/>
      <c r="R232" s="93"/>
      <c r="S232" s="93"/>
      <c r="T232" s="93"/>
      <c r="U232" s="93"/>
      <c r="V232" s="93"/>
      <c r="W232" s="93"/>
      <c r="X232" s="93"/>
      <c r="Y232" s="93"/>
      <c r="Z232" s="93"/>
    </row>
    <row r="233" spans="1:26" ht="15.75" customHeight="1">
      <c r="A233" s="440">
        <v>44848</v>
      </c>
      <c r="B233" s="442">
        <f t="shared" si="0"/>
        <v>44848</v>
      </c>
      <c r="C233" s="408">
        <v>0</v>
      </c>
      <c r="D233" s="408">
        <v>0</v>
      </c>
      <c r="E233" s="408">
        <f t="shared" si="1"/>
        <v>0</v>
      </c>
      <c r="F233" s="93"/>
      <c r="G233" s="439"/>
      <c r="H233" s="439"/>
      <c r="I233" s="439"/>
      <c r="J233" s="439"/>
      <c r="K233" s="439"/>
      <c r="L233" s="93"/>
      <c r="M233" s="93"/>
      <c r="N233" s="93"/>
      <c r="O233" s="93"/>
      <c r="P233" s="93"/>
      <c r="Q233" s="93"/>
      <c r="R233" s="93"/>
      <c r="S233" s="93"/>
      <c r="T233" s="93"/>
      <c r="U233" s="93"/>
      <c r="V233" s="93"/>
      <c r="W233" s="93"/>
      <c r="X233" s="93"/>
      <c r="Y233" s="93"/>
      <c r="Z233" s="93"/>
    </row>
    <row r="234" spans="1:26" ht="15.75" customHeight="1">
      <c r="A234" s="440">
        <v>44851</v>
      </c>
      <c r="B234" s="442">
        <f t="shared" si="0"/>
        <v>44851</v>
      </c>
      <c r="C234" s="443">
        <v>165.41</v>
      </c>
      <c r="D234" s="408">
        <v>0</v>
      </c>
      <c r="E234" s="408">
        <f t="shared" si="1"/>
        <v>165.41</v>
      </c>
      <c r="F234" s="93"/>
      <c r="G234" s="439"/>
      <c r="H234" s="439"/>
      <c r="I234" s="439"/>
      <c r="J234" s="439"/>
      <c r="K234" s="439"/>
      <c r="L234" s="93"/>
      <c r="M234" s="93"/>
      <c r="N234" s="93"/>
      <c r="O234" s="93"/>
      <c r="P234" s="93"/>
      <c r="Q234" s="93"/>
      <c r="R234" s="93"/>
      <c r="S234" s="93"/>
      <c r="T234" s="93"/>
      <c r="U234" s="93"/>
      <c r="V234" s="93"/>
      <c r="W234" s="93"/>
      <c r="X234" s="93"/>
      <c r="Y234" s="93"/>
      <c r="Z234" s="93"/>
    </row>
    <row r="235" spans="1:26" ht="15.75" customHeight="1">
      <c r="A235" s="440">
        <v>44852</v>
      </c>
      <c r="B235" s="442">
        <f t="shared" si="0"/>
        <v>44852</v>
      </c>
      <c r="C235" s="443">
        <v>137.04</v>
      </c>
      <c r="D235" s="408">
        <v>5453.07</v>
      </c>
      <c r="E235" s="408">
        <f t="shared" si="1"/>
        <v>5590.11</v>
      </c>
      <c r="F235" s="93"/>
      <c r="G235" s="439"/>
      <c r="H235" s="439"/>
      <c r="I235" s="439"/>
      <c r="J235" s="439"/>
      <c r="K235" s="439"/>
      <c r="L235" s="93"/>
      <c r="M235" s="93"/>
      <c r="N235" s="93"/>
      <c r="O235" s="93"/>
      <c r="P235" s="93"/>
      <c r="Q235" s="93"/>
      <c r="R235" s="93"/>
      <c r="S235" s="93"/>
      <c r="T235" s="93"/>
      <c r="U235" s="93"/>
      <c r="V235" s="93"/>
      <c r="W235" s="93"/>
      <c r="X235" s="93"/>
      <c r="Y235" s="93"/>
      <c r="Z235" s="93"/>
    </row>
    <row r="236" spans="1:26" ht="15.75" customHeight="1">
      <c r="A236" s="440">
        <v>44853</v>
      </c>
      <c r="B236" s="442">
        <f t="shared" si="0"/>
        <v>44853</v>
      </c>
      <c r="C236" s="443">
        <v>380.25</v>
      </c>
      <c r="D236" s="408">
        <v>0</v>
      </c>
      <c r="E236" s="408">
        <f t="shared" si="1"/>
        <v>380.25</v>
      </c>
      <c r="F236" s="93"/>
      <c r="G236" s="439"/>
      <c r="H236" s="439"/>
      <c r="I236" s="439"/>
      <c r="J236" s="439"/>
      <c r="K236" s="439"/>
      <c r="L236" s="93"/>
      <c r="M236" s="93"/>
      <c r="N236" s="93"/>
      <c r="O236" s="93"/>
      <c r="P236" s="93"/>
      <c r="Q236" s="93"/>
      <c r="R236" s="93"/>
      <c r="S236" s="93"/>
      <c r="T236" s="93"/>
      <c r="U236" s="93"/>
      <c r="V236" s="93"/>
      <c r="W236" s="93"/>
      <c r="X236" s="93"/>
      <c r="Y236" s="93"/>
      <c r="Z236" s="93"/>
    </row>
    <row r="237" spans="1:26" ht="15.75" customHeight="1">
      <c r="A237" s="440">
        <v>44854</v>
      </c>
      <c r="B237" s="442">
        <f t="shared" si="0"/>
        <v>44854</v>
      </c>
      <c r="C237" s="443">
        <v>0</v>
      </c>
      <c r="D237" s="408">
        <v>8122.21</v>
      </c>
      <c r="E237" s="408">
        <f t="shared" si="1"/>
        <v>8122.21</v>
      </c>
      <c r="F237" s="93"/>
      <c r="G237" s="439"/>
      <c r="H237" s="439"/>
      <c r="I237" s="439"/>
      <c r="J237" s="439"/>
      <c r="K237" s="439"/>
      <c r="L237" s="93"/>
      <c r="M237" s="93"/>
      <c r="N237" s="93"/>
      <c r="O237" s="93"/>
      <c r="P237" s="93"/>
      <c r="Q237" s="93"/>
      <c r="R237" s="93"/>
      <c r="S237" s="93"/>
      <c r="T237" s="93"/>
      <c r="U237" s="93"/>
      <c r="V237" s="93"/>
      <c r="W237" s="93"/>
      <c r="X237" s="93"/>
      <c r="Y237" s="93"/>
      <c r="Z237" s="93"/>
    </row>
    <row r="238" spans="1:26" ht="15.75" customHeight="1">
      <c r="A238" s="440">
        <v>44855</v>
      </c>
      <c r="B238" s="442">
        <f t="shared" si="0"/>
        <v>44855</v>
      </c>
      <c r="C238" s="443">
        <v>0</v>
      </c>
      <c r="D238" s="408">
        <v>1150.07</v>
      </c>
      <c r="E238" s="408">
        <f t="shared" si="1"/>
        <v>1150.07</v>
      </c>
      <c r="F238" s="93"/>
      <c r="G238" s="439"/>
      <c r="H238" s="439"/>
      <c r="I238" s="439"/>
      <c r="J238" s="439"/>
      <c r="K238" s="439"/>
      <c r="L238" s="93"/>
      <c r="M238" s="93"/>
      <c r="N238" s="93"/>
      <c r="O238" s="93"/>
      <c r="P238" s="93"/>
      <c r="Q238" s="93"/>
      <c r="R238" s="93"/>
      <c r="S238" s="93"/>
      <c r="T238" s="93"/>
      <c r="U238" s="93"/>
      <c r="V238" s="93"/>
      <c r="W238" s="93"/>
      <c r="X238" s="93"/>
      <c r="Y238" s="93"/>
      <c r="Z238" s="93"/>
    </row>
    <row r="239" spans="1:26" ht="15.75" customHeight="1">
      <c r="A239" s="440">
        <v>44858</v>
      </c>
      <c r="B239" s="442">
        <f t="shared" si="0"/>
        <v>44858</v>
      </c>
      <c r="C239" s="443">
        <v>0</v>
      </c>
      <c r="D239" s="408">
        <v>231.07</v>
      </c>
      <c r="E239" s="408">
        <f t="shared" si="1"/>
        <v>231.07</v>
      </c>
      <c r="F239" s="93"/>
      <c r="G239" s="439"/>
      <c r="H239" s="439"/>
      <c r="I239" s="439"/>
      <c r="J239" s="439"/>
      <c r="K239" s="439"/>
      <c r="L239" s="93"/>
      <c r="M239" s="93"/>
      <c r="N239" s="93"/>
      <c r="O239" s="93"/>
      <c r="P239" s="93"/>
      <c r="Q239" s="93"/>
      <c r="R239" s="93"/>
      <c r="S239" s="93"/>
      <c r="T239" s="93"/>
      <c r="U239" s="93"/>
      <c r="V239" s="93"/>
      <c r="W239" s="93"/>
      <c r="X239" s="93"/>
      <c r="Y239" s="93"/>
      <c r="Z239" s="93"/>
    </row>
    <row r="240" spans="1:26" ht="15.75" customHeight="1">
      <c r="A240" s="440">
        <v>44859</v>
      </c>
      <c r="B240" s="442">
        <f t="shared" si="0"/>
        <v>44859</v>
      </c>
      <c r="C240" s="443">
        <v>613.66</v>
      </c>
      <c r="D240" s="408">
        <v>0</v>
      </c>
      <c r="E240" s="408">
        <f t="shared" si="1"/>
        <v>613.66</v>
      </c>
      <c r="F240" s="93"/>
      <c r="G240" s="439"/>
      <c r="H240" s="439"/>
      <c r="I240" s="439"/>
      <c r="J240" s="439"/>
      <c r="K240" s="439"/>
      <c r="L240" s="93"/>
      <c r="M240" s="93"/>
      <c r="N240" s="93"/>
      <c r="O240" s="93"/>
      <c r="P240" s="93"/>
      <c r="Q240" s="93"/>
      <c r="R240" s="93"/>
      <c r="S240" s="93"/>
      <c r="T240" s="93"/>
      <c r="U240" s="93"/>
      <c r="V240" s="93"/>
      <c r="W240" s="93"/>
      <c r="X240" s="93"/>
      <c r="Y240" s="93"/>
      <c r="Z240" s="93"/>
    </row>
    <row r="241" spans="1:26" ht="15.75" customHeight="1">
      <c r="A241" s="440">
        <v>44861</v>
      </c>
      <c r="B241" s="442">
        <f t="shared" si="0"/>
        <v>44861</v>
      </c>
      <c r="C241" s="443">
        <v>382.76</v>
      </c>
      <c r="D241" s="408">
        <v>0</v>
      </c>
      <c r="E241" s="408">
        <f t="shared" si="1"/>
        <v>382.76</v>
      </c>
      <c r="F241" s="93"/>
      <c r="G241" s="439"/>
      <c r="H241" s="439"/>
      <c r="I241" s="439"/>
      <c r="J241" s="439"/>
      <c r="K241" s="439"/>
      <c r="L241" s="93"/>
      <c r="M241" s="93"/>
      <c r="N241" s="93"/>
      <c r="O241" s="93"/>
      <c r="P241" s="93"/>
      <c r="Q241" s="93"/>
      <c r="R241" s="93"/>
      <c r="S241" s="93"/>
      <c r="T241" s="93"/>
      <c r="U241" s="93"/>
      <c r="V241" s="93"/>
      <c r="W241" s="93"/>
      <c r="X241" s="93"/>
      <c r="Y241" s="93"/>
      <c r="Z241" s="93"/>
    </row>
    <row r="242" spans="1:26" ht="15.75" customHeight="1">
      <c r="A242" s="440">
        <v>44862</v>
      </c>
      <c r="B242" s="442">
        <f t="shared" si="0"/>
        <v>44862</v>
      </c>
      <c r="C242" s="443">
        <v>79.37</v>
      </c>
      <c r="D242" s="408">
        <v>0</v>
      </c>
      <c r="E242" s="408">
        <f t="shared" si="1"/>
        <v>79.37</v>
      </c>
      <c r="F242" s="93"/>
      <c r="G242" s="439"/>
      <c r="H242" s="439"/>
      <c r="I242" s="439"/>
      <c r="J242" s="439"/>
      <c r="K242" s="439"/>
      <c r="L242" s="93"/>
      <c r="M242" s="93"/>
      <c r="N242" s="93"/>
      <c r="O242" s="93"/>
      <c r="P242" s="93"/>
      <c r="Q242" s="93"/>
      <c r="R242" s="93"/>
      <c r="S242" s="93"/>
      <c r="T242" s="93"/>
      <c r="U242" s="93"/>
      <c r="V242" s="93"/>
      <c r="W242" s="93"/>
      <c r="X242" s="93"/>
      <c r="Y242" s="93"/>
      <c r="Z242" s="93"/>
    </row>
    <row r="243" spans="1:26" ht="15.75" customHeight="1">
      <c r="A243" s="440">
        <v>44865</v>
      </c>
      <c r="B243" s="442">
        <f t="shared" si="0"/>
        <v>44865</v>
      </c>
      <c r="C243" s="443">
        <v>0</v>
      </c>
      <c r="D243" s="408">
        <v>0</v>
      </c>
      <c r="E243" s="408">
        <f t="shared" si="1"/>
        <v>0</v>
      </c>
      <c r="F243" s="93"/>
      <c r="G243" s="439"/>
      <c r="H243" s="439"/>
      <c r="I243" s="439"/>
      <c r="J243" s="439"/>
      <c r="K243" s="439"/>
      <c r="L243" s="93"/>
      <c r="M243" s="93"/>
      <c r="N243" s="93"/>
      <c r="O243" s="93"/>
      <c r="P243" s="93"/>
      <c r="Q243" s="93"/>
      <c r="R243" s="93"/>
      <c r="S243" s="93"/>
      <c r="T243" s="93"/>
      <c r="U243" s="93"/>
      <c r="V243" s="93"/>
      <c r="W243" s="93"/>
      <c r="X243" s="93"/>
      <c r="Y243" s="93"/>
      <c r="Z243" s="93"/>
    </row>
    <row r="244" spans="1:26" ht="15.75" customHeight="1">
      <c r="A244" s="440">
        <v>44866</v>
      </c>
      <c r="B244" s="442">
        <f t="shared" si="0"/>
        <v>44866</v>
      </c>
      <c r="C244" s="443">
        <v>156.12</v>
      </c>
      <c r="D244" s="408">
        <v>0</v>
      </c>
      <c r="E244" s="408">
        <f t="shared" si="1"/>
        <v>156.12</v>
      </c>
      <c r="F244" s="93"/>
      <c r="G244" s="439"/>
      <c r="H244" s="439"/>
      <c r="I244" s="439"/>
      <c r="J244" s="439"/>
      <c r="K244" s="439"/>
      <c r="L244" s="93"/>
      <c r="M244" s="93"/>
      <c r="N244" s="93"/>
      <c r="O244" s="93"/>
      <c r="P244" s="93"/>
      <c r="Q244" s="93"/>
      <c r="R244" s="93"/>
      <c r="S244" s="93"/>
      <c r="T244" s="93"/>
      <c r="U244" s="93"/>
      <c r="V244" s="93"/>
      <c r="W244" s="93"/>
      <c r="X244" s="93"/>
      <c r="Y244" s="93"/>
      <c r="Z244" s="93"/>
    </row>
    <row r="245" spans="1:26" ht="15.75" customHeight="1">
      <c r="A245" s="440">
        <v>44867</v>
      </c>
      <c r="B245" s="442">
        <f t="shared" si="0"/>
        <v>44867</v>
      </c>
      <c r="C245" s="443">
        <v>0</v>
      </c>
      <c r="D245" s="408">
        <v>0</v>
      </c>
      <c r="E245" s="408">
        <f t="shared" si="1"/>
        <v>0</v>
      </c>
      <c r="F245" s="93"/>
      <c r="G245" s="439"/>
      <c r="H245" s="439"/>
      <c r="I245" s="439"/>
      <c r="J245" s="439"/>
      <c r="K245" s="439"/>
      <c r="L245" s="93"/>
      <c r="M245" s="93"/>
      <c r="N245" s="93"/>
      <c r="O245" s="93"/>
      <c r="P245" s="93"/>
      <c r="Q245" s="93"/>
      <c r="R245" s="93"/>
      <c r="S245" s="93"/>
      <c r="T245" s="93"/>
      <c r="U245" s="93"/>
      <c r="V245" s="93"/>
      <c r="W245" s="93"/>
      <c r="X245" s="93"/>
      <c r="Y245" s="93"/>
      <c r="Z245" s="93"/>
    </row>
    <row r="246" spans="1:26" ht="15.75" customHeight="1">
      <c r="A246" s="440">
        <v>44868</v>
      </c>
      <c r="B246" s="442">
        <f t="shared" si="0"/>
        <v>44868</v>
      </c>
      <c r="C246" s="443">
        <v>0</v>
      </c>
      <c r="D246" s="408">
        <v>0</v>
      </c>
      <c r="E246" s="408">
        <f t="shared" si="1"/>
        <v>0</v>
      </c>
      <c r="F246" s="93"/>
      <c r="G246" s="439"/>
      <c r="H246" s="439"/>
      <c r="I246" s="439"/>
      <c r="J246" s="439"/>
      <c r="K246" s="439"/>
      <c r="L246" s="93"/>
      <c r="M246" s="93"/>
      <c r="N246" s="93"/>
      <c r="O246" s="93"/>
      <c r="P246" s="93"/>
      <c r="Q246" s="93"/>
      <c r="R246" s="93"/>
      <c r="S246" s="93"/>
      <c r="T246" s="93"/>
      <c r="U246" s="93"/>
      <c r="V246" s="93"/>
      <c r="W246" s="93"/>
      <c r="X246" s="93"/>
      <c r="Y246" s="93"/>
      <c r="Z246" s="93"/>
    </row>
    <row r="247" spans="1:26" ht="15.75" customHeight="1">
      <c r="A247" s="440">
        <v>44869</v>
      </c>
      <c r="B247" s="442">
        <f t="shared" si="0"/>
        <v>44869</v>
      </c>
      <c r="C247" s="443">
        <v>0</v>
      </c>
      <c r="D247" s="408">
        <v>0</v>
      </c>
      <c r="E247" s="408">
        <f t="shared" si="1"/>
        <v>0</v>
      </c>
      <c r="F247" s="93"/>
      <c r="G247" s="439"/>
      <c r="H247" s="439"/>
      <c r="I247" s="439"/>
      <c r="J247" s="439"/>
      <c r="K247" s="439"/>
      <c r="L247" s="93"/>
      <c r="M247" s="93"/>
      <c r="N247" s="93"/>
      <c r="O247" s="93"/>
      <c r="P247" s="93"/>
      <c r="Q247" s="93"/>
      <c r="R247" s="93"/>
      <c r="S247" s="93"/>
      <c r="T247" s="93"/>
      <c r="U247" s="93"/>
      <c r="V247" s="93"/>
      <c r="W247" s="93"/>
      <c r="X247" s="93"/>
      <c r="Y247" s="93"/>
      <c r="Z247" s="93"/>
    </row>
    <row r="248" spans="1:26" ht="15.75" customHeight="1">
      <c r="A248" s="440">
        <v>44872</v>
      </c>
      <c r="B248" s="442">
        <f t="shared" si="0"/>
        <v>44872</v>
      </c>
      <c r="C248" s="443">
        <v>107.82</v>
      </c>
      <c r="D248" s="408">
        <v>0</v>
      </c>
      <c r="E248" s="408">
        <f t="shared" si="1"/>
        <v>107.82</v>
      </c>
      <c r="F248" s="93"/>
      <c r="G248" s="439"/>
      <c r="H248" s="439"/>
      <c r="I248" s="439"/>
      <c r="J248" s="439"/>
      <c r="K248" s="439"/>
      <c r="L248" s="93"/>
      <c r="M248" s="93"/>
      <c r="N248" s="93"/>
      <c r="O248" s="93"/>
      <c r="P248" s="93"/>
      <c r="Q248" s="93"/>
      <c r="R248" s="93"/>
      <c r="S248" s="93"/>
      <c r="T248" s="93"/>
      <c r="U248" s="93"/>
      <c r="V248" s="93"/>
      <c r="W248" s="93"/>
      <c r="X248" s="93"/>
      <c r="Y248" s="93"/>
      <c r="Z248" s="93"/>
    </row>
    <row r="249" spans="1:26" ht="15.75" customHeight="1">
      <c r="A249" s="440">
        <v>44874</v>
      </c>
      <c r="B249" s="442">
        <f t="shared" si="0"/>
        <v>44874</v>
      </c>
      <c r="C249" s="443">
        <v>0</v>
      </c>
      <c r="D249" s="408">
        <v>252.07</v>
      </c>
      <c r="E249" s="408">
        <f t="shared" si="1"/>
        <v>252.07</v>
      </c>
      <c r="F249" s="93"/>
      <c r="G249" s="439"/>
      <c r="H249" s="439"/>
      <c r="I249" s="439"/>
      <c r="J249" s="439"/>
      <c r="K249" s="439"/>
      <c r="L249" s="93"/>
      <c r="M249" s="93"/>
      <c r="N249" s="93"/>
      <c r="O249" s="93"/>
      <c r="P249" s="93"/>
      <c r="Q249" s="93"/>
      <c r="R249" s="93"/>
      <c r="S249" s="93"/>
      <c r="T249" s="93"/>
      <c r="U249" s="93"/>
      <c r="V249" s="93"/>
      <c r="W249" s="93"/>
      <c r="X249" s="93"/>
      <c r="Y249" s="93"/>
      <c r="Z249" s="93"/>
    </row>
    <row r="250" spans="1:26" ht="15.75" customHeight="1">
      <c r="A250" s="440">
        <v>44875</v>
      </c>
      <c r="B250" s="442">
        <f t="shared" si="0"/>
        <v>44875</v>
      </c>
      <c r="C250" s="408">
        <v>246.06</v>
      </c>
      <c r="D250" s="408">
        <v>0</v>
      </c>
      <c r="E250" s="408">
        <f t="shared" si="1"/>
        <v>246.06</v>
      </c>
      <c r="F250" s="93"/>
      <c r="G250" s="439"/>
      <c r="H250" s="439"/>
      <c r="I250" s="439"/>
      <c r="J250" s="439"/>
      <c r="K250" s="439"/>
      <c r="L250" s="93"/>
      <c r="M250" s="93"/>
      <c r="N250" s="93"/>
      <c r="O250" s="93"/>
      <c r="P250" s="93"/>
      <c r="Q250" s="93"/>
      <c r="R250" s="93"/>
      <c r="S250" s="93"/>
      <c r="T250" s="93"/>
      <c r="U250" s="93"/>
      <c r="V250" s="93"/>
      <c r="W250" s="93"/>
      <c r="X250" s="93"/>
      <c r="Y250" s="93"/>
      <c r="Z250" s="93"/>
    </row>
    <row r="251" spans="1:26" ht="15.75" customHeight="1">
      <c r="A251" s="440">
        <v>44876</v>
      </c>
      <c r="B251" s="442">
        <f t="shared" si="0"/>
        <v>44876</v>
      </c>
      <c r="C251" s="443">
        <v>0</v>
      </c>
      <c r="D251" s="408">
        <v>0</v>
      </c>
      <c r="E251" s="408">
        <f t="shared" si="1"/>
        <v>0</v>
      </c>
      <c r="F251" s="93"/>
      <c r="G251" s="439"/>
      <c r="H251" s="439"/>
      <c r="I251" s="439"/>
      <c r="J251" s="439"/>
      <c r="K251" s="439"/>
      <c r="L251" s="93"/>
      <c r="M251" s="93"/>
      <c r="N251" s="93"/>
      <c r="O251" s="93"/>
      <c r="P251" s="93"/>
      <c r="Q251" s="93"/>
      <c r="R251" s="93"/>
      <c r="S251" s="93"/>
      <c r="T251" s="93"/>
      <c r="U251" s="93"/>
      <c r="V251" s="93"/>
      <c r="W251" s="93"/>
      <c r="X251" s="93"/>
      <c r="Y251" s="93"/>
      <c r="Z251" s="93"/>
    </row>
    <row r="252" spans="1:26" ht="15.75" customHeight="1">
      <c r="A252" s="440">
        <v>44879</v>
      </c>
      <c r="B252" s="442">
        <f t="shared" si="0"/>
        <v>44879</v>
      </c>
      <c r="C252" s="443">
        <v>339.63</v>
      </c>
      <c r="D252" s="408">
        <v>0</v>
      </c>
      <c r="E252" s="408">
        <f t="shared" si="1"/>
        <v>339.63</v>
      </c>
      <c r="F252" s="93"/>
      <c r="G252" s="439"/>
      <c r="H252" s="439"/>
      <c r="I252" s="439"/>
      <c r="J252" s="439"/>
      <c r="K252" s="439"/>
      <c r="L252" s="93"/>
      <c r="M252" s="93"/>
      <c r="N252" s="93"/>
      <c r="O252" s="93"/>
      <c r="P252" s="93"/>
      <c r="Q252" s="93"/>
      <c r="R252" s="93"/>
      <c r="S252" s="93"/>
      <c r="T252" s="93"/>
      <c r="U252" s="93"/>
      <c r="V252" s="93"/>
      <c r="W252" s="93"/>
      <c r="X252" s="93"/>
      <c r="Y252" s="93"/>
      <c r="Z252" s="93"/>
    </row>
    <row r="253" spans="1:26" ht="15.75" customHeight="1">
      <c r="A253" s="440">
        <v>44880</v>
      </c>
      <c r="B253" s="442">
        <f t="shared" si="0"/>
        <v>44880</v>
      </c>
      <c r="C253" s="443">
        <v>0</v>
      </c>
      <c r="D253" s="408">
        <v>0</v>
      </c>
      <c r="E253" s="408">
        <f t="shared" si="1"/>
        <v>0</v>
      </c>
      <c r="F253" s="93"/>
      <c r="G253" s="439"/>
      <c r="H253" s="439"/>
      <c r="I253" s="439"/>
      <c r="J253" s="439"/>
      <c r="K253" s="439"/>
      <c r="L253" s="93"/>
      <c r="M253" s="93"/>
      <c r="N253" s="93"/>
      <c r="O253" s="93"/>
      <c r="P253" s="93"/>
      <c r="Q253" s="93"/>
      <c r="R253" s="93"/>
      <c r="S253" s="93"/>
      <c r="T253" s="93"/>
      <c r="U253" s="93"/>
      <c r="V253" s="93"/>
      <c r="W253" s="93"/>
      <c r="X253" s="93"/>
      <c r="Y253" s="93"/>
      <c r="Z253" s="93"/>
    </row>
    <row r="254" spans="1:26" ht="15.75" customHeight="1">
      <c r="A254" s="440">
        <v>44881</v>
      </c>
      <c r="B254" s="442">
        <f t="shared" si="0"/>
        <v>44881</v>
      </c>
      <c r="C254" s="443">
        <v>402.73</v>
      </c>
      <c r="D254" s="408">
        <v>0</v>
      </c>
      <c r="E254" s="408">
        <f t="shared" si="1"/>
        <v>402.73</v>
      </c>
      <c r="F254" s="93"/>
      <c r="G254" s="439"/>
      <c r="H254" s="439"/>
      <c r="I254" s="439"/>
      <c r="J254" s="439"/>
      <c r="K254" s="439"/>
      <c r="L254" s="93"/>
      <c r="M254" s="93"/>
      <c r="N254" s="93"/>
      <c r="O254" s="93"/>
      <c r="P254" s="93"/>
      <c r="Q254" s="93"/>
      <c r="R254" s="93"/>
      <c r="S254" s="93"/>
      <c r="T254" s="93"/>
      <c r="U254" s="93"/>
      <c r="V254" s="93"/>
      <c r="W254" s="93"/>
      <c r="X254" s="93"/>
      <c r="Y254" s="93"/>
      <c r="Z254" s="93"/>
    </row>
    <row r="255" spans="1:26" ht="15.75" customHeight="1">
      <c r="A255" s="440">
        <v>44882</v>
      </c>
      <c r="B255" s="442">
        <f t="shared" si="0"/>
        <v>44882</v>
      </c>
      <c r="C255" s="443">
        <v>0</v>
      </c>
      <c r="D255" s="408">
        <v>74.069999999999993</v>
      </c>
      <c r="E255" s="408">
        <f t="shared" si="1"/>
        <v>74.069999999999993</v>
      </c>
      <c r="F255" s="93"/>
      <c r="G255" s="439"/>
      <c r="H255" s="439"/>
      <c r="I255" s="439"/>
      <c r="J255" s="439"/>
      <c r="K255" s="439"/>
      <c r="L255" s="93"/>
      <c r="M255" s="93"/>
      <c r="N255" s="93"/>
      <c r="O255" s="93"/>
      <c r="P255" s="93"/>
      <c r="Q255" s="93"/>
      <c r="R255" s="93"/>
      <c r="S255" s="93"/>
      <c r="T255" s="93"/>
      <c r="U255" s="93"/>
      <c r="V255" s="93"/>
      <c r="W255" s="93"/>
      <c r="X255" s="93"/>
      <c r="Y255" s="93"/>
      <c r="Z255" s="93"/>
    </row>
    <row r="256" spans="1:26" ht="15.75" customHeight="1">
      <c r="A256" s="440">
        <v>44883</v>
      </c>
      <c r="B256" s="442">
        <f t="shared" si="0"/>
        <v>44883</v>
      </c>
      <c r="C256" s="443">
        <v>0</v>
      </c>
      <c r="D256" s="408">
        <v>76.069999999999993</v>
      </c>
      <c r="E256" s="408">
        <f t="shared" si="1"/>
        <v>76.069999999999993</v>
      </c>
      <c r="F256" s="93"/>
      <c r="G256" s="439"/>
      <c r="H256" s="439"/>
      <c r="I256" s="439"/>
      <c r="J256" s="439"/>
      <c r="K256" s="439"/>
      <c r="L256" s="93"/>
      <c r="M256" s="93"/>
      <c r="N256" s="93"/>
      <c r="O256" s="93"/>
      <c r="P256" s="93"/>
      <c r="Q256" s="93"/>
      <c r="R256" s="93"/>
      <c r="S256" s="93"/>
      <c r="T256" s="93"/>
      <c r="U256" s="93"/>
      <c r="V256" s="93"/>
      <c r="W256" s="93"/>
      <c r="X256" s="93"/>
      <c r="Y256" s="93"/>
      <c r="Z256" s="93"/>
    </row>
    <row r="257" spans="1:26" ht="15.75" customHeight="1">
      <c r="A257" s="440">
        <v>44886</v>
      </c>
      <c r="B257" s="442">
        <f t="shared" si="0"/>
        <v>44886</v>
      </c>
      <c r="C257" s="443">
        <v>0</v>
      </c>
      <c r="D257" s="408">
        <v>0</v>
      </c>
      <c r="E257" s="408">
        <f t="shared" si="1"/>
        <v>0</v>
      </c>
      <c r="F257" s="93"/>
      <c r="G257" s="439"/>
      <c r="H257" s="439"/>
      <c r="I257" s="439"/>
      <c r="J257" s="439"/>
      <c r="K257" s="439"/>
      <c r="L257" s="93"/>
      <c r="M257" s="93"/>
      <c r="N257" s="93"/>
      <c r="O257" s="93"/>
      <c r="P257" s="93"/>
      <c r="Q257" s="93"/>
      <c r="R257" s="93"/>
      <c r="S257" s="93"/>
      <c r="T257" s="93"/>
      <c r="U257" s="93"/>
      <c r="V257" s="93"/>
      <c r="W257" s="93"/>
      <c r="X257" s="93"/>
      <c r="Y257" s="93"/>
      <c r="Z257" s="93"/>
    </row>
    <row r="258" spans="1:26" ht="15.75" customHeight="1">
      <c r="A258" s="440">
        <v>44887</v>
      </c>
      <c r="B258" s="442">
        <f t="shared" si="0"/>
        <v>44887</v>
      </c>
      <c r="C258" s="443">
        <v>0</v>
      </c>
      <c r="D258" s="408">
        <v>0</v>
      </c>
      <c r="E258" s="408">
        <f t="shared" si="1"/>
        <v>0</v>
      </c>
      <c r="F258" s="93"/>
      <c r="G258" s="439"/>
      <c r="H258" s="439"/>
      <c r="I258" s="439"/>
      <c r="J258" s="439"/>
      <c r="K258" s="439"/>
      <c r="L258" s="93"/>
      <c r="M258" s="93"/>
      <c r="N258" s="93"/>
      <c r="O258" s="93"/>
      <c r="P258" s="93"/>
      <c r="Q258" s="93"/>
      <c r="R258" s="93"/>
      <c r="S258" s="93"/>
      <c r="T258" s="93"/>
      <c r="U258" s="93"/>
      <c r="V258" s="93"/>
      <c r="W258" s="93"/>
      <c r="X258" s="93"/>
      <c r="Y258" s="93"/>
      <c r="Z258" s="93"/>
    </row>
    <row r="259" spans="1:26" ht="15.75" customHeight="1">
      <c r="A259" s="440">
        <v>44888</v>
      </c>
      <c r="B259" s="442">
        <f t="shared" si="0"/>
        <v>44888</v>
      </c>
      <c r="C259" s="443">
        <v>22.73</v>
      </c>
      <c r="D259" s="408">
        <v>0</v>
      </c>
      <c r="E259" s="408">
        <f t="shared" si="1"/>
        <v>22.73</v>
      </c>
      <c r="F259" s="93"/>
      <c r="G259" s="439"/>
      <c r="H259" s="439"/>
      <c r="I259" s="439"/>
      <c r="J259" s="439"/>
      <c r="K259" s="439"/>
      <c r="L259" s="93"/>
      <c r="M259" s="93"/>
      <c r="N259" s="93"/>
      <c r="O259" s="93"/>
      <c r="P259" s="93"/>
      <c r="Q259" s="93"/>
      <c r="R259" s="93"/>
      <c r="S259" s="93"/>
      <c r="T259" s="93"/>
      <c r="U259" s="93"/>
      <c r="V259" s="93"/>
      <c r="W259" s="93"/>
      <c r="X259" s="93"/>
      <c r="Y259" s="93"/>
      <c r="Z259" s="93"/>
    </row>
    <row r="260" spans="1:26" ht="15.75" customHeight="1">
      <c r="A260" s="440">
        <v>44889</v>
      </c>
      <c r="B260" s="442">
        <f t="shared" si="0"/>
        <v>44889</v>
      </c>
      <c r="C260" s="443">
        <v>0</v>
      </c>
      <c r="D260" s="408">
        <v>0</v>
      </c>
      <c r="E260" s="408">
        <f t="shared" si="1"/>
        <v>0</v>
      </c>
      <c r="F260" s="93"/>
      <c r="G260" s="439"/>
      <c r="H260" s="439"/>
      <c r="I260" s="439"/>
      <c r="J260" s="439"/>
      <c r="K260" s="439"/>
      <c r="L260" s="93"/>
      <c r="M260" s="93"/>
      <c r="N260" s="93"/>
      <c r="O260" s="93"/>
      <c r="P260" s="93"/>
      <c r="Q260" s="93"/>
      <c r="R260" s="93"/>
      <c r="S260" s="93"/>
      <c r="T260" s="93"/>
      <c r="U260" s="93"/>
      <c r="V260" s="93"/>
      <c r="W260" s="93"/>
      <c r="X260" s="93"/>
      <c r="Y260" s="93"/>
      <c r="Z260" s="93"/>
    </row>
    <row r="261" spans="1:26" ht="15.75" customHeight="1">
      <c r="A261" s="440">
        <v>44890</v>
      </c>
      <c r="B261" s="442">
        <f t="shared" si="0"/>
        <v>44890</v>
      </c>
      <c r="C261" s="443">
        <v>0</v>
      </c>
      <c r="D261" s="408">
        <v>28.069999999992433</v>
      </c>
      <c r="E261" s="408">
        <f t="shared" si="1"/>
        <v>28.069999999992433</v>
      </c>
      <c r="F261" s="93"/>
      <c r="G261" s="439"/>
      <c r="H261" s="439"/>
      <c r="I261" s="439"/>
      <c r="J261" s="439"/>
      <c r="K261" s="439"/>
      <c r="L261" s="93"/>
      <c r="M261" s="93"/>
      <c r="N261" s="93"/>
      <c r="O261" s="93"/>
      <c r="P261" s="93"/>
      <c r="Q261" s="93"/>
      <c r="R261" s="93"/>
      <c r="S261" s="93"/>
      <c r="T261" s="93"/>
      <c r="U261" s="93"/>
      <c r="V261" s="93"/>
      <c r="W261" s="93"/>
      <c r="X261" s="93"/>
      <c r="Y261" s="93"/>
      <c r="Z261" s="93"/>
    </row>
    <row r="262" spans="1:26" ht="15.75" customHeight="1">
      <c r="A262" s="440">
        <v>44893</v>
      </c>
      <c r="B262" s="442">
        <f t="shared" si="0"/>
        <v>44893</v>
      </c>
      <c r="C262" s="443">
        <v>0</v>
      </c>
      <c r="D262" s="408">
        <v>0</v>
      </c>
      <c r="E262" s="408">
        <f t="shared" si="1"/>
        <v>0</v>
      </c>
      <c r="F262" s="93"/>
      <c r="G262" s="439"/>
      <c r="H262" s="439"/>
      <c r="I262" s="439"/>
      <c r="J262" s="439"/>
      <c r="K262" s="439"/>
      <c r="L262" s="93"/>
      <c r="M262" s="93"/>
      <c r="N262" s="93"/>
      <c r="O262" s="93"/>
      <c r="P262" s="93"/>
      <c r="Q262" s="93"/>
      <c r="R262" s="93"/>
      <c r="S262" s="93"/>
      <c r="T262" s="93"/>
      <c r="U262" s="93"/>
      <c r="V262" s="93"/>
      <c r="W262" s="93"/>
      <c r="X262" s="93"/>
      <c r="Y262" s="93"/>
      <c r="Z262" s="93"/>
    </row>
    <row r="263" spans="1:26" ht="15.75" customHeight="1">
      <c r="A263" s="440">
        <v>44894</v>
      </c>
      <c r="B263" s="442">
        <f t="shared" si="0"/>
        <v>44894</v>
      </c>
      <c r="C263" s="443">
        <v>0</v>
      </c>
      <c r="D263" s="408">
        <v>0</v>
      </c>
      <c r="E263" s="408">
        <f t="shared" si="1"/>
        <v>0</v>
      </c>
      <c r="F263" s="93"/>
      <c r="G263" s="439"/>
      <c r="H263" s="439"/>
      <c r="I263" s="439"/>
      <c r="J263" s="439"/>
      <c r="K263" s="439"/>
      <c r="L263" s="93"/>
      <c r="M263" s="93"/>
      <c r="N263" s="93"/>
      <c r="O263" s="93"/>
      <c r="P263" s="93"/>
      <c r="Q263" s="93"/>
      <c r="R263" s="93"/>
      <c r="S263" s="93"/>
      <c r="T263" s="93"/>
      <c r="U263" s="93"/>
      <c r="V263" s="93"/>
      <c r="W263" s="93"/>
      <c r="X263" s="93"/>
      <c r="Y263" s="93"/>
      <c r="Z263" s="93"/>
    </row>
    <row r="264" spans="1:26" ht="15.75" customHeight="1">
      <c r="A264" s="440">
        <v>44895</v>
      </c>
      <c r="B264" s="442">
        <f t="shared" si="0"/>
        <v>44895</v>
      </c>
      <c r="C264" s="443">
        <v>0</v>
      </c>
      <c r="D264" s="408">
        <v>0</v>
      </c>
      <c r="E264" s="408">
        <f t="shared" si="1"/>
        <v>0</v>
      </c>
      <c r="F264" s="93"/>
      <c r="G264" s="439"/>
      <c r="H264" s="439"/>
      <c r="I264" s="439"/>
      <c r="J264" s="439"/>
      <c r="K264" s="439"/>
      <c r="L264" s="93"/>
      <c r="M264" s="93"/>
      <c r="N264" s="93"/>
      <c r="O264" s="93"/>
      <c r="P264" s="93"/>
      <c r="Q264" s="93"/>
      <c r="R264" s="93"/>
      <c r="S264" s="93"/>
      <c r="T264" s="93"/>
      <c r="U264" s="93"/>
      <c r="V264" s="93"/>
      <c r="W264" s="93"/>
      <c r="X264" s="93"/>
      <c r="Y264" s="93"/>
      <c r="Z264" s="93"/>
    </row>
    <row r="265" spans="1:26" ht="15.75" customHeight="1">
      <c r="A265" s="440">
        <v>44896</v>
      </c>
      <c r="B265" s="442">
        <f t="shared" si="0"/>
        <v>44896</v>
      </c>
      <c r="C265" s="443">
        <v>0</v>
      </c>
      <c r="D265" s="408">
        <v>0</v>
      </c>
      <c r="E265" s="408">
        <f t="shared" si="1"/>
        <v>0</v>
      </c>
      <c r="F265" s="93"/>
      <c r="G265" s="439"/>
      <c r="H265" s="439"/>
      <c r="I265" s="439"/>
      <c r="J265" s="439"/>
      <c r="K265" s="439"/>
      <c r="L265" s="93"/>
      <c r="M265" s="93"/>
      <c r="N265" s="93"/>
      <c r="O265" s="93"/>
      <c r="P265" s="93"/>
      <c r="Q265" s="93"/>
      <c r="R265" s="93"/>
      <c r="S265" s="93"/>
      <c r="T265" s="93"/>
      <c r="U265" s="93"/>
      <c r="V265" s="93"/>
      <c r="W265" s="93"/>
      <c r="X265" s="93"/>
      <c r="Y265" s="93"/>
      <c r="Z265" s="93"/>
    </row>
    <row r="266" spans="1:26" ht="15.75" customHeight="1">
      <c r="A266" s="440">
        <v>44897</v>
      </c>
      <c r="B266" s="442">
        <f t="shared" si="0"/>
        <v>44897</v>
      </c>
      <c r="C266" s="443">
        <v>0</v>
      </c>
      <c r="D266" s="408">
        <v>0</v>
      </c>
      <c r="E266" s="408">
        <f t="shared" si="1"/>
        <v>0</v>
      </c>
      <c r="F266" s="93"/>
      <c r="G266" s="439"/>
      <c r="H266" s="439"/>
      <c r="I266" s="439"/>
      <c r="J266" s="439"/>
      <c r="K266" s="439"/>
      <c r="L266" s="93"/>
      <c r="M266" s="93"/>
      <c r="N266" s="93"/>
      <c r="O266" s="93"/>
      <c r="P266" s="93"/>
      <c r="Q266" s="93"/>
      <c r="R266" s="93"/>
      <c r="S266" s="93"/>
      <c r="T266" s="93"/>
      <c r="U266" s="93"/>
      <c r="V266" s="93"/>
      <c r="W266" s="93"/>
      <c r="X266" s="93"/>
      <c r="Y266" s="93"/>
      <c r="Z266" s="93"/>
    </row>
    <row r="267" spans="1:26" ht="15.75" customHeight="1">
      <c r="A267" s="440">
        <v>44900</v>
      </c>
      <c r="B267" s="442">
        <f t="shared" si="0"/>
        <v>44900</v>
      </c>
      <c r="C267" s="443">
        <v>0</v>
      </c>
      <c r="D267" s="408">
        <v>0</v>
      </c>
      <c r="E267" s="408">
        <f t="shared" si="1"/>
        <v>0</v>
      </c>
      <c r="F267" s="93"/>
      <c r="G267" s="439"/>
      <c r="H267" s="439"/>
      <c r="I267" s="439"/>
      <c r="J267" s="439"/>
      <c r="K267" s="439"/>
      <c r="L267" s="93"/>
      <c r="M267" s="93"/>
      <c r="N267" s="93"/>
      <c r="O267" s="93"/>
      <c r="P267" s="93"/>
      <c r="Q267" s="93"/>
      <c r="R267" s="93"/>
      <c r="S267" s="93"/>
      <c r="T267" s="93"/>
      <c r="U267" s="93"/>
      <c r="V267" s="93"/>
      <c r="W267" s="93"/>
      <c r="X267" s="93"/>
      <c r="Y267" s="93"/>
      <c r="Z267" s="93"/>
    </row>
    <row r="268" spans="1:26" ht="15.75" customHeight="1">
      <c r="A268" s="440">
        <v>44901</v>
      </c>
      <c r="B268" s="442">
        <f t="shared" si="0"/>
        <v>44901</v>
      </c>
      <c r="C268" s="443">
        <v>0</v>
      </c>
      <c r="D268" s="408">
        <v>0</v>
      </c>
      <c r="E268" s="408">
        <f t="shared" si="1"/>
        <v>0</v>
      </c>
      <c r="F268" s="93"/>
      <c r="G268" s="439"/>
      <c r="H268" s="439"/>
      <c r="I268" s="439"/>
      <c r="J268" s="439"/>
      <c r="K268" s="439"/>
      <c r="L268" s="93"/>
      <c r="M268" s="93"/>
      <c r="N268" s="93"/>
      <c r="O268" s="93"/>
      <c r="P268" s="93"/>
      <c r="Q268" s="93"/>
      <c r="R268" s="93"/>
      <c r="S268" s="93"/>
      <c r="T268" s="93"/>
      <c r="U268" s="93"/>
      <c r="V268" s="93"/>
      <c r="W268" s="93"/>
      <c r="X268" s="93"/>
      <c r="Y268" s="93"/>
      <c r="Z268" s="93"/>
    </row>
    <row r="269" spans="1:26" ht="15.75" customHeight="1">
      <c r="A269" s="440">
        <v>44902</v>
      </c>
      <c r="B269" s="442">
        <f t="shared" si="0"/>
        <v>44902</v>
      </c>
      <c r="C269" s="443">
        <v>0</v>
      </c>
      <c r="D269" s="408">
        <v>0</v>
      </c>
      <c r="E269" s="408">
        <f t="shared" si="1"/>
        <v>0</v>
      </c>
      <c r="F269" s="93"/>
      <c r="G269" s="439"/>
      <c r="H269" s="439"/>
      <c r="I269" s="439"/>
      <c r="J269" s="439"/>
      <c r="K269" s="439"/>
      <c r="L269" s="93"/>
      <c r="M269" s="93"/>
      <c r="N269" s="93"/>
      <c r="O269" s="93"/>
      <c r="P269" s="93"/>
      <c r="Q269" s="93"/>
      <c r="R269" s="93"/>
      <c r="S269" s="93"/>
      <c r="T269" s="93"/>
      <c r="U269" s="93"/>
      <c r="V269" s="93"/>
      <c r="W269" s="93"/>
      <c r="X269" s="93"/>
      <c r="Y269" s="93"/>
      <c r="Z269" s="93"/>
    </row>
    <row r="270" spans="1:26" ht="15.75" customHeight="1">
      <c r="A270" s="440">
        <v>44903</v>
      </c>
      <c r="B270" s="442">
        <f t="shared" si="0"/>
        <v>44903</v>
      </c>
      <c r="C270" s="443">
        <v>0</v>
      </c>
      <c r="D270" s="408">
        <v>0</v>
      </c>
      <c r="E270" s="408">
        <f t="shared" si="1"/>
        <v>0</v>
      </c>
      <c r="F270" s="93"/>
      <c r="G270" s="439"/>
      <c r="H270" s="439"/>
      <c r="I270" s="439"/>
      <c r="J270" s="439"/>
      <c r="K270" s="439"/>
      <c r="L270" s="93"/>
      <c r="M270" s="93"/>
      <c r="N270" s="93"/>
      <c r="O270" s="93"/>
      <c r="P270" s="93"/>
      <c r="Q270" s="93"/>
      <c r="R270" s="93"/>
      <c r="S270" s="93"/>
      <c r="T270" s="93"/>
      <c r="U270" s="93"/>
      <c r="V270" s="93"/>
      <c r="W270" s="93"/>
      <c r="X270" s="93"/>
      <c r="Y270" s="93"/>
      <c r="Z270" s="93"/>
    </row>
    <row r="271" spans="1:26" ht="15.75" customHeight="1">
      <c r="A271" s="440">
        <v>44904</v>
      </c>
      <c r="B271" s="442">
        <f t="shared" si="0"/>
        <v>44904</v>
      </c>
      <c r="C271" s="443">
        <v>0</v>
      </c>
      <c r="D271" s="408">
        <v>0</v>
      </c>
      <c r="E271" s="408">
        <f t="shared" si="1"/>
        <v>0</v>
      </c>
      <c r="F271" s="93"/>
      <c r="G271" s="439"/>
      <c r="H271" s="439"/>
      <c r="I271" s="439"/>
      <c r="J271" s="439"/>
      <c r="K271" s="439"/>
      <c r="L271" s="93"/>
      <c r="M271" s="93"/>
      <c r="N271" s="93"/>
      <c r="O271" s="93"/>
      <c r="P271" s="93"/>
      <c r="Q271" s="93"/>
      <c r="R271" s="93"/>
      <c r="S271" s="93"/>
      <c r="T271" s="93"/>
      <c r="U271" s="93"/>
      <c r="V271" s="93"/>
      <c r="W271" s="93"/>
      <c r="X271" s="93"/>
      <c r="Y271" s="93"/>
      <c r="Z271" s="93"/>
    </row>
    <row r="272" spans="1:26" ht="15.75" customHeight="1">
      <c r="A272" s="440">
        <v>44907</v>
      </c>
      <c r="B272" s="442">
        <f t="shared" si="0"/>
        <v>44907</v>
      </c>
      <c r="C272" s="443">
        <v>0</v>
      </c>
      <c r="D272" s="408">
        <v>0</v>
      </c>
      <c r="E272" s="408">
        <f t="shared" si="1"/>
        <v>0</v>
      </c>
      <c r="F272" s="93"/>
      <c r="G272" s="439"/>
      <c r="H272" s="439"/>
      <c r="I272" s="439"/>
      <c r="J272" s="439"/>
      <c r="K272" s="439"/>
      <c r="L272" s="93"/>
      <c r="M272" s="93"/>
      <c r="N272" s="93"/>
      <c r="O272" s="93"/>
      <c r="P272" s="93"/>
      <c r="Q272" s="93"/>
      <c r="R272" s="93"/>
      <c r="S272" s="93"/>
      <c r="T272" s="93"/>
      <c r="U272" s="93"/>
      <c r="V272" s="93"/>
      <c r="W272" s="93"/>
      <c r="X272" s="93"/>
      <c r="Y272" s="93"/>
      <c r="Z272" s="93"/>
    </row>
    <row r="273" spans="1:26" ht="15.75" customHeight="1">
      <c r="A273" s="440">
        <v>44908</v>
      </c>
      <c r="B273" s="442">
        <f t="shared" si="0"/>
        <v>44908</v>
      </c>
      <c r="C273" s="443">
        <v>0</v>
      </c>
      <c r="D273" s="408">
        <v>0</v>
      </c>
      <c r="E273" s="408">
        <f t="shared" si="1"/>
        <v>0</v>
      </c>
      <c r="F273" s="93"/>
      <c r="G273" s="439"/>
      <c r="H273" s="439"/>
      <c r="I273" s="439"/>
      <c r="J273" s="439"/>
      <c r="K273" s="439"/>
      <c r="L273" s="93"/>
      <c r="M273" s="93"/>
      <c r="N273" s="93"/>
      <c r="O273" s="93"/>
      <c r="P273" s="93"/>
      <c r="Q273" s="93"/>
      <c r="R273" s="93"/>
      <c r="S273" s="93"/>
      <c r="T273" s="93"/>
      <c r="U273" s="93"/>
      <c r="V273" s="93"/>
      <c r="W273" s="93"/>
      <c r="X273" s="93"/>
      <c r="Y273" s="93"/>
      <c r="Z273" s="93"/>
    </row>
    <row r="274" spans="1:26" ht="15.75" customHeight="1">
      <c r="A274" s="440">
        <v>44909</v>
      </c>
      <c r="B274" s="442">
        <f t="shared" si="0"/>
        <v>44909</v>
      </c>
      <c r="C274" s="443">
        <v>0</v>
      </c>
      <c r="D274" s="408">
        <v>0</v>
      </c>
      <c r="E274" s="408">
        <f t="shared" si="1"/>
        <v>0</v>
      </c>
      <c r="F274" s="93"/>
      <c r="G274" s="439"/>
      <c r="H274" s="439"/>
      <c r="I274" s="439"/>
      <c r="J274" s="439"/>
      <c r="K274" s="439"/>
      <c r="L274" s="93"/>
      <c r="M274" s="93"/>
      <c r="N274" s="93"/>
      <c r="O274" s="93"/>
      <c r="P274" s="93"/>
      <c r="Q274" s="93"/>
      <c r="R274" s="93"/>
      <c r="S274" s="93"/>
      <c r="T274" s="93"/>
      <c r="U274" s="93"/>
      <c r="V274" s="93"/>
      <c r="W274" s="93"/>
      <c r="X274" s="93"/>
      <c r="Y274" s="93"/>
      <c r="Z274" s="93"/>
    </row>
    <row r="275" spans="1:26" ht="15.75" customHeight="1">
      <c r="A275" s="440">
        <v>44910</v>
      </c>
      <c r="B275" s="442">
        <f t="shared" si="0"/>
        <v>44910</v>
      </c>
      <c r="C275" s="443">
        <v>0</v>
      </c>
      <c r="D275" s="408">
        <v>0</v>
      </c>
      <c r="E275" s="408">
        <f t="shared" si="1"/>
        <v>0</v>
      </c>
      <c r="F275" s="93"/>
      <c r="G275" s="439"/>
      <c r="H275" s="439"/>
      <c r="I275" s="439"/>
      <c r="J275" s="439"/>
      <c r="K275" s="439"/>
      <c r="L275" s="93"/>
      <c r="M275" s="93"/>
      <c r="N275" s="93"/>
      <c r="O275" s="93"/>
      <c r="P275" s="93"/>
      <c r="Q275" s="93"/>
      <c r="R275" s="93"/>
      <c r="S275" s="93"/>
      <c r="T275" s="93"/>
      <c r="U275" s="93"/>
      <c r="V275" s="93"/>
      <c r="W275" s="93"/>
      <c r="X275" s="93"/>
      <c r="Y275" s="93"/>
      <c r="Z275" s="93"/>
    </row>
    <row r="276" spans="1:26" ht="15.75" customHeight="1">
      <c r="A276" s="440">
        <v>44911</v>
      </c>
      <c r="B276" s="442">
        <f t="shared" si="0"/>
        <v>44911</v>
      </c>
      <c r="C276" s="443">
        <v>0</v>
      </c>
      <c r="D276" s="408">
        <v>0</v>
      </c>
      <c r="E276" s="408">
        <f t="shared" si="1"/>
        <v>0</v>
      </c>
      <c r="F276" s="93"/>
      <c r="G276" s="439"/>
      <c r="H276" s="439"/>
      <c r="I276" s="439"/>
      <c r="J276" s="439"/>
      <c r="K276" s="439"/>
      <c r="L276" s="93"/>
      <c r="M276" s="93"/>
      <c r="N276" s="93"/>
      <c r="O276" s="93"/>
      <c r="P276" s="93"/>
      <c r="Q276" s="93"/>
      <c r="R276" s="93"/>
      <c r="S276" s="93"/>
      <c r="T276" s="93"/>
      <c r="U276" s="93"/>
      <c r="V276" s="93"/>
      <c r="W276" s="93"/>
      <c r="X276" s="93"/>
      <c r="Y276" s="93"/>
      <c r="Z276" s="93"/>
    </row>
    <row r="277" spans="1:26" ht="15.75" customHeight="1">
      <c r="A277" s="440">
        <v>44914</v>
      </c>
      <c r="B277" s="442">
        <f t="shared" si="0"/>
        <v>44914</v>
      </c>
      <c r="C277" s="443">
        <v>0</v>
      </c>
      <c r="D277" s="408">
        <v>0</v>
      </c>
      <c r="E277" s="408">
        <f t="shared" si="1"/>
        <v>0</v>
      </c>
      <c r="F277" s="93"/>
      <c r="G277" s="439"/>
      <c r="H277" s="439"/>
      <c r="I277" s="439"/>
      <c r="J277" s="439"/>
      <c r="K277" s="439"/>
      <c r="L277" s="93"/>
      <c r="M277" s="93"/>
      <c r="N277" s="93"/>
      <c r="O277" s="93"/>
      <c r="P277" s="93"/>
      <c r="Q277" s="93"/>
      <c r="R277" s="93"/>
      <c r="S277" s="93"/>
      <c r="T277" s="93"/>
      <c r="U277" s="93"/>
      <c r="V277" s="93"/>
      <c r="W277" s="93"/>
      <c r="X277" s="93"/>
      <c r="Y277" s="93"/>
      <c r="Z277" s="93"/>
    </row>
    <row r="278" spans="1:26" ht="15.75" customHeight="1">
      <c r="A278" s="440">
        <v>44915</v>
      </c>
      <c r="B278" s="442">
        <f t="shared" si="0"/>
        <v>44915</v>
      </c>
      <c r="C278" s="443">
        <v>0</v>
      </c>
      <c r="D278" s="443">
        <v>0</v>
      </c>
      <c r="E278" s="408">
        <f t="shared" si="1"/>
        <v>0</v>
      </c>
      <c r="F278" s="93"/>
      <c r="G278" s="439"/>
      <c r="H278" s="439"/>
      <c r="I278" s="439"/>
      <c r="J278" s="439"/>
      <c r="K278" s="439"/>
      <c r="L278" s="93"/>
      <c r="M278" s="93"/>
      <c r="N278" s="93"/>
      <c r="O278" s="93"/>
      <c r="P278" s="93"/>
      <c r="Q278" s="93"/>
      <c r="R278" s="93"/>
      <c r="S278" s="93"/>
      <c r="T278" s="93"/>
      <c r="U278" s="93"/>
      <c r="V278" s="93"/>
      <c r="W278" s="93"/>
      <c r="X278" s="93"/>
      <c r="Y278" s="93"/>
      <c r="Z278" s="93"/>
    </row>
    <row r="279" spans="1:26" ht="15.75" customHeight="1">
      <c r="A279" s="440">
        <v>44916</v>
      </c>
      <c r="B279" s="442">
        <f t="shared" si="0"/>
        <v>44916</v>
      </c>
      <c r="C279" s="443">
        <v>0</v>
      </c>
      <c r="D279" s="443">
        <v>0</v>
      </c>
      <c r="E279" s="408">
        <f t="shared" si="1"/>
        <v>0</v>
      </c>
      <c r="F279" s="93"/>
      <c r="G279" s="439"/>
      <c r="H279" s="439"/>
      <c r="I279" s="439"/>
      <c r="J279" s="439"/>
      <c r="K279" s="439"/>
      <c r="L279" s="93"/>
      <c r="M279" s="93"/>
      <c r="N279" s="93"/>
      <c r="O279" s="93"/>
      <c r="P279" s="93"/>
      <c r="Q279" s="93"/>
      <c r="R279" s="93"/>
      <c r="S279" s="93"/>
      <c r="T279" s="93"/>
      <c r="U279" s="93"/>
      <c r="V279" s="93"/>
      <c r="W279" s="93"/>
      <c r="X279" s="93"/>
      <c r="Y279" s="93"/>
      <c r="Z279" s="93"/>
    </row>
    <row r="280" spans="1:26" ht="15.75" customHeight="1">
      <c r="A280" s="440">
        <v>44917</v>
      </c>
      <c r="B280" s="442">
        <f t="shared" si="0"/>
        <v>44917</v>
      </c>
      <c r="C280" s="443">
        <v>0</v>
      </c>
      <c r="D280" s="443">
        <v>0</v>
      </c>
      <c r="E280" s="408">
        <f t="shared" si="1"/>
        <v>0</v>
      </c>
      <c r="F280" s="93"/>
      <c r="G280" s="439"/>
      <c r="H280" s="439"/>
      <c r="I280" s="439"/>
      <c r="J280" s="439"/>
      <c r="K280" s="439"/>
      <c r="L280" s="93"/>
      <c r="M280" s="93"/>
      <c r="N280" s="93"/>
      <c r="O280" s="93"/>
      <c r="P280" s="93"/>
      <c r="Q280" s="93"/>
      <c r="R280" s="93"/>
      <c r="S280" s="93"/>
      <c r="T280" s="93"/>
      <c r="U280" s="93"/>
      <c r="V280" s="93"/>
      <c r="W280" s="93"/>
      <c r="X280" s="93"/>
      <c r="Y280" s="93"/>
      <c r="Z280" s="93"/>
    </row>
    <row r="281" spans="1:26" ht="15.75" customHeight="1">
      <c r="A281" s="440">
        <v>44918</v>
      </c>
      <c r="B281" s="442">
        <f t="shared" si="0"/>
        <v>44918</v>
      </c>
      <c r="C281" s="443">
        <v>0</v>
      </c>
      <c r="D281" s="443">
        <v>0</v>
      </c>
      <c r="E281" s="408">
        <f t="shared" si="1"/>
        <v>0</v>
      </c>
      <c r="F281" s="93"/>
      <c r="G281" s="439"/>
      <c r="H281" s="439"/>
      <c r="I281" s="439"/>
      <c r="J281" s="439"/>
      <c r="K281" s="439"/>
      <c r="L281" s="93"/>
      <c r="M281" s="93"/>
      <c r="N281" s="93"/>
      <c r="O281" s="93"/>
      <c r="P281" s="93"/>
      <c r="Q281" s="93"/>
      <c r="R281" s="93"/>
      <c r="S281" s="93"/>
      <c r="T281" s="93"/>
      <c r="U281" s="93"/>
      <c r="V281" s="93"/>
      <c r="W281" s="93"/>
      <c r="X281" s="93"/>
      <c r="Y281" s="93"/>
      <c r="Z281" s="93"/>
    </row>
    <row r="282" spans="1:26" ht="15.75" customHeight="1">
      <c r="A282" s="440">
        <v>44921</v>
      </c>
      <c r="B282" s="442">
        <f t="shared" si="0"/>
        <v>44921</v>
      </c>
      <c r="C282" s="443">
        <v>0</v>
      </c>
      <c r="D282" s="443">
        <v>0</v>
      </c>
      <c r="E282" s="408">
        <f t="shared" si="1"/>
        <v>0</v>
      </c>
      <c r="F282" s="93"/>
      <c r="G282" s="439"/>
      <c r="H282" s="439"/>
      <c r="I282" s="439"/>
      <c r="J282" s="439"/>
      <c r="K282" s="439"/>
      <c r="L282" s="93"/>
      <c r="M282" s="93"/>
      <c r="N282" s="93"/>
      <c r="O282" s="93"/>
      <c r="P282" s="93"/>
      <c r="Q282" s="93"/>
      <c r="R282" s="93"/>
      <c r="S282" s="93"/>
      <c r="T282" s="93"/>
      <c r="U282" s="93"/>
      <c r="V282" s="93"/>
      <c r="W282" s="93"/>
      <c r="X282" s="93"/>
      <c r="Y282" s="93"/>
      <c r="Z282" s="93"/>
    </row>
    <row r="283" spans="1:26" ht="15.75" customHeight="1">
      <c r="A283" s="440">
        <v>44922</v>
      </c>
      <c r="B283" s="442">
        <f t="shared" si="0"/>
        <v>44922</v>
      </c>
      <c r="C283" s="443">
        <v>0</v>
      </c>
      <c r="D283" s="443">
        <v>0</v>
      </c>
      <c r="E283" s="408">
        <f t="shared" si="1"/>
        <v>0</v>
      </c>
      <c r="F283" s="93"/>
      <c r="G283" s="439"/>
      <c r="H283" s="439"/>
      <c r="I283" s="439"/>
      <c r="J283" s="439"/>
      <c r="K283" s="439"/>
      <c r="L283" s="93"/>
      <c r="M283" s="93"/>
      <c r="N283" s="93"/>
      <c r="O283" s="93"/>
      <c r="P283" s="93"/>
      <c r="Q283" s="93"/>
      <c r="R283" s="93"/>
      <c r="S283" s="93"/>
      <c r="T283" s="93"/>
      <c r="U283" s="93"/>
      <c r="V283" s="93"/>
      <c r="W283" s="93"/>
      <c r="X283" s="93"/>
      <c r="Y283" s="93"/>
      <c r="Z283" s="93"/>
    </row>
    <row r="284" spans="1:26" ht="15.75" customHeight="1">
      <c r="A284" s="440">
        <v>44923</v>
      </c>
      <c r="B284" s="442">
        <f t="shared" si="0"/>
        <v>44923</v>
      </c>
      <c r="C284" s="443">
        <v>0</v>
      </c>
      <c r="D284" s="443">
        <v>0</v>
      </c>
      <c r="E284" s="408">
        <f t="shared" si="1"/>
        <v>0</v>
      </c>
      <c r="F284" s="93"/>
      <c r="G284" s="439"/>
      <c r="H284" s="439"/>
      <c r="I284" s="439"/>
      <c r="J284" s="439"/>
      <c r="K284" s="439"/>
      <c r="L284" s="93"/>
      <c r="M284" s="93"/>
      <c r="N284" s="93"/>
      <c r="O284" s="93"/>
      <c r="P284" s="93"/>
      <c r="Q284" s="93"/>
      <c r="R284" s="93"/>
      <c r="S284" s="93"/>
      <c r="T284" s="93"/>
      <c r="U284" s="93"/>
      <c r="V284" s="93"/>
      <c r="W284" s="93"/>
      <c r="X284" s="93"/>
      <c r="Y284" s="93"/>
      <c r="Z284" s="93"/>
    </row>
    <row r="285" spans="1:26" ht="15.75" customHeight="1">
      <c r="A285" s="440">
        <v>44924</v>
      </c>
      <c r="B285" s="442">
        <f t="shared" si="0"/>
        <v>44924</v>
      </c>
      <c r="C285" s="443">
        <v>0</v>
      </c>
      <c r="D285" s="443">
        <v>0</v>
      </c>
      <c r="E285" s="408">
        <f t="shared" si="1"/>
        <v>0</v>
      </c>
      <c r="F285" s="93"/>
      <c r="G285" s="439"/>
      <c r="H285" s="439"/>
      <c r="I285" s="439"/>
      <c r="J285" s="439"/>
      <c r="K285" s="439"/>
      <c r="L285" s="93"/>
      <c r="M285" s="93"/>
      <c r="N285" s="93"/>
      <c r="O285" s="93"/>
      <c r="P285" s="93"/>
      <c r="Q285" s="93"/>
      <c r="R285" s="93"/>
      <c r="S285" s="93"/>
      <c r="T285" s="93"/>
      <c r="U285" s="93"/>
      <c r="V285" s="93"/>
      <c r="W285" s="93"/>
      <c r="X285" s="93"/>
      <c r="Y285" s="93"/>
      <c r="Z285" s="93"/>
    </row>
    <row r="286" spans="1:26" ht="15.75" customHeight="1">
      <c r="A286" s="440">
        <v>44925</v>
      </c>
      <c r="B286" s="442">
        <f t="shared" si="0"/>
        <v>44925</v>
      </c>
      <c r="C286" s="443">
        <v>0</v>
      </c>
      <c r="D286" s="443">
        <v>0</v>
      </c>
      <c r="E286" s="408">
        <f t="shared" si="1"/>
        <v>0</v>
      </c>
      <c r="F286" s="93"/>
      <c r="G286" s="439"/>
      <c r="H286" s="439"/>
      <c r="I286" s="439"/>
      <c r="J286" s="439"/>
      <c r="K286" s="439"/>
      <c r="L286" s="93"/>
      <c r="M286" s="93"/>
      <c r="N286" s="93"/>
      <c r="O286" s="93"/>
      <c r="P286" s="93"/>
      <c r="Q286" s="93"/>
      <c r="R286" s="93"/>
      <c r="S286" s="93"/>
      <c r="T286" s="93"/>
      <c r="U286" s="93"/>
      <c r="V286" s="93"/>
      <c r="W286" s="93"/>
      <c r="X286" s="93"/>
      <c r="Y286" s="93"/>
      <c r="Z286" s="93"/>
    </row>
    <row r="287" spans="1:26" ht="15.75" customHeight="1">
      <c r="A287" s="440">
        <v>44926</v>
      </c>
      <c r="B287" s="442">
        <f t="shared" si="0"/>
        <v>44926</v>
      </c>
      <c r="C287" s="443">
        <v>0</v>
      </c>
      <c r="D287" s="443">
        <v>0</v>
      </c>
      <c r="E287" s="408">
        <f t="shared" si="1"/>
        <v>0</v>
      </c>
      <c r="F287" s="93"/>
      <c r="G287" s="439"/>
      <c r="H287" s="439"/>
      <c r="I287" s="439"/>
      <c r="J287" s="439"/>
      <c r="K287" s="439"/>
      <c r="L287" s="93"/>
      <c r="M287" s="93"/>
      <c r="N287" s="93"/>
      <c r="O287" s="93"/>
      <c r="P287" s="93"/>
      <c r="Q287" s="93"/>
      <c r="R287" s="93"/>
      <c r="S287" s="93"/>
      <c r="T287" s="93"/>
      <c r="U287" s="93"/>
      <c r="V287" s="93"/>
      <c r="W287" s="93"/>
      <c r="X287" s="93"/>
      <c r="Y287" s="93"/>
      <c r="Z287" s="93"/>
    </row>
    <row r="288" spans="1:26" ht="15.75" customHeight="1">
      <c r="A288" s="440">
        <v>44928</v>
      </c>
      <c r="B288" s="442">
        <f t="shared" si="0"/>
        <v>44928</v>
      </c>
      <c r="C288" s="443">
        <v>0</v>
      </c>
      <c r="D288" s="443">
        <v>0</v>
      </c>
      <c r="E288" s="408">
        <f t="shared" si="1"/>
        <v>0</v>
      </c>
      <c r="F288" s="93"/>
      <c r="G288" s="439"/>
      <c r="H288" s="439"/>
      <c r="I288" s="439"/>
      <c r="J288" s="439"/>
      <c r="K288" s="439"/>
      <c r="L288" s="93"/>
      <c r="M288" s="93"/>
      <c r="N288" s="93"/>
      <c r="O288" s="93"/>
      <c r="P288" s="93"/>
      <c r="Q288" s="93"/>
      <c r="R288" s="93"/>
      <c r="S288" s="93"/>
      <c r="T288" s="93"/>
      <c r="U288" s="93"/>
      <c r="V288" s="93"/>
      <c r="W288" s="93"/>
      <c r="X288" s="93"/>
      <c r="Y288" s="93"/>
      <c r="Z288" s="93"/>
    </row>
    <row r="289" spans="1:26" ht="15.75" customHeight="1">
      <c r="A289" s="440">
        <v>44929</v>
      </c>
      <c r="B289" s="442">
        <f t="shared" si="0"/>
        <v>44929</v>
      </c>
      <c r="C289" s="443">
        <v>0</v>
      </c>
      <c r="D289" s="443">
        <v>0</v>
      </c>
      <c r="E289" s="408">
        <f t="shared" si="1"/>
        <v>0</v>
      </c>
      <c r="F289" s="93"/>
      <c r="G289" s="439"/>
      <c r="H289" s="439"/>
      <c r="I289" s="439"/>
      <c r="J289" s="439"/>
      <c r="K289" s="439"/>
      <c r="L289" s="93"/>
      <c r="M289" s="93"/>
      <c r="N289" s="93"/>
      <c r="O289" s="93"/>
      <c r="P289" s="93"/>
      <c r="Q289" s="93"/>
      <c r="R289" s="93"/>
      <c r="S289" s="93"/>
      <c r="T289" s="93"/>
      <c r="U289" s="93"/>
      <c r="V289" s="93"/>
      <c r="W289" s="93"/>
      <c r="X289" s="93"/>
      <c r="Y289" s="93"/>
      <c r="Z289" s="93"/>
    </row>
    <row r="290" spans="1:26" ht="15.75" customHeight="1">
      <c r="A290" s="440">
        <v>44930</v>
      </c>
      <c r="B290" s="442">
        <f t="shared" si="0"/>
        <v>44930</v>
      </c>
      <c r="C290" s="443">
        <v>0</v>
      </c>
      <c r="D290" s="443">
        <v>142.07</v>
      </c>
      <c r="E290" s="408">
        <f t="shared" si="1"/>
        <v>142.07</v>
      </c>
      <c r="F290" s="93"/>
      <c r="G290" s="439"/>
      <c r="H290" s="439"/>
      <c r="I290" s="439"/>
      <c r="J290" s="439"/>
      <c r="K290" s="439"/>
      <c r="L290" s="93"/>
      <c r="M290" s="93"/>
      <c r="N290" s="93"/>
      <c r="O290" s="93"/>
      <c r="P290" s="93"/>
      <c r="Q290" s="93"/>
      <c r="R290" s="93"/>
      <c r="S290" s="93"/>
      <c r="T290" s="93"/>
      <c r="U290" s="93"/>
      <c r="V290" s="93"/>
      <c r="W290" s="93"/>
      <c r="X290" s="93"/>
      <c r="Y290" s="93"/>
      <c r="Z290" s="93"/>
    </row>
    <row r="291" spans="1:26" ht="15.75" customHeight="1">
      <c r="A291" s="440">
        <v>44931</v>
      </c>
      <c r="B291" s="442">
        <f t="shared" si="0"/>
        <v>44931</v>
      </c>
      <c r="C291" s="443">
        <v>0</v>
      </c>
      <c r="D291" s="443">
        <v>186</v>
      </c>
      <c r="E291" s="408">
        <f t="shared" si="1"/>
        <v>186</v>
      </c>
      <c r="F291" s="93"/>
      <c r="G291" s="439"/>
      <c r="H291" s="439"/>
      <c r="I291" s="439"/>
      <c r="J291" s="439"/>
      <c r="K291" s="439"/>
      <c r="L291" s="93"/>
      <c r="M291" s="93"/>
      <c r="N291" s="93"/>
      <c r="O291" s="93"/>
      <c r="P291" s="93"/>
      <c r="Q291" s="93"/>
      <c r="R291" s="93"/>
      <c r="S291" s="93"/>
      <c r="T291" s="93"/>
      <c r="U291" s="93"/>
      <c r="V291" s="93"/>
      <c r="W291" s="93"/>
      <c r="X291" s="93"/>
      <c r="Y291" s="93"/>
      <c r="Z291" s="93"/>
    </row>
    <row r="292" spans="1:26" ht="15.75" customHeight="1">
      <c r="A292" s="440">
        <v>44932</v>
      </c>
      <c r="B292" s="442">
        <f t="shared" si="0"/>
        <v>44932</v>
      </c>
      <c r="C292" s="443">
        <v>0</v>
      </c>
      <c r="D292" s="443">
        <v>0</v>
      </c>
      <c r="E292" s="408">
        <f t="shared" si="1"/>
        <v>0</v>
      </c>
      <c r="F292" s="93"/>
      <c r="G292" s="439"/>
      <c r="H292" s="439"/>
      <c r="I292" s="439"/>
      <c r="J292" s="439"/>
      <c r="K292" s="439"/>
      <c r="L292" s="93"/>
      <c r="M292" s="93"/>
      <c r="N292" s="93"/>
      <c r="O292" s="93"/>
      <c r="P292" s="93"/>
      <c r="Q292" s="93"/>
      <c r="R292" s="93"/>
      <c r="S292" s="93"/>
      <c r="T292" s="93"/>
      <c r="U292" s="93"/>
      <c r="V292" s="93"/>
      <c r="W292" s="93"/>
      <c r="X292" s="93"/>
      <c r="Y292" s="93"/>
      <c r="Z292" s="93"/>
    </row>
    <row r="293" spans="1:26" ht="15.75" customHeight="1">
      <c r="A293" s="440">
        <v>44935</v>
      </c>
      <c r="B293" s="442">
        <f t="shared" si="0"/>
        <v>44935</v>
      </c>
      <c r="C293" s="443">
        <v>0</v>
      </c>
      <c r="D293" s="443">
        <v>0</v>
      </c>
      <c r="E293" s="408">
        <f t="shared" si="1"/>
        <v>0</v>
      </c>
      <c r="F293" s="93"/>
      <c r="G293" s="439"/>
      <c r="H293" s="439"/>
      <c r="I293" s="439"/>
      <c r="J293" s="439"/>
      <c r="K293" s="439"/>
      <c r="L293" s="93"/>
      <c r="M293" s="93"/>
      <c r="N293" s="93"/>
      <c r="O293" s="93"/>
      <c r="P293" s="93"/>
      <c r="Q293" s="93"/>
      <c r="R293" s="93"/>
      <c r="S293" s="93"/>
      <c r="T293" s="93"/>
      <c r="U293" s="93"/>
      <c r="V293" s="93"/>
      <c r="W293" s="93"/>
      <c r="X293" s="93"/>
      <c r="Y293" s="93"/>
      <c r="Z293" s="93"/>
    </row>
    <row r="294" spans="1:26" ht="15.75" customHeight="1">
      <c r="A294" s="440">
        <v>44936</v>
      </c>
      <c r="B294" s="442">
        <f t="shared" si="0"/>
        <v>44936</v>
      </c>
      <c r="C294" s="443">
        <v>0</v>
      </c>
      <c r="D294" s="443">
        <v>0</v>
      </c>
      <c r="E294" s="408">
        <f t="shared" si="1"/>
        <v>0</v>
      </c>
      <c r="F294" s="93"/>
      <c r="G294" s="439"/>
      <c r="H294" s="439"/>
      <c r="I294" s="439"/>
      <c r="J294" s="439"/>
      <c r="K294" s="439"/>
      <c r="L294" s="93"/>
      <c r="M294" s="93"/>
      <c r="N294" s="93"/>
      <c r="O294" s="93"/>
      <c r="P294" s="93"/>
      <c r="Q294" s="93"/>
      <c r="R294" s="93"/>
      <c r="S294" s="93"/>
      <c r="T294" s="93"/>
      <c r="U294" s="93"/>
      <c r="V294" s="93"/>
      <c r="W294" s="93"/>
      <c r="X294" s="93"/>
      <c r="Y294" s="93"/>
      <c r="Z294" s="93"/>
    </row>
    <row r="295" spans="1:26" ht="15.75" customHeight="1">
      <c r="A295" s="440">
        <v>44937</v>
      </c>
      <c r="B295" s="442">
        <f t="shared" si="0"/>
        <v>44937</v>
      </c>
      <c r="C295" s="443">
        <v>0</v>
      </c>
      <c r="D295" s="443">
        <v>0</v>
      </c>
      <c r="E295" s="408">
        <f t="shared" si="1"/>
        <v>0</v>
      </c>
      <c r="F295" s="93"/>
      <c r="G295" s="439"/>
      <c r="H295" s="439"/>
      <c r="I295" s="439"/>
      <c r="J295" s="439"/>
      <c r="K295" s="439"/>
      <c r="L295" s="93"/>
      <c r="M295" s="93"/>
      <c r="N295" s="93"/>
      <c r="O295" s="93"/>
      <c r="P295" s="93"/>
      <c r="Q295" s="93"/>
      <c r="R295" s="93"/>
      <c r="S295" s="93"/>
      <c r="T295" s="93"/>
      <c r="U295" s="93"/>
      <c r="V295" s="93"/>
      <c r="W295" s="93"/>
      <c r="X295" s="93"/>
      <c r="Y295" s="93"/>
      <c r="Z295" s="93"/>
    </row>
    <row r="296" spans="1:26" ht="15.75" customHeight="1">
      <c r="A296" s="440">
        <v>44938</v>
      </c>
      <c r="B296" s="442">
        <f t="shared" si="0"/>
        <v>44938</v>
      </c>
      <c r="C296" s="443">
        <v>0</v>
      </c>
      <c r="D296" s="443">
        <v>0</v>
      </c>
      <c r="E296" s="408">
        <f t="shared" si="1"/>
        <v>0</v>
      </c>
      <c r="F296" s="93"/>
      <c r="G296" s="439"/>
      <c r="H296" s="439"/>
      <c r="I296" s="439"/>
      <c r="J296" s="439"/>
      <c r="K296" s="439"/>
      <c r="L296" s="93"/>
      <c r="M296" s="93"/>
      <c r="N296" s="93"/>
      <c r="O296" s="93"/>
      <c r="P296" s="93"/>
      <c r="Q296" s="93"/>
      <c r="R296" s="93"/>
      <c r="S296" s="93"/>
      <c r="T296" s="93"/>
      <c r="U296" s="93"/>
      <c r="V296" s="93"/>
      <c r="W296" s="93"/>
      <c r="X296" s="93"/>
      <c r="Y296" s="93"/>
      <c r="Z296" s="93"/>
    </row>
    <row r="297" spans="1:26" ht="15.75" customHeight="1">
      <c r="A297" s="440">
        <v>44939</v>
      </c>
      <c r="B297" s="442">
        <f t="shared" si="0"/>
        <v>44939</v>
      </c>
      <c r="C297" s="443">
        <v>0</v>
      </c>
      <c r="D297" s="443">
        <v>0</v>
      </c>
      <c r="E297" s="408">
        <f t="shared" si="1"/>
        <v>0</v>
      </c>
      <c r="F297" s="93"/>
      <c r="G297" s="439"/>
      <c r="H297" s="439"/>
      <c r="I297" s="439"/>
      <c r="J297" s="439"/>
      <c r="K297" s="439"/>
      <c r="L297" s="93"/>
      <c r="M297" s="93"/>
      <c r="N297" s="93"/>
      <c r="O297" s="93"/>
      <c r="P297" s="93"/>
      <c r="Q297" s="93"/>
      <c r="R297" s="93"/>
      <c r="S297" s="93"/>
      <c r="T297" s="93"/>
      <c r="U297" s="93"/>
      <c r="V297" s="93"/>
      <c r="W297" s="93"/>
      <c r="X297" s="93"/>
      <c r="Y297" s="93"/>
      <c r="Z297" s="93"/>
    </row>
    <row r="298" spans="1:26" ht="15.75" customHeight="1">
      <c r="A298" s="440">
        <v>44942</v>
      </c>
      <c r="B298" s="442">
        <f t="shared" si="0"/>
        <v>44942</v>
      </c>
      <c r="C298" s="443">
        <v>0</v>
      </c>
      <c r="D298" s="443">
        <v>0</v>
      </c>
      <c r="E298" s="408">
        <f t="shared" si="1"/>
        <v>0</v>
      </c>
      <c r="F298" s="93"/>
      <c r="G298" s="439"/>
      <c r="H298" s="439"/>
      <c r="I298" s="439"/>
      <c r="J298" s="439"/>
      <c r="K298" s="439"/>
      <c r="L298" s="93"/>
      <c r="M298" s="93"/>
      <c r="N298" s="93"/>
      <c r="O298" s="93"/>
      <c r="P298" s="93"/>
      <c r="Q298" s="93"/>
      <c r="R298" s="93"/>
      <c r="S298" s="93"/>
      <c r="T298" s="93"/>
      <c r="U298" s="93"/>
      <c r="V298" s="93"/>
      <c r="W298" s="93"/>
      <c r="X298" s="93"/>
      <c r="Y298" s="93"/>
      <c r="Z298" s="93"/>
    </row>
    <row r="299" spans="1:26" ht="15.75" customHeight="1">
      <c r="A299" s="440">
        <v>44943</v>
      </c>
      <c r="B299" s="442">
        <f t="shared" si="0"/>
        <v>44943</v>
      </c>
      <c r="C299" s="443">
        <v>0</v>
      </c>
      <c r="D299" s="443">
        <v>0</v>
      </c>
      <c r="E299" s="408">
        <f t="shared" si="1"/>
        <v>0</v>
      </c>
      <c r="F299" s="93"/>
      <c r="G299" s="439"/>
      <c r="H299" s="439"/>
      <c r="I299" s="439"/>
      <c r="J299" s="439"/>
      <c r="K299" s="439"/>
      <c r="L299" s="93"/>
      <c r="M299" s="93"/>
      <c r="N299" s="93"/>
      <c r="O299" s="93"/>
      <c r="P299" s="93"/>
      <c r="Q299" s="93"/>
      <c r="R299" s="93"/>
      <c r="S299" s="93"/>
      <c r="T299" s="93"/>
      <c r="U299" s="93"/>
      <c r="V299" s="93"/>
      <c r="W299" s="93"/>
      <c r="X299" s="93"/>
      <c r="Y299" s="93"/>
      <c r="Z299" s="93"/>
    </row>
    <row r="300" spans="1:26" ht="15.75" customHeight="1">
      <c r="A300" s="440">
        <v>44944</v>
      </c>
      <c r="B300" s="442">
        <f t="shared" si="0"/>
        <v>44944</v>
      </c>
      <c r="C300" s="443">
        <v>0</v>
      </c>
      <c r="D300" s="443">
        <v>0</v>
      </c>
      <c r="E300" s="408">
        <f t="shared" si="1"/>
        <v>0</v>
      </c>
      <c r="F300" s="93"/>
      <c r="G300" s="439"/>
      <c r="H300" s="439"/>
      <c r="I300" s="439"/>
      <c r="J300" s="439"/>
      <c r="K300" s="439"/>
      <c r="L300" s="93"/>
      <c r="M300" s="93"/>
      <c r="N300" s="93"/>
      <c r="O300" s="93"/>
      <c r="P300" s="93"/>
      <c r="Q300" s="93"/>
      <c r="R300" s="93"/>
      <c r="S300" s="93"/>
      <c r="T300" s="93"/>
      <c r="U300" s="93"/>
      <c r="V300" s="93"/>
      <c r="W300" s="93"/>
      <c r="X300" s="93"/>
      <c r="Y300" s="93"/>
      <c r="Z300" s="93"/>
    </row>
    <row r="301" spans="1:26" ht="15.75" customHeight="1">
      <c r="A301" s="440">
        <v>44945</v>
      </c>
      <c r="B301" s="442">
        <f t="shared" si="0"/>
        <v>44945</v>
      </c>
      <c r="C301" s="443">
        <v>0</v>
      </c>
      <c r="D301" s="443">
        <v>0</v>
      </c>
      <c r="E301" s="408">
        <f t="shared" si="1"/>
        <v>0</v>
      </c>
      <c r="F301" s="93"/>
      <c r="G301" s="439"/>
      <c r="H301" s="439"/>
      <c r="I301" s="439"/>
      <c r="J301" s="439"/>
      <c r="K301" s="439"/>
      <c r="L301" s="93"/>
      <c r="M301" s="93"/>
      <c r="N301" s="93"/>
      <c r="O301" s="93"/>
      <c r="P301" s="93"/>
      <c r="Q301" s="93"/>
      <c r="R301" s="93"/>
      <c r="S301" s="93"/>
      <c r="T301" s="93"/>
      <c r="U301" s="93"/>
      <c r="V301" s="93"/>
      <c r="W301" s="93"/>
      <c r="X301" s="93"/>
      <c r="Y301" s="93"/>
      <c r="Z301" s="93"/>
    </row>
    <row r="302" spans="1:26" ht="15.75" customHeight="1">
      <c r="A302" s="440">
        <v>44946</v>
      </c>
      <c r="B302" s="442">
        <f t="shared" si="0"/>
        <v>44946</v>
      </c>
      <c r="C302" s="443">
        <v>628.17999999999995</v>
      </c>
      <c r="D302" s="443">
        <v>0</v>
      </c>
      <c r="E302" s="408">
        <f t="shared" si="1"/>
        <v>628.17999999999995</v>
      </c>
      <c r="F302" s="93"/>
      <c r="G302" s="439"/>
      <c r="H302" s="439"/>
      <c r="I302" s="439"/>
      <c r="J302" s="439"/>
      <c r="K302" s="439"/>
      <c r="L302" s="93"/>
      <c r="M302" s="93"/>
      <c r="N302" s="93"/>
      <c r="O302" s="93"/>
      <c r="P302" s="93"/>
      <c r="Q302" s="93"/>
      <c r="R302" s="93"/>
      <c r="S302" s="93"/>
      <c r="T302" s="93"/>
      <c r="U302" s="93"/>
      <c r="V302" s="93"/>
      <c r="W302" s="93"/>
      <c r="X302" s="93"/>
      <c r="Y302" s="93"/>
      <c r="Z302" s="93"/>
    </row>
    <row r="303" spans="1:26" ht="15.75" customHeight="1">
      <c r="A303" s="440">
        <v>44949</v>
      </c>
      <c r="B303" s="442">
        <f t="shared" si="0"/>
        <v>44949</v>
      </c>
      <c r="C303" s="443">
        <v>0</v>
      </c>
      <c r="D303" s="443">
        <v>0</v>
      </c>
      <c r="E303" s="408">
        <f t="shared" si="1"/>
        <v>0</v>
      </c>
      <c r="F303" s="93"/>
      <c r="G303" s="439"/>
      <c r="H303" s="439"/>
      <c r="I303" s="439"/>
      <c r="J303" s="439"/>
      <c r="K303" s="439"/>
      <c r="L303" s="93"/>
      <c r="M303" s="93"/>
      <c r="N303" s="93"/>
      <c r="O303" s="93"/>
      <c r="P303" s="93"/>
      <c r="Q303" s="93"/>
      <c r="R303" s="93"/>
      <c r="S303" s="93"/>
      <c r="T303" s="93"/>
      <c r="U303" s="93"/>
      <c r="V303" s="93"/>
      <c r="W303" s="93"/>
      <c r="X303" s="93"/>
      <c r="Y303" s="93"/>
      <c r="Z303" s="93"/>
    </row>
    <row r="304" spans="1:26" ht="15.75" customHeight="1">
      <c r="A304" s="440">
        <v>44950</v>
      </c>
      <c r="B304" s="442">
        <f t="shared" si="0"/>
        <v>44950</v>
      </c>
      <c r="C304" s="443">
        <v>0</v>
      </c>
      <c r="D304" s="443">
        <v>179.06999999999243</v>
      </c>
      <c r="E304" s="408">
        <f t="shared" si="1"/>
        <v>179.06999999999243</v>
      </c>
      <c r="F304" s="93"/>
      <c r="G304" s="439"/>
      <c r="H304" s="439"/>
      <c r="I304" s="439"/>
      <c r="J304" s="439"/>
      <c r="K304" s="439"/>
      <c r="L304" s="93"/>
      <c r="M304" s="93"/>
      <c r="N304" s="93"/>
      <c r="O304" s="93"/>
      <c r="P304" s="93"/>
      <c r="Q304" s="93"/>
      <c r="R304" s="93"/>
      <c r="S304" s="93"/>
      <c r="T304" s="93"/>
      <c r="U304" s="93"/>
      <c r="V304" s="93"/>
      <c r="W304" s="93"/>
      <c r="X304" s="93"/>
      <c r="Y304" s="93"/>
      <c r="Z304" s="93"/>
    </row>
    <row r="305" spans="1:26" ht="15.75" customHeight="1">
      <c r="A305" s="440">
        <v>44951</v>
      </c>
      <c r="B305" s="442">
        <f t="shared" si="0"/>
        <v>44951</v>
      </c>
      <c r="C305" s="443">
        <v>0</v>
      </c>
      <c r="D305" s="443">
        <v>0</v>
      </c>
      <c r="E305" s="408">
        <f t="shared" si="1"/>
        <v>0</v>
      </c>
      <c r="F305" s="93"/>
      <c r="G305" s="439"/>
      <c r="H305" s="439"/>
      <c r="I305" s="439"/>
      <c r="J305" s="439"/>
      <c r="K305" s="439"/>
      <c r="L305" s="93"/>
      <c r="M305" s="93"/>
      <c r="N305" s="93"/>
      <c r="O305" s="93"/>
      <c r="P305" s="93"/>
      <c r="Q305" s="93"/>
      <c r="R305" s="93"/>
      <c r="S305" s="93"/>
      <c r="T305" s="93"/>
      <c r="U305" s="93"/>
      <c r="V305" s="93"/>
      <c r="W305" s="93"/>
      <c r="X305" s="93"/>
      <c r="Y305" s="93"/>
      <c r="Z305" s="93"/>
    </row>
    <row r="306" spans="1:26" ht="15.75" customHeight="1">
      <c r="A306" s="440">
        <v>44953</v>
      </c>
      <c r="B306" s="442">
        <f t="shared" si="0"/>
        <v>44953</v>
      </c>
      <c r="C306" s="443">
        <v>0</v>
      </c>
      <c r="D306" s="443">
        <v>0</v>
      </c>
      <c r="E306" s="408">
        <f t="shared" si="1"/>
        <v>0</v>
      </c>
      <c r="F306" s="93"/>
      <c r="G306" s="439"/>
      <c r="H306" s="439"/>
      <c r="I306" s="439"/>
      <c r="J306" s="439"/>
      <c r="K306" s="439"/>
      <c r="L306" s="93"/>
      <c r="M306" s="93"/>
      <c r="N306" s="93"/>
      <c r="O306" s="93"/>
      <c r="P306" s="93"/>
      <c r="Q306" s="93"/>
      <c r="R306" s="93"/>
      <c r="S306" s="93"/>
      <c r="T306" s="93"/>
      <c r="U306" s="93"/>
      <c r="V306" s="93"/>
      <c r="W306" s="93"/>
      <c r="X306" s="93"/>
      <c r="Y306" s="93"/>
      <c r="Z306" s="93"/>
    </row>
    <row r="307" spans="1:26" ht="15.75" customHeight="1">
      <c r="A307" s="440">
        <v>44956</v>
      </c>
      <c r="B307" s="442">
        <f t="shared" si="0"/>
        <v>44956</v>
      </c>
      <c r="C307" s="443">
        <v>0</v>
      </c>
      <c r="D307" s="443">
        <v>0</v>
      </c>
      <c r="E307" s="408">
        <f t="shared" si="1"/>
        <v>0</v>
      </c>
      <c r="F307" s="93"/>
      <c r="G307" s="439"/>
      <c r="H307" s="439"/>
      <c r="I307" s="439"/>
      <c r="J307" s="439"/>
      <c r="K307" s="439"/>
      <c r="L307" s="93"/>
      <c r="M307" s="93"/>
      <c r="N307" s="93"/>
      <c r="O307" s="93"/>
      <c r="P307" s="93"/>
      <c r="Q307" s="93"/>
      <c r="R307" s="93"/>
      <c r="S307" s="93"/>
      <c r="T307" s="93"/>
      <c r="U307" s="93"/>
      <c r="V307" s="93"/>
      <c r="W307" s="93"/>
      <c r="X307" s="93"/>
      <c r="Y307" s="93"/>
      <c r="Z307" s="93"/>
    </row>
    <row r="308" spans="1:26" ht="15.75" customHeight="1">
      <c r="A308" s="440">
        <v>44957</v>
      </c>
      <c r="B308" s="442">
        <f t="shared" si="0"/>
        <v>44957</v>
      </c>
      <c r="C308" s="443">
        <v>0</v>
      </c>
      <c r="D308" s="443">
        <v>0</v>
      </c>
      <c r="E308" s="408">
        <f t="shared" si="1"/>
        <v>0</v>
      </c>
      <c r="F308" s="93"/>
      <c r="G308" s="439"/>
      <c r="H308" s="439"/>
      <c r="I308" s="439"/>
      <c r="J308" s="439"/>
      <c r="K308" s="439"/>
      <c r="L308" s="93"/>
      <c r="M308" s="93"/>
      <c r="N308" s="93"/>
      <c r="O308" s="93"/>
      <c r="P308" s="93"/>
      <c r="Q308" s="93"/>
      <c r="R308" s="93"/>
      <c r="S308" s="93"/>
      <c r="T308" s="93"/>
      <c r="U308" s="93"/>
      <c r="V308" s="93"/>
      <c r="W308" s="93"/>
      <c r="X308" s="93"/>
      <c r="Y308" s="93"/>
      <c r="Z308" s="93"/>
    </row>
    <row r="309" spans="1:26" ht="15.75" customHeight="1">
      <c r="A309" s="440">
        <v>44958</v>
      </c>
      <c r="B309" s="442">
        <f t="shared" si="0"/>
        <v>44958</v>
      </c>
      <c r="C309" s="443">
        <v>0</v>
      </c>
      <c r="D309" s="443">
        <v>0</v>
      </c>
      <c r="E309" s="408">
        <f t="shared" si="1"/>
        <v>0</v>
      </c>
      <c r="F309" s="93"/>
      <c r="G309" s="439"/>
      <c r="H309" s="439"/>
      <c r="I309" s="439"/>
      <c r="J309" s="439"/>
      <c r="K309" s="439"/>
      <c r="L309" s="93"/>
      <c r="M309" s="93"/>
      <c r="N309" s="93"/>
      <c r="O309" s="93"/>
      <c r="P309" s="93"/>
      <c r="Q309" s="93"/>
      <c r="R309" s="93"/>
      <c r="S309" s="93"/>
      <c r="T309" s="93"/>
      <c r="U309" s="93"/>
      <c r="V309" s="93"/>
      <c r="W309" s="93"/>
      <c r="X309" s="93"/>
      <c r="Y309" s="93"/>
      <c r="Z309" s="93"/>
    </row>
    <row r="310" spans="1:26" ht="15.75" customHeight="1">
      <c r="A310" s="440">
        <v>44959</v>
      </c>
      <c r="B310" s="442">
        <f t="shared" si="0"/>
        <v>44959</v>
      </c>
      <c r="C310" s="443">
        <v>0</v>
      </c>
      <c r="D310" s="443">
        <v>895.07000000000698</v>
      </c>
      <c r="E310" s="408">
        <f t="shared" si="1"/>
        <v>895.07000000000698</v>
      </c>
      <c r="F310" s="93"/>
      <c r="G310" s="439"/>
      <c r="H310" s="439"/>
      <c r="I310" s="439"/>
      <c r="J310" s="439"/>
      <c r="K310" s="439"/>
      <c r="L310" s="93"/>
      <c r="M310" s="93"/>
      <c r="N310" s="93"/>
      <c r="O310" s="93"/>
      <c r="P310" s="93"/>
      <c r="Q310" s="93"/>
      <c r="R310" s="93"/>
      <c r="S310" s="93"/>
      <c r="T310" s="93"/>
      <c r="U310" s="93"/>
      <c r="V310" s="93"/>
      <c r="W310" s="93"/>
      <c r="X310" s="93"/>
      <c r="Y310" s="93"/>
      <c r="Z310" s="93"/>
    </row>
    <row r="311" spans="1:26" ht="15.75" customHeight="1">
      <c r="A311" s="440">
        <v>44960</v>
      </c>
      <c r="B311" s="442">
        <f t="shared" si="0"/>
        <v>44960</v>
      </c>
      <c r="C311" s="443">
        <v>0</v>
      </c>
      <c r="D311" s="443">
        <v>0</v>
      </c>
      <c r="E311" s="408">
        <f t="shared" si="1"/>
        <v>0</v>
      </c>
      <c r="F311" s="93"/>
      <c r="G311" s="439"/>
      <c r="H311" s="439"/>
      <c r="I311" s="439"/>
      <c r="J311" s="439"/>
      <c r="K311" s="439"/>
      <c r="L311" s="93"/>
      <c r="M311" s="93"/>
      <c r="N311" s="93"/>
      <c r="O311" s="93"/>
      <c r="P311" s="93"/>
      <c r="Q311" s="93"/>
      <c r="R311" s="93"/>
      <c r="S311" s="93"/>
      <c r="T311" s="93"/>
      <c r="U311" s="93"/>
      <c r="V311" s="93"/>
      <c r="W311" s="93"/>
      <c r="X311" s="93"/>
      <c r="Y311" s="93"/>
      <c r="Z311" s="93"/>
    </row>
    <row r="312" spans="1:26" ht="15.75" customHeight="1">
      <c r="A312" s="440">
        <v>44963</v>
      </c>
      <c r="B312" s="442">
        <f t="shared" si="0"/>
        <v>44963</v>
      </c>
      <c r="C312" s="443">
        <v>0</v>
      </c>
      <c r="D312" s="443">
        <v>0</v>
      </c>
      <c r="E312" s="408">
        <f t="shared" si="1"/>
        <v>0</v>
      </c>
      <c r="F312" s="93"/>
      <c r="G312" s="439"/>
      <c r="H312" s="439"/>
      <c r="I312" s="439"/>
      <c r="J312" s="439"/>
      <c r="K312" s="439"/>
      <c r="L312" s="93"/>
      <c r="M312" s="93"/>
      <c r="N312" s="93"/>
      <c r="O312" s="93"/>
      <c r="P312" s="93"/>
      <c r="Q312" s="93"/>
      <c r="R312" s="93"/>
      <c r="S312" s="93"/>
      <c r="T312" s="93"/>
      <c r="U312" s="93"/>
      <c r="V312" s="93"/>
      <c r="W312" s="93"/>
      <c r="X312" s="93"/>
      <c r="Y312" s="93"/>
      <c r="Z312" s="93"/>
    </row>
    <row r="313" spans="1:26" ht="15.75" customHeight="1">
      <c r="A313" s="440">
        <v>44964</v>
      </c>
      <c r="B313" s="442">
        <f t="shared" si="0"/>
        <v>44964</v>
      </c>
      <c r="C313" s="443">
        <v>0</v>
      </c>
      <c r="D313" s="443">
        <v>0</v>
      </c>
      <c r="E313" s="408">
        <f t="shared" si="1"/>
        <v>0</v>
      </c>
      <c r="F313" s="93"/>
      <c r="G313" s="439"/>
      <c r="H313" s="439"/>
      <c r="I313" s="439"/>
      <c r="J313" s="439"/>
      <c r="K313" s="439"/>
      <c r="L313" s="93"/>
      <c r="M313" s="93"/>
      <c r="N313" s="93"/>
      <c r="O313" s="93"/>
      <c r="P313" s="93"/>
      <c r="Q313" s="93"/>
      <c r="R313" s="93"/>
      <c r="S313" s="93"/>
      <c r="T313" s="93"/>
      <c r="U313" s="93"/>
      <c r="V313" s="93"/>
      <c r="W313" s="93"/>
      <c r="X313" s="93"/>
      <c r="Y313" s="93"/>
      <c r="Z313" s="93"/>
    </row>
    <row r="314" spans="1:26" ht="15.75" customHeight="1">
      <c r="A314" s="440">
        <v>44965</v>
      </c>
      <c r="B314" s="442">
        <f t="shared" si="0"/>
        <v>44965</v>
      </c>
      <c r="C314" s="443">
        <v>63.09</v>
      </c>
      <c r="D314" s="443">
        <v>0</v>
      </c>
      <c r="E314" s="408">
        <f t="shared" si="1"/>
        <v>63.09</v>
      </c>
      <c r="F314" s="93"/>
      <c r="G314" s="439"/>
      <c r="H314" s="439"/>
      <c r="I314" s="439"/>
      <c r="J314" s="439"/>
      <c r="K314" s="439"/>
      <c r="L314" s="93"/>
      <c r="M314" s="93"/>
      <c r="N314" s="93"/>
      <c r="O314" s="93"/>
      <c r="P314" s="93"/>
      <c r="Q314" s="93"/>
      <c r="R314" s="93"/>
      <c r="S314" s="93"/>
      <c r="T314" s="93"/>
      <c r="U314" s="93"/>
      <c r="V314" s="93"/>
      <c r="W314" s="93"/>
      <c r="X314" s="93"/>
      <c r="Y314" s="93"/>
      <c r="Z314" s="93"/>
    </row>
    <row r="315" spans="1:26" ht="15.75" customHeight="1">
      <c r="A315" s="440">
        <v>44966</v>
      </c>
      <c r="B315" s="442">
        <f t="shared" si="0"/>
        <v>44966</v>
      </c>
      <c r="C315" s="443">
        <v>0</v>
      </c>
      <c r="D315" s="443">
        <v>0</v>
      </c>
      <c r="E315" s="408">
        <f t="shared" si="1"/>
        <v>0</v>
      </c>
      <c r="F315" s="93"/>
      <c r="G315" s="439"/>
      <c r="H315" s="439"/>
      <c r="I315" s="439"/>
      <c r="J315" s="439"/>
      <c r="K315" s="439"/>
      <c r="L315" s="93"/>
      <c r="M315" s="93"/>
      <c r="N315" s="93"/>
      <c r="O315" s="93"/>
      <c r="P315" s="93"/>
      <c r="Q315" s="93"/>
      <c r="R315" s="93"/>
      <c r="S315" s="93"/>
      <c r="T315" s="93"/>
      <c r="U315" s="93"/>
      <c r="V315" s="93"/>
      <c r="W315" s="93"/>
      <c r="X315" s="93"/>
      <c r="Y315" s="93"/>
      <c r="Z315" s="93"/>
    </row>
    <row r="316" spans="1:26" ht="15.75" customHeight="1">
      <c r="A316" s="440">
        <v>44967</v>
      </c>
      <c r="B316" s="442">
        <f t="shared" si="0"/>
        <v>44967</v>
      </c>
      <c r="C316" s="443">
        <v>0</v>
      </c>
      <c r="D316" s="443">
        <v>0</v>
      </c>
      <c r="E316" s="408">
        <f t="shared" si="1"/>
        <v>0</v>
      </c>
      <c r="F316" s="93"/>
      <c r="G316" s="439"/>
      <c r="H316" s="439"/>
      <c r="I316" s="439"/>
      <c r="J316" s="439"/>
      <c r="K316" s="439"/>
      <c r="L316" s="93"/>
      <c r="M316" s="93"/>
      <c r="N316" s="93"/>
      <c r="O316" s="93"/>
      <c r="P316" s="93"/>
      <c r="Q316" s="93"/>
      <c r="R316" s="93"/>
      <c r="S316" s="93"/>
      <c r="T316" s="93"/>
      <c r="U316" s="93"/>
      <c r="V316" s="93"/>
      <c r="W316" s="93"/>
      <c r="X316" s="93"/>
      <c r="Y316" s="93"/>
      <c r="Z316" s="93"/>
    </row>
    <row r="317" spans="1:26" ht="15.75" customHeight="1">
      <c r="A317" s="440">
        <v>44970</v>
      </c>
      <c r="B317" s="442">
        <f t="shared" si="0"/>
        <v>44970</v>
      </c>
      <c r="C317" s="443">
        <v>141.19999999999999</v>
      </c>
      <c r="D317" s="443">
        <v>0</v>
      </c>
      <c r="E317" s="408">
        <f t="shared" si="1"/>
        <v>141.19999999999999</v>
      </c>
      <c r="F317" s="93"/>
      <c r="G317" s="439"/>
      <c r="H317" s="439"/>
      <c r="I317" s="439"/>
      <c r="J317" s="439"/>
      <c r="K317" s="439"/>
      <c r="L317" s="93"/>
      <c r="M317" s="93"/>
      <c r="N317" s="93"/>
      <c r="O317" s="93"/>
      <c r="P317" s="93"/>
      <c r="Q317" s="93"/>
      <c r="R317" s="93"/>
      <c r="S317" s="93"/>
      <c r="T317" s="93"/>
      <c r="U317" s="93"/>
      <c r="V317" s="93"/>
      <c r="W317" s="93"/>
      <c r="X317" s="93"/>
      <c r="Y317" s="93"/>
      <c r="Z317" s="93"/>
    </row>
    <row r="318" spans="1:26" ht="15.75" customHeight="1">
      <c r="A318" s="440">
        <v>44971</v>
      </c>
      <c r="B318" s="442">
        <f t="shared" si="0"/>
        <v>44971</v>
      </c>
      <c r="C318" s="443">
        <v>127.44</v>
      </c>
      <c r="D318" s="443">
        <v>0</v>
      </c>
      <c r="E318" s="408">
        <f t="shared" si="1"/>
        <v>127.44</v>
      </c>
      <c r="F318" s="93"/>
      <c r="G318" s="439"/>
      <c r="H318" s="439"/>
      <c r="I318" s="439"/>
      <c r="J318" s="439"/>
      <c r="K318" s="439"/>
      <c r="L318" s="93"/>
      <c r="M318" s="93"/>
      <c r="N318" s="93"/>
      <c r="O318" s="93"/>
      <c r="P318" s="93"/>
      <c r="Q318" s="93"/>
      <c r="R318" s="93"/>
      <c r="S318" s="93"/>
      <c r="T318" s="93"/>
      <c r="U318" s="93"/>
      <c r="V318" s="93"/>
      <c r="W318" s="93"/>
      <c r="X318" s="93"/>
      <c r="Y318" s="93"/>
      <c r="Z318" s="93"/>
    </row>
    <row r="319" spans="1:26" ht="15.75" customHeight="1">
      <c r="A319" s="440">
        <v>44972</v>
      </c>
      <c r="B319" s="442">
        <f t="shared" si="0"/>
        <v>44972</v>
      </c>
      <c r="C319" s="443">
        <v>0</v>
      </c>
      <c r="D319" s="443">
        <v>0</v>
      </c>
      <c r="E319" s="408">
        <f t="shared" si="1"/>
        <v>0</v>
      </c>
      <c r="F319" s="93"/>
      <c r="G319" s="439"/>
      <c r="H319" s="439"/>
      <c r="I319" s="439"/>
      <c r="J319" s="439"/>
      <c r="K319" s="439"/>
      <c r="L319" s="93"/>
      <c r="M319" s="93"/>
      <c r="N319" s="93"/>
      <c r="O319" s="93"/>
      <c r="P319" s="93"/>
      <c r="Q319" s="93"/>
      <c r="R319" s="93"/>
      <c r="S319" s="93"/>
      <c r="T319" s="93"/>
      <c r="U319" s="93"/>
      <c r="V319" s="93"/>
      <c r="W319" s="93"/>
      <c r="X319" s="93"/>
      <c r="Y319" s="93"/>
      <c r="Z319" s="93"/>
    </row>
    <row r="320" spans="1:26" ht="15.75" customHeight="1">
      <c r="A320" s="440">
        <v>44973</v>
      </c>
      <c r="B320" s="442">
        <f t="shared" si="0"/>
        <v>44973</v>
      </c>
      <c r="C320" s="443">
        <v>81.05</v>
      </c>
      <c r="D320" s="443">
        <v>146.07</v>
      </c>
      <c r="E320" s="408">
        <f t="shared" si="1"/>
        <v>227.12</v>
      </c>
      <c r="F320" s="93"/>
      <c r="G320" s="439"/>
      <c r="H320" s="439"/>
      <c r="I320" s="439"/>
      <c r="J320" s="439"/>
      <c r="K320" s="439"/>
      <c r="L320" s="93"/>
      <c r="M320" s="93"/>
      <c r="N320" s="93"/>
      <c r="O320" s="93"/>
      <c r="P320" s="93"/>
      <c r="Q320" s="93"/>
      <c r="R320" s="93"/>
      <c r="S320" s="93"/>
      <c r="T320" s="93"/>
      <c r="U320" s="93"/>
      <c r="V320" s="93"/>
      <c r="W320" s="93"/>
      <c r="X320" s="93"/>
      <c r="Y320" s="93"/>
      <c r="Z320" s="93"/>
    </row>
    <row r="321" spans="1:26" ht="15.75" customHeight="1">
      <c r="A321" s="440">
        <v>44974</v>
      </c>
      <c r="B321" s="442">
        <f t="shared" si="0"/>
        <v>44974</v>
      </c>
      <c r="C321" s="443">
        <v>0</v>
      </c>
      <c r="D321" s="443">
        <v>0</v>
      </c>
      <c r="E321" s="408">
        <f t="shared" si="1"/>
        <v>0</v>
      </c>
      <c r="F321" s="93"/>
      <c r="G321" s="439"/>
      <c r="H321" s="439"/>
      <c r="I321" s="439"/>
      <c r="J321" s="439"/>
      <c r="K321" s="439"/>
      <c r="L321" s="93"/>
      <c r="M321" s="93"/>
      <c r="N321" s="93"/>
      <c r="O321" s="93"/>
      <c r="P321" s="93"/>
      <c r="Q321" s="93"/>
      <c r="R321" s="93"/>
      <c r="S321" s="93"/>
      <c r="T321" s="93"/>
      <c r="U321" s="93"/>
      <c r="V321" s="93"/>
      <c r="W321" s="93"/>
      <c r="X321" s="93"/>
      <c r="Y321" s="93"/>
      <c r="Z321" s="93"/>
    </row>
    <row r="322" spans="1:26" ht="15.75" customHeight="1">
      <c r="A322" s="440">
        <v>44977</v>
      </c>
      <c r="B322" s="442">
        <f t="shared" si="0"/>
        <v>44977</v>
      </c>
      <c r="C322" s="443">
        <v>0</v>
      </c>
      <c r="D322" s="443">
        <v>0</v>
      </c>
      <c r="E322" s="408">
        <f t="shared" si="1"/>
        <v>0</v>
      </c>
      <c r="F322" s="93"/>
      <c r="G322" s="439"/>
      <c r="H322" s="439"/>
      <c r="I322" s="439"/>
      <c r="J322" s="439"/>
      <c r="K322" s="439"/>
      <c r="L322" s="93"/>
      <c r="M322" s="93"/>
      <c r="N322" s="93"/>
      <c r="O322" s="93"/>
      <c r="P322" s="93"/>
      <c r="Q322" s="93"/>
      <c r="R322" s="93"/>
      <c r="S322" s="93"/>
      <c r="T322" s="93"/>
      <c r="U322" s="93"/>
      <c r="V322" s="93"/>
      <c r="W322" s="93"/>
      <c r="X322" s="93"/>
      <c r="Y322" s="93"/>
      <c r="Z322" s="93"/>
    </row>
    <row r="323" spans="1:26" ht="15.75" customHeight="1">
      <c r="A323" s="440">
        <v>44978</v>
      </c>
      <c r="B323" s="442">
        <f t="shared" si="0"/>
        <v>44978</v>
      </c>
      <c r="C323" s="443">
        <v>0</v>
      </c>
      <c r="D323" s="443">
        <v>0</v>
      </c>
      <c r="E323" s="408">
        <f t="shared" si="1"/>
        <v>0</v>
      </c>
      <c r="F323" s="93"/>
      <c r="G323" s="439"/>
      <c r="H323" s="439"/>
      <c r="I323" s="439"/>
      <c r="J323" s="439"/>
      <c r="K323" s="439"/>
      <c r="L323" s="93"/>
      <c r="M323" s="93"/>
      <c r="N323" s="93"/>
      <c r="O323" s="93"/>
      <c r="P323" s="93"/>
      <c r="Q323" s="93"/>
      <c r="R323" s="93"/>
      <c r="S323" s="93"/>
      <c r="T323" s="93"/>
      <c r="U323" s="93"/>
      <c r="V323" s="93"/>
      <c r="W323" s="93"/>
      <c r="X323" s="93"/>
      <c r="Y323" s="93"/>
      <c r="Z323" s="93"/>
    </row>
    <row r="324" spans="1:26" ht="15.75" customHeight="1">
      <c r="A324" s="440">
        <v>44979</v>
      </c>
      <c r="B324" s="442">
        <f t="shared" si="0"/>
        <v>44979</v>
      </c>
      <c r="C324" s="443">
        <v>0</v>
      </c>
      <c r="D324" s="443">
        <v>46.14</v>
      </c>
      <c r="E324" s="408">
        <f t="shared" si="1"/>
        <v>46.14</v>
      </c>
      <c r="F324" s="93"/>
      <c r="G324" s="439"/>
      <c r="H324" s="439"/>
      <c r="I324" s="439"/>
      <c r="J324" s="439"/>
      <c r="K324" s="439"/>
      <c r="L324" s="93"/>
      <c r="M324" s="93"/>
      <c r="N324" s="93"/>
      <c r="O324" s="93"/>
      <c r="P324" s="93"/>
      <c r="Q324" s="93"/>
      <c r="R324" s="93"/>
      <c r="S324" s="93"/>
      <c r="T324" s="93"/>
      <c r="U324" s="93"/>
      <c r="V324" s="93"/>
      <c r="W324" s="93"/>
      <c r="X324" s="93"/>
      <c r="Y324" s="93"/>
      <c r="Z324" s="93"/>
    </row>
    <row r="325" spans="1:26" ht="15.75" customHeight="1">
      <c r="A325" s="440">
        <v>44980</v>
      </c>
      <c r="B325" s="442">
        <f t="shared" si="0"/>
        <v>44980</v>
      </c>
      <c r="C325" s="443">
        <v>0</v>
      </c>
      <c r="D325" s="443">
        <v>0</v>
      </c>
      <c r="E325" s="408">
        <f t="shared" si="1"/>
        <v>0</v>
      </c>
      <c r="F325" s="93"/>
      <c r="G325" s="439"/>
      <c r="H325" s="439"/>
      <c r="I325" s="439"/>
      <c r="J325" s="439"/>
      <c r="K325" s="439"/>
      <c r="L325" s="93"/>
      <c r="M325" s="93"/>
      <c r="N325" s="93"/>
      <c r="O325" s="93"/>
      <c r="P325" s="93"/>
      <c r="Q325" s="93"/>
      <c r="R325" s="93"/>
      <c r="S325" s="93"/>
      <c r="T325" s="93"/>
      <c r="U325" s="93"/>
      <c r="V325" s="93"/>
      <c r="W325" s="93"/>
      <c r="X325" s="93"/>
      <c r="Y325" s="93"/>
      <c r="Z325" s="93"/>
    </row>
    <row r="326" spans="1:26" ht="15.75" customHeight="1">
      <c r="A326" s="440">
        <v>44981</v>
      </c>
      <c r="B326" s="442">
        <f t="shared" si="0"/>
        <v>44981</v>
      </c>
      <c r="C326" s="443">
        <v>0</v>
      </c>
      <c r="D326" s="443">
        <v>0</v>
      </c>
      <c r="E326" s="408">
        <f t="shared" si="1"/>
        <v>0</v>
      </c>
      <c r="F326" s="93"/>
      <c r="G326" s="439"/>
      <c r="H326" s="439"/>
      <c r="I326" s="439"/>
      <c r="J326" s="439"/>
      <c r="K326" s="439"/>
      <c r="L326" s="93"/>
      <c r="M326" s="93"/>
      <c r="N326" s="93"/>
      <c r="O326" s="93"/>
      <c r="P326" s="93"/>
      <c r="Q326" s="93"/>
      <c r="R326" s="93"/>
      <c r="S326" s="93"/>
      <c r="T326" s="93"/>
      <c r="U326" s="93"/>
      <c r="V326" s="93"/>
      <c r="W326" s="93"/>
      <c r="X326" s="93"/>
      <c r="Y326" s="93"/>
      <c r="Z326" s="93"/>
    </row>
    <row r="327" spans="1:26" ht="15.75" customHeight="1">
      <c r="A327" s="440">
        <v>44984</v>
      </c>
      <c r="B327" s="442">
        <f t="shared" si="0"/>
        <v>44984</v>
      </c>
      <c r="C327" s="443">
        <v>0</v>
      </c>
      <c r="D327" s="443">
        <v>0</v>
      </c>
      <c r="E327" s="408">
        <f t="shared" si="1"/>
        <v>0</v>
      </c>
      <c r="F327" s="93"/>
      <c r="G327" s="439"/>
      <c r="H327" s="439"/>
      <c r="I327" s="439"/>
      <c r="J327" s="439"/>
      <c r="K327" s="439"/>
      <c r="L327" s="93"/>
      <c r="M327" s="93"/>
      <c r="N327" s="93"/>
      <c r="O327" s="93"/>
      <c r="P327" s="93"/>
      <c r="Q327" s="93"/>
      <c r="R327" s="93"/>
      <c r="S327" s="93"/>
      <c r="T327" s="93"/>
      <c r="U327" s="93"/>
      <c r="V327" s="93"/>
      <c r="W327" s="93"/>
      <c r="X327" s="93"/>
      <c r="Y327" s="93"/>
      <c r="Z327" s="93"/>
    </row>
    <row r="328" spans="1:26" ht="15.75" customHeight="1">
      <c r="A328" s="440">
        <v>44985</v>
      </c>
      <c r="B328" s="442">
        <f t="shared" si="0"/>
        <v>44985</v>
      </c>
      <c r="C328" s="443">
        <v>0</v>
      </c>
      <c r="D328" s="443">
        <v>0</v>
      </c>
      <c r="E328" s="408">
        <f t="shared" si="1"/>
        <v>0</v>
      </c>
      <c r="F328" s="93"/>
      <c r="G328" s="439"/>
      <c r="H328" s="439"/>
      <c r="I328" s="439"/>
      <c r="J328" s="439"/>
      <c r="K328" s="439"/>
      <c r="L328" s="93"/>
      <c r="M328" s="93"/>
      <c r="N328" s="93"/>
      <c r="O328" s="93"/>
      <c r="P328" s="93"/>
      <c r="Q328" s="93"/>
      <c r="R328" s="93"/>
      <c r="S328" s="93"/>
      <c r="T328" s="93"/>
      <c r="U328" s="93"/>
      <c r="V328" s="93"/>
      <c r="W328" s="93"/>
      <c r="X328" s="93"/>
      <c r="Y328" s="93"/>
      <c r="Z328" s="93"/>
    </row>
    <row r="329" spans="1:26" ht="15.75" customHeight="1">
      <c r="A329" s="440">
        <v>44986</v>
      </c>
      <c r="B329" s="442">
        <f t="shared" si="0"/>
        <v>44986</v>
      </c>
      <c r="C329" s="443">
        <v>0</v>
      </c>
      <c r="D329" s="443">
        <v>0</v>
      </c>
      <c r="E329" s="408">
        <f t="shared" si="1"/>
        <v>0</v>
      </c>
      <c r="F329" s="93"/>
      <c r="G329" s="439"/>
      <c r="H329" s="439"/>
      <c r="I329" s="439"/>
      <c r="J329" s="439"/>
      <c r="K329" s="439"/>
      <c r="L329" s="93"/>
      <c r="M329" s="93"/>
      <c r="N329" s="93"/>
      <c r="O329" s="93"/>
      <c r="P329" s="93"/>
      <c r="Q329" s="93"/>
      <c r="R329" s="93"/>
      <c r="S329" s="93"/>
      <c r="T329" s="93"/>
      <c r="U329" s="93"/>
      <c r="V329" s="93"/>
      <c r="W329" s="93"/>
      <c r="X329" s="93"/>
      <c r="Y329" s="93"/>
      <c r="Z329" s="93"/>
    </row>
    <row r="330" spans="1:26" ht="15.75" customHeight="1">
      <c r="A330" s="440">
        <v>44987</v>
      </c>
      <c r="B330" s="442">
        <f t="shared" si="0"/>
        <v>44987</v>
      </c>
      <c r="C330" s="443">
        <v>0</v>
      </c>
      <c r="D330" s="443">
        <v>0</v>
      </c>
      <c r="E330" s="408">
        <f t="shared" si="1"/>
        <v>0</v>
      </c>
      <c r="F330" s="93"/>
      <c r="G330" s="439"/>
      <c r="H330" s="439"/>
      <c r="I330" s="439"/>
      <c r="J330" s="439"/>
      <c r="K330" s="439"/>
      <c r="L330" s="93"/>
      <c r="M330" s="93"/>
      <c r="N330" s="93"/>
      <c r="O330" s="93"/>
      <c r="P330" s="93"/>
      <c r="Q330" s="93"/>
      <c r="R330" s="93"/>
      <c r="S330" s="93"/>
      <c r="T330" s="93"/>
      <c r="U330" s="93"/>
      <c r="V330" s="93"/>
      <c r="W330" s="93"/>
      <c r="X330" s="93"/>
      <c r="Y330" s="93"/>
      <c r="Z330" s="93"/>
    </row>
    <row r="331" spans="1:26" ht="15.75" customHeight="1">
      <c r="A331" s="440">
        <v>44988</v>
      </c>
      <c r="B331" s="442">
        <f t="shared" si="0"/>
        <v>44988</v>
      </c>
      <c r="C331" s="443">
        <v>0</v>
      </c>
      <c r="D331" s="443">
        <v>0</v>
      </c>
      <c r="E331" s="408">
        <f t="shared" si="1"/>
        <v>0</v>
      </c>
      <c r="F331" s="93"/>
      <c r="G331" s="439"/>
      <c r="H331" s="439"/>
      <c r="I331" s="439"/>
      <c r="J331" s="439"/>
      <c r="K331" s="439"/>
      <c r="L331" s="93"/>
      <c r="M331" s="93"/>
      <c r="N331" s="93"/>
      <c r="O331" s="93"/>
      <c r="P331" s="93"/>
      <c r="Q331" s="93"/>
      <c r="R331" s="93"/>
      <c r="S331" s="93"/>
      <c r="T331" s="93"/>
      <c r="U331" s="93"/>
      <c r="V331" s="93"/>
      <c r="W331" s="93"/>
      <c r="X331" s="93"/>
      <c r="Y331" s="93"/>
      <c r="Z331" s="93"/>
    </row>
    <row r="332" spans="1:26" ht="15.75" customHeight="1">
      <c r="A332" s="440">
        <v>44991</v>
      </c>
      <c r="B332" s="442">
        <f t="shared" si="0"/>
        <v>44991</v>
      </c>
      <c r="C332" s="443">
        <v>0</v>
      </c>
      <c r="D332" s="443">
        <v>0</v>
      </c>
      <c r="E332" s="408">
        <f t="shared" si="1"/>
        <v>0</v>
      </c>
      <c r="F332" s="93"/>
      <c r="G332" s="439"/>
      <c r="H332" s="439"/>
      <c r="I332" s="439"/>
      <c r="J332" s="439"/>
      <c r="K332" s="439"/>
      <c r="L332" s="93"/>
      <c r="M332" s="93"/>
      <c r="N332" s="93"/>
      <c r="O332" s="93"/>
      <c r="P332" s="93"/>
      <c r="Q332" s="93"/>
      <c r="R332" s="93"/>
      <c r="S332" s="93"/>
      <c r="T332" s="93"/>
      <c r="U332" s="93"/>
      <c r="V332" s="93"/>
      <c r="W332" s="93"/>
      <c r="X332" s="93"/>
      <c r="Y332" s="93"/>
      <c r="Z332" s="93"/>
    </row>
    <row r="333" spans="1:26" ht="15.75" customHeight="1">
      <c r="A333" s="440">
        <v>44993</v>
      </c>
      <c r="B333" s="442">
        <f t="shared" si="0"/>
        <v>44993</v>
      </c>
      <c r="C333" s="443">
        <v>222.67</v>
      </c>
      <c r="D333" s="443">
        <v>0</v>
      </c>
      <c r="E333" s="408">
        <f t="shared" si="1"/>
        <v>222.67</v>
      </c>
      <c r="F333" s="93"/>
      <c r="G333" s="439"/>
      <c r="H333" s="439"/>
      <c r="I333" s="439"/>
      <c r="J333" s="439"/>
      <c r="K333" s="439"/>
      <c r="L333" s="93"/>
      <c r="M333" s="93"/>
      <c r="N333" s="93"/>
      <c r="O333" s="93"/>
      <c r="P333" s="93"/>
      <c r="Q333" s="93"/>
      <c r="R333" s="93"/>
      <c r="S333" s="93"/>
      <c r="T333" s="93"/>
      <c r="U333" s="93"/>
      <c r="V333" s="93"/>
      <c r="W333" s="93"/>
      <c r="X333" s="93"/>
      <c r="Y333" s="93"/>
      <c r="Z333" s="93"/>
    </row>
    <row r="334" spans="1:26" ht="15.75" customHeight="1">
      <c r="A334" s="440">
        <v>44994</v>
      </c>
      <c r="B334" s="442">
        <f t="shared" si="0"/>
        <v>44994</v>
      </c>
      <c r="C334" s="443">
        <v>0</v>
      </c>
      <c r="D334" s="443">
        <v>0</v>
      </c>
      <c r="E334" s="408">
        <f t="shared" si="1"/>
        <v>0</v>
      </c>
      <c r="F334" s="93"/>
      <c r="G334" s="439"/>
      <c r="H334" s="439"/>
      <c r="I334" s="439"/>
      <c r="J334" s="439"/>
      <c r="K334" s="439"/>
      <c r="L334" s="93"/>
      <c r="M334" s="93"/>
      <c r="N334" s="93"/>
      <c r="O334" s="93"/>
      <c r="P334" s="93"/>
      <c r="Q334" s="93"/>
      <c r="R334" s="93"/>
      <c r="S334" s="93"/>
      <c r="T334" s="93"/>
      <c r="U334" s="93"/>
      <c r="V334" s="93"/>
      <c r="W334" s="93"/>
      <c r="X334" s="93"/>
      <c r="Y334" s="93"/>
      <c r="Z334" s="93"/>
    </row>
    <row r="335" spans="1:26" ht="15.75" customHeight="1">
      <c r="A335" s="440">
        <v>44995</v>
      </c>
      <c r="B335" s="442">
        <f t="shared" si="0"/>
        <v>44995</v>
      </c>
      <c r="C335" s="443">
        <v>0</v>
      </c>
      <c r="D335" s="443">
        <v>0</v>
      </c>
      <c r="E335" s="408">
        <f t="shared" si="1"/>
        <v>0</v>
      </c>
      <c r="F335" s="93"/>
      <c r="G335" s="439"/>
      <c r="H335" s="439"/>
      <c r="I335" s="439"/>
      <c r="J335" s="439"/>
      <c r="K335" s="439"/>
      <c r="L335" s="93"/>
      <c r="M335" s="93"/>
      <c r="N335" s="93"/>
      <c r="O335" s="93"/>
      <c r="P335" s="93"/>
      <c r="Q335" s="93"/>
      <c r="R335" s="93"/>
      <c r="S335" s="93"/>
      <c r="T335" s="93"/>
      <c r="U335" s="93"/>
      <c r="V335" s="93"/>
      <c r="W335" s="93"/>
      <c r="X335" s="93"/>
      <c r="Y335" s="93"/>
      <c r="Z335" s="93"/>
    </row>
    <row r="336" spans="1:26" ht="15.75" customHeight="1">
      <c r="A336" s="440">
        <v>44998</v>
      </c>
      <c r="B336" s="442">
        <f t="shared" si="0"/>
        <v>44998</v>
      </c>
      <c r="C336" s="443">
        <v>0</v>
      </c>
      <c r="D336" s="443">
        <v>0</v>
      </c>
      <c r="E336" s="408">
        <f t="shared" si="1"/>
        <v>0</v>
      </c>
      <c r="F336" s="93"/>
      <c r="G336" s="439"/>
      <c r="H336" s="439"/>
      <c r="I336" s="439"/>
      <c r="J336" s="439"/>
      <c r="K336" s="439"/>
      <c r="L336" s="93"/>
      <c r="M336" s="93"/>
      <c r="N336" s="93"/>
      <c r="O336" s="93"/>
      <c r="P336" s="93"/>
      <c r="Q336" s="93"/>
      <c r="R336" s="93"/>
      <c r="S336" s="93"/>
      <c r="T336" s="93"/>
      <c r="U336" s="93"/>
      <c r="V336" s="93"/>
      <c r="W336" s="93"/>
      <c r="X336" s="93"/>
      <c r="Y336" s="93"/>
      <c r="Z336" s="93"/>
    </row>
    <row r="337" spans="1:26" ht="15.75" customHeight="1">
      <c r="A337" s="440">
        <v>44999</v>
      </c>
      <c r="B337" s="442">
        <f t="shared" si="0"/>
        <v>44999</v>
      </c>
      <c r="C337" s="443">
        <v>0</v>
      </c>
      <c r="D337" s="443">
        <v>0</v>
      </c>
      <c r="E337" s="408">
        <f t="shared" si="1"/>
        <v>0</v>
      </c>
      <c r="F337" s="93"/>
      <c r="G337" s="439"/>
      <c r="H337" s="439"/>
      <c r="I337" s="439"/>
      <c r="J337" s="439"/>
      <c r="K337" s="439"/>
      <c r="L337" s="93"/>
      <c r="M337" s="93"/>
      <c r="N337" s="93"/>
      <c r="O337" s="93"/>
      <c r="P337" s="93"/>
      <c r="Q337" s="93"/>
      <c r="R337" s="93"/>
      <c r="S337" s="93"/>
      <c r="T337" s="93"/>
      <c r="U337" s="93"/>
      <c r="V337" s="93"/>
      <c r="W337" s="93"/>
      <c r="X337" s="93"/>
      <c r="Y337" s="93"/>
      <c r="Z337" s="93"/>
    </row>
    <row r="338" spans="1:26" ht="15.75" customHeight="1">
      <c r="A338" s="440">
        <v>45000</v>
      </c>
      <c r="B338" s="442">
        <f t="shared" si="0"/>
        <v>45000</v>
      </c>
      <c r="C338" s="443">
        <v>0</v>
      </c>
      <c r="D338" s="443">
        <v>0</v>
      </c>
      <c r="E338" s="408">
        <f t="shared" si="1"/>
        <v>0</v>
      </c>
      <c r="F338" s="93"/>
      <c r="G338" s="439"/>
      <c r="H338" s="439"/>
      <c r="I338" s="439"/>
      <c r="J338" s="439"/>
      <c r="K338" s="439"/>
      <c r="L338" s="93"/>
      <c r="M338" s="93"/>
      <c r="N338" s="93"/>
      <c r="O338" s="93"/>
      <c r="P338" s="93"/>
      <c r="Q338" s="93"/>
      <c r="R338" s="93"/>
      <c r="S338" s="93"/>
      <c r="T338" s="93"/>
      <c r="U338" s="93"/>
      <c r="V338" s="93"/>
      <c r="W338" s="93"/>
      <c r="X338" s="93"/>
      <c r="Y338" s="93"/>
      <c r="Z338" s="93"/>
    </row>
    <row r="339" spans="1:26" ht="15.75" customHeight="1">
      <c r="A339" s="440">
        <v>45001</v>
      </c>
      <c r="B339" s="442">
        <f t="shared" si="0"/>
        <v>45001</v>
      </c>
      <c r="C339" s="443">
        <v>0</v>
      </c>
      <c r="D339" s="443">
        <v>0</v>
      </c>
      <c r="E339" s="408">
        <f t="shared" si="1"/>
        <v>0</v>
      </c>
      <c r="F339" s="93"/>
      <c r="G339" s="439"/>
      <c r="H339" s="439"/>
      <c r="I339" s="439"/>
      <c r="J339" s="439"/>
      <c r="K339" s="439"/>
      <c r="L339" s="93"/>
      <c r="M339" s="93"/>
      <c r="N339" s="93"/>
      <c r="O339" s="93"/>
      <c r="P339" s="93"/>
      <c r="Q339" s="93"/>
      <c r="R339" s="93"/>
      <c r="S339" s="93"/>
      <c r="T339" s="93"/>
      <c r="U339" s="93"/>
      <c r="V339" s="93"/>
      <c r="W339" s="93"/>
      <c r="X339" s="93"/>
      <c r="Y339" s="93"/>
      <c r="Z339" s="93"/>
    </row>
    <row r="340" spans="1:26" ht="15.75" customHeight="1">
      <c r="A340" s="440">
        <v>45002</v>
      </c>
      <c r="B340" s="442">
        <f t="shared" si="0"/>
        <v>45002</v>
      </c>
      <c r="C340" s="443"/>
      <c r="D340" s="443"/>
      <c r="E340" s="408">
        <f t="shared" si="1"/>
        <v>0</v>
      </c>
      <c r="F340" s="93"/>
      <c r="G340" s="439"/>
      <c r="H340" s="439"/>
      <c r="I340" s="439"/>
      <c r="J340" s="439"/>
      <c r="K340" s="439"/>
      <c r="L340" s="93"/>
      <c r="M340" s="93"/>
      <c r="N340" s="93"/>
      <c r="O340" s="93"/>
      <c r="P340" s="93"/>
      <c r="Q340" s="93"/>
      <c r="R340" s="93"/>
      <c r="S340" s="93"/>
      <c r="T340" s="93"/>
      <c r="U340" s="93"/>
      <c r="V340" s="93"/>
      <c r="W340" s="93"/>
      <c r="X340" s="93"/>
      <c r="Y340" s="93"/>
      <c r="Z340" s="93"/>
    </row>
    <row r="341" spans="1:26" ht="15.75" customHeight="1">
      <c r="A341" s="440">
        <v>45005</v>
      </c>
      <c r="B341" s="442">
        <f t="shared" si="0"/>
        <v>45005</v>
      </c>
      <c r="C341" s="443"/>
      <c r="D341" s="443"/>
      <c r="E341" s="408">
        <f t="shared" si="1"/>
        <v>0</v>
      </c>
      <c r="F341" s="93"/>
      <c r="G341" s="439"/>
      <c r="H341" s="439"/>
      <c r="I341" s="439"/>
      <c r="J341" s="439"/>
      <c r="K341" s="439"/>
      <c r="L341" s="93"/>
      <c r="M341" s="93"/>
      <c r="N341" s="93"/>
      <c r="O341" s="93"/>
      <c r="P341" s="93"/>
      <c r="Q341" s="93"/>
      <c r="R341" s="93"/>
      <c r="S341" s="93"/>
      <c r="T341" s="93"/>
      <c r="U341" s="93"/>
      <c r="V341" s="93"/>
      <c r="W341" s="93"/>
      <c r="X341" s="93"/>
      <c r="Y341" s="93"/>
      <c r="Z341" s="93"/>
    </row>
    <row r="342" spans="1:26" ht="15.75" customHeight="1">
      <c r="A342" s="440">
        <v>45006</v>
      </c>
      <c r="B342" s="442">
        <f t="shared" si="0"/>
        <v>45006</v>
      </c>
      <c r="C342" s="443"/>
      <c r="D342" s="443"/>
      <c r="E342" s="408">
        <f t="shared" si="1"/>
        <v>0</v>
      </c>
      <c r="F342" s="93"/>
      <c r="G342" s="439"/>
      <c r="H342" s="439"/>
      <c r="I342" s="439"/>
      <c r="J342" s="439"/>
      <c r="K342" s="439"/>
      <c r="L342" s="93"/>
      <c r="M342" s="93"/>
      <c r="N342" s="93"/>
      <c r="O342" s="93"/>
      <c r="P342" s="93"/>
      <c r="Q342" s="93"/>
      <c r="R342" s="93"/>
      <c r="S342" s="93"/>
      <c r="T342" s="93"/>
      <c r="U342" s="93"/>
      <c r="V342" s="93"/>
      <c r="W342" s="93"/>
      <c r="X342" s="93"/>
      <c r="Y342" s="93"/>
      <c r="Z342" s="93"/>
    </row>
    <row r="343" spans="1:26" ht="15.75" customHeight="1">
      <c r="A343" s="440">
        <v>45007</v>
      </c>
      <c r="B343" s="442">
        <f t="shared" si="0"/>
        <v>45007</v>
      </c>
      <c r="C343" s="443"/>
      <c r="D343" s="443"/>
      <c r="E343" s="408">
        <f t="shared" si="1"/>
        <v>0</v>
      </c>
      <c r="F343" s="93"/>
      <c r="G343" s="439"/>
      <c r="H343" s="439"/>
      <c r="I343" s="439"/>
      <c r="J343" s="439"/>
      <c r="K343" s="439"/>
      <c r="L343" s="93"/>
      <c r="M343" s="93"/>
      <c r="N343" s="93"/>
      <c r="O343" s="93"/>
      <c r="P343" s="93"/>
      <c r="Q343" s="93"/>
      <c r="R343" s="93"/>
      <c r="S343" s="93"/>
      <c r="T343" s="93"/>
      <c r="U343" s="93"/>
      <c r="V343" s="93"/>
      <c r="W343" s="93"/>
      <c r="X343" s="93"/>
      <c r="Y343" s="93"/>
      <c r="Z343" s="93"/>
    </row>
    <row r="344" spans="1:26" ht="15.75" customHeight="1">
      <c r="A344" s="440">
        <v>45008</v>
      </c>
      <c r="B344" s="442">
        <f t="shared" si="0"/>
        <v>45008</v>
      </c>
      <c r="C344" s="443"/>
      <c r="D344" s="443"/>
      <c r="E344" s="408">
        <f t="shared" si="1"/>
        <v>0</v>
      </c>
      <c r="F344" s="93"/>
      <c r="G344" s="439"/>
      <c r="H344" s="439"/>
      <c r="I344" s="439"/>
      <c r="J344" s="439"/>
      <c r="K344" s="439"/>
      <c r="L344" s="93"/>
      <c r="M344" s="93"/>
      <c r="N344" s="93"/>
      <c r="O344" s="93"/>
      <c r="P344" s="93"/>
      <c r="Q344" s="93"/>
      <c r="R344" s="93"/>
      <c r="S344" s="93"/>
      <c r="T344" s="93"/>
      <c r="U344" s="93"/>
      <c r="V344" s="93"/>
      <c r="W344" s="93"/>
      <c r="X344" s="93"/>
      <c r="Y344" s="93"/>
      <c r="Z344" s="93"/>
    </row>
    <row r="345" spans="1:26" ht="15.75" customHeight="1">
      <c r="A345" s="440">
        <v>45009</v>
      </c>
      <c r="B345" s="442">
        <f t="shared" si="0"/>
        <v>45009</v>
      </c>
      <c r="C345" s="443"/>
      <c r="D345" s="443"/>
      <c r="E345" s="408">
        <f t="shared" si="1"/>
        <v>0</v>
      </c>
      <c r="F345" s="93"/>
      <c r="G345" s="439"/>
      <c r="H345" s="439"/>
      <c r="I345" s="439"/>
      <c r="J345" s="439"/>
      <c r="K345" s="439"/>
      <c r="L345" s="93"/>
      <c r="M345" s="93"/>
      <c r="N345" s="93"/>
      <c r="O345" s="93"/>
      <c r="P345" s="93"/>
      <c r="Q345" s="93"/>
      <c r="R345" s="93"/>
      <c r="S345" s="93"/>
      <c r="T345" s="93"/>
      <c r="U345" s="93"/>
      <c r="V345" s="93"/>
      <c r="W345" s="93"/>
      <c r="X345" s="93"/>
      <c r="Y345" s="93"/>
      <c r="Z345" s="93"/>
    </row>
    <row r="346" spans="1:26" ht="15.75" customHeight="1">
      <c r="A346" s="440">
        <v>45012</v>
      </c>
      <c r="B346" s="442">
        <f t="shared" si="0"/>
        <v>45012</v>
      </c>
      <c r="C346" s="443"/>
      <c r="D346" s="443"/>
      <c r="E346" s="408">
        <f t="shared" si="1"/>
        <v>0</v>
      </c>
      <c r="F346" s="93"/>
      <c r="G346" s="439"/>
      <c r="H346" s="439"/>
      <c r="I346" s="439"/>
      <c r="J346" s="439"/>
      <c r="K346" s="439"/>
      <c r="L346" s="93"/>
      <c r="M346" s="93"/>
      <c r="N346" s="93"/>
      <c r="O346" s="93"/>
      <c r="P346" s="93"/>
      <c r="Q346" s="93"/>
      <c r="R346" s="93"/>
      <c r="S346" s="93"/>
      <c r="T346" s="93"/>
      <c r="U346" s="93"/>
      <c r="V346" s="93"/>
      <c r="W346" s="93"/>
      <c r="X346" s="93"/>
      <c r="Y346" s="93"/>
      <c r="Z346" s="93"/>
    </row>
    <row r="347" spans="1:26" ht="15.75" customHeight="1">
      <c r="A347" s="440">
        <v>45013</v>
      </c>
      <c r="B347" s="442">
        <f t="shared" si="0"/>
        <v>45013</v>
      </c>
      <c r="C347" s="443"/>
      <c r="D347" s="443"/>
      <c r="E347" s="408">
        <f t="shared" si="1"/>
        <v>0</v>
      </c>
      <c r="F347" s="93"/>
      <c r="G347" s="439"/>
      <c r="H347" s="439"/>
      <c r="I347" s="439"/>
      <c r="J347" s="439"/>
      <c r="K347" s="439"/>
      <c r="L347" s="93"/>
      <c r="M347" s="93"/>
      <c r="N347" s="93"/>
      <c r="O347" s="93"/>
      <c r="P347" s="93"/>
      <c r="Q347" s="93"/>
      <c r="R347" s="93"/>
      <c r="S347" s="93"/>
      <c r="T347" s="93"/>
      <c r="U347" s="93"/>
      <c r="V347" s="93"/>
      <c r="W347" s="93"/>
      <c r="X347" s="93"/>
      <c r="Y347" s="93"/>
      <c r="Z347" s="93"/>
    </row>
    <row r="348" spans="1:26" ht="15.75" customHeight="1">
      <c r="A348" s="440">
        <v>45014</v>
      </c>
      <c r="B348" s="442">
        <f t="shared" si="0"/>
        <v>45014</v>
      </c>
      <c r="C348" s="443"/>
      <c r="D348" s="443"/>
      <c r="E348" s="408">
        <f t="shared" si="1"/>
        <v>0</v>
      </c>
      <c r="F348" s="93"/>
      <c r="G348" s="439"/>
      <c r="H348" s="439"/>
      <c r="I348" s="439"/>
      <c r="J348" s="439"/>
      <c r="K348" s="439"/>
      <c r="L348" s="93"/>
      <c r="M348" s="93"/>
      <c r="N348" s="93"/>
      <c r="O348" s="93"/>
      <c r="P348" s="93"/>
      <c r="Q348" s="93"/>
      <c r="R348" s="93"/>
      <c r="S348" s="93"/>
      <c r="T348" s="93"/>
      <c r="U348" s="93"/>
      <c r="V348" s="93"/>
      <c r="W348" s="93"/>
      <c r="X348" s="93"/>
      <c r="Y348" s="93"/>
      <c r="Z348" s="93"/>
    </row>
    <row r="349" spans="1:26" ht="15.75" customHeight="1">
      <c r="A349" s="440">
        <v>45016</v>
      </c>
      <c r="B349" s="442">
        <f t="shared" si="0"/>
        <v>45016</v>
      </c>
      <c r="C349" s="443"/>
      <c r="D349" s="443"/>
      <c r="E349" s="408">
        <f t="shared" si="1"/>
        <v>0</v>
      </c>
      <c r="F349" s="93"/>
      <c r="G349" s="439"/>
      <c r="H349" s="439"/>
      <c r="I349" s="439"/>
      <c r="J349" s="439"/>
      <c r="K349" s="439"/>
      <c r="L349" s="93"/>
      <c r="M349" s="93"/>
      <c r="N349" s="93"/>
      <c r="O349" s="93"/>
      <c r="P349" s="93"/>
      <c r="Q349" s="93"/>
      <c r="R349" s="93"/>
      <c r="S349" s="93"/>
      <c r="T349" s="93"/>
      <c r="U349" s="93"/>
      <c r="V349" s="93"/>
      <c r="W349" s="93"/>
      <c r="X349" s="93"/>
      <c r="Y349" s="93"/>
      <c r="Z349" s="93"/>
    </row>
    <row r="350" spans="1:26" ht="15.75" customHeight="1">
      <c r="A350" s="444" t="s">
        <v>484</v>
      </c>
      <c r="B350" s="445"/>
      <c r="C350" s="443"/>
      <c r="D350" s="408">
        <f>-249.93-47.93</f>
        <v>-297.86</v>
      </c>
      <c r="E350" s="408">
        <f t="shared" si="1"/>
        <v>-297.86</v>
      </c>
      <c r="F350" s="93"/>
      <c r="G350" s="439"/>
      <c r="H350" s="439"/>
      <c r="I350" s="439"/>
      <c r="J350" s="439"/>
      <c r="K350" s="439"/>
      <c r="L350" s="93"/>
      <c r="M350" s="93"/>
      <c r="N350" s="93"/>
      <c r="O350" s="93"/>
      <c r="P350" s="93"/>
      <c r="Q350" s="93"/>
      <c r="R350" s="93"/>
      <c r="S350" s="93"/>
      <c r="T350" s="93"/>
      <c r="U350" s="93"/>
      <c r="V350" s="93"/>
      <c r="W350" s="93"/>
      <c r="X350" s="93"/>
      <c r="Y350" s="93"/>
      <c r="Z350" s="93"/>
    </row>
    <row r="351" spans="1:26" ht="15.75" customHeight="1">
      <c r="A351" s="446" t="s">
        <v>1402</v>
      </c>
      <c r="B351" s="445"/>
      <c r="C351" s="443"/>
      <c r="D351" s="408"/>
      <c r="E351" s="408">
        <f t="shared" si="1"/>
        <v>0</v>
      </c>
      <c r="F351" s="93"/>
      <c r="G351" s="439"/>
      <c r="H351" s="439"/>
      <c r="I351" s="439"/>
      <c r="J351" s="439"/>
      <c r="K351" s="439"/>
      <c r="L351" s="93"/>
      <c r="M351" s="93"/>
      <c r="N351" s="93"/>
      <c r="O351" s="93"/>
      <c r="P351" s="93"/>
      <c r="Q351" s="93"/>
      <c r="R351" s="93"/>
      <c r="S351" s="93"/>
      <c r="T351" s="93"/>
      <c r="U351" s="93"/>
      <c r="V351" s="93"/>
      <c r="W351" s="93"/>
      <c r="X351" s="93"/>
      <c r="Y351" s="93"/>
      <c r="Z351" s="93"/>
    </row>
    <row r="352" spans="1:26" ht="15.75" customHeight="1">
      <c r="A352" s="444" t="s">
        <v>267</v>
      </c>
      <c r="B352" s="445"/>
      <c r="C352" s="443">
        <v>0</v>
      </c>
      <c r="D352" s="408">
        <v>0</v>
      </c>
      <c r="E352" s="408">
        <f t="shared" si="1"/>
        <v>0</v>
      </c>
      <c r="F352" s="93"/>
      <c r="G352" s="439"/>
      <c r="H352" s="439"/>
      <c r="I352" s="439"/>
      <c r="J352" s="439"/>
      <c r="K352" s="439"/>
      <c r="L352" s="93"/>
      <c r="M352" s="93"/>
      <c r="N352" s="93"/>
      <c r="O352" s="93"/>
      <c r="P352" s="93"/>
      <c r="Q352" s="93"/>
      <c r="R352" s="93"/>
      <c r="S352" s="93"/>
      <c r="T352" s="93"/>
      <c r="U352" s="93"/>
      <c r="V352" s="93"/>
      <c r="W352" s="93"/>
      <c r="X352" s="93"/>
      <c r="Y352" s="93"/>
      <c r="Z352" s="93"/>
    </row>
    <row r="353" spans="1:26" ht="15.75" customHeight="1">
      <c r="A353" s="444" t="s">
        <v>1403</v>
      </c>
      <c r="B353" s="445"/>
      <c r="C353" s="443">
        <v>0</v>
      </c>
      <c r="D353" s="408">
        <v>0</v>
      </c>
      <c r="E353" s="408">
        <f t="shared" si="1"/>
        <v>0</v>
      </c>
      <c r="F353" s="93"/>
      <c r="G353" s="439"/>
      <c r="H353" s="439"/>
      <c r="I353" s="439"/>
      <c r="J353" s="439"/>
      <c r="K353" s="439"/>
      <c r="L353" s="93"/>
      <c r="M353" s="93"/>
      <c r="N353" s="93"/>
      <c r="O353" s="93"/>
      <c r="P353" s="93"/>
      <c r="Q353" s="93"/>
      <c r="R353" s="93"/>
      <c r="S353" s="93"/>
      <c r="T353" s="93"/>
      <c r="U353" s="93"/>
      <c r="V353" s="93"/>
      <c r="W353" s="93"/>
      <c r="X353" s="93"/>
      <c r="Y353" s="93"/>
      <c r="Z353" s="93"/>
    </row>
    <row r="354" spans="1:26" ht="15.75" customHeight="1">
      <c r="A354" s="409" t="s">
        <v>18</v>
      </c>
      <c r="B354" s="408"/>
      <c r="C354" s="408">
        <f t="shared" ref="C354:E354" si="2">SUM(C2:C353)</f>
        <v>151438.80000000019</v>
      </c>
      <c r="D354" s="408">
        <f t="shared" si="2"/>
        <v>100312.74000000006</v>
      </c>
      <c r="E354" s="408">
        <f t="shared" si="2"/>
        <v>251751.5400000001</v>
      </c>
      <c r="F354" s="93"/>
      <c r="G354" s="439"/>
      <c r="H354" s="439"/>
      <c r="I354" s="439"/>
      <c r="J354" s="439"/>
      <c r="K354" s="439"/>
      <c r="L354" s="93"/>
      <c r="M354" s="93"/>
      <c r="N354" s="93"/>
      <c r="O354" s="93"/>
      <c r="P354" s="93"/>
      <c r="Q354" s="93"/>
      <c r="R354" s="93"/>
      <c r="S354" s="93"/>
      <c r="T354" s="93"/>
      <c r="U354" s="93"/>
      <c r="V354" s="93"/>
      <c r="W354" s="93"/>
      <c r="X354" s="93"/>
      <c r="Y354" s="93"/>
      <c r="Z354" s="93"/>
    </row>
    <row r="355" spans="1:26" ht="7.5" customHeight="1">
      <c r="A355" s="447"/>
      <c r="B355" s="439"/>
      <c r="C355" s="448"/>
      <c r="D355" s="448"/>
      <c r="E355" s="439"/>
      <c r="F355" s="448"/>
      <c r="G355" s="439"/>
      <c r="H355" s="439"/>
      <c r="I355" s="439"/>
      <c r="J355" s="439"/>
      <c r="K355" s="439"/>
      <c r="L355" s="93"/>
      <c r="M355" s="93"/>
      <c r="N355" s="93"/>
      <c r="O355" s="93"/>
      <c r="P355" s="93"/>
      <c r="Q355" s="93"/>
      <c r="R355" s="93"/>
      <c r="S355" s="93"/>
      <c r="T355" s="93"/>
      <c r="U355" s="93"/>
      <c r="V355" s="93"/>
      <c r="W355" s="93"/>
      <c r="X355" s="93"/>
      <c r="Y355" s="93"/>
      <c r="Z355" s="93"/>
    </row>
    <row r="356" spans="1:26" ht="15.75" customHeight="1">
      <c r="A356" s="41" t="s">
        <v>23</v>
      </c>
      <c r="B356" s="439" t="s">
        <v>1404</v>
      </c>
      <c r="C356" s="449" t="s">
        <v>1405</v>
      </c>
      <c r="D356" s="449" t="s">
        <v>1406</v>
      </c>
      <c r="E356" s="450" t="s">
        <v>1407</v>
      </c>
      <c r="F356" s="450" t="s">
        <v>1408</v>
      </c>
      <c r="G356" s="439" t="s">
        <v>1409</v>
      </c>
      <c r="H356" s="439" t="s">
        <v>1410</v>
      </c>
      <c r="I356" s="439" t="s">
        <v>1411</v>
      </c>
      <c r="J356" s="439" t="s">
        <v>1412</v>
      </c>
      <c r="K356" s="439"/>
      <c r="L356" s="93"/>
      <c r="M356" s="93"/>
      <c r="N356" s="93"/>
      <c r="O356" s="93"/>
      <c r="P356" s="93"/>
      <c r="Q356" s="93"/>
      <c r="R356" s="93"/>
      <c r="S356" s="93"/>
      <c r="T356" s="93"/>
      <c r="U356" s="93"/>
      <c r="V356" s="93"/>
      <c r="W356" s="93"/>
      <c r="X356" s="93"/>
      <c r="Y356" s="93"/>
      <c r="Z356" s="93"/>
    </row>
    <row r="357" spans="1:26" ht="15.75" customHeight="1">
      <c r="A357" s="451">
        <v>44470</v>
      </c>
      <c r="B357" s="452">
        <v>20</v>
      </c>
      <c r="C357" s="408">
        <v>1317.22</v>
      </c>
      <c r="D357" s="408">
        <v>15806.630000000001</v>
      </c>
      <c r="E357" s="452">
        <v>12</v>
      </c>
      <c r="F357" s="452">
        <f t="shared" ref="F357:F364" si="3">IF(E357="","",B357-E357)</f>
        <v>8</v>
      </c>
      <c r="G357" s="453">
        <f t="shared" ref="G357:G374" si="4">IF(D357="","",RANK(D357,D$357:D$375))</f>
        <v>6</v>
      </c>
      <c r="H357" s="453">
        <f t="shared" ref="H357:H374" si="5">IF(C357="","",RANK(C357,C$357:C$375))</f>
        <v>4</v>
      </c>
      <c r="I357" s="454">
        <v>28</v>
      </c>
      <c r="J357" s="454">
        <v>1</v>
      </c>
      <c r="K357" s="439"/>
      <c r="L357" s="93"/>
      <c r="M357" s="93"/>
      <c r="N357" s="93"/>
      <c r="O357" s="93"/>
      <c r="P357" s="93"/>
      <c r="Q357" s="93"/>
      <c r="R357" s="93"/>
      <c r="S357" s="93"/>
      <c r="T357" s="93"/>
      <c r="U357" s="93"/>
      <c r="V357" s="93"/>
      <c r="W357" s="93"/>
      <c r="X357" s="93"/>
      <c r="Y357" s="93"/>
      <c r="Z357" s="93"/>
    </row>
    <row r="358" spans="1:26" ht="15.75" customHeight="1">
      <c r="A358" s="451">
        <v>44501</v>
      </c>
      <c r="B358" s="452">
        <v>19</v>
      </c>
      <c r="C358" s="408">
        <v>910.85</v>
      </c>
      <c r="D358" s="408">
        <v>6375.9500000000007</v>
      </c>
      <c r="E358" s="452">
        <v>7</v>
      </c>
      <c r="F358" s="452">
        <f t="shared" si="3"/>
        <v>12</v>
      </c>
      <c r="G358" s="453">
        <f t="shared" si="4"/>
        <v>13</v>
      </c>
      <c r="H358" s="453">
        <f t="shared" si="5"/>
        <v>9</v>
      </c>
      <c r="I358" s="454">
        <v>30</v>
      </c>
      <c r="J358" s="454">
        <v>2</v>
      </c>
      <c r="K358" s="439"/>
      <c r="L358" s="93"/>
      <c r="M358" s="93"/>
      <c r="N358" s="93"/>
      <c r="O358" s="93"/>
      <c r="P358" s="93"/>
      <c r="Q358" s="93"/>
      <c r="R358" s="93"/>
      <c r="S358" s="93"/>
      <c r="T358" s="93"/>
      <c r="U358" s="93"/>
      <c r="V358" s="93"/>
      <c r="W358" s="93"/>
      <c r="X358" s="93"/>
      <c r="Y358" s="93"/>
      <c r="Z358" s="93"/>
    </row>
    <row r="359" spans="1:26" ht="15.75" customHeight="1">
      <c r="A359" s="451">
        <v>44531</v>
      </c>
      <c r="B359" s="452">
        <v>23</v>
      </c>
      <c r="C359" s="408">
        <v>1028.47</v>
      </c>
      <c r="D359" s="408">
        <v>15426.99</v>
      </c>
      <c r="E359" s="452">
        <v>15</v>
      </c>
      <c r="F359" s="452">
        <f t="shared" si="3"/>
        <v>8</v>
      </c>
      <c r="G359" s="453">
        <f t="shared" si="4"/>
        <v>7</v>
      </c>
      <c r="H359" s="453">
        <f t="shared" si="5"/>
        <v>8</v>
      </c>
      <c r="I359" s="454">
        <v>31</v>
      </c>
      <c r="J359" s="454">
        <v>3</v>
      </c>
      <c r="K359" s="439"/>
      <c r="L359" s="93"/>
      <c r="M359" s="93"/>
      <c r="N359" s="93"/>
      <c r="O359" s="93"/>
      <c r="P359" s="93"/>
      <c r="Q359" s="93"/>
      <c r="R359" s="93"/>
      <c r="S359" s="93"/>
      <c r="T359" s="93"/>
      <c r="U359" s="93"/>
      <c r="V359" s="93"/>
      <c r="W359" s="93"/>
      <c r="X359" s="93"/>
      <c r="Y359" s="93"/>
      <c r="Z359" s="93"/>
    </row>
    <row r="360" spans="1:26" ht="15.75" customHeight="1">
      <c r="A360" s="451">
        <v>44562</v>
      </c>
      <c r="B360" s="452">
        <v>20</v>
      </c>
      <c r="C360" s="408">
        <v>1223.67</v>
      </c>
      <c r="D360" s="408">
        <v>24473.4</v>
      </c>
      <c r="E360" s="452">
        <v>20</v>
      </c>
      <c r="F360" s="452">
        <f t="shared" si="3"/>
        <v>0</v>
      </c>
      <c r="G360" s="453">
        <f t="shared" si="4"/>
        <v>3</v>
      </c>
      <c r="H360" s="453">
        <f t="shared" si="5"/>
        <v>6</v>
      </c>
      <c r="I360" s="454">
        <v>31</v>
      </c>
      <c r="J360" s="454">
        <v>4</v>
      </c>
      <c r="K360" s="439"/>
      <c r="L360" s="93"/>
      <c r="M360" s="93"/>
      <c r="N360" s="93"/>
      <c r="O360" s="93"/>
      <c r="P360" s="93"/>
      <c r="Q360" s="93"/>
      <c r="R360" s="93"/>
      <c r="S360" s="93"/>
      <c r="T360" s="93"/>
      <c r="U360" s="93"/>
      <c r="V360" s="93"/>
      <c r="W360" s="93"/>
      <c r="X360" s="93"/>
      <c r="Y360" s="93"/>
      <c r="Z360" s="93"/>
    </row>
    <row r="361" spans="1:26" ht="15.75" customHeight="1">
      <c r="A361" s="451">
        <v>44593</v>
      </c>
      <c r="B361" s="452">
        <v>20</v>
      </c>
      <c r="C361" s="408">
        <v>749.14</v>
      </c>
      <c r="D361" s="408">
        <v>11986.199999999993</v>
      </c>
      <c r="E361" s="452">
        <v>16</v>
      </c>
      <c r="F361" s="452">
        <f t="shared" si="3"/>
        <v>4</v>
      </c>
      <c r="G361" s="453">
        <f t="shared" si="4"/>
        <v>9</v>
      </c>
      <c r="H361" s="453">
        <f t="shared" si="5"/>
        <v>10</v>
      </c>
      <c r="I361" s="454">
        <v>28</v>
      </c>
      <c r="J361" s="454">
        <v>5</v>
      </c>
      <c r="K361" s="439"/>
      <c r="L361" s="93"/>
      <c r="M361" s="93"/>
      <c r="N361" s="93"/>
      <c r="O361" s="93"/>
      <c r="P361" s="93"/>
      <c r="Q361" s="93"/>
      <c r="R361" s="93"/>
      <c r="S361" s="93"/>
      <c r="T361" s="93"/>
      <c r="U361" s="93"/>
      <c r="V361" s="93"/>
      <c r="W361" s="93"/>
      <c r="X361" s="93"/>
      <c r="Y361" s="93"/>
      <c r="Z361" s="93"/>
    </row>
    <row r="362" spans="1:26" ht="15.75" customHeight="1">
      <c r="A362" s="451">
        <v>44621</v>
      </c>
      <c r="B362" s="452">
        <v>21</v>
      </c>
      <c r="C362" s="408">
        <v>443.05</v>
      </c>
      <c r="D362" s="408">
        <v>8861.0699999999979</v>
      </c>
      <c r="E362" s="452">
        <v>20</v>
      </c>
      <c r="F362" s="452">
        <f t="shared" si="3"/>
        <v>1</v>
      </c>
      <c r="G362" s="453">
        <f t="shared" si="4"/>
        <v>11</v>
      </c>
      <c r="H362" s="453">
        <f t="shared" si="5"/>
        <v>13</v>
      </c>
      <c r="I362" s="454">
        <v>31</v>
      </c>
      <c r="J362" s="454">
        <v>6</v>
      </c>
      <c r="K362" s="439"/>
      <c r="L362" s="93"/>
      <c r="M362" s="93"/>
      <c r="N362" s="93"/>
      <c r="O362" s="93"/>
      <c r="P362" s="93"/>
      <c r="Q362" s="93"/>
      <c r="R362" s="93"/>
      <c r="S362" s="93"/>
      <c r="T362" s="93"/>
      <c r="U362" s="93"/>
      <c r="V362" s="93"/>
      <c r="W362" s="93"/>
      <c r="X362" s="93"/>
      <c r="Y362" s="93"/>
      <c r="Z362" s="93"/>
    </row>
    <row r="363" spans="1:26" ht="15.75" customHeight="1">
      <c r="A363" s="451">
        <v>44652</v>
      </c>
      <c r="B363" s="452">
        <v>19</v>
      </c>
      <c r="C363" s="408">
        <v>2613.29</v>
      </c>
      <c r="D363" s="408">
        <v>47039.24</v>
      </c>
      <c r="E363" s="452">
        <v>18</v>
      </c>
      <c r="F363" s="452">
        <f t="shared" si="3"/>
        <v>1</v>
      </c>
      <c r="G363" s="453">
        <f t="shared" si="4"/>
        <v>1</v>
      </c>
      <c r="H363" s="453">
        <f t="shared" si="5"/>
        <v>1</v>
      </c>
      <c r="I363" s="454">
        <v>30</v>
      </c>
      <c r="J363" s="454">
        <v>7</v>
      </c>
      <c r="K363" s="439"/>
      <c r="L363" s="93"/>
      <c r="M363" s="93"/>
      <c r="N363" s="93"/>
      <c r="O363" s="93"/>
      <c r="P363" s="93"/>
      <c r="Q363" s="93"/>
      <c r="R363" s="93"/>
      <c r="S363" s="93"/>
      <c r="T363" s="93"/>
      <c r="U363" s="93"/>
      <c r="V363" s="93"/>
      <c r="W363" s="93"/>
      <c r="X363" s="93"/>
      <c r="Y363" s="93"/>
      <c r="Z363" s="93"/>
    </row>
    <row r="364" spans="1:26" ht="15.75" customHeight="1">
      <c r="A364" s="451">
        <v>44682</v>
      </c>
      <c r="B364" s="452">
        <v>21</v>
      </c>
      <c r="C364" s="408">
        <v>2224.3200000000002</v>
      </c>
      <c r="D364" s="408">
        <v>46710.74</v>
      </c>
      <c r="E364" s="452">
        <v>21</v>
      </c>
      <c r="F364" s="452">
        <f t="shared" si="3"/>
        <v>0</v>
      </c>
      <c r="G364" s="453">
        <f t="shared" si="4"/>
        <v>2</v>
      </c>
      <c r="H364" s="453">
        <f t="shared" si="5"/>
        <v>2</v>
      </c>
      <c r="I364" s="454">
        <v>31</v>
      </c>
      <c r="J364" s="454">
        <v>8</v>
      </c>
      <c r="K364" s="439"/>
      <c r="L364" s="93"/>
      <c r="M364" s="93"/>
      <c r="N364" s="93"/>
      <c r="O364" s="93"/>
      <c r="P364" s="93"/>
      <c r="Q364" s="93"/>
      <c r="R364" s="93"/>
      <c r="S364" s="93"/>
      <c r="T364" s="93"/>
      <c r="U364" s="93"/>
      <c r="V364" s="93"/>
      <c r="W364" s="93"/>
      <c r="X364" s="93"/>
      <c r="Y364" s="93"/>
      <c r="Z364" s="93"/>
    </row>
    <row r="365" spans="1:26" ht="15.75" customHeight="1">
      <c r="A365" s="451">
        <v>44713</v>
      </c>
      <c r="B365" s="452">
        <v>22</v>
      </c>
      <c r="C365" s="408">
        <v>560.28</v>
      </c>
      <c r="D365" s="408">
        <v>11205.620000000019</v>
      </c>
      <c r="E365" s="452">
        <v>20</v>
      </c>
      <c r="F365" s="452">
        <v>2</v>
      </c>
      <c r="G365" s="453">
        <f t="shared" si="4"/>
        <v>10</v>
      </c>
      <c r="H365" s="453">
        <f t="shared" si="5"/>
        <v>11</v>
      </c>
      <c r="I365" s="454">
        <v>30</v>
      </c>
      <c r="J365" s="454">
        <v>9</v>
      </c>
      <c r="K365" s="439"/>
      <c r="L365" s="93"/>
      <c r="M365" s="93"/>
      <c r="N365" s="93"/>
      <c r="O365" s="93"/>
      <c r="P365" s="93"/>
      <c r="Q365" s="93"/>
      <c r="R365" s="93"/>
      <c r="S365" s="93"/>
      <c r="T365" s="93"/>
      <c r="U365" s="93"/>
      <c r="V365" s="93"/>
      <c r="W365" s="93"/>
      <c r="X365" s="93"/>
      <c r="Y365" s="93"/>
      <c r="Z365" s="93"/>
    </row>
    <row r="366" spans="1:26" ht="15.75" customHeight="1">
      <c r="A366" s="451">
        <v>44743</v>
      </c>
      <c r="B366" s="452">
        <v>21</v>
      </c>
      <c r="C366" s="408">
        <v>480.33</v>
      </c>
      <c r="D366" s="408">
        <v>7204.8799999999992</v>
      </c>
      <c r="E366" s="452">
        <v>15</v>
      </c>
      <c r="F366" s="452">
        <v>6</v>
      </c>
      <c r="G366" s="453">
        <f t="shared" si="4"/>
        <v>12</v>
      </c>
      <c r="H366" s="453">
        <f t="shared" si="5"/>
        <v>12</v>
      </c>
      <c r="I366" s="454">
        <v>31</v>
      </c>
      <c r="J366" s="454">
        <v>10</v>
      </c>
      <c r="K366" s="439"/>
      <c r="L366" s="93"/>
      <c r="M366" s="93"/>
      <c r="N366" s="93"/>
      <c r="O366" s="93"/>
      <c r="P366" s="93"/>
      <c r="Q366" s="93"/>
      <c r="R366" s="93"/>
      <c r="S366" s="93"/>
      <c r="T366" s="93"/>
      <c r="U366" s="93"/>
      <c r="V366" s="93"/>
      <c r="W366" s="93"/>
      <c r="X366" s="93"/>
      <c r="Y366" s="93"/>
      <c r="Z366" s="93"/>
    </row>
    <row r="367" spans="1:26" ht="15.75" customHeight="1">
      <c r="A367" s="451">
        <v>44774</v>
      </c>
      <c r="B367" s="452">
        <v>20</v>
      </c>
      <c r="C367" s="408">
        <v>1220.31</v>
      </c>
      <c r="D367" s="408">
        <v>14643.739999999996</v>
      </c>
      <c r="E367" s="452">
        <v>12</v>
      </c>
      <c r="F367" s="452">
        <v>8</v>
      </c>
      <c r="G367" s="453">
        <f t="shared" si="4"/>
        <v>8</v>
      </c>
      <c r="H367" s="453">
        <f t="shared" si="5"/>
        <v>7</v>
      </c>
      <c r="I367" s="454">
        <v>31</v>
      </c>
      <c r="J367" s="454">
        <v>11</v>
      </c>
      <c r="K367" s="439"/>
      <c r="L367" s="93"/>
      <c r="M367" s="93"/>
      <c r="N367" s="93"/>
      <c r="O367" s="93"/>
      <c r="P367" s="93"/>
      <c r="Q367" s="93"/>
      <c r="R367" s="93"/>
      <c r="S367" s="93"/>
      <c r="T367" s="93"/>
      <c r="U367" s="93"/>
      <c r="V367" s="93"/>
      <c r="W367" s="93"/>
      <c r="X367" s="93"/>
      <c r="Y367" s="93"/>
      <c r="Z367" s="93"/>
    </row>
    <row r="368" spans="1:26" ht="15.75" customHeight="1">
      <c r="A368" s="451">
        <v>44805</v>
      </c>
      <c r="B368" s="452">
        <v>22</v>
      </c>
      <c r="C368" s="408">
        <v>1272.28</v>
      </c>
      <c r="D368" s="408">
        <v>20356.43</v>
      </c>
      <c r="E368" s="452">
        <v>16</v>
      </c>
      <c r="F368" s="452">
        <v>6</v>
      </c>
      <c r="G368" s="453">
        <f t="shared" si="4"/>
        <v>4</v>
      </c>
      <c r="H368" s="453">
        <f t="shared" si="5"/>
        <v>5</v>
      </c>
      <c r="I368" s="454">
        <v>30</v>
      </c>
      <c r="J368" s="454">
        <v>12</v>
      </c>
      <c r="K368" s="439"/>
      <c r="L368" s="93"/>
      <c r="M368" s="93"/>
      <c r="N368" s="93"/>
      <c r="O368" s="93"/>
      <c r="P368" s="93"/>
      <c r="Q368" s="93"/>
      <c r="R368" s="93"/>
      <c r="S368" s="93"/>
      <c r="T368" s="93"/>
      <c r="U368" s="93"/>
      <c r="V368" s="93"/>
      <c r="W368" s="93"/>
      <c r="X368" s="93"/>
      <c r="Y368" s="93"/>
      <c r="Z368" s="93"/>
    </row>
    <row r="369" spans="1:26" ht="15.75" customHeight="1">
      <c r="A369" s="451">
        <v>44835</v>
      </c>
      <c r="B369" s="452">
        <f>18+1</f>
        <v>19</v>
      </c>
      <c r="C369" s="408">
        <v>1581.37</v>
      </c>
      <c r="D369" s="408">
        <v>17395.089999999997</v>
      </c>
      <c r="E369" s="452">
        <v>11</v>
      </c>
      <c r="F369" s="452">
        <v>8</v>
      </c>
      <c r="G369" s="453">
        <f t="shared" si="4"/>
        <v>5</v>
      </c>
      <c r="H369" s="453">
        <f t="shared" si="5"/>
        <v>3</v>
      </c>
      <c r="I369" s="454">
        <v>31</v>
      </c>
      <c r="J369" s="454">
        <v>13</v>
      </c>
      <c r="K369" s="439"/>
      <c r="L369" s="93"/>
      <c r="M369" s="93"/>
      <c r="N369" s="93"/>
      <c r="O369" s="93"/>
      <c r="P369" s="93"/>
      <c r="Q369" s="93"/>
      <c r="R369" s="93"/>
      <c r="S369" s="93"/>
      <c r="T369" s="93"/>
      <c r="U369" s="93"/>
      <c r="V369" s="93"/>
      <c r="W369" s="93"/>
      <c r="X369" s="93"/>
      <c r="Y369" s="93"/>
      <c r="Z369" s="93"/>
    </row>
    <row r="370" spans="1:26" ht="15.75" customHeight="1">
      <c r="A370" s="451">
        <v>44866</v>
      </c>
      <c r="B370" s="452">
        <v>21</v>
      </c>
      <c r="C370" s="408">
        <v>170.54</v>
      </c>
      <c r="D370" s="408">
        <v>1705.37</v>
      </c>
      <c r="E370" s="452">
        <v>10</v>
      </c>
      <c r="F370" s="452">
        <v>11</v>
      </c>
      <c r="G370" s="453">
        <f t="shared" si="4"/>
        <v>14</v>
      </c>
      <c r="H370" s="453">
        <f t="shared" si="5"/>
        <v>17</v>
      </c>
      <c r="I370" s="454">
        <v>30</v>
      </c>
      <c r="J370" s="454">
        <v>14</v>
      </c>
      <c r="K370" s="439"/>
      <c r="L370" s="93"/>
      <c r="M370" s="93"/>
      <c r="N370" s="93"/>
      <c r="O370" s="93"/>
      <c r="P370" s="93"/>
      <c r="Q370" s="93"/>
      <c r="R370" s="93"/>
      <c r="S370" s="93"/>
      <c r="T370" s="93"/>
      <c r="U370" s="93"/>
      <c r="V370" s="93"/>
      <c r="W370" s="93"/>
      <c r="X370" s="93"/>
      <c r="Y370" s="93"/>
      <c r="Z370" s="93"/>
    </row>
    <row r="371" spans="1:26" ht="15.75" customHeight="1">
      <c r="A371" s="451">
        <v>44896</v>
      </c>
      <c r="B371" s="452">
        <v>23</v>
      </c>
      <c r="C371" s="408">
        <v>0</v>
      </c>
      <c r="D371" s="408">
        <v>0</v>
      </c>
      <c r="E371" s="452">
        <v>0</v>
      </c>
      <c r="F371" s="452">
        <v>23</v>
      </c>
      <c r="G371" s="453">
        <f t="shared" si="4"/>
        <v>18</v>
      </c>
      <c r="H371" s="453">
        <f t="shared" si="5"/>
        <v>18</v>
      </c>
      <c r="I371" s="454">
        <v>31</v>
      </c>
      <c r="J371" s="454">
        <v>15</v>
      </c>
      <c r="K371" s="439"/>
      <c r="L371" s="93"/>
      <c r="M371" s="93"/>
      <c r="N371" s="93"/>
      <c r="O371" s="93"/>
      <c r="P371" s="93"/>
      <c r="Q371" s="93"/>
      <c r="R371" s="93"/>
      <c r="S371" s="93"/>
      <c r="T371" s="93"/>
      <c r="U371" s="93"/>
      <c r="V371" s="93"/>
      <c r="W371" s="93"/>
      <c r="X371" s="93"/>
      <c r="Y371" s="93"/>
      <c r="Z371" s="93"/>
    </row>
    <row r="372" spans="1:26" ht="15.75" customHeight="1">
      <c r="A372" s="451">
        <v>44927</v>
      </c>
      <c r="B372" s="452">
        <v>21</v>
      </c>
      <c r="C372" s="408">
        <v>283.83</v>
      </c>
      <c r="D372" s="408">
        <v>1135.3199999999924</v>
      </c>
      <c r="E372" s="452">
        <v>4</v>
      </c>
      <c r="F372" s="452">
        <v>17</v>
      </c>
      <c r="G372" s="453">
        <f t="shared" si="4"/>
        <v>16</v>
      </c>
      <c r="H372" s="453">
        <f t="shared" si="5"/>
        <v>14</v>
      </c>
      <c r="I372" s="454">
        <v>31</v>
      </c>
      <c r="J372" s="454">
        <v>16</v>
      </c>
      <c r="K372" s="439"/>
      <c r="L372" s="93"/>
      <c r="M372" s="93"/>
      <c r="N372" s="93"/>
      <c r="O372" s="93"/>
      <c r="P372" s="93"/>
      <c r="Q372" s="93"/>
      <c r="R372" s="93"/>
      <c r="S372" s="93"/>
      <c r="T372" s="93"/>
      <c r="U372" s="93"/>
      <c r="V372" s="93"/>
      <c r="W372" s="93"/>
      <c r="X372" s="93"/>
      <c r="Y372" s="93"/>
      <c r="Z372" s="93"/>
    </row>
    <row r="373" spans="1:26" ht="15.75" customHeight="1">
      <c r="A373" s="451">
        <v>44958</v>
      </c>
      <c r="B373" s="452">
        <v>20</v>
      </c>
      <c r="C373" s="408">
        <v>250.01</v>
      </c>
      <c r="D373" s="408">
        <v>1500.060000000007</v>
      </c>
      <c r="E373" s="452">
        <v>6</v>
      </c>
      <c r="F373" s="452">
        <v>14</v>
      </c>
      <c r="G373" s="453">
        <f t="shared" si="4"/>
        <v>15</v>
      </c>
      <c r="H373" s="453">
        <f t="shared" si="5"/>
        <v>15</v>
      </c>
      <c r="I373" s="454">
        <v>28</v>
      </c>
      <c r="J373" s="454">
        <v>17</v>
      </c>
      <c r="K373" s="439"/>
      <c r="L373" s="93"/>
      <c r="M373" s="93"/>
      <c r="N373" s="93"/>
      <c r="O373" s="93"/>
      <c r="P373" s="93"/>
      <c r="Q373" s="93"/>
      <c r="R373" s="93"/>
      <c r="S373" s="93"/>
      <c r="T373" s="93"/>
      <c r="U373" s="93"/>
      <c r="V373" s="93"/>
      <c r="W373" s="93"/>
      <c r="X373" s="93"/>
      <c r="Y373" s="93"/>
      <c r="Z373" s="93"/>
    </row>
    <row r="374" spans="1:26" ht="15.75" customHeight="1">
      <c r="A374" s="451">
        <v>44986</v>
      </c>
      <c r="B374" s="452">
        <f>COUNTIFS(A$2:A$353,"&gt;="&amp;C$377,A$2:A$353,"&lt;="&amp;D$377)</f>
        <v>21</v>
      </c>
      <c r="C374" s="408">
        <f>IFERROR(ROUND(D374/E374,2),0)</f>
        <v>222.67</v>
      </c>
      <c r="D374" s="408">
        <f>SUMIFS(E$2:E$353,A$2:A$353,"&gt;="&amp;C$377,A$2:A$353,"&lt;="&amp;D$377)</f>
        <v>222.67</v>
      </c>
      <c r="E374" s="452">
        <f>COUNTIFS(A$2:A$353,"&gt;="&amp;C$377,A$2:A$353,"&lt;="&amp;D$377,E$2:E$353,"&lt;&gt;0")</f>
        <v>1</v>
      </c>
      <c r="F374" s="452">
        <f ca="1">IF(E374="","",B374-E374)-A$378</f>
        <v>16</v>
      </c>
      <c r="G374" s="453">
        <f t="shared" si="4"/>
        <v>17</v>
      </c>
      <c r="H374" s="453">
        <f t="shared" si="5"/>
        <v>16</v>
      </c>
      <c r="I374" s="454">
        <v>31</v>
      </c>
      <c r="J374" s="454">
        <v>18</v>
      </c>
      <c r="K374" s="439"/>
      <c r="L374" s="93"/>
      <c r="M374" s="93"/>
      <c r="N374" s="93"/>
      <c r="O374" s="93"/>
      <c r="P374" s="93"/>
      <c r="Q374" s="93"/>
      <c r="R374" s="93"/>
      <c r="S374" s="93"/>
      <c r="T374" s="93"/>
      <c r="U374" s="93"/>
      <c r="V374" s="93"/>
      <c r="W374" s="93"/>
      <c r="X374" s="93"/>
      <c r="Y374" s="93"/>
      <c r="Z374" s="93"/>
    </row>
    <row r="375" spans="1:26" ht="15.75" customHeight="1">
      <c r="A375" s="451"/>
      <c r="B375" s="452"/>
      <c r="C375" s="408"/>
      <c r="D375" s="408"/>
      <c r="E375" s="452"/>
      <c r="F375" s="452"/>
      <c r="G375" s="453"/>
      <c r="H375" s="453"/>
      <c r="I375" s="454"/>
      <c r="J375" s="454"/>
      <c r="K375" s="439"/>
      <c r="L375" s="93"/>
      <c r="M375" s="93"/>
      <c r="N375" s="93"/>
      <c r="O375" s="93"/>
      <c r="P375" s="93"/>
      <c r="Q375" s="93"/>
      <c r="R375" s="93"/>
      <c r="S375" s="93"/>
      <c r="T375" s="93"/>
      <c r="U375" s="93"/>
      <c r="V375" s="93"/>
      <c r="W375" s="93"/>
      <c r="X375" s="93"/>
      <c r="Y375" s="93"/>
      <c r="Z375" s="93"/>
    </row>
    <row r="376" spans="1:26" ht="7.5" customHeight="1">
      <c r="A376" s="447"/>
      <c r="B376" s="439"/>
      <c r="C376" s="439"/>
      <c r="D376" s="93"/>
      <c r="E376" s="439"/>
      <c r="F376" s="439"/>
      <c r="G376" s="439"/>
      <c r="H376" s="439"/>
      <c r="I376" s="439"/>
      <c r="J376" s="93"/>
      <c r="K376" s="439"/>
      <c r="L376" s="93"/>
      <c r="M376" s="93"/>
      <c r="N376" s="93"/>
      <c r="O376" s="93"/>
      <c r="P376" s="93"/>
      <c r="Q376" s="93"/>
      <c r="R376" s="93"/>
      <c r="S376" s="93"/>
      <c r="T376" s="93"/>
      <c r="U376" s="93"/>
      <c r="V376" s="93"/>
      <c r="W376" s="93"/>
      <c r="X376" s="93"/>
      <c r="Y376" s="93"/>
      <c r="Z376" s="93"/>
    </row>
    <row r="377" spans="1:26" ht="15.75" customHeight="1">
      <c r="A377" s="452">
        <f ca="1">COUNTIFS(A$2:A$353,"&lt;="&amp;C$378,A$2:A$353,"&gt;="&amp;C$377)</f>
        <v>17</v>
      </c>
      <c r="B377" s="93"/>
      <c r="C377" s="455">
        <v>44986</v>
      </c>
      <c r="D377" s="455">
        <v>45016</v>
      </c>
      <c r="E377" s="452">
        <f>SUM(E357:E376)</f>
        <v>224</v>
      </c>
      <c r="F377" s="452">
        <f ca="1">IF(SUM(F357:F376)=I378-E377,I378-E377,"Error")</f>
        <v>145</v>
      </c>
      <c r="G377" s="41">
        <v>8000</v>
      </c>
      <c r="H377" s="456">
        <f>COUNTIF(E2:E353,"&gt;="&amp;G377)</f>
        <v>3</v>
      </c>
      <c r="I377" s="452">
        <f>SUM(I357:I376)</f>
        <v>544</v>
      </c>
      <c r="J377" s="93"/>
      <c r="K377" s="439"/>
      <c r="L377" s="93"/>
      <c r="M377" s="93"/>
      <c r="N377" s="93"/>
      <c r="O377" s="93"/>
      <c r="P377" s="93"/>
      <c r="Q377" s="93"/>
      <c r="R377" s="93"/>
      <c r="S377" s="93"/>
      <c r="T377" s="93"/>
      <c r="U377" s="93"/>
      <c r="V377" s="93"/>
      <c r="W377" s="93"/>
      <c r="X377" s="93"/>
      <c r="Y377" s="93"/>
      <c r="Z377" s="93"/>
    </row>
    <row r="378" spans="1:26" ht="15.75" customHeight="1">
      <c r="A378" s="452">
        <f ca="1">COUNTIFS(A$2:A$353,"&gt;"&amp;C$378,A$2:A$353,"&lt;="&amp;D$377)</f>
        <v>4</v>
      </c>
      <c r="C378" s="666">
        <f ca="1">TODAY()</f>
        <v>45009</v>
      </c>
      <c r="D378" s="612"/>
      <c r="E378" s="443">
        <f>E354/E377</f>
        <v>1123.8908035714289</v>
      </c>
      <c r="F378" s="93"/>
      <c r="G378" s="439"/>
      <c r="H378" s="93"/>
      <c r="I378" s="452">
        <f ca="1">SUM(B357:B376)-A378</f>
        <v>369</v>
      </c>
      <c r="J378" s="93"/>
      <c r="K378" s="439"/>
      <c r="L378" s="93"/>
      <c r="M378" s="93"/>
      <c r="N378" s="93"/>
      <c r="O378" s="93"/>
      <c r="P378" s="93"/>
      <c r="Q378" s="93"/>
      <c r="R378" s="93"/>
      <c r="S378" s="93"/>
      <c r="T378" s="93"/>
      <c r="U378" s="93"/>
      <c r="V378" s="93"/>
      <c r="W378" s="93"/>
      <c r="X378" s="93"/>
      <c r="Y378" s="93"/>
      <c r="Z378" s="93"/>
    </row>
    <row r="379" spans="1:26" ht="15.75" customHeight="1">
      <c r="A379" s="93"/>
      <c r="B379" s="93"/>
      <c r="C379" s="439"/>
      <c r="D379" s="439"/>
      <c r="E379" s="93"/>
      <c r="F379" s="93"/>
      <c r="G379" s="93"/>
      <c r="H379" s="439"/>
      <c r="I379" s="439"/>
      <c r="J379" s="439"/>
      <c r="K379" s="439"/>
      <c r="L379" s="93"/>
      <c r="M379" s="93"/>
      <c r="N379" s="93"/>
      <c r="O379" s="93"/>
      <c r="P379" s="93"/>
      <c r="Q379" s="93"/>
      <c r="R379" s="93"/>
      <c r="S379" s="93"/>
      <c r="T379" s="93"/>
      <c r="U379" s="93"/>
      <c r="V379" s="93"/>
      <c r="W379" s="93"/>
      <c r="X379" s="93"/>
      <c r="Y379" s="93"/>
      <c r="Z379" s="93"/>
    </row>
    <row r="380" spans="1:26" ht="15.75" customHeight="1">
      <c r="A380" s="43" t="s">
        <v>1413</v>
      </c>
      <c r="B380" s="43"/>
      <c r="C380" s="448"/>
      <c r="D380" s="448"/>
      <c r="E380" s="457">
        <f>E354</f>
        <v>251751.5400000001</v>
      </c>
      <c r="G380" s="93"/>
      <c r="H380" s="439"/>
      <c r="I380" s="439"/>
      <c r="J380" s="439"/>
      <c r="K380" s="439"/>
      <c r="L380" s="93"/>
      <c r="M380" s="93"/>
      <c r="N380" s="93"/>
      <c r="O380" s="93"/>
      <c r="P380" s="93"/>
      <c r="Q380" s="93"/>
      <c r="R380" s="93"/>
      <c r="S380" s="93"/>
      <c r="T380" s="93"/>
      <c r="U380" s="93"/>
      <c r="V380" s="93"/>
      <c r="W380" s="93"/>
      <c r="X380" s="93"/>
      <c r="Y380" s="93"/>
      <c r="Z380" s="93"/>
    </row>
    <row r="381" spans="1:26" ht="15.75" customHeight="1">
      <c r="A381" s="43" t="s">
        <v>1414</v>
      </c>
      <c r="B381" s="43"/>
      <c r="C381" s="448"/>
      <c r="D381" s="448"/>
      <c r="E381" s="458">
        <v>120816</v>
      </c>
      <c r="G381" s="93"/>
      <c r="H381" s="439"/>
      <c r="I381" s="439"/>
      <c r="J381" s="439"/>
      <c r="K381" s="439"/>
      <c r="L381" s="93"/>
      <c r="M381" s="93"/>
      <c r="N381" s="93"/>
      <c r="O381" s="93"/>
      <c r="P381" s="93"/>
      <c r="Q381" s="93"/>
      <c r="R381" s="93"/>
      <c r="S381" s="93"/>
      <c r="T381" s="93"/>
      <c r="U381" s="93"/>
      <c r="V381" s="93"/>
      <c r="W381" s="93"/>
      <c r="X381" s="93"/>
      <c r="Y381" s="93"/>
      <c r="Z381" s="93"/>
    </row>
    <row r="382" spans="1:26" ht="15.75" customHeight="1">
      <c r="A382" s="43" t="s">
        <v>1415</v>
      </c>
      <c r="B382" s="43"/>
      <c r="C382" s="448"/>
      <c r="D382" s="448"/>
      <c r="E382" s="458">
        <f>C400+C415</f>
        <v>9700</v>
      </c>
      <c r="G382" s="93"/>
      <c r="H382" s="439"/>
      <c r="I382" s="439"/>
      <c r="J382" s="439"/>
      <c r="K382" s="439"/>
      <c r="L382" s="93"/>
      <c r="M382" s="93"/>
      <c r="N382" s="93"/>
      <c r="O382" s="93"/>
      <c r="P382" s="93"/>
      <c r="Q382" s="93"/>
      <c r="R382" s="93"/>
      <c r="S382" s="93"/>
      <c r="T382" s="93"/>
      <c r="U382" s="93"/>
      <c r="V382" s="93"/>
      <c r="W382" s="93"/>
      <c r="X382" s="93"/>
      <c r="Y382" s="93"/>
      <c r="Z382" s="93"/>
    </row>
    <row r="383" spans="1:26" ht="15.75" customHeight="1">
      <c r="A383" s="459" t="s">
        <v>1416</v>
      </c>
      <c r="B383" s="43"/>
      <c r="C383" s="448"/>
      <c r="D383" s="448"/>
      <c r="E383" s="457">
        <f>-SUMIF(F396:F422,"sunita",D396:D422)+SUMIF(F396:F422,"sunita",C396:C422)</f>
        <v>-14844.940000000002</v>
      </c>
      <c r="G383" s="93"/>
      <c r="H383" s="439"/>
      <c r="I383" s="439"/>
      <c r="J383" s="439"/>
      <c r="K383" s="439"/>
      <c r="L383" s="93"/>
      <c r="M383" s="93"/>
      <c r="N383" s="93"/>
      <c r="O383" s="93"/>
      <c r="P383" s="93"/>
      <c r="Q383" s="93"/>
      <c r="R383" s="93"/>
      <c r="S383" s="93"/>
      <c r="T383" s="93"/>
      <c r="U383" s="93"/>
      <c r="V383" s="93"/>
      <c r="W383" s="93"/>
      <c r="X383" s="93"/>
      <c r="Y383" s="93"/>
      <c r="Z383" s="93"/>
    </row>
    <row r="384" spans="1:26" ht="15.75" customHeight="1">
      <c r="A384" s="459" t="s">
        <v>1417</v>
      </c>
      <c r="B384" s="43"/>
      <c r="C384" s="448"/>
      <c r="D384" s="448"/>
      <c r="E384" s="458">
        <f>SUMIF(F396:F422,"spg",C396:C422)</f>
        <v>331000</v>
      </c>
      <c r="G384" s="93"/>
      <c r="H384" s="439"/>
      <c r="I384" s="439"/>
      <c r="J384" s="439"/>
      <c r="K384" s="439"/>
      <c r="L384" s="93"/>
      <c r="M384" s="93"/>
      <c r="N384" s="93"/>
      <c r="O384" s="93"/>
      <c r="P384" s="93"/>
      <c r="Q384" s="93"/>
      <c r="R384" s="93"/>
      <c r="S384" s="93"/>
      <c r="T384" s="93"/>
      <c r="U384" s="93"/>
      <c r="V384" s="93"/>
      <c r="W384" s="93"/>
      <c r="X384" s="93"/>
      <c r="Y384" s="93"/>
      <c r="Z384" s="93"/>
    </row>
    <row r="385" spans="1:26" ht="15.75" customHeight="1">
      <c r="A385" s="196"/>
      <c r="B385" s="43"/>
      <c r="C385" s="448" t="s">
        <v>1418</v>
      </c>
      <c r="D385" s="247"/>
      <c r="E385" s="460">
        <f>SUM(E380:E384)</f>
        <v>698422.60000000009</v>
      </c>
      <c r="G385" s="93"/>
      <c r="H385" s="439"/>
      <c r="I385" s="439"/>
      <c r="J385" s="439"/>
      <c r="K385" s="439"/>
      <c r="L385" s="93"/>
      <c r="M385" s="93"/>
      <c r="N385" s="93"/>
      <c r="O385" s="93"/>
      <c r="P385" s="93"/>
      <c r="Q385" s="93"/>
      <c r="R385" s="93"/>
      <c r="S385" s="93"/>
      <c r="T385" s="93"/>
      <c r="U385" s="93"/>
      <c r="V385" s="93"/>
      <c r="W385" s="93"/>
      <c r="X385" s="93"/>
      <c r="Y385" s="93"/>
      <c r="Z385" s="93"/>
    </row>
    <row r="386" spans="1:26" ht="15.75" customHeight="1">
      <c r="A386" s="43" t="s">
        <v>1419</v>
      </c>
      <c r="B386" s="43"/>
      <c r="C386" s="448"/>
      <c r="D386" s="458">
        <f>SUM(Holding!K4:K12)-SUM(Holding!O4:O12)</f>
        <v>695241</v>
      </c>
      <c r="E386" s="461"/>
      <c r="G386" s="93"/>
      <c r="H386" s="439"/>
      <c r="I386" s="439"/>
      <c r="J386" s="439"/>
      <c r="K386" s="439"/>
      <c r="L386" s="93"/>
      <c r="M386" s="93"/>
      <c r="N386" s="93"/>
      <c r="O386" s="93"/>
      <c r="P386" s="93"/>
      <c r="Q386" s="93"/>
      <c r="R386" s="93"/>
      <c r="S386" s="93"/>
      <c r="T386" s="93"/>
      <c r="U386" s="93"/>
      <c r="V386" s="93"/>
      <c r="W386" s="93"/>
      <c r="X386" s="93"/>
      <c r="Y386" s="93"/>
      <c r="Z386" s="93"/>
    </row>
    <row r="387" spans="1:26" ht="15.75" customHeight="1">
      <c r="A387" s="43" t="s">
        <v>1420</v>
      </c>
      <c r="B387" s="43"/>
      <c r="C387" s="448"/>
      <c r="D387" s="462">
        <v>2570.12</v>
      </c>
      <c r="E387" s="461"/>
      <c r="G387" s="93"/>
      <c r="H387" s="439"/>
      <c r="I387" s="439"/>
      <c r="J387" s="439"/>
      <c r="K387" s="439"/>
      <c r="L387" s="93"/>
      <c r="M387" s="93"/>
      <c r="N387" s="93"/>
      <c r="O387" s="93"/>
      <c r="P387" s="93"/>
      <c r="Q387" s="93"/>
      <c r="R387" s="93"/>
      <c r="S387" s="93"/>
      <c r="T387" s="93"/>
      <c r="U387" s="93"/>
      <c r="V387" s="93"/>
      <c r="W387" s="93"/>
      <c r="X387" s="93"/>
      <c r="Y387" s="93"/>
      <c r="Z387" s="93"/>
    </row>
    <row r="388" spans="1:26" ht="15.75" customHeight="1">
      <c r="A388" s="43" t="s">
        <v>1421</v>
      </c>
      <c r="B388" s="43"/>
      <c r="C388" s="448"/>
      <c r="D388" s="462">
        <f>(88.5*4)+(10.62*4)+35.4+472</f>
        <v>903.88</v>
      </c>
      <c r="E388" s="461"/>
      <c r="G388" s="93"/>
      <c r="H388" s="439"/>
      <c r="I388" s="439"/>
      <c r="J388" s="439"/>
      <c r="K388" s="439"/>
      <c r="L388" s="93"/>
      <c r="M388" s="93"/>
      <c r="N388" s="93"/>
      <c r="O388" s="93"/>
      <c r="P388" s="93"/>
      <c r="Q388" s="93"/>
      <c r="R388" s="93"/>
      <c r="S388" s="93"/>
      <c r="T388" s="93"/>
      <c r="U388" s="93"/>
      <c r="V388" s="93"/>
      <c r="W388" s="93"/>
      <c r="X388" s="93"/>
      <c r="Y388" s="93"/>
      <c r="Z388" s="93"/>
    </row>
    <row r="389" spans="1:26" ht="15.75" customHeight="1">
      <c r="A389" s="43" t="s">
        <v>1422</v>
      </c>
      <c r="B389" s="43"/>
      <c r="C389" s="448"/>
      <c r="D389" s="462">
        <v>-297.86</v>
      </c>
      <c r="E389" s="461"/>
      <c r="G389" s="93"/>
      <c r="H389" s="439"/>
      <c r="I389" s="439"/>
      <c r="J389" s="439"/>
      <c r="K389" s="439"/>
      <c r="L389" s="93"/>
      <c r="M389" s="93"/>
      <c r="N389" s="93"/>
      <c r="O389" s="93"/>
      <c r="P389" s="93"/>
      <c r="Q389" s="93"/>
      <c r="R389" s="93"/>
      <c r="S389" s="93"/>
      <c r="T389" s="93"/>
      <c r="U389" s="93"/>
      <c r="V389" s="93"/>
      <c r="W389" s="93"/>
      <c r="X389" s="93"/>
      <c r="Y389" s="93"/>
      <c r="Z389" s="93"/>
    </row>
    <row r="390" spans="1:26" ht="15.75" customHeight="1">
      <c r="A390" s="43" t="s">
        <v>1423</v>
      </c>
      <c r="B390" s="43"/>
      <c r="C390" s="448"/>
      <c r="D390" s="462">
        <f>(4.98+0.64+0.34+0.01)-(0.41+0.01+0.1)+0.01</f>
        <v>5.4599999999999991</v>
      </c>
      <c r="E390" s="461"/>
      <c r="G390" s="93"/>
      <c r="H390" s="439"/>
      <c r="I390" s="439"/>
      <c r="J390" s="439"/>
      <c r="K390" s="439"/>
      <c r="L390" s="93"/>
      <c r="M390" s="93"/>
      <c r="N390" s="93"/>
      <c r="O390" s="93"/>
      <c r="P390" s="93"/>
      <c r="Q390" s="93"/>
      <c r="R390" s="93"/>
      <c r="S390" s="93"/>
      <c r="T390" s="93"/>
      <c r="U390" s="93"/>
      <c r="V390" s="93"/>
      <c r="W390" s="93"/>
      <c r="X390" s="93"/>
      <c r="Y390" s="93"/>
      <c r="Z390" s="93"/>
    </row>
    <row r="391" spans="1:26" ht="15.75" customHeight="1">
      <c r="A391" s="448" t="s">
        <v>1418</v>
      </c>
      <c r="B391" s="43"/>
      <c r="C391" s="448"/>
      <c r="D391" s="463">
        <f>SUM(D386:D390)</f>
        <v>698422.6</v>
      </c>
      <c r="E391" s="461"/>
      <c r="G391" s="93"/>
      <c r="H391" s="439"/>
      <c r="I391" s="439"/>
      <c r="J391" s="439"/>
      <c r="K391" s="439"/>
      <c r="L391" s="93"/>
      <c r="M391" s="93"/>
      <c r="N391" s="93"/>
      <c r="O391" s="93"/>
      <c r="P391" s="93"/>
      <c r="Q391" s="93"/>
      <c r="R391" s="93"/>
      <c r="S391" s="93"/>
      <c r="T391" s="93"/>
      <c r="U391" s="93"/>
      <c r="V391" s="93"/>
      <c r="W391" s="93"/>
      <c r="X391" s="93"/>
      <c r="Y391" s="93"/>
      <c r="Z391" s="93"/>
    </row>
    <row r="392" spans="1:26" ht="15.75" customHeight="1">
      <c r="A392" s="448" t="s">
        <v>30</v>
      </c>
      <c r="B392" s="43"/>
      <c r="C392" s="448"/>
      <c r="D392" s="448">
        <f>E385-D391</f>
        <v>0</v>
      </c>
      <c r="E392" s="461"/>
      <c r="G392" s="93"/>
      <c r="H392" s="439"/>
      <c r="I392" s="439"/>
      <c r="J392" s="439"/>
      <c r="K392" s="439"/>
      <c r="L392" s="93"/>
      <c r="M392" s="93"/>
      <c r="N392" s="93"/>
      <c r="O392" s="93"/>
      <c r="P392" s="93"/>
      <c r="Q392" s="93"/>
      <c r="R392" s="93"/>
      <c r="S392" s="93"/>
      <c r="T392" s="93"/>
      <c r="U392" s="93"/>
      <c r="V392" s="93"/>
      <c r="W392" s="93"/>
      <c r="X392" s="93"/>
      <c r="Y392" s="93"/>
      <c r="Z392" s="93"/>
    </row>
    <row r="393" spans="1:26" ht="15.75" customHeight="1">
      <c r="A393" s="93" t="s">
        <v>1424</v>
      </c>
      <c r="B393" s="93"/>
      <c r="E393" s="439">
        <f>15.93*0</f>
        <v>0</v>
      </c>
      <c r="F393" s="93"/>
      <c r="G393" s="93"/>
      <c r="H393" s="439"/>
      <c r="I393" s="439"/>
      <c r="J393" s="439"/>
      <c r="K393" s="439"/>
      <c r="L393" s="93"/>
      <c r="M393" s="93"/>
      <c r="N393" s="93"/>
      <c r="O393" s="93"/>
      <c r="P393" s="93"/>
      <c r="Q393" s="93"/>
      <c r="R393" s="93"/>
      <c r="S393" s="93"/>
      <c r="T393" s="93"/>
      <c r="U393" s="93"/>
      <c r="V393" s="93"/>
      <c r="W393" s="93"/>
      <c r="X393" s="93"/>
      <c r="Y393" s="93"/>
      <c r="Z393" s="93"/>
    </row>
    <row r="394" spans="1:26" ht="15.75" customHeight="1">
      <c r="B394" s="93"/>
      <c r="C394" s="439"/>
      <c r="D394" s="439"/>
      <c r="F394" s="93"/>
      <c r="G394" s="93"/>
      <c r="H394" s="439"/>
      <c r="I394" s="439"/>
      <c r="J394" s="439"/>
      <c r="K394" s="439"/>
      <c r="L394" s="93"/>
      <c r="M394" s="93"/>
      <c r="N394" s="93"/>
      <c r="O394" s="93"/>
      <c r="P394" s="93"/>
      <c r="Q394" s="93"/>
      <c r="R394" s="93"/>
      <c r="S394" s="93"/>
      <c r="T394" s="93"/>
      <c r="U394" s="93"/>
      <c r="V394" s="93"/>
      <c r="W394" s="93"/>
      <c r="X394" s="93"/>
      <c r="Y394" s="93"/>
      <c r="Z394" s="93"/>
    </row>
    <row r="395" spans="1:26" ht="15.75" customHeight="1">
      <c r="A395" s="41" t="s">
        <v>0</v>
      </c>
      <c r="B395" s="93"/>
      <c r="C395" s="449" t="s">
        <v>1425</v>
      </c>
      <c r="D395" s="449" t="s">
        <v>1426</v>
      </c>
      <c r="E395" s="93"/>
      <c r="F395" s="93"/>
      <c r="G395" s="93"/>
      <c r="H395" s="439"/>
      <c r="I395" s="439"/>
      <c r="J395" s="439"/>
      <c r="K395" s="439"/>
      <c r="L395" s="93"/>
      <c r="M395" s="93"/>
      <c r="N395" s="93"/>
      <c r="O395" s="93"/>
      <c r="P395" s="93"/>
      <c r="Q395" s="93"/>
      <c r="R395" s="93"/>
      <c r="S395" s="93"/>
      <c r="T395" s="93"/>
      <c r="U395" s="93"/>
      <c r="V395" s="93"/>
      <c r="W395" s="93"/>
      <c r="X395" s="93"/>
      <c r="Y395" s="93"/>
      <c r="Z395" s="93"/>
    </row>
    <row r="396" spans="1:26" ht="15.75" customHeight="1">
      <c r="A396" s="176">
        <v>44473</v>
      </c>
      <c r="B396" s="93"/>
      <c r="C396" s="464">
        <v>25000</v>
      </c>
      <c r="D396" s="464">
        <v>0</v>
      </c>
      <c r="E396" s="465">
        <v>28000</v>
      </c>
      <c r="F396" s="466" t="s">
        <v>1427</v>
      </c>
      <c r="G396" s="93"/>
      <c r="H396" s="439"/>
      <c r="I396" s="439"/>
      <c r="J396" s="439"/>
      <c r="K396" s="439"/>
      <c r="L396" s="93"/>
      <c r="M396" s="93"/>
      <c r="N396" s="93"/>
      <c r="O396" s="93"/>
      <c r="P396" s="93"/>
      <c r="Q396" s="93"/>
      <c r="R396" s="93"/>
      <c r="S396" s="93"/>
      <c r="T396" s="93"/>
      <c r="U396" s="93"/>
      <c r="V396" s="93"/>
      <c r="W396" s="93"/>
      <c r="X396" s="93"/>
      <c r="Y396" s="93"/>
      <c r="Z396" s="93"/>
    </row>
    <row r="397" spans="1:26" ht="15.75" customHeight="1">
      <c r="A397" s="176">
        <v>44482</v>
      </c>
      <c r="B397" s="93"/>
      <c r="C397" s="464">
        <v>0</v>
      </c>
      <c r="D397" s="464">
        <v>10000</v>
      </c>
      <c r="E397" s="467"/>
      <c r="F397" s="93" t="s">
        <v>448</v>
      </c>
      <c r="G397" s="93"/>
      <c r="H397" s="439"/>
      <c r="I397" s="439"/>
      <c r="J397" s="439"/>
      <c r="K397" s="439"/>
      <c r="L397" s="93"/>
      <c r="M397" s="93"/>
      <c r="N397" s="93"/>
      <c r="O397" s="93"/>
      <c r="P397" s="93"/>
      <c r="Q397" s="93"/>
      <c r="R397" s="93"/>
      <c r="S397" s="93"/>
      <c r="T397" s="93"/>
      <c r="U397" s="93"/>
      <c r="V397" s="93"/>
      <c r="W397" s="93"/>
      <c r="X397" s="93"/>
      <c r="Y397" s="93"/>
      <c r="Z397" s="93"/>
    </row>
    <row r="398" spans="1:26" ht="15.75" customHeight="1">
      <c r="A398" s="176">
        <v>44488</v>
      </c>
      <c r="B398" s="93"/>
      <c r="C398" s="464">
        <v>0</v>
      </c>
      <c r="D398" s="464">
        <v>13929</v>
      </c>
      <c r="E398" s="467"/>
      <c r="F398" s="93" t="s">
        <v>1428</v>
      </c>
      <c r="G398" s="93"/>
      <c r="H398" s="439"/>
      <c r="I398" s="439"/>
      <c r="J398" s="439"/>
      <c r="K398" s="439"/>
      <c r="L398" s="93"/>
      <c r="M398" s="93"/>
      <c r="N398" s="93"/>
      <c r="O398" s="93"/>
      <c r="P398" s="93"/>
      <c r="Q398" s="93"/>
      <c r="R398" s="93"/>
      <c r="S398" s="93"/>
      <c r="T398" s="93"/>
      <c r="U398" s="93"/>
      <c r="V398" s="93"/>
      <c r="W398" s="93"/>
      <c r="X398" s="93"/>
      <c r="Y398" s="93"/>
      <c r="Z398" s="93"/>
    </row>
    <row r="399" spans="1:26" ht="15.75" customHeight="1">
      <c r="A399" s="176">
        <v>44568</v>
      </c>
      <c r="B399" s="93"/>
      <c r="C399" s="464">
        <v>0</v>
      </c>
      <c r="D399" s="464">
        <v>15000</v>
      </c>
      <c r="E399" s="467"/>
      <c r="F399" s="93" t="s">
        <v>448</v>
      </c>
      <c r="G399" s="93"/>
      <c r="H399" s="439"/>
      <c r="I399" s="439"/>
      <c r="J399" s="439"/>
      <c r="K399" s="439"/>
      <c r="L399" s="93"/>
      <c r="M399" s="93"/>
      <c r="N399" s="93"/>
      <c r="O399" s="93"/>
      <c r="P399" s="93"/>
      <c r="Q399" s="93"/>
      <c r="R399" s="93"/>
      <c r="S399" s="93"/>
      <c r="T399" s="93"/>
      <c r="U399" s="93"/>
      <c r="V399" s="93"/>
      <c r="W399" s="93"/>
      <c r="X399" s="93"/>
      <c r="Y399" s="93"/>
      <c r="Z399" s="93"/>
    </row>
    <row r="400" spans="1:26" ht="15.75" customHeight="1">
      <c r="A400" s="176">
        <v>44606</v>
      </c>
      <c r="B400" s="93"/>
      <c r="C400" s="464">
        <v>3500</v>
      </c>
      <c r="D400" s="464">
        <v>0</v>
      </c>
      <c r="E400" s="465">
        <v>3541</v>
      </c>
      <c r="F400" s="466" t="s">
        <v>1429</v>
      </c>
      <c r="G400" s="93"/>
      <c r="H400" s="439"/>
      <c r="I400" s="439"/>
      <c r="J400" s="439"/>
      <c r="K400" s="439"/>
      <c r="L400" s="93"/>
      <c r="M400" s="93"/>
      <c r="N400" s="93"/>
      <c r="O400" s="93"/>
      <c r="P400" s="93"/>
      <c r="Q400" s="93"/>
      <c r="R400" s="93"/>
      <c r="S400" s="93"/>
      <c r="T400" s="93"/>
      <c r="U400" s="93"/>
      <c r="V400" s="93"/>
      <c r="W400" s="93"/>
      <c r="X400" s="93"/>
      <c r="Y400" s="93"/>
      <c r="Z400" s="93"/>
    </row>
    <row r="401" spans="1:26" ht="15.75" customHeight="1">
      <c r="A401" s="176">
        <v>44613</v>
      </c>
      <c r="B401" s="93"/>
      <c r="C401" s="464">
        <v>60000</v>
      </c>
      <c r="D401" s="464">
        <v>0</v>
      </c>
      <c r="E401" s="465">
        <v>60000</v>
      </c>
      <c r="F401" s="466" t="s">
        <v>1427</v>
      </c>
      <c r="G401" s="93"/>
      <c r="H401" s="439"/>
      <c r="I401" s="439"/>
      <c r="J401" s="439"/>
      <c r="K401" s="439"/>
      <c r="L401" s="93"/>
      <c r="M401" s="93"/>
      <c r="N401" s="93"/>
      <c r="O401" s="93"/>
      <c r="P401" s="93"/>
      <c r="Q401" s="93"/>
      <c r="R401" s="93"/>
      <c r="S401" s="93"/>
      <c r="T401" s="93"/>
      <c r="U401" s="93"/>
      <c r="V401" s="93"/>
      <c r="W401" s="93"/>
      <c r="X401" s="93"/>
      <c r="Y401" s="93"/>
      <c r="Z401" s="93"/>
    </row>
    <row r="402" spans="1:26" ht="15.75" customHeight="1">
      <c r="A402" s="176">
        <v>44614</v>
      </c>
      <c r="B402" s="93"/>
      <c r="C402" s="464">
        <v>60000</v>
      </c>
      <c r="D402" s="464">
        <v>0</v>
      </c>
      <c r="E402" s="465">
        <v>60000</v>
      </c>
      <c r="F402" s="466" t="s">
        <v>1427</v>
      </c>
      <c r="G402" s="93"/>
      <c r="H402" s="439"/>
      <c r="I402" s="439"/>
      <c r="J402" s="439"/>
      <c r="K402" s="439"/>
      <c r="L402" s="93"/>
      <c r="M402" s="93"/>
      <c r="N402" s="93"/>
      <c r="O402" s="93"/>
      <c r="P402" s="93"/>
      <c r="Q402" s="93"/>
      <c r="R402" s="93"/>
      <c r="S402" s="93"/>
      <c r="T402" s="93"/>
      <c r="U402" s="93"/>
      <c r="V402" s="93"/>
      <c r="W402" s="93"/>
      <c r="X402" s="93"/>
      <c r="Y402" s="93"/>
      <c r="Z402" s="93"/>
    </row>
    <row r="403" spans="1:26" ht="15.75" customHeight="1">
      <c r="A403" s="176">
        <v>44614</v>
      </c>
      <c r="B403" s="93"/>
      <c r="C403" s="464">
        <v>30000</v>
      </c>
      <c r="D403" s="464">
        <v>0</v>
      </c>
      <c r="E403" s="468"/>
      <c r="F403" s="466" t="s">
        <v>1430</v>
      </c>
      <c r="G403" s="93"/>
      <c r="H403" s="439"/>
      <c r="I403" s="439"/>
      <c r="J403" s="439"/>
      <c r="K403" s="439"/>
      <c r="L403" s="93"/>
      <c r="M403" s="93"/>
      <c r="N403" s="93"/>
      <c r="O403" s="93"/>
      <c r="P403" s="93"/>
      <c r="Q403" s="93"/>
      <c r="R403" s="93"/>
      <c r="S403" s="93"/>
      <c r="T403" s="93"/>
      <c r="U403" s="93"/>
      <c r="V403" s="93"/>
      <c r="W403" s="93"/>
      <c r="X403" s="93"/>
      <c r="Y403" s="93"/>
      <c r="Z403" s="93"/>
    </row>
    <row r="404" spans="1:26" ht="15.75" customHeight="1">
      <c r="A404" s="176">
        <v>44683</v>
      </c>
      <c r="B404" s="93"/>
      <c r="C404" s="464">
        <v>0</v>
      </c>
      <c r="D404" s="464">
        <v>30000</v>
      </c>
      <c r="E404" s="468"/>
      <c r="F404" s="466" t="s">
        <v>1430</v>
      </c>
      <c r="G404" s="93"/>
      <c r="H404" s="439"/>
      <c r="I404" s="439"/>
      <c r="J404" s="439"/>
      <c r="K404" s="439"/>
      <c r="L404" s="93"/>
      <c r="M404" s="93"/>
      <c r="N404" s="93"/>
      <c r="O404" s="93"/>
      <c r="P404" s="93"/>
      <c r="Q404" s="93"/>
      <c r="R404" s="93"/>
      <c r="S404" s="93"/>
      <c r="T404" s="93"/>
      <c r="U404" s="93"/>
      <c r="V404" s="93"/>
      <c r="W404" s="93"/>
      <c r="X404" s="93"/>
      <c r="Y404" s="93"/>
      <c r="Z404" s="93"/>
    </row>
    <row r="405" spans="1:26" ht="15.75" customHeight="1">
      <c r="A405" s="176">
        <v>44684</v>
      </c>
      <c r="B405" s="93"/>
      <c r="C405" s="464">
        <v>30000</v>
      </c>
      <c r="D405" s="464">
        <v>0</v>
      </c>
      <c r="E405" s="465">
        <v>30000</v>
      </c>
      <c r="F405" s="466" t="s">
        <v>1427</v>
      </c>
      <c r="G405" s="93"/>
      <c r="H405" s="439"/>
      <c r="I405" s="439"/>
      <c r="J405" s="439"/>
      <c r="K405" s="439"/>
      <c r="L405" s="93"/>
      <c r="M405" s="93"/>
      <c r="N405" s="93"/>
      <c r="O405" s="93"/>
      <c r="P405" s="93"/>
      <c r="Q405" s="93"/>
      <c r="R405" s="93"/>
      <c r="S405" s="93"/>
      <c r="T405" s="93"/>
      <c r="U405" s="93"/>
      <c r="V405" s="93"/>
      <c r="W405" s="93"/>
      <c r="X405" s="93"/>
      <c r="Y405" s="93"/>
      <c r="Z405" s="93"/>
    </row>
    <row r="406" spans="1:26" ht="15.75" customHeight="1">
      <c r="A406" s="176">
        <v>44690</v>
      </c>
      <c r="B406" s="93"/>
      <c r="C406" s="464">
        <v>20000</v>
      </c>
      <c r="D406" s="464">
        <v>0</v>
      </c>
      <c r="E406" s="465">
        <v>20000</v>
      </c>
      <c r="F406" s="466" t="s">
        <v>1427</v>
      </c>
      <c r="G406" s="93"/>
      <c r="H406" s="439"/>
      <c r="I406" s="439"/>
      <c r="J406" s="439"/>
      <c r="K406" s="439"/>
      <c r="L406" s="93"/>
      <c r="M406" s="93"/>
      <c r="N406" s="93"/>
      <c r="O406" s="93"/>
      <c r="P406" s="93"/>
      <c r="Q406" s="93"/>
      <c r="R406" s="93"/>
      <c r="S406" s="93"/>
      <c r="T406" s="93"/>
      <c r="U406" s="93"/>
      <c r="V406" s="93"/>
      <c r="W406" s="93"/>
      <c r="X406" s="93"/>
      <c r="Y406" s="93"/>
      <c r="Z406" s="93"/>
    </row>
    <row r="407" spans="1:26" ht="15.75" customHeight="1">
      <c r="A407" s="176">
        <v>44697</v>
      </c>
      <c r="B407" s="93"/>
      <c r="C407" s="464">
        <v>50000</v>
      </c>
      <c r="D407" s="464">
        <v>0</v>
      </c>
      <c r="E407" s="667">
        <v>60000</v>
      </c>
      <c r="F407" s="469" t="s">
        <v>1427</v>
      </c>
      <c r="G407" s="469"/>
      <c r="H407" s="439"/>
      <c r="I407" s="439"/>
      <c r="J407" s="439"/>
      <c r="K407" s="439"/>
      <c r="L407" s="93"/>
      <c r="M407" s="93"/>
      <c r="N407" s="93"/>
      <c r="O407" s="93"/>
      <c r="P407" s="93"/>
      <c r="Q407" s="93"/>
      <c r="R407" s="93"/>
      <c r="S407" s="93"/>
      <c r="T407" s="93"/>
      <c r="U407" s="93"/>
      <c r="V407" s="93"/>
      <c r="W407" s="93"/>
      <c r="X407" s="93"/>
      <c r="Y407" s="93"/>
      <c r="Z407" s="93"/>
    </row>
    <row r="408" spans="1:26" ht="15.75" customHeight="1">
      <c r="A408" s="176">
        <v>44698</v>
      </c>
      <c r="B408" s="93"/>
      <c r="C408" s="464">
        <v>10000</v>
      </c>
      <c r="D408" s="464">
        <v>0</v>
      </c>
      <c r="E408" s="668"/>
      <c r="F408" s="469" t="s">
        <v>1427</v>
      </c>
      <c r="G408" s="469"/>
      <c r="H408" s="439"/>
      <c r="I408" s="439"/>
      <c r="J408" s="439"/>
      <c r="K408" s="439"/>
      <c r="L408" s="93"/>
      <c r="M408" s="93"/>
      <c r="N408" s="93"/>
      <c r="O408" s="93"/>
      <c r="P408" s="93"/>
      <c r="Q408" s="93"/>
      <c r="R408" s="93"/>
      <c r="S408" s="93"/>
      <c r="T408" s="93"/>
      <c r="U408" s="93"/>
      <c r="V408" s="93"/>
      <c r="W408" s="93"/>
      <c r="X408" s="93"/>
      <c r="Y408" s="93"/>
      <c r="Z408" s="93"/>
    </row>
    <row r="409" spans="1:26" ht="15.75" customHeight="1">
      <c r="A409" s="176">
        <v>44706</v>
      </c>
      <c r="B409" s="93"/>
      <c r="C409" s="464">
        <v>5000</v>
      </c>
      <c r="D409" s="464">
        <v>0</v>
      </c>
      <c r="E409" s="465">
        <v>5000</v>
      </c>
      <c r="F409" s="466" t="s">
        <v>1427</v>
      </c>
      <c r="G409" s="93"/>
      <c r="H409" s="439"/>
      <c r="I409" s="439"/>
      <c r="J409" s="439"/>
      <c r="K409" s="439"/>
      <c r="L409" s="93"/>
      <c r="M409" s="93"/>
      <c r="N409" s="93"/>
      <c r="O409" s="93"/>
      <c r="P409" s="93"/>
      <c r="Q409" s="93"/>
      <c r="R409" s="93"/>
      <c r="S409" s="93"/>
      <c r="T409" s="93"/>
      <c r="U409" s="93"/>
      <c r="V409" s="93"/>
      <c r="W409" s="93"/>
      <c r="X409" s="93"/>
      <c r="Y409" s="93"/>
      <c r="Z409" s="93"/>
    </row>
    <row r="410" spans="1:26" ht="15.75" customHeight="1">
      <c r="A410" s="176">
        <v>44723</v>
      </c>
      <c r="B410" s="93"/>
      <c r="C410" s="464">
        <v>40000</v>
      </c>
      <c r="D410" s="464">
        <v>0</v>
      </c>
      <c r="E410" s="465">
        <v>40000</v>
      </c>
      <c r="F410" s="466" t="s">
        <v>1427</v>
      </c>
      <c r="G410" s="93"/>
      <c r="H410" s="439"/>
      <c r="I410" s="439"/>
      <c r="J410" s="439"/>
      <c r="K410" s="439"/>
      <c r="L410" s="93"/>
      <c r="M410" s="93"/>
      <c r="N410" s="93"/>
      <c r="O410" s="93"/>
      <c r="P410" s="93"/>
      <c r="Q410" s="93"/>
      <c r="R410" s="93"/>
      <c r="S410" s="93"/>
      <c r="T410" s="93"/>
      <c r="U410" s="93"/>
      <c r="V410" s="93"/>
      <c r="W410" s="93"/>
      <c r="X410" s="93"/>
      <c r="Y410" s="93"/>
      <c r="Z410" s="93"/>
    </row>
    <row r="411" spans="1:26" ht="15.75" customHeight="1">
      <c r="A411" s="176">
        <v>44723</v>
      </c>
      <c r="B411" s="93"/>
      <c r="C411" s="464">
        <v>25000</v>
      </c>
      <c r="D411" s="464">
        <v>0</v>
      </c>
      <c r="E411" s="465">
        <v>20000</v>
      </c>
      <c r="F411" s="466" t="s">
        <v>1427</v>
      </c>
      <c r="G411" s="93"/>
      <c r="H411" s="439"/>
      <c r="I411" s="439"/>
      <c r="J411" s="439"/>
      <c r="K411" s="439"/>
      <c r="L411" s="93"/>
      <c r="M411" s="93"/>
      <c r="N411" s="93"/>
      <c r="O411" s="93"/>
      <c r="P411" s="93"/>
      <c r="Q411" s="93"/>
      <c r="R411" s="93"/>
      <c r="S411" s="93"/>
      <c r="T411" s="93"/>
      <c r="U411" s="93"/>
      <c r="V411" s="93"/>
      <c r="W411" s="93"/>
      <c r="X411" s="93"/>
      <c r="Y411" s="93"/>
      <c r="Z411" s="93"/>
    </row>
    <row r="412" spans="1:26" ht="15.75" customHeight="1">
      <c r="A412" s="176">
        <v>44724</v>
      </c>
      <c r="B412" s="93"/>
      <c r="C412" s="464">
        <v>6000</v>
      </c>
      <c r="D412" s="464">
        <v>0</v>
      </c>
      <c r="E412" s="465">
        <v>8000</v>
      </c>
      <c r="F412" s="466" t="s">
        <v>1427</v>
      </c>
      <c r="G412" s="93"/>
      <c r="H412" s="439"/>
      <c r="I412" s="439"/>
      <c r="J412" s="439"/>
      <c r="K412" s="439"/>
      <c r="L412" s="93"/>
      <c r="M412" s="93"/>
      <c r="N412" s="93"/>
      <c r="O412" s="93"/>
      <c r="P412" s="93"/>
      <c r="Q412" s="93"/>
      <c r="R412" s="93"/>
      <c r="S412" s="93"/>
      <c r="T412" s="93"/>
      <c r="U412" s="93"/>
      <c r="V412" s="93"/>
      <c r="W412" s="93"/>
      <c r="X412" s="93"/>
      <c r="Y412" s="93"/>
      <c r="Z412" s="93"/>
    </row>
    <row r="413" spans="1:26" ht="15.75" customHeight="1">
      <c r="A413" s="176">
        <v>44841</v>
      </c>
      <c r="B413" s="93"/>
      <c r="C413" s="464"/>
      <c r="D413" s="464">
        <v>39482.879999999997</v>
      </c>
      <c r="E413" s="465"/>
      <c r="F413" s="466" t="s">
        <v>1431</v>
      </c>
      <c r="G413" s="93"/>
      <c r="H413" s="439"/>
      <c r="I413" s="439"/>
      <c r="J413" s="439"/>
      <c r="K413" s="439"/>
      <c r="L413" s="93"/>
      <c r="M413" s="93"/>
      <c r="N413" s="93"/>
      <c r="O413" s="93"/>
      <c r="P413" s="93"/>
      <c r="Q413" s="93"/>
      <c r="R413" s="93"/>
      <c r="S413" s="93"/>
      <c r="T413" s="93"/>
      <c r="U413" s="93"/>
      <c r="V413" s="93"/>
      <c r="W413" s="93"/>
      <c r="X413" s="93"/>
      <c r="Y413" s="93"/>
      <c r="Z413" s="93"/>
    </row>
    <row r="414" spans="1:26" ht="15.75" customHeight="1">
      <c r="A414" s="176">
        <v>44851</v>
      </c>
      <c r="B414" s="93"/>
      <c r="C414" s="464">
        <v>39483</v>
      </c>
      <c r="D414" s="464"/>
      <c r="E414" s="465"/>
      <c r="F414" s="466" t="s">
        <v>1431</v>
      </c>
      <c r="G414" s="93"/>
      <c r="H414" s="439"/>
      <c r="I414" s="439"/>
      <c r="J414" s="439"/>
      <c r="K414" s="439"/>
      <c r="L414" s="93"/>
      <c r="M414" s="93"/>
      <c r="N414" s="93"/>
      <c r="O414" s="93"/>
      <c r="P414" s="93"/>
      <c r="Q414" s="93"/>
      <c r="R414" s="93"/>
      <c r="S414" s="93"/>
      <c r="T414" s="93"/>
      <c r="U414" s="93"/>
      <c r="V414" s="93"/>
      <c r="W414" s="93"/>
      <c r="X414" s="93"/>
      <c r="Y414" s="93"/>
      <c r="Z414" s="93"/>
    </row>
    <row r="415" spans="1:26" ht="15.75" customHeight="1">
      <c r="A415" s="176">
        <v>44880</v>
      </c>
      <c r="B415" s="93"/>
      <c r="C415" s="464">
        <v>6200</v>
      </c>
      <c r="D415" s="464"/>
      <c r="E415" s="465"/>
      <c r="F415" s="466" t="s">
        <v>1429</v>
      </c>
      <c r="G415" s="93"/>
      <c r="H415" s="439"/>
      <c r="I415" s="439"/>
      <c r="J415" s="439"/>
      <c r="K415" s="439"/>
      <c r="L415" s="93"/>
      <c r="M415" s="93"/>
      <c r="N415" s="93"/>
      <c r="O415" s="93"/>
      <c r="P415" s="93"/>
      <c r="Q415" s="93"/>
      <c r="R415" s="93"/>
      <c r="S415" s="93"/>
      <c r="T415" s="93"/>
      <c r="U415" s="93"/>
      <c r="V415" s="93"/>
      <c r="W415" s="93"/>
      <c r="X415" s="93"/>
      <c r="Y415" s="93"/>
      <c r="Z415" s="93"/>
    </row>
    <row r="416" spans="1:26" ht="15.75" customHeight="1">
      <c r="A416" s="176">
        <v>44881</v>
      </c>
      <c r="B416" s="93"/>
      <c r="C416" s="464">
        <v>10000</v>
      </c>
      <c r="D416" s="464"/>
      <c r="E416" s="467"/>
      <c r="F416" s="466" t="s">
        <v>1431</v>
      </c>
      <c r="G416" s="93"/>
      <c r="H416" s="439"/>
      <c r="I416" s="439"/>
      <c r="J416" s="439"/>
      <c r="K416" s="439"/>
      <c r="L416" s="93"/>
      <c r="M416" s="93"/>
      <c r="N416" s="93"/>
      <c r="O416" s="93"/>
      <c r="P416" s="93"/>
      <c r="Q416" s="93"/>
      <c r="R416" s="93"/>
      <c r="S416" s="93"/>
      <c r="T416" s="93"/>
      <c r="U416" s="93"/>
      <c r="V416" s="93"/>
      <c r="W416" s="93"/>
      <c r="X416" s="93"/>
      <c r="Y416" s="93"/>
      <c r="Z416" s="93"/>
    </row>
    <row r="417" spans="1:26" ht="15.75" customHeight="1">
      <c r="A417" s="176">
        <v>44924</v>
      </c>
      <c r="B417" s="93"/>
      <c r="C417" s="464"/>
      <c r="D417" s="464">
        <v>3845.03</v>
      </c>
      <c r="E417" s="467"/>
      <c r="F417" s="466" t="s">
        <v>1431</v>
      </c>
      <c r="G417" s="93"/>
      <c r="H417" s="439"/>
      <c r="I417" s="439"/>
      <c r="J417" s="439"/>
      <c r="K417" s="439"/>
      <c r="L417" s="93"/>
      <c r="M417" s="93"/>
      <c r="N417" s="93"/>
      <c r="O417" s="93"/>
      <c r="P417" s="93"/>
      <c r="Q417" s="93"/>
      <c r="R417" s="93"/>
      <c r="S417" s="93"/>
      <c r="T417" s="93"/>
      <c r="U417" s="93"/>
      <c r="V417" s="93"/>
      <c r="W417" s="93"/>
      <c r="X417" s="93"/>
      <c r="Y417" s="93"/>
      <c r="Z417" s="93"/>
    </row>
    <row r="418" spans="1:26" ht="15.75" customHeight="1">
      <c r="A418" s="176">
        <v>44928</v>
      </c>
      <c r="B418" s="93"/>
      <c r="C418" s="464">
        <v>4000</v>
      </c>
      <c r="D418" s="464"/>
      <c r="E418" s="467"/>
      <c r="F418" s="466" t="s">
        <v>1431</v>
      </c>
      <c r="G418" s="93"/>
      <c r="H418" s="439"/>
      <c r="I418" s="439"/>
      <c r="J418" s="439"/>
      <c r="K418" s="439"/>
      <c r="L418" s="93"/>
      <c r="M418" s="93"/>
      <c r="N418" s="93"/>
      <c r="O418" s="93"/>
      <c r="P418" s="93"/>
      <c r="Q418" s="93"/>
      <c r="R418" s="93"/>
      <c r="S418" s="93"/>
      <c r="T418" s="93"/>
      <c r="U418" s="93"/>
      <c r="V418" s="93"/>
      <c r="W418" s="93"/>
      <c r="X418" s="93"/>
      <c r="Y418" s="93"/>
      <c r="Z418" s="93"/>
    </row>
    <row r="419" spans="1:26" ht="15.75" customHeight="1">
      <c r="A419" s="176">
        <v>44932</v>
      </c>
      <c r="B419" s="93"/>
      <c r="C419" s="464"/>
      <c r="D419" s="464">
        <v>4327.03</v>
      </c>
      <c r="E419" s="467"/>
      <c r="F419" s="466" t="s">
        <v>1431</v>
      </c>
      <c r="G419" s="93"/>
      <c r="H419" s="439"/>
      <c r="I419" s="439"/>
      <c r="J419" s="439"/>
      <c r="K419" s="439"/>
      <c r="L419" s="93"/>
      <c r="M419" s="93"/>
      <c r="N419" s="93"/>
      <c r="O419" s="93"/>
      <c r="P419" s="93"/>
      <c r="Q419" s="93"/>
      <c r="R419" s="93"/>
      <c r="S419" s="93"/>
      <c r="T419" s="93"/>
      <c r="U419" s="93"/>
      <c r="V419" s="93"/>
      <c r="W419" s="93"/>
      <c r="X419" s="93"/>
      <c r="Y419" s="93"/>
      <c r="Z419" s="93"/>
    </row>
    <row r="420" spans="1:26" ht="15.75" customHeight="1">
      <c r="A420" s="176">
        <v>44933</v>
      </c>
      <c r="B420" s="93"/>
      <c r="C420" s="464">
        <v>4327</v>
      </c>
      <c r="D420" s="464"/>
      <c r="E420" s="467"/>
      <c r="F420" s="466" t="s">
        <v>1431</v>
      </c>
      <c r="G420" s="93"/>
      <c r="H420" s="439"/>
      <c r="I420" s="439"/>
      <c r="J420" s="439"/>
      <c r="K420" s="439"/>
      <c r="L420" s="93"/>
      <c r="M420" s="93"/>
      <c r="N420" s="93"/>
      <c r="O420" s="93"/>
      <c r="P420" s="93"/>
      <c r="Q420" s="93"/>
      <c r="R420" s="93"/>
      <c r="S420" s="93"/>
      <c r="T420" s="93"/>
      <c r="U420" s="93"/>
      <c r="V420" s="93"/>
      <c r="W420" s="93"/>
      <c r="X420" s="93"/>
      <c r="Y420" s="93"/>
      <c r="Z420" s="93"/>
    </row>
    <row r="421" spans="1:26" ht="15.75" customHeight="1">
      <c r="A421" s="176"/>
      <c r="B421" s="93"/>
      <c r="C421" s="439"/>
      <c r="D421" s="439"/>
      <c r="E421" s="467"/>
      <c r="F421" s="93"/>
      <c r="G421" s="93"/>
      <c r="H421" s="439"/>
      <c r="I421" s="439"/>
      <c r="J421" s="439"/>
      <c r="K421" s="439"/>
      <c r="L421" s="93"/>
      <c r="M421" s="93"/>
      <c r="N421" s="93"/>
      <c r="O421" s="93"/>
      <c r="P421" s="93"/>
      <c r="Q421" s="93"/>
      <c r="R421" s="93"/>
      <c r="S421" s="93"/>
      <c r="T421" s="93"/>
      <c r="U421" s="93"/>
      <c r="V421" s="93"/>
      <c r="W421" s="93"/>
      <c r="X421" s="93"/>
      <c r="Y421" s="93"/>
      <c r="Z421" s="93"/>
    </row>
    <row r="422" spans="1:26" ht="15.75" customHeight="1" collapsed="1">
      <c r="B422" s="93"/>
      <c r="C422" s="439"/>
      <c r="D422" s="439"/>
      <c r="F422" s="93"/>
      <c r="G422" s="93"/>
      <c r="H422" s="439"/>
      <c r="I422" s="439"/>
      <c r="J422" s="439"/>
      <c r="K422" s="439"/>
      <c r="L422" s="93"/>
      <c r="M422" s="93"/>
      <c r="N422" s="93"/>
      <c r="O422" s="93"/>
      <c r="P422" s="93"/>
      <c r="Q422" s="93"/>
      <c r="R422" s="93"/>
      <c r="S422" s="93"/>
      <c r="T422" s="93"/>
      <c r="U422" s="93"/>
      <c r="V422" s="93"/>
      <c r="W422" s="93"/>
      <c r="X422" s="93"/>
      <c r="Y422" s="93"/>
      <c r="Z422" s="93"/>
    </row>
    <row r="423" spans="1:26" ht="15.75" hidden="1" customHeight="1" outlineLevel="1">
      <c r="A423" s="447"/>
      <c r="B423" s="470"/>
      <c r="C423" s="176">
        <v>43876</v>
      </c>
      <c r="D423" s="471" t="s">
        <v>1018</v>
      </c>
      <c r="E423" s="472"/>
      <c r="F423" s="439"/>
      <c r="G423" s="439"/>
      <c r="H423" s="439"/>
      <c r="I423" s="439"/>
      <c r="J423" s="439"/>
      <c r="K423" s="439"/>
      <c r="L423" s="93"/>
      <c r="M423" s="93"/>
      <c r="N423" s="93"/>
      <c r="O423" s="93"/>
      <c r="P423" s="93"/>
      <c r="Q423" s="93"/>
      <c r="R423" s="93"/>
      <c r="S423" s="93"/>
      <c r="T423" s="93"/>
      <c r="U423" s="93"/>
      <c r="V423" s="93"/>
      <c r="W423" s="93"/>
      <c r="X423" s="93"/>
      <c r="Y423" s="93"/>
      <c r="Z423" s="93"/>
    </row>
    <row r="424" spans="1:26" ht="15.75" hidden="1" customHeight="1" outlineLevel="1">
      <c r="A424" s="447"/>
      <c r="B424" s="470"/>
      <c r="C424" s="176">
        <v>43833</v>
      </c>
      <c r="D424" s="471" t="s">
        <v>1432</v>
      </c>
      <c r="E424" s="472"/>
      <c r="F424" s="439"/>
      <c r="G424" s="439"/>
      <c r="H424" s="439"/>
      <c r="I424" s="439"/>
      <c r="J424" s="439"/>
      <c r="K424" s="439"/>
      <c r="L424" s="93"/>
      <c r="M424" s="93"/>
      <c r="N424" s="93"/>
      <c r="O424" s="93"/>
      <c r="P424" s="93"/>
      <c r="Q424" s="93"/>
      <c r="R424" s="93"/>
      <c r="S424" s="93"/>
      <c r="T424" s="93"/>
      <c r="U424" s="93"/>
      <c r="V424" s="93"/>
      <c r="W424" s="93"/>
      <c r="X424" s="93"/>
      <c r="Y424" s="93"/>
      <c r="Z424" s="93"/>
    </row>
    <row r="425" spans="1:26" ht="15.75" hidden="1" customHeight="1" outlineLevel="1">
      <c r="A425" s="447"/>
      <c r="B425" s="470"/>
      <c r="C425" s="176">
        <v>43834</v>
      </c>
      <c r="D425" s="471" t="s">
        <v>1432</v>
      </c>
      <c r="E425" s="467"/>
      <c r="F425" s="439"/>
      <c r="G425" s="439"/>
      <c r="H425" s="439"/>
      <c r="I425" s="439"/>
      <c r="J425" s="439"/>
      <c r="K425" s="439"/>
      <c r="L425" s="93"/>
      <c r="M425" s="93"/>
      <c r="N425" s="93"/>
      <c r="O425" s="93"/>
      <c r="P425" s="93"/>
      <c r="Q425" s="93"/>
      <c r="R425" s="93"/>
      <c r="S425" s="93"/>
      <c r="T425" s="93"/>
      <c r="U425" s="93"/>
      <c r="V425" s="93"/>
      <c r="W425" s="93"/>
      <c r="X425" s="93"/>
      <c r="Y425" s="93"/>
      <c r="Z425" s="93"/>
    </row>
    <row r="426" spans="1:26" ht="15.75" hidden="1" customHeight="1" outlineLevel="1">
      <c r="A426" s="447"/>
      <c r="B426" s="470"/>
      <c r="C426" s="176">
        <v>43834</v>
      </c>
      <c r="D426" s="471" t="s">
        <v>1432</v>
      </c>
      <c r="E426" s="467"/>
      <c r="F426" s="439"/>
      <c r="G426" s="439"/>
      <c r="H426" s="439"/>
      <c r="I426" s="439"/>
      <c r="J426" s="439"/>
      <c r="K426" s="439"/>
      <c r="L426" s="93"/>
      <c r="M426" s="93"/>
      <c r="N426" s="93"/>
      <c r="O426" s="93"/>
      <c r="P426" s="93"/>
      <c r="Q426" s="93"/>
      <c r="R426" s="93"/>
      <c r="S426" s="93"/>
      <c r="T426" s="93"/>
      <c r="U426" s="93"/>
      <c r="V426" s="93"/>
      <c r="W426" s="93"/>
      <c r="X426" s="93"/>
      <c r="Y426" s="93"/>
      <c r="Z426" s="93"/>
    </row>
    <row r="427" spans="1:26" ht="15.75" hidden="1" customHeight="1" outlineLevel="1">
      <c r="A427" s="447"/>
      <c r="B427" s="470"/>
      <c r="C427" s="176">
        <v>43838</v>
      </c>
      <c r="D427" s="471" t="s">
        <v>1432</v>
      </c>
      <c r="E427" s="467"/>
      <c r="F427" s="439"/>
      <c r="G427" s="439"/>
      <c r="H427" s="439"/>
      <c r="I427" s="439"/>
      <c r="J427" s="439"/>
      <c r="K427" s="439"/>
      <c r="L427" s="93"/>
      <c r="M427" s="93"/>
      <c r="N427" s="93"/>
      <c r="O427" s="93"/>
      <c r="P427" s="93"/>
      <c r="Q427" s="93"/>
      <c r="R427" s="93"/>
      <c r="S427" s="93"/>
      <c r="T427" s="93"/>
      <c r="U427" s="93"/>
      <c r="V427" s="93"/>
      <c r="W427" s="93"/>
      <c r="X427" s="93"/>
      <c r="Y427" s="93"/>
      <c r="Z427" s="93"/>
    </row>
    <row r="428" spans="1:26" ht="15.75" customHeight="1">
      <c r="A428" s="93"/>
      <c r="B428" s="93"/>
      <c r="C428" s="176">
        <v>44113</v>
      </c>
      <c r="D428" s="93" t="s">
        <v>1018</v>
      </c>
      <c r="E428" s="93">
        <v>77813</v>
      </c>
      <c r="F428" s="93"/>
      <c r="G428" s="93"/>
      <c r="H428" s="93"/>
      <c r="I428" s="93"/>
      <c r="J428" s="93"/>
      <c r="K428" s="93"/>
      <c r="L428" s="93"/>
      <c r="M428" s="93"/>
      <c r="N428" s="93"/>
      <c r="O428" s="93"/>
      <c r="P428" s="93"/>
      <c r="Q428" s="93"/>
      <c r="R428" s="93"/>
      <c r="S428" s="93"/>
      <c r="T428" s="93"/>
      <c r="U428" s="93"/>
      <c r="V428" s="93"/>
      <c r="W428" s="93"/>
      <c r="X428" s="93"/>
      <c r="Y428" s="93"/>
      <c r="Z428" s="93"/>
    </row>
    <row r="429" spans="1:26" ht="15.75" customHeight="1">
      <c r="A429" s="93"/>
      <c r="B429" s="93"/>
      <c r="C429" s="176">
        <v>44248</v>
      </c>
      <c r="D429" s="93" t="s">
        <v>1433</v>
      </c>
      <c r="E429" s="93">
        <v>20000</v>
      </c>
      <c r="F429" s="93"/>
      <c r="G429" s="93"/>
      <c r="H429" s="93"/>
      <c r="I429" s="93"/>
      <c r="J429" s="93"/>
      <c r="K429" s="93"/>
      <c r="L429" s="93"/>
      <c r="M429" s="93"/>
      <c r="N429" s="93"/>
      <c r="O429" s="93"/>
      <c r="P429" s="93"/>
      <c r="Q429" s="93"/>
      <c r="R429" s="93"/>
      <c r="S429" s="93"/>
      <c r="T429" s="93"/>
      <c r="U429" s="93"/>
      <c r="V429" s="93"/>
      <c r="W429" s="93"/>
      <c r="X429" s="93"/>
      <c r="Y429" s="93"/>
      <c r="Z429" s="93"/>
    </row>
    <row r="430" spans="1:26" ht="15.75" customHeight="1">
      <c r="A430" s="93"/>
      <c r="B430" s="93"/>
      <c r="C430" s="176">
        <v>44621</v>
      </c>
      <c r="D430" s="93" t="s">
        <v>1434</v>
      </c>
      <c r="E430" s="93">
        <v>4984</v>
      </c>
      <c r="F430" s="93"/>
      <c r="G430" s="93"/>
      <c r="H430" s="93"/>
      <c r="I430" s="93"/>
      <c r="J430" s="93"/>
      <c r="K430" s="93"/>
      <c r="L430" s="93"/>
      <c r="M430" s="93"/>
      <c r="N430" s="93"/>
      <c r="O430" s="93"/>
      <c r="P430" s="93"/>
      <c r="Q430" s="93"/>
      <c r="R430" s="93"/>
      <c r="S430" s="93"/>
      <c r="T430" s="93"/>
      <c r="U430" s="93"/>
      <c r="V430" s="93"/>
      <c r="W430" s="93"/>
      <c r="X430" s="93"/>
      <c r="Y430" s="93"/>
      <c r="Z430" s="93"/>
    </row>
    <row r="431" spans="1:26" ht="15.75" customHeight="1">
      <c r="A431" s="93"/>
      <c r="B431" s="93"/>
      <c r="C431" s="176">
        <v>44629</v>
      </c>
      <c r="D431" s="93" t="s">
        <v>1018</v>
      </c>
      <c r="E431" s="93">
        <v>35369</v>
      </c>
      <c r="F431" s="93"/>
      <c r="G431" s="93"/>
      <c r="H431" s="93"/>
      <c r="I431" s="93"/>
      <c r="J431" s="93"/>
      <c r="K431" s="93"/>
      <c r="L431" s="93"/>
      <c r="M431" s="93"/>
      <c r="N431" s="93"/>
      <c r="O431" s="93"/>
      <c r="P431" s="93"/>
      <c r="Q431" s="93"/>
      <c r="R431" s="93"/>
      <c r="S431" s="93"/>
      <c r="T431" s="93"/>
      <c r="U431" s="93"/>
      <c r="V431" s="93"/>
      <c r="W431" s="93"/>
      <c r="X431" s="93"/>
      <c r="Y431" s="93"/>
      <c r="Z431" s="93"/>
    </row>
    <row r="432" spans="1:26" ht="15.75" customHeight="1">
      <c r="A432" s="93"/>
      <c r="B432" s="93"/>
      <c r="C432" s="176">
        <v>44641</v>
      </c>
      <c r="D432" s="93" t="s">
        <v>1433</v>
      </c>
      <c r="E432" s="93">
        <f>11515*4</f>
        <v>46060</v>
      </c>
      <c r="F432" s="93"/>
      <c r="G432" s="93"/>
      <c r="H432" s="93"/>
      <c r="I432" s="93"/>
      <c r="J432" s="93"/>
      <c r="K432" s="93"/>
      <c r="L432" s="93"/>
      <c r="M432" s="93"/>
      <c r="N432" s="93"/>
      <c r="O432" s="93"/>
      <c r="P432" s="93"/>
      <c r="Q432" s="93"/>
      <c r="R432" s="93"/>
      <c r="S432" s="93"/>
      <c r="T432" s="93"/>
      <c r="U432" s="93"/>
      <c r="V432" s="93"/>
      <c r="W432" s="93"/>
      <c r="X432" s="93"/>
      <c r="Y432" s="93"/>
      <c r="Z432" s="93"/>
    </row>
    <row r="433" spans="1:26" ht="15.75" customHeight="1">
      <c r="A433" s="93"/>
      <c r="B433" s="93"/>
      <c r="C433" s="176">
        <v>44650</v>
      </c>
      <c r="D433" s="93" t="s">
        <v>1435</v>
      </c>
      <c r="E433" s="93">
        <v>281960</v>
      </c>
      <c r="F433" s="93"/>
      <c r="G433" s="93"/>
      <c r="H433" s="93"/>
      <c r="I433" s="93"/>
      <c r="J433" s="93"/>
      <c r="K433" s="93"/>
      <c r="L433" s="93"/>
      <c r="M433" s="93"/>
      <c r="N433" s="93"/>
      <c r="O433" s="93"/>
      <c r="P433" s="93"/>
      <c r="Q433" s="93"/>
      <c r="R433" s="93"/>
      <c r="S433" s="93"/>
      <c r="T433" s="93"/>
      <c r="U433" s="93"/>
      <c r="V433" s="93"/>
      <c r="W433" s="93"/>
      <c r="X433" s="93"/>
      <c r="Y433" s="93"/>
      <c r="Z433" s="93"/>
    </row>
    <row r="434" spans="1:26" ht="15.75" customHeight="1">
      <c r="A434" s="93"/>
      <c r="B434" s="93"/>
      <c r="C434" s="176">
        <v>44650</v>
      </c>
      <c r="D434" s="93" t="s">
        <v>1435</v>
      </c>
      <c r="E434" s="93">
        <v>281960</v>
      </c>
      <c r="F434" s="93"/>
      <c r="G434" s="93"/>
      <c r="H434" s="93"/>
      <c r="I434" s="93"/>
      <c r="J434" s="93"/>
      <c r="K434" s="93"/>
      <c r="L434" s="93"/>
      <c r="M434" s="93"/>
      <c r="N434" s="93"/>
      <c r="O434" s="93"/>
      <c r="P434" s="93"/>
      <c r="Q434" s="93"/>
      <c r="R434" s="93"/>
      <c r="S434" s="93"/>
      <c r="T434" s="93"/>
      <c r="U434" s="93"/>
      <c r="V434" s="93"/>
      <c r="W434" s="93"/>
      <c r="X434" s="93"/>
      <c r="Y434" s="93"/>
      <c r="Z434" s="93"/>
    </row>
    <row r="435" spans="1:26" ht="15.75" customHeight="1">
      <c r="A435" s="93"/>
      <c r="B435" s="93"/>
      <c r="C435" s="176">
        <v>44655</v>
      </c>
      <c r="D435" s="93" t="s">
        <v>1436</v>
      </c>
      <c r="E435" s="93">
        <v>385469</v>
      </c>
      <c r="F435" s="93"/>
      <c r="G435" s="93"/>
      <c r="H435" s="93"/>
      <c r="I435" s="93"/>
      <c r="J435" s="93"/>
      <c r="K435" s="93"/>
      <c r="L435" s="93"/>
      <c r="M435" s="93"/>
      <c r="N435" s="93"/>
      <c r="O435" s="93"/>
      <c r="P435" s="93"/>
      <c r="Q435" s="93"/>
      <c r="R435" s="93"/>
      <c r="S435" s="93"/>
      <c r="T435" s="93"/>
      <c r="U435" s="93"/>
      <c r="V435" s="93"/>
      <c r="W435" s="93"/>
      <c r="X435" s="93"/>
      <c r="Y435" s="93"/>
      <c r="Z435" s="93"/>
    </row>
    <row r="436" spans="1:26" ht="15.75" customHeight="1">
      <c r="A436" s="93"/>
      <c r="B436" s="93"/>
      <c r="C436" s="176">
        <v>44742</v>
      </c>
      <c r="D436" s="93" t="s">
        <v>1437</v>
      </c>
      <c r="E436" s="93">
        <v>103900</v>
      </c>
      <c r="F436" s="93"/>
      <c r="G436" s="93"/>
      <c r="H436" s="93"/>
      <c r="I436" s="93"/>
      <c r="J436" s="93"/>
      <c r="K436" s="93"/>
      <c r="L436" s="93"/>
      <c r="M436" s="93"/>
      <c r="N436" s="93"/>
      <c r="O436" s="93"/>
      <c r="P436" s="93"/>
      <c r="Q436" s="93"/>
      <c r="R436" s="93"/>
      <c r="S436" s="93"/>
      <c r="T436" s="93"/>
      <c r="U436" s="93"/>
      <c r="V436" s="93"/>
      <c r="W436" s="93"/>
      <c r="X436" s="93"/>
      <c r="Y436" s="93"/>
      <c r="Z436" s="93"/>
    </row>
    <row r="437" spans="1:26" ht="15.75" customHeight="1">
      <c r="A437" s="93"/>
      <c r="B437" s="93"/>
      <c r="C437" s="176"/>
      <c r="D437" s="93" t="s">
        <v>1438</v>
      </c>
      <c r="E437" s="93">
        <v>180000</v>
      </c>
      <c r="F437" s="93"/>
      <c r="G437" s="93"/>
      <c r="H437" s="93"/>
      <c r="I437" s="93"/>
      <c r="J437" s="93"/>
      <c r="K437" s="93"/>
      <c r="L437" s="93"/>
      <c r="M437" s="93"/>
      <c r="N437" s="93"/>
      <c r="O437" s="93"/>
      <c r="P437" s="93"/>
      <c r="Q437" s="93"/>
      <c r="R437" s="93"/>
      <c r="S437" s="93"/>
      <c r="T437" s="93"/>
      <c r="U437" s="93"/>
      <c r="V437" s="93"/>
      <c r="W437" s="93"/>
      <c r="X437" s="93"/>
      <c r="Y437" s="93"/>
      <c r="Z437" s="93"/>
    </row>
    <row r="438" spans="1:26" ht="15.75" customHeight="1">
      <c r="A438" s="93"/>
      <c r="B438" s="93"/>
      <c r="C438" s="176"/>
      <c r="D438" s="93" t="s">
        <v>1439</v>
      </c>
      <c r="E438" s="93">
        <v>125000</v>
      </c>
      <c r="F438" s="93"/>
      <c r="G438" s="93"/>
      <c r="H438" s="93"/>
      <c r="I438" s="93"/>
      <c r="J438" s="93"/>
      <c r="K438" s="93"/>
      <c r="L438" s="93"/>
      <c r="M438" s="93"/>
      <c r="N438" s="93"/>
      <c r="O438" s="93"/>
      <c r="P438" s="93"/>
      <c r="Q438" s="93"/>
      <c r="R438" s="93"/>
      <c r="S438" s="93"/>
      <c r="T438" s="93"/>
      <c r="U438" s="93"/>
      <c r="V438" s="93"/>
      <c r="W438" s="93"/>
      <c r="X438" s="93"/>
      <c r="Y438" s="93"/>
      <c r="Z438" s="93"/>
    </row>
    <row r="439" spans="1:26" ht="15.75" customHeight="1">
      <c r="A439" s="93"/>
      <c r="B439" s="93"/>
      <c r="C439" s="176"/>
      <c r="D439" s="93" t="s">
        <v>18</v>
      </c>
      <c r="E439" s="473">
        <f>SUM(E423:E438)</f>
        <v>1542515</v>
      </c>
      <c r="F439" s="93"/>
      <c r="G439" s="93"/>
      <c r="H439" s="93"/>
      <c r="I439" s="93"/>
      <c r="J439" s="93"/>
      <c r="K439" s="93"/>
      <c r="L439" s="93"/>
      <c r="M439" s="93"/>
      <c r="N439" s="93"/>
      <c r="O439" s="93"/>
      <c r="P439" s="93"/>
      <c r="Q439" s="93"/>
      <c r="R439" s="93"/>
      <c r="S439" s="93"/>
      <c r="T439" s="93"/>
      <c r="U439" s="93"/>
      <c r="V439" s="93"/>
      <c r="W439" s="93"/>
      <c r="X439" s="93"/>
      <c r="Y439" s="93"/>
      <c r="Z439" s="93"/>
    </row>
    <row r="440" spans="1:26" ht="15.75" customHeight="1">
      <c r="A440" s="93"/>
      <c r="B440" s="93"/>
      <c r="C440" s="176"/>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5.75" customHeight="1">
      <c r="A441" s="93"/>
      <c r="B441" s="93"/>
      <c r="C441" s="176"/>
      <c r="D441" s="93" t="s">
        <v>575</v>
      </c>
      <c r="E441" s="93">
        <v>331000</v>
      </c>
      <c r="F441" s="93"/>
      <c r="G441" s="93"/>
      <c r="H441" s="93"/>
      <c r="I441" s="93"/>
      <c r="J441" s="93"/>
      <c r="K441" s="93"/>
      <c r="L441" s="93"/>
      <c r="M441" s="93"/>
      <c r="N441" s="93"/>
      <c r="O441" s="93"/>
      <c r="P441" s="93"/>
      <c r="Q441" s="93"/>
      <c r="R441" s="93"/>
      <c r="S441" s="93"/>
      <c r="T441" s="93"/>
      <c r="U441" s="93"/>
      <c r="V441" s="93"/>
      <c r="W441" s="93"/>
      <c r="X441" s="93"/>
      <c r="Y441" s="93"/>
      <c r="Z441" s="93"/>
    </row>
    <row r="442" spans="1:26" ht="15.75" customHeight="1">
      <c r="A442" s="93"/>
      <c r="B442" s="93"/>
      <c r="C442" s="176"/>
      <c r="D442" s="93" t="s">
        <v>1440</v>
      </c>
      <c r="E442" s="93">
        <v>419979</v>
      </c>
      <c r="F442" s="93"/>
      <c r="G442" s="93"/>
      <c r="H442" s="93"/>
      <c r="I442" s="93"/>
      <c r="J442" s="93"/>
      <c r="K442" s="93"/>
      <c r="L442" s="93"/>
      <c r="M442" s="93"/>
      <c r="N442" s="93"/>
      <c r="O442" s="93"/>
      <c r="P442" s="93"/>
      <c r="Q442" s="93"/>
      <c r="R442" s="93"/>
      <c r="S442" s="93"/>
      <c r="T442" s="93"/>
      <c r="U442" s="93"/>
      <c r="V442" s="93"/>
      <c r="W442" s="93"/>
      <c r="X442" s="93"/>
      <c r="Y442" s="93"/>
      <c r="Z442" s="93"/>
    </row>
    <row r="443" spans="1:26" ht="15.75" customHeight="1">
      <c r="A443" s="93"/>
      <c r="B443" s="93"/>
      <c r="C443" s="176"/>
      <c r="D443" s="93" t="s">
        <v>1441</v>
      </c>
      <c r="E443" s="93">
        <v>824106</v>
      </c>
      <c r="F443" s="93"/>
      <c r="G443" s="93"/>
      <c r="H443" s="93"/>
      <c r="I443" s="93"/>
      <c r="J443" s="93"/>
      <c r="K443" s="93"/>
      <c r="L443" s="93"/>
      <c r="M443" s="93"/>
      <c r="N443" s="93"/>
      <c r="O443" s="93"/>
      <c r="P443" s="93"/>
      <c r="Q443" s="93"/>
      <c r="R443" s="93"/>
      <c r="S443" s="93"/>
      <c r="T443" s="93"/>
      <c r="U443" s="93"/>
      <c r="V443" s="93"/>
      <c r="W443" s="93"/>
      <c r="X443" s="93"/>
      <c r="Y443" s="93"/>
      <c r="Z443" s="93"/>
    </row>
    <row r="444" spans="1:26" ht="15.75" customHeight="1">
      <c r="A444" s="93"/>
      <c r="B444" s="93"/>
      <c r="C444" s="176"/>
      <c r="D444" s="93" t="s">
        <v>18</v>
      </c>
      <c r="E444" s="93">
        <f>SUM(E441:E443)</f>
        <v>1575085</v>
      </c>
      <c r="F444" s="93"/>
      <c r="G444" s="93"/>
      <c r="H444" s="93"/>
      <c r="I444" s="93"/>
      <c r="J444" s="93"/>
      <c r="K444" s="93"/>
      <c r="L444" s="93"/>
      <c r="M444" s="93"/>
      <c r="N444" s="93"/>
      <c r="O444" s="93"/>
      <c r="P444" s="93"/>
      <c r="Q444" s="93"/>
      <c r="R444" s="93"/>
      <c r="S444" s="93"/>
      <c r="T444" s="93"/>
      <c r="U444" s="93"/>
      <c r="V444" s="93"/>
      <c r="W444" s="93"/>
      <c r="X444" s="93"/>
      <c r="Y444" s="93"/>
      <c r="Z444" s="93"/>
    </row>
    <row r="445" spans="1:26" ht="15.75" customHeight="1">
      <c r="A445" s="93"/>
      <c r="B445" s="93"/>
      <c r="C445" s="176"/>
      <c r="D445" s="93" t="s">
        <v>30</v>
      </c>
      <c r="E445" s="473">
        <f>E444-E439</f>
        <v>32570</v>
      </c>
      <c r="F445" s="93"/>
      <c r="G445" s="93"/>
      <c r="H445" s="93"/>
      <c r="I445" s="93"/>
      <c r="J445" s="93"/>
      <c r="K445" s="93"/>
      <c r="L445" s="93"/>
      <c r="M445" s="93"/>
      <c r="N445" s="93"/>
      <c r="O445" s="93"/>
      <c r="P445" s="93"/>
      <c r="Q445" s="93"/>
      <c r="R445" s="93"/>
      <c r="S445" s="93"/>
      <c r="T445" s="93"/>
      <c r="U445" s="93"/>
      <c r="V445" s="93"/>
      <c r="W445" s="93"/>
      <c r="X445" s="93"/>
      <c r="Y445" s="93"/>
      <c r="Z445" s="93"/>
    </row>
    <row r="446" spans="1:26" ht="15.75" customHeight="1">
      <c r="A446" s="93"/>
      <c r="B446" s="93"/>
      <c r="C446" s="176"/>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5.75" customHeight="1">
      <c r="A447" s="93"/>
      <c r="B447" s="474" t="s">
        <v>1442</v>
      </c>
      <c r="C447" s="448"/>
      <c r="D447" s="448"/>
      <c r="E447" s="448"/>
      <c r="F447" s="448"/>
      <c r="G447" s="439"/>
      <c r="H447" s="439"/>
      <c r="I447" s="439"/>
      <c r="J447" s="439"/>
      <c r="K447" s="439"/>
      <c r="L447" s="93"/>
      <c r="M447" s="93"/>
      <c r="N447" s="93"/>
      <c r="O447" s="93"/>
      <c r="P447" s="93"/>
      <c r="Q447" s="93"/>
      <c r="R447" s="93"/>
      <c r="S447" s="93"/>
      <c r="T447" s="93"/>
      <c r="U447" s="93"/>
      <c r="V447" s="93"/>
      <c r="W447" s="93"/>
      <c r="X447" s="93"/>
      <c r="Y447" s="93"/>
      <c r="Z447" s="93"/>
    </row>
    <row r="448" spans="1:26" ht="15.75" customHeight="1">
      <c r="A448" s="93"/>
      <c r="B448" s="475" t="s">
        <v>1443</v>
      </c>
      <c r="C448" s="476" t="s">
        <v>0</v>
      </c>
      <c r="D448" s="477" t="s">
        <v>1400</v>
      </c>
      <c r="E448" s="477" t="s">
        <v>1444</v>
      </c>
      <c r="F448" s="448"/>
      <c r="G448" s="439"/>
      <c r="H448" s="439"/>
      <c r="I448" s="439"/>
      <c r="J448" s="439"/>
      <c r="K448" s="439"/>
      <c r="L448" s="93"/>
      <c r="M448" s="93"/>
      <c r="N448" s="93"/>
      <c r="O448" s="93"/>
      <c r="P448" s="93"/>
      <c r="Q448" s="93"/>
      <c r="R448" s="93"/>
      <c r="S448" s="93"/>
      <c r="T448" s="93"/>
      <c r="U448" s="93"/>
      <c r="V448" s="93"/>
      <c r="W448" s="93"/>
      <c r="X448" s="93"/>
      <c r="Y448" s="93"/>
      <c r="Z448" s="93"/>
    </row>
    <row r="449" spans="1:26" ht="15.75" customHeight="1">
      <c r="A449" s="447"/>
      <c r="B449" s="478">
        <v>1</v>
      </c>
      <c r="C449" s="196">
        <v>44952</v>
      </c>
      <c r="D449" s="478" t="s">
        <v>1445</v>
      </c>
      <c r="E449" s="479" t="s">
        <v>1446</v>
      </c>
      <c r="F449" s="448"/>
      <c r="G449" s="439"/>
      <c r="H449" s="439"/>
      <c r="I449" s="439"/>
      <c r="J449" s="439"/>
      <c r="K449" s="439"/>
      <c r="L449" s="93"/>
      <c r="M449" s="93"/>
      <c r="N449" s="93"/>
      <c r="O449" s="93"/>
      <c r="P449" s="93"/>
      <c r="Q449" s="93"/>
      <c r="R449" s="93"/>
      <c r="S449" s="93"/>
      <c r="T449" s="93"/>
      <c r="U449" s="93"/>
      <c r="V449" s="93"/>
      <c r="W449" s="93"/>
      <c r="X449" s="93"/>
      <c r="Y449" s="93"/>
      <c r="Z449" s="93"/>
    </row>
    <row r="450" spans="1:26" ht="15.75" customHeight="1">
      <c r="A450" s="447"/>
      <c r="B450" s="478">
        <v>2</v>
      </c>
      <c r="C450" s="196">
        <v>44993</v>
      </c>
      <c r="D450" s="478" t="s">
        <v>1447</v>
      </c>
      <c r="E450" s="479" t="s">
        <v>1448</v>
      </c>
      <c r="F450" s="448"/>
      <c r="G450" s="439"/>
      <c r="H450" s="439"/>
      <c r="I450" s="439"/>
      <c r="J450" s="439"/>
      <c r="K450" s="439"/>
      <c r="L450" s="93"/>
      <c r="M450" s="93"/>
      <c r="N450" s="93"/>
      <c r="O450" s="93"/>
      <c r="P450" s="93"/>
      <c r="Q450" s="93"/>
      <c r="R450" s="93"/>
      <c r="S450" s="93"/>
      <c r="T450" s="93"/>
      <c r="U450" s="93"/>
      <c r="V450" s="93"/>
      <c r="W450" s="93"/>
      <c r="X450" s="93"/>
      <c r="Y450" s="93"/>
      <c r="Z450" s="93"/>
    </row>
    <row r="451" spans="1:26" ht="15.75" customHeight="1">
      <c r="A451" s="447"/>
      <c r="B451" s="478">
        <v>3</v>
      </c>
      <c r="C451" s="196">
        <v>45015</v>
      </c>
      <c r="D451" s="478" t="s">
        <v>1445</v>
      </c>
      <c r="E451" s="479" t="s">
        <v>1449</v>
      </c>
      <c r="F451" s="448"/>
      <c r="G451" s="439"/>
      <c r="H451" s="439"/>
      <c r="I451" s="439"/>
      <c r="J451" s="439"/>
      <c r="K451" s="439"/>
      <c r="L451" s="93"/>
      <c r="M451" s="93"/>
      <c r="N451" s="93"/>
      <c r="O451" s="93"/>
      <c r="P451" s="93"/>
      <c r="Q451" s="93"/>
      <c r="R451" s="93"/>
      <c r="S451" s="93"/>
      <c r="T451" s="93"/>
      <c r="U451" s="93"/>
      <c r="V451" s="93"/>
      <c r="W451" s="93"/>
      <c r="X451" s="93"/>
      <c r="Y451" s="93"/>
      <c r="Z451" s="93"/>
    </row>
    <row r="452" spans="1:26" ht="15.75" customHeight="1">
      <c r="A452" s="447"/>
      <c r="B452" s="478">
        <v>4</v>
      </c>
      <c r="C452" s="196">
        <v>45020</v>
      </c>
      <c r="D452" s="478" t="s">
        <v>1450</v>
      </c>
      <c r="E452" s="479" t="s">
        <v>1451</v>
      </c>
      <c r="F452" s="448"/>
      <c r="G452" s="439"/>
      <c r="H452" s="439"/>
      <c r="I452" s="439"/>
      <c r="J452" s="439"/>
      <c r="K452" s="439"/>
      <c r="L452" s="93"/>
      <c r="M452" s="93"/>
      <c r="N452" s="93"/>
      <c r="O452" s="93"/>
      <c r="P452" s="93"/>
      <c r="Q452" s="93"/>
      <c r="R452" s="93"/>
      <c r="S452" s="93"/>
      <c r="T452" s="93"/>
      <c r="U452" s="93"/>
      <c r="V452" s="93"/>
      <c r="W452" s="93"/>
      <c r="X452" s="93"/>
      <c r="Y452" s="93"/>
      <c r="Z452" s="93"/>
    </row>
    <row r="453" spans="1:26" ht="15.75" customHeight="1">
      <c r="A453" s="447"/>
      <c r="B453" s="478">
        <v>5</v>
      </c>
      <c r="C453" s="196">
        <v>45023</v>
      </c>
      <c r="D453" s="478" t="s">
        <v>1452</v>
      </c>
      <c r="E453" s="479" t="s">
        <v>1453</v>
      </c>
      <c r="F453" s="448"/>
      <c r="G453" s="439"/>
      <c r="H453" s="439"/>
      <c r="I453" s="439"/>
      <c r="J453" s="439"/>
      <c r="K453" s="439"/>
      <c r="L453" s="93"/>
      <c r="M453" s="93"/>
      <c r="N453" s="93"/>
      <c r="O453" s="93"/>
      <c r="P453" s="93"/>
      <c r="Q453" s="93"/>
      <c r="R453" s="93"/>
      <c r="S453" s="93"/>
      <c r="T453" s="93"/>
      <c r="U453" s="93"/>
      <c r="V453" s="93"/>
      <c r="W453" s="93"/>
      <c r="X453" s="93"/>
      <c r="Y453" s="93"/>
      <c r="Z453" s="93"/>
    </row>
    <row r="454" spans="1:26" ht="15.75" customHeight="1">
      <c r="A454" s="447"/>
      <c r="B454" s="478">
        <v>6</v>
      </c>
      <c r="C454" s="196">
        <v>45030</v>
      </c>
      <c r="D454" s="478" t="s">
        <v>1452</v>
      </c>
      <c r="E454" s="479" t="s">
        <v>1454</v>
      </c>
      <c r="F454" s="448"/>
      <c r="G454" s="439"/>
      <c r="H454" s="439"/>
      <c r="I454" s="439"/>
      <c r="J454" s="439"/>
      <c r="K454" s="439"/>
      <c r="L454" s="93"/>
      <c r="M454" s="93"/>
      <c r="N454" s="93"/>
      <c r="O454" s="93"/>
      <c r="P454" s="93"/>
      <c r="Q454" s="93"/>
      <c r="R454" s="93"/>
      <c r="S454" s="93"/>
      <c r="T454" s="93"/>
      <c r="U454" s="93"/>
      <c r="V454" s="93"/>
      <c r="W454" s="93"/>
      <c r="X454" s="93"/>
      <c r="Y454" s="93"/>
      <c r="Z454" s="93"/>
    </row>
    <row r="455" spans="1:26" ht="15.75" customHeight="1">
      <c r="A455" s="447"/>
      <c r="B455" s="478">
        <v>7</v>
      </c>
      <c r="C455" s="196">
        <v>45037</v>
      </c>
      <c r="D455" s="478" t="s">
        <v>1452</v>
      </c>
      <c r="E455" s="479" t="s">
        <v>1455</v>
      </c>
      <c r="F455" s="448"/>
      <c r="G455" s="439"/>
      <c r="H455" s="439"/>
      <c r="I455" s="439"/>
      <c r="J455" s="439"/>
      <c r="K455" s="439"/>
      <c r="L455" s="93"/>
      <c r="M455" s="93"/>
      <c r="N455" s="93"/>
      <c r="O455" s="93"/>
      <c r="P455" s="93"/>
      <c r="Q455" s="93"/>
      <c r="R455" s="93"/>
      <c r="S455" s="93"/>
      <c r="T455" s="93"/>
      <c r="U455" s="93"/>
      <c r="V455" s="93"/>
      <c r="W455" s="93"/>
      <c r="X455" s="93"/>
      <c r="Y455" s="93"/>
      <c r="Z455" s="93"/>
    </row>
    <row r="456" spans="1:26" ht="15.75" customHeight="1">
      <c r="A456" s="447"/>
      <c r="B456" s="478">
        <v>8</v>
      </c>
      <c r="C456" s="196">
        <v>45047</v>
      </c>
      <c r="D456" s="478" t="s">
        <v>1456</v>
      </c>
      <c r="E456" s="479" t="s">
        <v>1457</v>
      </c>
      <c r="F456" s="448"/>
      <c r="G456" s="439"/>
      <c r="H456" s="439"/>
      <c r="I456" s="439"/>
      <c r="J456" s="439"/>
      <c r="K456" s="439"/>
      <c r="L456" s="93"/>
      <c r="M456" s="93"/>
      <c r="N456" s="93"/>
      <c r="O456" s="93"/>
      <c r="P456" s="93"/>
      <c r="Q456" s="93"/>
      <c r="R456" s="93"/>
      <c r="S456" s="93"/>
      <c r="T456" s="93"/>
      <c r="U456" s="93"/>
      <c r="V456" s="93"/>
      <c r="W456" s="93"/>
      <c r="X456" s="93"/>
      <c r="Y456" s="93"/>
      <c r="Z456" s="93"/>
    </row>
    <row r="457" spans="1:26" ht="15.75" customHeight="1">
      <c r="A457" s="447"/>
      <c r="B457" s="478">
        <v>9</v>
      </c>
      <c r="C457" s="196">
        <v>45105</v>
      </c>
      <c r="D457" s="478" t="s">
        <v>1447</v>
      </c>
      <c r="E457" s="479" t="s">
        <v>1458</v>
      </c>
      <c r="F457" s="448"/>
      <c r="G457" s="439"/>
      <c r="H457" s="439"/>
      <c r="I457" s="439"/>
      <c r="J457" s="439"/>
      <c r="K457" s="439"/>
      <c r="L457" s="93"/>
      <c r="M457" s="93"/>
      <c r="N457" s="93"/>
      <c r="O457" s="93"/>
      <c r="P457" s="93"/>
      <c r="Q457" s="93"/>
      <c r="R457" s="93"/>
      <c r="S457" s="93"/>
      <c r="T457" s="93"/>
      <c r="U457" s="93"/>
      <c r="V457" s="93"/>
      <c r="W457" s="93"/>
      <c r="X457" s="93"/>
      <c r="Y457" s="93"/>
      <c r="Z457" s="93"/>
    </row>
    <row r="458" spans="1:26" ht="15.75" customHeight="1">
      <c r="A458" s="447"/>
      <c r="B458" s="478">
        <v>10</v>
      </c>
      <c r="C458" s="196">
        <v>45153</v>
      </c>
      <c r="D458" s="478" t="s">
        <v>1450</v>
      </c>
      <c r="E458" s="479" t="s">
        <v>1459</v>
      </c>
      <c r="F458" s="448"/>
      <c r="G458" s="439"/>
      <c r="H458" s="439"/>
      <c r="I458" s="439"/>
      <c r="J458" s="439"/>
      <c r="K458" s="439"/>
      <c r="L458" s="93"/>
      <c r="M458" s="93"/>
      <c r="N458" s="93"/>
      <c r="O458" s="93"/>
      <c r="P458" s="93"/>
      <c r="Q458" s="93"/>
      <c r="R458" s="93"/>
      <c r="S458" s="93"/>
      <c r="T458" s="93"/>
      <c r="U458" s="93"/>
      <c r="V458" s="93"/>
      <c r="W458" s="93"/>
      <c r="X458" s="93"/>
      <c r="Y458" s="93"/>
      <c r="Z458" s="93"/>
    </row>
    <row r="459" spans="1:26" ht="15.75" customHeight="1">
      <c r="A459" s="447"/>
      <c r="B459" s="478">
        <v>11</v>
      </c>
      <c r="C459" s="196">
        <v>45188</v>
      </c>
      <c r="D459" s="478" t="s">
        <v>1450</v>
      </c>
      <c r="E459" s="479" t="s">
        <v>1460</v>
      </c>
      <c r="F459" s="448"/>
      <c r="G459" s="439"/>
      <c r="H459" s="439"/>
      <c r="I459" s="439"/>
      <c r="J459" s="439"/>
      <c r="K459" s="439"/>
      <c r="L459" s="93"/>
      <c r="M459" s="93"/>
      <c r="N459" s="93"/>
      <c r="O459" s="93"/>
      <c r="P459" s="93"/>
      <c r="Q459" s="93"/>
      <c r="R459" s="93"/>
      <c r="S459" s="93"/>
      <c r="T459" s="93"/>
      <c r="U459" s="93"/>
      <c r="V459" s="93"/>
      <c r="W459" s="93"/>
      <c r="X459" s="93"/>
      <c r="Y459" s="93"/>
      <c r="Z459" s="93"/>
    </row>
    <row r="460" spans="1:26" ht="15.75" customHeight="1">
      <c r="A460" s="447"/>
      <c r="B460" s="478">
        <v>12</v>
      </c>
      <c r="C460" s="196">
        <v>45201</v>
      </c>
      <c r="D460" s="478" t="s">
        <v>1456</v>
      </c>
      <c r="E460" s="479" t="s">
        <v>1461</v>
      </c>
      <c r="F460" s="448"/>
      <c r="G460" s="439"/>
      <c r="H460" s="439"/>
      <c r="I460" s="439"/>
      <c r="J460" s="439"/>
      <c r="K460" s="439"/>
      <c r="L460" s="93"/>
      <c r="M460" s="93"/>
      <c r="N460" s="93"/>
      <c r="O460" s="93"/>
      <c r="P460" s="93"/>
      <c r="Q460" s="93"/>
      <c r="R460" s="93"/>
      <c r="S460" s="93"/>
      <c r="T460" s="93"/>
      <c r="U460" s="93"/>
      <c r="V460" s="93"/>
      <c r="W460" s="93"/>
      <c r="X460" s="93"/>
      <c r="Y460" s="93"/>
      <c r="Z460" s="93"/>
    </row>
    <row r="461" spans="1:26" ht="15.75" customHeight="1">
      <c r="A461" s="447"/>
      <c r="B461" s="478">
        <v>13</v>
      </c>
      <c r="C461" s="196">
        <v>45223</v>
      </c>
      <c r="D461" s="478" t="s">
        <v>1450</v>
      </c>
      <c r="E461" s="479" t="s">
        <v>1462</v>
      </c>
      <c r="F461" s="448"/>
      <c r="G461" s="439"/>
      <c r="H461" s="439"/>
      <c r="I461" s="439"/>
      <c r="J461" s="439"/>
      <c r="K461" s="439"/>
      <c r="L461" s="93"/>
      <c r="M461" s="93"/>
      <c r="N461" s="93"/>
      <c r="O461" s="93"/>
      <c r="P461" s="93"/>
      <c r="Q461" s="93"/>
      <c r="R461" s="93"/>
      <c r="S461" s="93"/>
      <c r="T461" s="93"/>
      <c r="U461" s="93"/>
      <c r="V461" s="93"/>
      <c r="W461" s="93"/>
      <c r="X461" s="93"/>
      <c r="Y461" s="93"/>
      <c r="Z461" s="93"/>
    </row>
    <row r="462" spans="1:26" ht="15.75" customHeight="1">
      <c r="A462" s="447"/>
      <c r="B462" s="478">
        <v>14</v>
      </c>
      <c r="C462" s="196">
        <v>45244</v>
      </c>
      <c r="D462" s="478" t="s">
        <v>1450</v>
      </c>
      <c r="E462" s="479" t="s">
        <v>1463</v>
      </c>
      <c r="F462" s="448"/>
      <c r="G462" s="439"/>
      <c r="H462" s="439"/>
      <c r="I462" s="439"/>
      <c r="J462" s="439"/>
      <c r="K462" s="439"/>
      <c r="L462" s="93"/>
      <c r="M462" s="93"/>
      <c r="N462" s="93"/>
      <c r="O462" s="93"/>
      <c r="P462" s="93"/>
      <c r="Q462" s="93"/>
      <c r="R462" s="93"/>
      <c r="S462" s="93"/>
      <c r="T462" s="93"/>
      <c r="U462" s="93"/>
      <c r="V462" s="93"/>
      <c r="W462" s="93"/>
      <c r="X462" s="93"/>
      <c r="Y462" s="93"/>
      <c r="Z462" s="93"/>
    </row>
    <row r="463" spans="1:26" ht="15.75" customHeight="1">
      <c r="A463" s="447"/>
      <c r="B463" s="478">
        <v>15</v>
      </c>
      <c r="C463" s="196">
        <v>45257</v>
      </c>
      <c r="D463" s="478" t="s">
        <v>1456</v>
      </c>
      <c r="E463" s="479" t="s">
        <v>1464</v>
      </c>
      <c r="F463" s="448"/>
      <c r="G463" s="439"/>
      <c r="H463" s="439"/>
      <c r="I463" s="439"/>
      <c r="J463" s="439"/>
      <c r="K463" s="439"/>
      <c r="L463" s="93"/>
      <c r="M463" s="93"/>
      <c r="N463" s="93"/>
      <c r="O463" s="93"/>
      <c r="P463" s="93"/>
      <c r="Q463" s="93"/>
      <c r="R463" s="93"/>
      <c r="S463" s="93"/>
      <c r="T463" s="93"/>
      <c r="U463" s="93"/>
      <c r="V463" s="93"/>
      <c r="W463" s="93"/>
      <c r="X463" s="93"/>
      <c r="Y463" s="93"/>
      <c r="Z463" s="93"/>
    </row>
    <row r="464" spans="1:26" ht="15.75" customHeight="1">
      <c r="A464" s="447"/>
      <c r="B464" s="478">
        <v>16</v>
      </c>
      <c r="C464" s="196">
        <v>45285</v>
      </c>
      <c r="D464" s="478" t="s">
        <v>1456</v>
      </c>
      <c r="E464" s="479" t="s">
        <v>1465</v>
      </c>
      <c r="F464" s="448"/>
      <c r="G464" s="439"/>
      <c r="H464" s="439"/>
      <c r="I464" s="439"/>
      <c r="J464" s="439"/>
      <c r="K464" s="439"/>
      <c r="L464" s="93"/>
      <c r="M464" s="93"/>
      <c r="N464" s="93"/>
      <c r="O464" s="93"/>
      <c r="P464" s="93"/>
      <c r="Q464" s="93"/>
      <c r="R464" s="93"/>
      <c r="S464" s="93"/>
      <c r="T464" s="93"/>
      <c r="U464" s="93"/>
      <c r="V464" s="93"/>
      <c r="W464" s="93"/>
      <c r="X464" s="93"/>
      <c r="Y464" s="93"/>
      <c r="Z464" s="93"/>
    </row>
    <row r="465" spans="1:26" ht="15.75" customHeight="1">
      <c r="A465" s="447"/>
      <c r="B465" s="480" t="s">
        <v>1466</v>
      </c>
      <c r="C465" s="481"/>
      <c r="D465" s="482"/>
      <c r="E465" s="481"/>
      <c r="F465" s="448"/>
      <c r="G465" s="439"/>
      <c r="H465" s="439"/>
      <c r="I465" s="439"/>
      <c r="J465" s="439"/>
      <c r="K465" s="439"/>
      <c r="L465" s="93"/>
      <c r="M465" s="93"/>
      <c r="N465" s="93"/>
      <c r="O465" s="93"/>
      <c r="P465" s="93"/>
      <c r="Q465" s="93"/>
      <c r="R465" s="93"/>
      <c r="S465" s="93"/>
      <c r="T465" s="93"/>
      <c r="U465" s="93"/>
      <c r="V465" s="93"/>
      <c r="W465" s="93"/>
      <c r="X465" s="93"/>
      <c r="Y465" s="93"/>
      <c r="Z465" s="93"/>
    </row>
    <row r="466" spans="1:26" ht="15.75" customHeight="1">
      <c r="A466" s="447"/>
      <c r="B466" s="475" t="s">
        <v>1443</v>
      </c>
      <c r="C466" s="476" t="s">
        <v>0</v>
      </c>
      <c r="D466" s="477" t="s">
        <v>1400</v>
      </c>
      <c r="E466" s="477" t="s">
        <v>1444</v>
      </c>
      <c r="F466" s="43"/>
      <c r="G466" s="439"/>
      <c r="H466" s="439"/>
      <c r="I466" s="439"/>
      <c r="J466" s="439"/>
      <c r="K466" s="439"/>
      <c r="L466" s="93"/>
      <c r="M466" s="93"/>
      <c r="N466" s="93"/>
      <c r="O466" s="93"/>
      <c r="P466" s="93"/>
      <c r="Q466" s="93"/>
      <c r="R466" s="93"/>
      <c r="S466" s="93"/>
      <c r="T466" s="93"/>
      <c r="U466" s="93"/>
      <c r="V466" s="93"/>
      <c r="W466" s="93"/>
      <c r="X466" s="93"/>
      <c r="Y466" s="93"/>
      <c r="Z466" s="93"/>
    </row>
    <row r="467" spans="1:26" ht="15.75" customHeight="1">
      <c r="A467" s="447"/>
      <c r="B467" s="478">
        <v>1</v>
      </c>
      <c r="C467" s="196">
        <v>44975</v>
      </c>
      <c r="D467" s="478" t="s">
        <v>1467</v>
      </c>
      <c r="E467" s="479" t="s">
        <v>1468</v>
      </c>
      <c r="F467" s="448"/>
      <c r="G467" s="439"/>
      <c r="H467" s="439"/>
      <c r="I467" s="439"/>
      <c r="J467" s="439"/>
      <c r="K467" s="439"/>
      <c r="L467" s="93"/>
      <c r="M467" s="93"/>
      <c r="N467" s="93"/>
      <c r="O467" s="93"/>
      <c r="P467" s="93"/>
      <c r="Q467" s="93"/>
      <c r="R467" s="93"/>
      <c r="S467" s="93"/>
      <c r="T467" s="93"/>
      <c r="U467" s="93"/>
      <c r="V467" s="93"/>
      <c r="W467" s="93"/>
      <c r="X467" s="93"/>
      <c r="Y467" s="93"/>
      <c r="Z467" s="93"/>
    </row>
    <row r="468" spans="1:26" ht="15.75" customHeight="1">
      <c r="A468" s="447"/>
      <c r="B468" s="478">
        <v>2</v>
      </c>
      <c r="C468" s="196">
        <v>45136</v>
      </c>
      <c r="D468" s="478" t="s">
        <v>1467</v>
      </c>
      <c r="E468" s="479" t="s">
        <v>1469</v>
      </c>
      <c r="F468" s="448"/>
      <c r="G468" s="439"/>
      <c r="H468" s="439"/>
      <c r="I468" s="439"/>
      <c r="J468" s="439"/>
      <c r="K468" s="439"/>
      <c r="L468" s="93"/>
      <c r="M468" s="93"/>
      <c r="N468" s="93"/>
      <c r="O468" s="93"/>
      <c r="P468" s="93"/>
      <c r="Q468" s="93"/>
      <c r="R468" s="93"/>
      <c r="S468" s="93"/>
      <c r="T468" s="93"/>
      <c r="U468" s="93"/>
      <c r="V468" s="93"/>
      <c r="W468" s="93"/>
      <c r="X468" s="93"/>
      <c r="Y468" s="93"/>
      <c r="Z468" s="93"/>
    </row>
    <row r="469" spans="1:26" ht="15.75" customHeight="1">
      <c r="A469" s="447"/>
      <c r="B469" s="478">
        <v>3</v>
      </c>
      <c r="C469" s="196">
        <v>45242</v>
      </c>
      <c r="D469" s="478" t="s">
        <v>1470</v>
      </c>
      <c r="E469" s="479" t="s">
        <v>1471</v>
      </c>
      <c r="F469" s="448"/>
      <c r="G469" s="439"/>
      <c r="H469" s="439"/>
      <c r="I469" s="439"/>
      <c r="J469" s="439"/>
      <c r="K469" s="439"/>
      <c r="L469" s="93"/>
      <c r="M469" s="93"/>
      <c r="N469" s="93"/>
      <c r="O469" s="93"/>
      <c r="P469" s="93"/>
      <c r="Q469" s="93"/>
      <c r="R469" s="93"/>
      <c r="S469" s="93"/>
      <c r="T469" s="93"/>
      <c r="U469" s="93"/>
      <c r="V469" s="93"/>
      <c r="W469" s="93"/>
      <c r="X469" s="93"/>
      <c r="Y469" s="93"/>
      <c r="Z469" s="93"/>
    </row>
    <row r="470" spans="1:26" ht="15.75" customHeight="1">
      <c r="A470" s="447"/>
      <c r="B470" s="478"/>
      <c r="C470" s="483"/>
      <c r="D470" s="478"/>
      <c r="E470" s="478"/>
      <c r="F470" s="448"/>
      <c r="G470" s="439"/>
      <c r="H470" s="439"/>
      <c r="I470" s="439"/>
      <c r="J470" s="439"/>
      <c r="K470" s="439"/>
      <c r="L470" s="93"/>
      <c r="M470" s="93"/>
      <c r="N470" s="93"/>
      <c r="O470" s="93"/>
      <c r="P470" s="93"/>
      <c r="Q470" s="93"/>
      <c r="R470" s="93"/>
      <c r="S470" s="93"/>
      <c r="T470" s="93"/>
      <c r="U470" s="93"/>
      <c r="V470" s="93"/>
      <c r="W470" s="93"/>
      <c r="X470" s="93"/>
      <c r="Y470" s="93"/>
      <c r="Z470" s="93"/>
    </row>
    <row r="471" spans="1:26" ht="15.75" customHeight="1">
      <c r="A471" s="447"/>
      <c r="B471" s="474" t="s">
        <v>1472</v>
      </c>
      <c r="C471" s="481"/>
      <c r="D471" s="482"/>
      <c r="E471" s="481"/>
      <c r="F471" s="448"/>
      <c r="G471" s="439"/>
      <c r="H471" s="439"/>
      <c r="I471" s="439"/>
      <c r="J471" s="439"/>
      <c r="K471" s="439"/>
      <c r="L471" s="93"/>
      <c r="M471" s="93"/>
      <c r="N471" s="93"/>
      <c r="O471" s="93"/>
      <c r="P471" s="93"/>
      <c r="Q471" s="93"/>
      <c r="R471" s="93"/>
      <c r="S471" s="93"/>
      <c r="T471" s="93"/>
      <c r="U471" s="93"/>
      <c r="V471" s="93"/>
      <c r="W471" s="93"/>
      <c r="X471" s="93"/>
      <c r="Y471" s="93"/>
      <c r="Z471" s="93"/>
    </row>
    <row r="472" spans="1:26" ht="15.75" customHeight="1">
      <c r="A472" s="447"/>
      <c r="B472" s="475" t="s">
        <v>1443</v>
      </c>
      <c r="C472" s="476" t="s">
        <v>0</v>
      </c>
      <c r="D472" s="477" t="s">
        <v>1400</v>
      </c>
      <c r="E472" s="477" t="s">
        <v>1444</v>
      </c>
      <c r="F472" s="448"/>
      <c r="G472" s="439"/>
      <c r="H472" s="439"/>
      <c r="I472" s="439"/>
      <c r="J472" s="439"/>
      <c r="K472" s="439"/>
      <c r="L472" s="93"/>
      <c r="M472" s="93"/>
      <c r="N472" s="93"/>
      <c r="O472" s="93"/>
      <c r="P472" s="93"/>
      <c r="Q472" s="93"/>
      <c r="R472" s="93"/>
      <c r="S472" s="93"/>
      <c r="T472" s="93"/>
      <c r="U472" s="93"/>
      <c r="V472" s="93"/>
      <c r="W472" s="93"/>
      <c r="X472" s="93"/>
      <c r="Y472" s="93"/>
      <c r="Z472" s="93"/>
    </row>
    <row r="473" spans="1:26" ht="15.75" customHeight="1">
      <c r="A473" s="447"/>
      <c r="B473" s="478">
        <v>1</v>
      </c>
      <c r="C473" s="196">
        <v>44587</v>
      </c>
      <c r="D473" s="478" t="s">
        <v>1447</v>
      </c>
      <c r="E473" s="479" t="s">
        <v>1446</v>
      </c>
      <c r="F473" s="448"/>
      <c r="G473" s="439"/>
      <c r="H473" s="439"/>
      <c r="I473" s="439"/>
      <c r="J473" s="439"/>
      <c r="K473" s="439"/>
      <c r="L473" s="93"/>
      <c r="M473" s="93"/>
      <c r="N473" s="93"/>
      <c r="O473" s="93"/>
      <c r="P473" s="93"/>
      <c r="Q473" s="93"/>
      <c r="R473" s="93"/>
      <c r="S473" s="93"/>
      <c r="T473" s="93"/>
      <c r="U473" s="93"/>
      <c r="V473" s="93"/>
      <c r="W473" s="93"/>
      <c r="X473" s="93"/>
      <c r="Y473" s="93"/>
      <c r="Z473" s="93"/>
    </row>
    <row r="474" spans="1:26" ht="15.75" customHeight="1">
      <c r="A474" s="447"/>
      <c r="B474" s="478">
        <v>2</v>
      </c>
      <c r="C474" s="196">
        <v>44621</v>
      </c>
      <c r="D474" s="478" t="s">
        <v>1450</v>
      </c>
      <c r="E474" s="479" t="s">
        <v>1468</v>
      </c>
      <c r="F474" s="448"/>
      <c r="G474" s="439"/>
      <c r="H474" s="439"/>
      <c r="I474" s="439"/>
      <c r="J474" s="439"/>
      <c r="K474" s="439"/>
      <c r="L474" s="93"/>
      <c r="M474" s="93"/>
      <c r="N474" s="93"/>
      <c r="O474" s="93"/>
      <c r="P474" s="93"/>
      <c r="Q474" s="93"/>
      <c r="R474" s="93"/>
      <c r="S474" s="93"/>
      <c r="T474" s="93"/>
      <c r="U474" s="93"/>
      <c r="V474" s="93"/>
      <c r="W474" s="93"/>
      <c r="X474" s="93"/>
      <c r="Y474" s="93"/>
      <c r="Z474" s="93"/>
    </row>
    <row r="475" spans="1:26" ht="15.75" customHeight="1">
      <c r="A475" s="447"/>
      <c r="B475" s="478">
        <v>3</v>
      </c>
      <c r="C475" s="196">
        <v>44638</v>
      </c>
      <c r="D475" s="478" t="s">
        <v>1452</v>
      </c>
      <c r="E475" s="479" t="s">
        <v>1448</v>
      </c>
      <c r="F475" s="448"/>
      <c r="G475" s="439"/>
      <c r="H475" s="439"/>
      <c r="I475" s="439"/>
      <c r="J475" s="439"/>
      <c r="K475" s="439"/>
      <c r="L475" s="93"/>
      <c r="M475" s="93"/>
      <c r="N475" s="93"/>
      <c r="O475" s="93"/>
      <c r="P475" s="93"/>
      <c r="Q475" s="93"/>
      <c r="R475" s="93"/>
      <c r="S475" s="93"/>
      <c r="T475" s="93"/>
      <c r="U475" s="93"/>
      <c r="V475" s="93"/>
      <c r="W475" s="93"/>
      <c r="X475" s="93"/>
      <c r="Y475" s="93"/>
      <c r="Z475" s="93"/>
    </row>
    <row r="476" spans="1:26" ht="15.75" customHeight="1">
      <c r="A476" s="447"/>
      <c r="B476" s="478">
        <v>4</v>
      </c>
      <c r="C476" s="196">
        <v>44665</v>
      </c>
      <c r="D476" s="478" t="s">
        <v>1445</v>
      </c>
      <c r="E476" s="479" t="s">
        <v>1473</v>
      </c>
      <c r="F476" s="448"/>
      <c r="G476" s="439"/>
      <c r="H476" s="439"/>
      <c r="I476" s="439"/>
      <c r="J476" s="439"/>
      <c r="K476" s="439"/>
      <c r="L476" s="93"/>
      <c r="M476" s="93"/>
      <c r="N476" s="93"/>
      <c r="O476" s="93"/>
      <c r="P476" s="93"/>
      <c r="Q476" s="93"/>
      <c r="R476" s="93"/>
      <c r="S476" s="93"/>
      <c r="T476" s="93"/>
      <c r="U476" s="93"/>
      <c r="V476" s="93"/>
      <c r="W476" s="93"/>
      <c r="X476" s="93"/>
      <c r="Y476" s="93"/>
      <c r="Z476" s="93"/>
    </row>
    <row r="477" spans="1:26" ht="15.75" customHeight="1">
      <c r="A477" s="447"/>
      <c r="B477" s="478">
        <v>5</v>
      </c>
      <c r="C477" s="196">
        <v>44666</v>
      </c>
      <c r="D477" s="478" t="s">
        <v>1452</v>
      </c>
      <c r="E477" s="479" t="s">
        <v>1453</v>
      </c>
      <c r="F477" s="448"/>
      <c r="G477" s="439"/>
      <c r="H477" s="439"/>
      <c r="I477" s="439"/>
      <c r="J477" s="439"/>
      <c r="K477" s="439"/>
      <c r="L477" s="93"/>
      <c r="M477" s="93"/>
      <c r="N477" s="93"/>
      <c r="O477" s="93"/>
      <c r="P477" s="93"/>
      <c r="Q477" s="93"/>
      <c r="R477" s="93"/>
      <c r="S477" s="93"/>
      <c r="T477" s="93"/>
      <c r="U477" s="93"/>
      <c r="V477" s="93"/>
      <c r="W477" s="93"/>
      <c r="X477" s="93"/>
      <c r="Y477" s="93"/>
      <c r="Z477" s="93"/>
    </row>
    <row r="478" spans="1:26" ht="15.75" customHeight="1">
      <c r="A478" s="447"/>
      <c r="B478" s="478">
        <v>6</v>
      </c>
      <c r="C478" s="196">
        <v>44684</v>
      </c>
      <c r="D478" s="478" t="s">
        <v>1450</v>
      </c>
      <c r="E478" s="479" t="s">
        <v>1474</v>
      </c>
      <c r="F478" s="448"/>
      <c r="G478" s="439"/>
      <c r="H478" s="439"/>
      <c r="I478" s="439"/>
      <c r="J478" s="439"/>
      <c r="K478" s="439"/>
      <c r="L478" s="93"/>
      <c r="M478" s="93"/>
      <c r="N478" s="93"/>
      <c r="O478" s="93"/>
      <c r="P478" s="93"/>
      <c r="Q478" s="93"/>
      <c r="R478" s="93"/>
      <c r="S478" s="93"/>
      <c r="T478" s="93"/>
      <c r="U478" s="93"/>
      <c r="V478" s="93"/>
      <c r="W478" s="93"/>
      <c r="X478" s="93"/>
      <c r="Y478" s="93"/>
      <c r="Z478" s="93"/>
    </row>
    <row r="479" spans="1:26" ht="15.75" customHeight="1">
      <c r="A479" s="447"/>
      <c r="B479" s="478">
        <v>7</v>
      </c>
      <c r="C479" s="196">
        <v>44782</v>
      </c>
      <c r="D479" s="478" t="s">
        <v>1450</v>
      </c>
      <c r="E479" s="479" t="s">
        <v>1475</v>
      </c>
      <c r="F479" s="448"/>
      <c r="G479" s="439"/>
      <c r="H479" s="439"/>
      <c r="I479" s="439"/>
      <c r="J479" s="439"/>
      <c r="K479" s="439"/>
      <c r="L479" s="93"/>
      <c r="M479" s="93"/>
      <c r="N479" s="93"/>
      <c r="O479" s="93"/>
      <c r="P479" s="93"/>
      <c r="Q479" s="93"/>
      <c r="R479" s="93"/>
      <c r="S479" s="93"/>
      <c r="T479" s="93"/>
      <c r="U479" s="93"/>
      <c r="V479" s="93"/>
      <c r="W479" s="93"/>
      <c r="X479" s="93"/>
      <c r="Y479" s="93"/>
      <c r="Z479" s="93"/>
    </row>
    <row r="480" spans="1:26" ht="15.75" customHeight="1">
      <c r="A480" s="447"/>
      <c r="B480" s="478">
        <v>8</v>
      </c>
      <c r="C480" s="196">
        <v>44788</v>
      </c>
      <c r="D480" s="478" t="s">
        <v>1456</v>
      </c>
      <c r="E480" s="479" t="s">
        <v>1459</v>
      </c>
      <c r="F480" s="448"/>
      <c r="G480" s="439"/>
      <c r="H480" s="439"/>
      <c r="I480" s="439"/>
      <c r="J480" s="439"/>
      <c r="K480" s="439"/>
      <c r="L480" s="93"/>
      <c r="M480" s="93"/>
      <c r="N480" s="93"/>
      <c r="O480" s="93"/>
      <c r="P480" s="93"/>
      <c r="Q480" s="93"/>
      <c r="R480" s="93"/>
      <c r="S480" s="93"/>
      <c r="T480" s="93"/>
      <c r="U480" s="93"/>
      <c r="V480" s="93"/>
      <c r="W480" s="93"/>
      <c r="X480" s="93"/>
      <c r="Y480" s="93"/>
      <c r="Z480" s="93"/>
    </row>
    <row r="481" spans="1:26" ht="15.75" customHeight="1">
      <c r="A481" s="447"/>
      <c r="B481" s="478">
        <v>9</v>
      </c>
      <c r="C481" s="196">
        <v>44804</v>
      </c>
      <c r="D481" s="478" t="s">
        <v>1447</v>
      </c>
      <c r="E481" s="479" t="s">
        <v>1460</v>
      </c>
      <c r="F481" s="448"/>
      <c r="G481" s="439"/>
      <c r="H481" s="439"/>
      <c r="I481" s="439"/>
      <c r="J481" s="439"/>
      <c r="K481" s="439"/>
      <c r="L481" s="93"/>
      <c r="M481" s="93"/>
      <c r="N481" s="93"/>
      <c r="O481" s="93"/>
      <c r="P481" s="93"/>
      <c r="Q481" s="93"/>
      <c r="R481" s="93"/>
      <c r="S481" s="93"/>
      <c r="T481" s="93"/>
      <c r="U481" s="93"/>
      <c r="V481" s="93"/>
      <c r="W481" s="93"/>
      <c r="X481" s="93"/>
      <c r="Y481" s="93"/>
      <c r="Z481" s="93"/>
    </row>
    <row r="482" spans="1:26" ht="15.75" customHeight="1">
      <c r="A482" s="447"/>
      <c r="B482" s="478">
        <v>10</v>
      </c>
      <c r="C482" s="196">
        <v>44839</v>
      </c>
      <c r="D482" s="478" t="s">
        <v>1447</v>
      </c>
      <c r="E482" s="479" t="s">
        <v>1462</v>
      </c>
      <c r="F482" s="448"/>
      <c r="G482" s="439"/>
      <c r="H482" s="439"/>
      <c r="I482" s="439"/>
      <c r="J482" s="439"/>
      <c r="K482" s="439"/>
      <c r="L482" s="93"/>
      <c r="M482" s="93"/>
      <c r="N482" s="93"/>
      <c r="O482" s="93"/>
      <c r="P482" s="93"/>
      <c r="Q482" s="93"/>
      <c r="R482" s="93"/>
      <c r="S482" s="93"/>
      <c r="T482" s="93"/>
      <c r="U482" s="93"/>
      <c r="V482" s="93"/>
      <c r="W482" s="93"/>
      <c r="X482" s="93"/>
      <c r="Y482" s="93"/>
      <c r="Z482" s="93"/>
    </row>
    <row r="483" spans="1:26" ht="15.75" customHeight="1">
      <c r="A483" s="447"/>
      <c r="B483" s="478">
        <v>11</v>
      </c>
      <c r="C483" s="196">
        <v>44858</v>
      </c>
      <c r="D483" s="478" t="s">
        <v>1456</v>
      </c>
      <c r="E483" s="479" t="s">
        <v>1471</v>
      </c>
      <c r="F483" s="448"/>
      <c r="G483" s="439"/>
      <c r="H483" s="439"/>
      <c r="I483" s="439"/>
      <c r="J483" s="439"/>
      <c r="K483" s="439"/>
      <c r="L483" s="93"/>
      <c r="M483" s="93"/>
      <c r="N483" s="93"/>
      <c r="O483" s="93"/>
      <c r="P483" s="93"/>
      <c r="Q483" s="93"/>
      <c r="R483" s="93"/>
      <c r="S483" s="93"/>
      <c r="T483" s="93"/>
      <c r="U483" s="93"/>
      <c r="V483" s="93"/>
      <c r="W483" s="93"/>
      <c r="X483" s="93"/>
      <c r="Y483" s="93"/>
      <c r="Z483" s="93"/>
    </row>
    <row r="484" spans="1:26" ht="15.75" customHeight="1">
      <c r="A484" s="447"/>
      <c r="B484" s="478">
        <v>12</v>
      </c>
      <c r="C484" s="196">
        <v>44860</v>
      </c>
      <c r="D484" s="478" t="s">
        <v>1447</v>
      </c>
      <c r="E484" s="479" t="s">
        <v>1463</v>
      </c>
      <c r="F484" s="448"/>
      <c r="G484" s="439"/>
      <c r="H484" s="439"/>
      <c r="I484" s="439"/>
      <c r="J484" s="439"/>
      <c r="K484" s="439"/>
      <c r="L484" s="93"/>
      <c r="M484" s="93"/>
      <c r="N484" s="93"/>
      <c r="O484" s="93"/>
      <c r="P484" s="93"/>
      <c r="Q484" s="93"/>
      <c r="R484" s="93"/>
      <c r="S484" s="93"/>
      <c r="T484" s="93"/>
      <c r="U484" s="93"/>
      <c r="V484" s="93"/>
      <c r="W484" s="93"/>
      <c r="X484" s="93"/>
      <c r="Y484" s="93"/>
      <c r="Z484" s="93"/>
    </row>
    <row r="485" spans="1:26" ht="15.75" customHeight="1">
      <c r="A485" s="447"/>
      <c r="B485" s="478">
        <v>13</v>
      </c>
      <c r="C485" s="196">
        <v>44873</v>
      </c>
      <c r="D485" s="478" t="s">
        <v>1450</v>
      </c>
      <c r="E485" s="479" t="s">
        <v>1464</v>
      </c>
      <c r="F485" s="448"/>
      <c r="G485" s="439"/>
      <c r="H485" s="439"/>
      <c r="I485" s="439"/>
      <c r="J485" s="439"/>
      <c r="K485" s="439"/>
      <c r="L485" s="93"/>
      <c r="M485" s="93"/>
      <c r="N485" s="93"/>
      <c r="O485" s="93"/>
      <c r="P485" s="93"/>
      <c r="Q485" s="93"/>
      <c r="R485" s="93"/>
      <c r="S485" s="93"/>
      <c r="T485" s="93"/>
      <c r="U485" s="93"/>
      <c r="V485" s="93"/>
      <c r="W485" s="93"/>
      <c r="X485" s="93"/>
      <c r="Y485" s="93"/>
      <c r="Z485" s="93"/>
    </row>
    <row r="486" spans="1:26" ht="15.75" customHeight="1">
      <c r="A486" s="447"/>
      <c r="B486" s="480" t="s">
        <v>1466</v>
      </c>
      <c r="C486" s="481"/>
      <c r="D486" s="482"/>
      <c r="E486" s="481"/>
      <c r="F486" s="448"/>
      <c r="G486" s="439"/>
      <c r="H486" s="439"/>
      <c r="I486" s="439"/>
      <c r="J486" s="439"/>
      <c r="K486" s="439"/>
      <c r="L486" s="93"/>
      <c r="M486" s="93"/>
      <c r="N486" s="93"/>
      <c r="O486" s="93"/>
      <c r="P486" s="93"/>
      <c r="Q486" s="93"/>
      <c r="R486" s="93"/>
      <c r="S486" s="93"/>
      <c r="T486" s="93"/>
      <c r="U486" s="93"/>
      <c r="V486" s="93"/>
      <c r="W486" s="93"/>
      <c r="X486" s="93"/>
      <c r="Y486" s="93"/>
      <c r="Z486" s="93"/>
    </row>
    <row r="487" spans="1:26" ht="15.75" customHeight="1">
      <c r="A487" s="447"/>
      <c r="B487" s="475" t="s">
        <v>1443</v>
      </c>
      <c r="C487" s="476" t="s">
        <v>0</v>
      </c>
      <c r="D487" s="477" t="s">
        <v>1400</v>
      </c>
      <c r="E487" s="477" t="s">
        <v>1444</v>
      </c>
      <c r="F487" s="448"/>
      <c r="G487" s="439"/>
      <c r="H487" s="439"/>
      <c r="I487" s="439"/>
      <c r="J487" s="439"/>
      <c r="K487" s="439"/>
      <c r="L487" s="93"/>
      <c r="M487" s="93"/>
      <c r="N487" s="93"/>
      <c r="O487" s="93"/>
      <c r="P487" s="93"/>
      <c r="Q487" s="93"/>
      <c r="R487" s="93"/>
      <c r="S487" s="93"/>
      <c r="T487" s="93"/>
      <c r="U487" s="93"/>
      <c r="V487" s="93"/>
      <c r="W487" s="93"/>
      <c r="X487" s="93"/>
      <c r="Y487" s="93"/>
      <c r="Z487" s="93"/>
    </row>
    <row r="488" spans="1:26" ht="15.75" customHeight="1">
      <c r="A488" s="447"/>
      <c r="B488" s="478">
        <v>1</v>
      </c>
      <c r="C488" s="196">
        <v>44661</v>
      </c>
      <c r="D488" s="478" t="s">
        <v>1470</v>
      </c>
      <c r="E488" s="479" t="s">
        <v>1449</v>
      </c>
      <c r="F488" s="448"/>
      <c r="G488" s="439"/>
      <c r="H488" s="439"/>
      <c r="I488" s="439"/>
      <c r="J488" s="439"/>
      <c r="K488" s="439"/>
      <c r="L488" s="93"/>
      <c r="M488" s="93"/>
      <c r="N488" s="93"/>
      <c r="O488" s="93"/>
      <c r="P488" s="93"/>
      <c r="Q488" s="93"/>
      <c r="R488" s="93"/>
      <c r="S488" s="93"/>
      <c r="T488" s="93"/>
      <c r="U488" s="93"/>
      <c r="V488" s="93"/>
      <c r="W488" s="93"/>
      <c r="X488" s="93"/>
      <c r="Y488" s="93"/>
      <c r="Z488" s="93"/>
    </row>
    <row r="489" spans="1:26" ht="15.75" customHeight="1">
      <c r="A489" s="447"/>
      <c r="B489" s="478">
        <v>2</v>
      </c>
      <c r="C489" s="196">
        <v>44682</v>
      </c>
      <c r="D489" s="478" t="s">
        <v>1470</v>
      </c>
      <c r="E489" s="479" t="s">
        <v>1457</v>
      </c>
      <c r="F489" s="448"/>
      <c r="G489" s="439"/>
      <c r="H489" s="439"/>
      <c r="I489" s="439"/>
      <c r="J489" s="439"/>
      <c r="K489" s="439"/>
      <c r="L489" s="93"/>
      <c r="M489" s="93"/>
      <c r="N489" s="93"/>
      <c r="O489" s="93"/>
      <c r="P489" s="93"/>
      <c r="Q489" s="93"/>
      <c r="R489" s="93"/>
      <c r="S489" s="93"/>
      <c r="T489" s="93"/>
      <c r="U489" s="93"/>
      <c r="V489" s="93"/>
      <c r="W489" s="93"/>
      <c r="X489" s="93"/>
      <c r="Y489" s="93"/>
      <c r="Z489" s="93"/>
    </row>
    <row r="490" spans="1:26" ht="15.75" customHeight="1">
      <c r="A490" s="447"/>
      <c r="B490" s="478">
        <v>3</v>
      </c>
      <c r="C490" s="196">
        <v>44752</v>
      </c>
      <c r="D490" s="478" t="s">
        <v>1470</v>
      </c>
      <c r="E490" s="479" t="s">
        <v>1458</v>
      </c>
      <c r="F490" s="448"/>
      <c r="G490" s="439"/>
      <c r="H490" s="439"/>
      <c r="I490" s="439"/>
      <c r="J490" s="439"/>
      <c r="K490" s="439"/>
      <c r="L490" s="93"/>
      <c r="M490" s="93"/>
      <c r="N490" s="93"/>
      <c r="O490" s="93"/>
      <c r="P490" s="93"/>
      <c r="Q490" s="93"/>
      <c r="R490" s="93"/>
      <c r="S490" s="93"/>
      <c r="T490" s="93"/>
      <c r="U490" s="93"/>
      <c r="V490" s="93"/>
      <c r="W490" s="93"/>
      <c r="X490" s="93"/>
      <c r="Y490" s="93"/>
      <c r="Z490" s="93"/>
    </row>
    <row r="491" spans="1:26" ht="15.75" customHeight="1">
      <c r="A491" s="447"/>
      <c r="B491" s="478">
        <v>4</v>
      </c>
      <c r="C491" s="196">
        <v>44836</v>
      </c>
      <c r="D491" s="478" t="s">
        <v>1470</v>
      </c>
      <c r="E491" s="479" t="s">
        <v>1461</v>
      </c>
      <c r="F491" s="448"/>
      <c r="G491" s="439"/>
      <c r="H491" s="439"/>
      <c r="I491" s="439"/>
      <c r="J491" s="439"/>
      <c r="K491" s="439"/>
      <c r="L491" s="93"/>
      <c r="M491" s="93"/>
      <c r="N491" s="93"/>
      <c r="O491" s="93"/>
      <c r="P491" s="93"/>
      <c r="Q491" s="93"/>
      <c r="R491" s="93"/>
      <c r="S491" s="93"/>
      <c r="T491" s="93"/>
      <c r="U491" s="93"/>
      <c r="V491" s="93"/>
      <c r="W491" s="93"/>
      <c r="X491" s="93"/>
      <c r="Y491" s="93"/>
      <c r="Z491" s="93"/>
    </row>
    <row r="492" spans="1:26" ht="15.75" customHeight="1">
      <c r="A492" s="447"/>
      <c r="B492" s="478">
        <v>5</v>
      </c>
      <c r="C492" s="196">
        <v>44920</v>
      </c>
      <c r="D492" s="478" t="s">
        <v>1470</v>
      </c>
      <c r="E492" s="479" t="s">
        <v>1465</v>
      </c>
      <c r="F492" s="448"/>
      <c r="G492" s="439"/>
      <c r="H492" s="439"/>
      <c r="I492" s="439"/>
      <c r="J492" s="439"/>
      <c r="K492" s="439"/>
      <c r="L492" s="93"/>
      <c r="M492" s="93"/>
      <c r="N492" s="93"/>
      <c r="O492" s="93"/>
      <c r="P492" s="93"/>
      <c r="Q492" s="93"/>
      <c r="R492" s="93"/>
      <c r="S492" s="93"/>
      <c r="T492" s="93"/>
      <c r="U492" s="93"/>
      <c r="V492" s="93"/>
      <c r="W492" s="93"/>
      <c r="X492" s="93"/>
      <c r="Y492" s="93"/>
      <c r="Z492" s="93"/>
    </row>
    <row r="493" spans="1:26" ht="15.75" customHeight="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customHeight="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customHeight="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customHeight="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customHeight="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customHeight="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sheetData>
  <mergeCells count="2">
    <mergeCell ref="C378:D378"/>
    <mergeCell ref="E407:E408"/>
  </mergeCells>
  <hyperlinks>
    <hyperlink ref="B448" r:id="rId1"/>
    <hyperlink ref="B466" r:id="rId2"/>
    <hyperlink ref="B472" r:id="rId3"/>
    <hyperlink ref="B487" r:id="rId4"/>
  </hyperlinks>
  <pageMargins left="0.7" right="0.7" top="0.75" bottom="0.75" header="0" footer="0"/>
  <pageSetup orientation="landscape"/>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BH86"/>
  <sheetViews>
    <sheetView workbookViewId="0">
      <selection sqref="A1:B1"/>
    </sheetView>
  </sheetViews>
  <sheetFormatPr baseColWidth="10" defaultColWidth="14.42578125" defaultRowHeight="15" customHeight="1" outlineLevelRow="1"/>
  <cols>
    <col min="1" max="1" width="5.140625" customWidth="1"/>
    <col min="2" max="2" width="9.7109375" customWidth="1"/>
    <col min="3" max="3" width="11.42578125" customWidth="1"/>
    <col min="4" max="4" width="5.140625" customWidth="1"/>
    <col min="5" max="5" width="9.7109375" customWidth="1"/>
    <col min="6" max="6" width="11.42578125" customWidth="1"/>
    <col min="7" max="7" width="0.85546875" customWidth="1"/>
    <col min="8" max="8" width="5.140625" customWidth="1"/>
    <col min="9" max="9" width="9.7109375" customWidth="1"/>
    <col min="10" max="10" width="11.42578125" customWidth="1"/>
    <col min="11" max="11" width="5.140625" customWidth="1"/>
    <col min="12" max="12" width="9.7109375" customWidth="1"/>
    <col min="13" max="13" width="11.42578125" customWidth="1"/>
    <col min="14" max="14" width="0.85546875" customWidth="1"/>
    <col min="15" max="15" width="5.140625" customWidth="1"/>
    <col min="16" max="16" width="9.7109375" customWidth="1"/>
    <col min="17" max="17" width="11.42578125" customWidth="1"/>
    <col min="18" max="18" width="5.140625" customWidth="1"/>
    <col min="19" max="19" width="9.7109375" customWidth="1"/>
    <col min="20" max="20" width="11.42578125" customWidth="1"/>
    <col min="21" max="21" width="0.85546875" customWidth="1"/>
    <col min="22" max="22" width="5.140625" customWidth="1"/>
    <col min="23" max="23" width="9.7109375" customWidth="1"/>
    <col min="24" max="24" width="11.42578125" customWidth="1"/>
    <col min="25" max="25" width="5.140625" customWidth="1"/>
    <col min="26" max="26" width="9.7109375" customWidth="1"/>
    <col min="27" max="27" width="11.42578125" customWidth="1"/>
    <col min="28" max="28" width="0.85546875" customWidth="1"/>
    <col min="29" max="29" width="5.140625" customWidth="1"/>
    <col min="30" max="30" width="9.7109375" customWidth="1"/>
    <col min="31" max="31" width="11.42578125" customWidth="1"/>
    <col min="32" max="32" width="5.140625" customWidth="1"/>
    <col min="33" max="33" width="9.7109375" customWidth="1"/>
    <col min="34" max="34" width="11.42578125" customWidth="1"/>
    <col min="35" max="35" width="0.85546875" customWidth="1"/>
    <col min="36" max="36" width="5.140625" customWidth="1"/>
    <col min="37" max="38" width="11.42578125" customWidth="1"/>
    <col min="39" max="39" width="5.140625" customWidth="1"/>
    <col min="40" max="41" width="11.42578125" customWidth="1"/>
    <col min="42" max="42" width="0.85546875" customWidth="1"/>
    <col min="43" max="44" width="8.42578125" customWidth="1"/>
    <col min="45" max="45" width="0.85546875" customWidth="1"/>
    <col min="46" max="47" width="8.42578125" customWidth="1"/>
    <col min="48" max="48" width="0.85546875" customWidth="1"/>
    <col min="49" max="50" width="8.42578125" customWidth="1"/>
    <col min="51" max="51" width="0.85546875" customWidth="1"/>
    <col min="52" max="53" width="8.42578125" customWidth="1"/>
    <col min="54" max="54" width="0.85546875" customWidth="1"/>
    <col min="55" max="56" width="8.42578125" customWidth="1"/>
    <col min="57" max="57" width="0.85546875" customWidth="1"/>
    <col min="58" max="59" width="8.42578125" customWidth="1"/>
    <col min="60" max="60" width="0.85546875" customWidth="1"/>
  </cols>
  <sheetData>
    <row r="1" spans="1:60" ht="14.25" customHeight="1">
      <c r="A1" s="671" t="s">
        <v>1476</v>
      </c>
      <c r="B1" s="630"/>
      <c r="C1" s="670" t="s">
        <v>1477</v>
      </c>
      <c r="D1" s="629"/>
      <c r="E1" s="629"/>
      <c r="F1" s="630"/>
      <c r="G1" s="484"/>
      <c r="H1" s="671" t="s">
        <v>1476</v>
      </c>
      <c r="I1" s="630"/>
      <c r="J1" s="670" t="s">
        <v>1478</v>
      </c>
      <c r="K1" s="629"/>
      <c r="L1" s="629"/>
      <c r="M1" s="630"/>
      <c r="N1" s="484"/>
      <c r="O1" s="671" t="s">
        <v>1476</v>
      </c>
      <c r="P1" s="630"/>
      <c r="Q1" s="670" t="s">
        <v>1479</v>
      </c>
      <c r="R1" s="629"/>
      <c r="S1" s="629"/>
      <c r="T1" s="630"/>
      <c r="U1" s="484"/>
      <c r="V1" s="671" t="s">
        <v>1476</v>
      </c>
      <c r="W1" s="630"/>
      <c r="X1" s="670" t="s">
        <v>1480</v>
      </c>
      <c r="Y1" s="629"/>
      <c r="Z1" s="629"/>
      <c r="AA1" s="630"/>
      <c r="AB1" s="484"/>
      <c r="AC1" s="671" t="s">
        <v>1476</v>
      </c>
      <c r="AD1" s="630"/>
      <c r="AE1" s="670" t="s">
        <v>1481</v>
      </c>
      <c r="AF1" s="629"/>
      <c r="AG1" s="629"/>
      <c r="AH1" s="630"/>
      <c r="AI1" s="484"/>
      <c r="AJ1" s="671" t="s">
        <v>1476</v>
      </c>
      <c r="AK1" s="630"/>
      <c r="AL1" s="670" t="s">
        <v>1482</v>
      </c>
      <c r="AM1" s="629"/>
      <c r="AN1" s="629"/>
      <c r="AO1" s="630"/>
      <c r="AP1" s="484"/>
      <c r="AQ1" s="669" t="str">
        <f>C1</f>
        <v>banknifty</v>
      </c>
      <c r="AR1" s="668"/>
      <c r="AS1" s="484"/>
      <c r="AT1" s="669" t="str">
        <f>J1</f>
        <v>b</v>
      </c>
      <c r="AU1" s="668"/>
      <c r="AV1" s="484"/>
      <c r="AW1" s="669" t="str">
        <f>Q1</f>
        <v>c</v>
      </c>
      <c r="AX1" s="668"/>
      <c r="AY1" s="484"/>
      <c r="AZ1" s="669" t="str">
        <f>X1</f>
        <v>d</v>
      </c>
      <c r="BA1" s="668"/>
      <c r="BB1" s="484"/>
      <c r="BC1" s="669" t="str">
        <f>AE1</f>
        <v>e</v>
      </c>
      <c r="BD1" s="668"/>
      <c r="BE1" s="484"/>
      <c r="BF1" s="669" t="str">
        <f>AL1</f>
        <v>f</v>
      </c>
      <c r="BG1" s="668"/>
      <c r="BH1" s="484"/>
    </row>
    <row r="2" spans="1:60" ht="14.25" customHeight="1">
      <c r="A2" s="674" t="s">
        <v>1483</v>
      </c>
      <c r="B2" s="673"/>
      <c r="C2" s="612"/>
      <c r="D2" s="672" t="s">
        <v>1484</v>
      </c>
      <c r="E2" s="673"/>
      <c r="F2" s="612"/>
      <c r="G2" s="484"/>
      <c r="H2" s="674" t="s">
        <v>1483</v>
      </c>
      <c r="I2" s="673"/>
      <c r="J2" s="612"/>
      <c r="K2" s="672" t="s">
        <v>1484</v>
      </c>
      <c r="L2" s="673"/>
      <c r="M2" s="612"/>
      <c r="N2" s="484"/>
      <c r="O2" s="674" t="s">
        <v>1483</v>
      </c>
      <c r="P2" s="673"/>
      <c r="Q2" s="612"/>
      <c r="R2" s="672" t="s">
        <v>1484</v>
      </c>
      <c r="S2" s="673"/>
      <c r="T2" s="612"/>
      <c r="U2" s="484"/>
      <c r="V2" s="674" t="s">
        <v>1483</v>
      </c>
      <c r="W2" s="673"/>
      <c r="X2" s="612"/>
      <c r="Y2" s="672" t="s">
        <v>1484</v>
      </c>
      <c r="Z2" s="673"/>
      <c r="AA2" s="612"/>
      <c r="AB2" s="484"/>
      <c r="AC2" s="674" t="s">
        <v>1483</v>
      </c>
      <c r="AD2" s="673"/>
      <c r="AE2" s="612"/>
      <c r="AF2" s="672" t="s">
        <v>1484</v>
      </c>
      <c r="AG2" s="673"/>
      <c r="AH2" s="612"/>
      <c r="AI2" s="484"/>
      <c r="AJ2" s="674" t="s">
        <v>1483</v>
      </c>
      <c r="AK2" s="673"/>
      <c r="AL2" s="612"/>
      <c r="AM2" s="672" t="s">
        <v>1484</v>
      </c>
      <c r="AN2" s="673"/>
      <c r="AO2" s="612"/>
      <c r="AP2" s="484"/>
      <c r="AQ2" s="41" t="s">
        <v>453</v>
      </c>
      <c r="AR2" s="41" t="s">
        <v>446</v>
      </c>
      <c r="AS2" s="484"/>
      <c r="AT2" s="41" t="s">
        <v>453</v>
      </c>
      <c r="AU2" s="41" t="s">
        <v>446</v>
      </c>
      <c r="AV2" s="484"/>
      <c r="AW2" s="41" t="s">
        <v>453</v>
      </c>
      <c r="AX2" s="41" t="s">
        <v>446</v>
      </c>
      <c r="AY2" s="484"/>
      <c r="AZ2" s="41" t="s">
        <v>453</v>
      </c>
      <c r="BA2" s="41" t="s">
        <v>446</v>
      </c>
      <c r="BB2" s="484"/>
      <c r="BC2" s="41" t="s">
        <v>453</v>
      </c>
      <c r="BD2" s="41" t="s">
        <v>446</v>
      </c>
      <c r="BE2" s="484"/>
      <c r="BF2" s="41" t="s">
        <v>453</v>
      </c>
      <c r="BG2" s="41" t="s">
        <v>446</v>
      </c>
      <c r="BH2" s="484"/>
    </row>
    <row r="3" spans="1:60" ht="14.25" customHeight="1">
      <c r="A3" s="485"/>
      <c r="B3" s="486"/>
      <c r="C3" s="487">
        <f t="shared" ref="C3:C13" si="0">ROUND(A3*B3,2)</f>
        <v>0</v>
      </c>
      <c r="D3" s="488"/>
      <c r="E3" s="489"/>
      <c r="F3" s="490">
        <f t="shared" ref="F3:F13" si="1">ROUND(D3*E3,2)</f>
        <v>0</v>
      </c>
      <c r="G3" s="491"/>
      <c r="H3" s="485"/>
      <c r="I3" s="492"/>
      <c r="J3" s="493">
        <f t="shared" ref="J3:J13" si="2">ROUND(H3*I3,4)</f>
        <v>0</v>
      </c>
      <c r="K3" s="494"/>
      <c r="L3" s="489"/>
      <c r="M3" s="495">
        <f t="shared" ref="M3:M13" si="3">ROUND(K3*L3,4)</f>
        <v>0</v>
      </c>
      <c r="N3" s="491"/>
      <c r="O3" s="496"/>
      <c r="P3" s="497"/>
      <c r="Q3" s="493">
        <f t="shared" ref="Q3:Q13" si="4">ROUND(O3*P3,2)</f>
        <v>0</v>
      </c>
      <c r="R3" s="488"/>
      <c r="S3" s="498"/>
      <c r="T3" s="495">
        <f t="shared" ref="T3:T13" si="5">ROUND(R3*S3,4)</f>
        <v>0</v>
      </c>
      <c r="U3" s="491"/>
      <c r="V3" s="499"/>
      <c r="W3" s="486"/>
      <c r="X3" s="493">
        <f t="shared" ref="X3:X13" si="6">ROUND(V3*W3,4)</f>
        <v>0</v>
      </c>
      <c r="Y3" s="488"/>
      <c r="Z3" s="498"/>
      <c r="AA3" s="495">
        <f t="shared" ref="AA3:AA13" si="7">ROUND(Y3*Z3,4)</f>
        <v>0</v>
      </c>
      <c r="AB3" s="491"/>
      <c r="AC3" s="499"/>
      <c r="AD3" s="486"/>
      <c r="AE3" s="493">
        <f t="shared" ref="AE3:AE13" si="8">ROUND(AC3*AD3,4)</f>
        <v>0</v>
      </c>
      <c r="AF3" s="488"/>
      <c r="AG3" s="498"/>
      <c r="AH3" s="495">
        <f t="shared" ref="AH3:AH13" si="9">ROUND(AF3*AG3,4)</f>
        <v>0</v>
      </c>
      <c r="AI3" s="491"/>
      <c r="AJ3" s="499"/>
      <c r="AK3" s="486"/>
      <c r="AL3" s="493">
        <f t="shared" ref="AL3:AL13" si="10">ROUND(AJ3*AK3,4)</f>
        <v>0</v>
      </c>
      <c r="AM3" s="488"/>
      <c r="AN3" s="498"/>
      <c r="AO3" s="495">
        <f t="shared" ref="AO3:AO13" si="11">ROUND(AM3*AN3,4)</f>
        <v>0</v>
      </c>
      <c r="AP3" s="491"/>
      <c r="AQ3" s="500">
        <f t="shared" ref="AQ3:AQ13" si="12">IF(C3*$E$54&lt;20,ROUND(C3*$E$54,2),20)</f>
        <v>0</v>
      </c>
      <c r="AR3" s="500">
        <f t="shared" ref="AR3:AR13" si="13">IF(F3*$E$54&lt;20,ROUND(F3*$E$54,2),20)</f>
        <v>0</v>
      </c>
      <c r="AS3" s="491"/>
      <c r="AT3" s="500">
        <f t="shared" ref="AT3:AT13" si="14">IF(J3*$E$54&lt;20,ROUND(J3*$E$54,2),20)</f>
        <v>0</v>
      </c>
      <c r="AU3" s="500">
        <f t="shared" ref="AU3:AU13" si="15">IF(M3*$E$54&lt;20,ROUND(M3*$E$54,2),20)</f>
        <v>0</v>
      </c>
      <c r="AV3" s="491"/>
      <c r="AW3" s="500">
        <f t="shared" ref="AW3:AW13" si="16">IF(Q3*$E$54&lt;20,ROUND(Q3*$E$54,2),20)</f>
        <v>0</v>
      </c>
      <c r="AX3" s="500">
        <f t="shared" ref="AX3:AX13" si="17">IF(T3*$E$54&lt;20,ROUND(T3*$E$54,2),20)</f>
        <v>0</v>
      </c>
      <c r="AY3" s="491"/>
      <c r="AZ3" s="500">
        <f t="shared" ref="AZ3:AZ13" si="18">IF(X3*$E$54&lt;20,ROUND(X3*$E$54,2),20)</f>
        <v>0</v>
      </c>
      <c r="BA3" s="500">
        <f t="shared" ref="BA3:BA13" si="19">IF(AA3*$E$54&lt;20,ROUND(AA3*$E$54,2),20)</f>
        <v>0</v>
      </c>
      <c r="BB3" s="491"/>
      <c r="BC3" s="500">
        <f t="shared" ref="BC3:BC13" si="20">IF(AE3*$E$54&lt;20,ROUND(AE3*$E$54,2),20)</f>
        <v>0</v>
      </c>
      <c r="BD3" s="500">
        <f t="shared" ref="BD3:BD13" si="21">IF(AH3*$E$54&lt;20,ROUND(AH3*$E$54,2),20)</f>
        <v>0</v>
      </c>
      <c r="BE3" s="491"/>
      <c r="BF3" s="500">
        <f t="shared" ref="BF3:BF13" si="22">IF(AL3*$E$54&lt;20,ROUND(AL3*$E$54,2),20)</f>
        <v>0</v>
      </c>
      <c r="BG3" s="500">
        <f t="shared" ref="BG3:BG13" si="23">IF(AO3*$E$54&lt;20,ROUND(AO3*$E$54,2),20)</f>
        <v>0</v>
      </c>
      <c r="BH3" s="491"/>
    </row>
    <row r="4" spans="1:60" ht="14.25" customHeight="1">
      <c r="A4" s="499"/>
      <c r="B4" s="501"/>
      <c r="C4" s="487">
        <f t="shared" si="0"/>
        <v>0</v>
      </c>
      <c r="D4" s="494"/>
      <c r="E4" s="489"/>
      <c r="F4" s="490">
        <f t="shared" si="1"/>
        <v>0</v>
      </c>
      <c r="G4" s="491"/>
      <c r="H4" s="485"/>
      <c r="I4" s="502"/>
      <c r="J4" s="487">
        <f t="shared" si="2"/>
        <v>0</v>
      </c>
      <c r="K4" s="494"/>
      <c r="L4" s="498"/>
      <c r="M4" s="490">
        <f t="shared" si="3"/>
        <v>0</v>
      </c>
      <c r="N4" s="491"/>
      <c r="O4" s="503"/>
      <c r="P4" s="504"/>
      <c r="Q4" s="487">
        <f t="shared" si="4"/>
        <v>0</v>
      </c>
      <c r="R4" s="494"/>
      <c r="S4" s="489"/>
      <c r="T4" s="490">
        <f t="shared" si="5"/>
        <v>0</v>
      </c>
      <c r="U4" s="491"/>
      <c r="V4" s="485"/>
      <c r="W4" s="492"/>
      <c r="X4" s="487">
        <f t="shared" si="6"/>
        <v>0</v>
      </c>
      <c r="Y4" s="494"/>
      <c r="Z4" s="489"/>
      <c r="AA4" s="490">
        <f t="shared" si="7"/>
        <v>0</v>
      </c>
      <c r="AB4" s="491"/>
      <c r="AC4" s="485"/>
      <c r="AD4" s="492"/>
      <c r="AE4" s="487">
        <f t="shared" si="8"/>
        <v>0</v>
      </c>
      <c r="AF4" s="494"/>
      <c r="AG4" s="489"/>
      <c r="AH4" s="490">
        <f t="shared" si="9"/>
        <v>0</v>
      </c>
      <c r="AI4" s="491"/>
      <c r="AJ4" s="485"/>
      <c r="AK4" s="492"/>
      <c r="AL4" s="487">
        <f t="shared" si="10"/>
        <v>0</v>
      </c>
      <c r="AM4" s="494"/>
      <c r="AN4" s="489"/>
      <c r="AO4" s="490">
        <f t="shared" si="11"/>
        <v>0</v>
      </c>
      <c r="AP4" s="491"/>
      <c r="AQ4" s="500">
        <f t="shared" si="12"/>
        <v>0</v>
      </c>
      <c r="AR4" s="500">
        <f t="shared" si="13"/>
        <v>0</v>
      </c>
      <c r="AS4" s="491"/>
      <c r="AT4" s="500">
        <f t="shared" si="14"/>
        <v>0</v>
      </c>
      <c r="AU4" s="500">
        <f t="shared" si="15"/>
        <v>0</v>
      </c>
      <c r="AV4" s="491"/>
      <c r="AW4" s="500">
        <f t="shared" si="16"/>
        <v>0</v>
      </c>
      <c r="AX4" s="500">
        <f t="shared" si="17"/>
        <v>0</v>
      </c>
      <c r="AY4" s="491"/>
      <c r="AZ4" s="500">
        <f t="shared" si="18"/>
        <v>0</v>
      </c>
      <c r="BA4" s="500">
        <f t="shared" si="19"/>
        <v>0</v>
      </c>
      <c r="BB4" s="491"/>
      <c r="BC4" s="500">
        <f t="shared" si="20"/>
        <v>0</v>
      </c>
      <c r="BD4" s="500">
        <f t="shared" si="21"/>
        <v>0</v>
      </c>
      <c r="BE4" s="491"/>
      <c r="BF4" s="500">
        <f t="shared" si="22"/>
        <v>0</v>
      </c>
      <c r="BG4" s="500">
        <f t="shared" si="23"/>
        <v>0</v>
      </c>
      <c r="BH4" s="491"/>
    </row>
    <row r="5" spans="1:60" ht="14.25" customHeight="1">
      <c r="A5" s="499"/>
      <c r="B5" s="486"/>
      <c r="C5" s="487">
        <f t="shared" si="0"/>
        <v>0</v>
      </c>
      <c r="D5" s="494"/>
      <c r="E5" s="489"/>
      <c r="F5" s="490">
        <f t="shared" si="1"/>
        <v>0</v>
      </c>
      <c r="G5" s="491"/>
      <c r="H5" s="499"/>
      <c r="I5" s="501"/>
      <c r="J5" s="487">
        <f t="shared" si="2"/>
        <v>0</v>
      </c>
      <c r="K5" s="494"/>
      <c r="L5" s="489"/>
      <c r="M5" s="490">
        <f t="shared" si="3"/>
        <v>0</v>
      </c>
      <c r="N5" s="491"/>
      <c r="O5" s="503"/>
      <c r="P5" s="504"/>
      <c r="Q5" s="487">
        <f t="shared" si="4"/>
        <v>0</v>
      </c>
      <c r="R5" s="494"/>
      <c r="S5" s="489"/>
      <c r="T5" s="490">
        <f t="shared" si="5"/>
        <v>0</v>
      </c>
      <c r="U5" s="491"/>
      <c r="V5" s="485"/>
      <c r="W5" s="492"/>
      <c r="X5" s="487">
        <f t="shared" si="6"/>
        <v>0</v>
      </c>
      <c r="Y5" s="494"/>
      <c r="Z5" s="489"/>
      <c r="AA5" s="490">
        <f t="shared" si="7"/>
        <v>0</v>
      </c>
      <c r="AB5" s="491"/>
      <c r="AC5" s="485"/>
      <c r="AD5" s="492"/>
      <c r="AE5" s="487">
        <f t="shared" si="8"/>
        <v>0</v>
      </c>
      <c r="AF5" s="494"/>
      <c r="AG5" s="489"/>
      <c r="AH5" s="490">
        <f t="shared" si="9"/>
        <v>0</v>
      </c>
      <c r="AI5" s="491"/>
      <c r="AJ5" s="485"/>
      <c r="AK5" s="492"/>
      <c r="AL5" s="487">
        <f t="shared" si="10"/>
        <v>0</v>
      </c>
      <c r="AM5" s="494"/>
      <c r="AN5" s="489"/>
      <c r="AO5" s="490">
        <f t="shared" si="11"/>
        <v>0</v>
      </c>
      <c r="AP5" s="491"/>
      <c r="AQ5" s="500">
        <f t="shared" si="12"/>
        <v>0</v>
      </c>
      <c r="AR5" s="500">
        <f t="shared" si="13"/>
        <v>0</v>
      </c>
      <c r="AS5" s="491"/>
      <c r="AT5" s="500">
        <f t="shared" si="14"/>
        <v>0</v>
      </c>
      <c r="AU5" s="500">
        <f t="shared" si="15"/>
        <v>0</v>
      </c>
      <c r="AV5" s="491"/>
      <c r="AW5" s="500">
        <f t="shared" si="16"/>
        <v>0</v>
      </c>
      <c r="AX5" s="500">
        <f t="shared" si="17"/>
        <v>0</v>
      </c>
      <c r="AY5" s="491"/>
      <c r="AZ5" s="500">
        <f t="shared" si="18"/>
        <v>0</v>
      </c>
      <c r="BA5" s="500">
        <f t="shared" si="19"/>
        <v>0</v>
      </c>
      <c r="BB5" s="491"/>
      <c r="BC5" s="500">
        <f t="shared" si="20"/>
        <v>0</v>
      </c>
      <c r="BD5" s="500">
        <f t="shared" si="21"/>
        <v>0</v>
      </c>
      <c r="BE5" s="491"/>
      <c r="BF5" s="500">
        <f t="shared" si="22"/>
        <v>0</v>
      </c>
      <c r="BG5" s="500">
        <f t="shared" si="23"/>
        <v>0</v>
      </c>
      <c r="BH5" s="491"/>
    </row>
    <row r="6" spans="1:60" ht="14.25" customHeight="1">
      <c r="A6" s="499"/>
      <c r="B6" s="486"/>
      <c r="C6" s="487">
        <f t="shared" si="0"/>
        <v>0</v>
      </c>
      <c r="D6" s="494"/>
      <c r="E6" s="489"/>
      <c r="F6" s="490">
        <f t="shared" si="1"/>
        <v>0</v>
      </c>
      <c r="G6" s="491"/>
      <c r="H6" s="485"/>
      <c r="I6" s="502"/>
      <c r="J6" s="487">
        <f t="shared" si="2"/>
        <v>0</v>
      </c>
      <c r="K6" s="494"/>
      <c r="L6" s="489"/>
      <c r="M6" s="490">
        <f t="shared" si="3"/>
        <v>0</v>
      </c>
      <c r="N6" s="491"/>
      <c r="O6" s="503"/>
      <c r="P6" s="504"/>
      <c r="Q6" s="487">
        <f t="shared" si="4"/>
        <v>0</v>
      </c>
      <c r="R6" s="494"/>
      <c r="S6" s="489"/>
      <c r="T6" s="490">
        <f t="shared" si="5"/>
        <v>0</v>
      </c>
      <c r="U6" s="491"/>
      <c r="V6" s="485"/>
      <c r="W6" s="492"/>
      <c r="X6" s="487">
        <f t="shared" si="6"/>
        <v>0</v>
      </c>
      <c r="Y6" s="494"/>
      <c r="Z6" s="489"/>
      <c r="AA6" s="490">
        <f t="shared" si="7"/>
        <v>0</v>
      </c>
      <c r="AB6" s="491"/>
      <c r="AC6" s="485"/>
      <c r="AD6" s="492"/>
      <c r="AE6" s="487">
        <f t="shared" si="8"/>
        <v>0</v>
      </c>
      <c r="AF6" s="494"/>
      <c r="AG6" s="489"/>
      <c r="AH6" s="490">
        <f t="shared" si="9"/>
        <v>0</v>
      </c>
      <c r="AI6" s="491"/>
      <c r="AJ6" s="485"/>
      <c r="AK6" s="492"/>
      <c r="AL6" s="487">
        <f t="shared" si="10"/>
        <v>0</v>
      </c>
      <c r="AM6" s="494"/>
      <c r="AN6" s="489"/>
      <c r="AO6" s="490">
        <f t="shared" si="11"/>
        <v>0</v>
      </c>
      <c r="AP6" s="491"/>
      <c r="AQ6" s="500">
        <f t="shared" si="12"/>
        <v>0</v>
      </c>
      <c r="AR6" s="500">
        <f t="shared" si="13"/>
        <v>0</v>
      </c>
      <c r="AS6" s="491"/>
      <c r="AT6" s="500">
        <f t="shared" si="14"/>
        <v>0</v>
      </c>
      <c r="AU6" s="500">
        <f t="shared" si="15"/>
        <v>0</v>
      </c>
      <c r="AV6" s="491"/>
      <c r="AW6" s="500">
        <f t="shared" si="16"/>
        <v>0</v>
      </c>
      <c r="AX6" s="500">
        <f t="shared" si="17"/>
        <v>0</v>
      </c>
      <c r="AY6" s="491"/>
      <c r="AZ6" s="500">
        <f t="shared" si="18"/>
        <v>0</v>
      </c>
      <c r="BA6" s="500">
        <f t="shared" si="19"/>
        <v>0</v>
      </c>
      <c r="BB6" s="491"/>
      <c r="BC6" s="500">
        <f t="shared" si="20"/>
        <v>0</v>
      </c>
      <c r="BD6" s="500">
        <f t="shared" si="21"/>
        <v>0</v>
      </c>
      <c r="BE6" s="491"/>
      <c r="BF6" s="500">
        <f t="shared" si="22"/>
        <v>0</v>
      </c>
      <c r="BG6" s="500">
        <f t="shared" si="23"/>
        <v>0</v>
      </c>
      <c r="BH6" s="491"/>
    </row>
    <row r="7" spans="1:60" ht="14.25" customHeight="1">
      <c r="A7" s="485"/>
      <c r="B7" s="492"/>
      <c r="C7" s="487">
        <f t="shared" si="0"/>
        <v>0</v>
      </c>
      <c r="D7" s="494"/>
      <c r="E7" s="489"/>
      <c r="F7" s="490">
        <f t="shared" si="1"/>
        <v>0</v>
      </c>
      <c r="G7" s="491"/>
      <c r="H7" s="485"/>
      <c r="I7" s="492"/>
      <c r="J7" s="487">
        <f t="shared" si="2"/>
        <v>0</v>
      </c>
      <c r="K7" s="494"/>
      <c r="L7" s="489"/>
      <c r="M7" s="490">
        <f t="shared" si="3"/>
        <v>0</v>
      </c>
      <c r="N7" s="491"/>
      <c r="O7" s="499"/>
      <c r="P7" s="486"/>
      <c r="Q7" s="487">
        <f t="shared" si="4"/>
        <v>0</v>
      </c>
      <c r="R7" s="494"/>
      <c r="S7" s="489"/>
      <c r="T7" s="490">
        <f t="shared" si="5"/>
        <v>0</v>
      </c>
      <c r="U7" s="491"/>
      <c r="V7" s="485"/>
      <c r="W7" s="492"/>
      <c r="X7" s="487">
        <f t="shared" si="6"/>
        <v>0</v>
      </c>
      <c r="Y7" s="494"/>
      <c r="Z7" s="489"/>
      <c r="AA7" s="490">
        <f t="shared" si="7"/>
        <v>0</v>
      </c>
      <c r="AB7" s="491"/>
      <c r="AC7" s="485"/>
      <c r="AD7" s="492"/>
      <c r="AE7" s="487">
        <f t="shared" si="8"/>
        <v>0</v>
      </c>
      <c r="AF7" s="494"/>
      <c r="AG7" s="489"/>
      <c r="AH7" s="490">
        <f t="shared" si="9"/>
        <v>0</v>
      </c>
      <c r="AI7" s="491"/>
      <c r="AJ7" s="485"/>
      <c r="AK7" s="492"/>
      <c r="AL7" s="487">
        <f t="shared" si="10"/>
        <v>0</v>
      </c>
      <c r="AM7" s="494"/>
      <c r="AN7" s="489"/>
      <c r="AO7" s="490">
        <f t="shared" si="11"/>
        <v>0</v>
      </c>
      <c r="AP7" s="491"/>
      <c r="AQ7" s="500">
        <f t="shared" si="12"/>
        <v>0</v>
      </c>
      <c r="AR7" s="500">
        <f t="shared" si="13"/>
        <v>0</v>
      </c>
      <c r="AS7" s="491"/>
      <c r="AT7" s="500">
        <f t="shared" si="14"/>
        <v>0</v>
      </c>
      <c r="AU7" s="500">
        <f t="shared" si="15"/>
        <v>0</v>
      </c>
      <c r="AV7" s="491"/>
      <c r="AW7" s="500">
        <f t="shared" si="16"/>
        <v>0</v>
      </c>
      <c r="AX7" s="500">
        <f t="shared" si="17"/>
        <v>0</v>
      </c>
      <c r="AY7" s="491"/>
      <c r="AZ7" s="500">
        <f t="shared" si="18"/>
        <v>0</v>
      </c>
      <c r="BA7" s="500">
        <f t="shared" si="19"/>
        <v>0</v>
      </c>
      <c r="BB7" s="491"/>
      <c r="BC7" s="500">
        <f t="shared" si="20"/>
        <v>0</v>
      </c>
      <c r="BD7" s="500">
        <f t="shared" si="21"/>
        <v>0</v>
      </c>
      <c r="BE7" s="491"/>
      <c r="BF7" s="500">
        <f t="shared" si="22"/>
        <v>0</v>
      </c>
      <c r="BG7" s="500">
        <f t="shared" si="23"/>
        <v>0</v>
      </c>
      <c r="BH7" s="491"/>
    </row>
    <row r="8" spans="1:60" ht="14.25" customHeight="1">
      <c r="A8" s="499"/>
      <c r="B8" s="501"/>
      <c r="C8" s="487">
        <f t="shared" si="0"/>
        <v>0</v>
      </c>
      <c r="D8" s="494"/>
      <c r="E8" s="489"/>
      <c r="F8" s="490">
        <f t="shared" si="1"/>
        <v>0</v>
      </c>
      <c r="G8" s="491"/>
      <c r="H8" s="485"/>
      <c r="I8" s="492"/>
      <c r="J8" s="487">
        <f t="shared" si="2"/>
        <v>0</v>
      </c>
      <c r="K8" s="494"/>
      <c r="L8" s="489"/>
      <c r="M8" s="490">
        <f t="shared" si="3"/>
        <v>0</v>
      </c>
      <c r="N8" s="491"/>
      <c r="O8" s="485"/>
      <c r="P8" s="502"/>
      <c r="Q8" s="487">
        <f t="shared" si="4"/>
        <v>0</v>
      </c>
      <c r="R8" s="494"/>
      <c r="S8" s="489"/>
      <c r="T8" s="490">
        <f t="shared" si="5"/>
        <v>0</v>
      </c>
      <c r="U8" s="491"/>
      <c r="V8" s="485"/>
      <c r="W8" s="492"/>
      <c r="X8" s="487">
        <f t="shared" si="6"/>
        <v>0</v>
      </c>
      <c r="Y8" s="494"/>
      <c r="Z8" s="489"/>
      <c r="AA8" s="490">
        <f t="shared" si="7"/>
        <v>0</v>
      </c>
      <c r="AB8" s="491"/>
      <c r="AC8" s="485"/>
      <c r="AD8" s="492"/>
      <c r="AE8" s="487">
        <f t="shared" si="8"/>
        <v>0</v>
      </c>
      <c r="AF8" s="494"/>
      <c r="AG8" s="489"/>
      <c r="AH8" s="490">
        <f t="shared" si="9"/>
        <v>0</v>
      </c>
      <c r="AI8" s="491"/>
      <c r="AJ8" s="485"/>
      <c r="AK8" s="492"/>
      <c r="AL8" s="487">
        <f t="shared" si="10"/>
        <v>0</v>
      </c>
      <c r="AM8" s="494"/>
      <c r="AN8" s="489"/>
      <c r="AO8" s="490">
        <f t="shared" si="11"/>
        <v>0</v>
      </c>
      <c r="AP8" s="491"/>
      <c r="AQ8" s="500">
        <f t="shared" si="12"/>
        <v>0</v>
      </c>
      <c r="AR8" s="500">
        <f t="shared" si="13"/>
        <v>0</v>
      </c>
      <c r="AS8" s="491"/>
      <c r="AT8" s="500">
        <f t="shared" si="14"/>
        <v>0</v>
      </c>
      <c r="AU8" s="500">
        <f t="shared" si="15"/>
        <v>0</v>
      </c>
      <c r="AV8" s="491"/>
      <c r="AW8" s="500">
        <f t="shared" si="16"/>
        <v>0</v>
      </c>
      <c r="AX8" s="500">
        <f t="shared" si="17"/>
        <v>0</v>
      </c>
      <c r="AY8" s="491"/>
      <c r="AZ8" s="500">
        <f t="shared" si="18"/>
        <v>0</v>
      </c>
      <c r="BA8" s="500">
        <f t="shared" si="19"/>
        <v>0</v>
      </c>
      <c r="BB8" s="491"/>
      <c r="BC8" s="500">
        <f t="shared" si="20"/>
        <v>0</v>
      </c>
      <c r="BD8" s="500">
        <f t="shared" si="21"/>
        <v>0</v>
      </c>
      <c r="BE8" s="491"/>
      <c r="BF8" s="500">
        <f t="shared" si="22"/>
        <v>0</v>
      </c>
      <c r="BG8" s="500">
        <f t="shared" si="23"/>
        <v>0</v>
      </c>
      <c r="BH8" s="491"/>
    </row>
    <row r="9" spans="1:60" ht="14.25" customHeight="1">
      <c r="A9" s="485"/>
      <c r="B9" s="492"/>
      <c r="C9" s="487">
        <f t="shared" si="0"/>
        <v>0</v>
      </c>
      <c r="D9" s="488"/>
      <c r="E9" s="489"/>
      <c r="F9" s="490">
        <f t="shared" si="1"/>
        <v>0</v>
      </c>
      <c r="G9" s="491"/>
      <c r="H9" s="485"/>
      <c r="I9" s="492"/>
      <c r="J9" s="487">
        <f t="shared" si="2"/>
        <v>0</v>
      </c>
      <c r="K9" s="494"/>
      <c r="L9" s="489"/>
      <c r="M9" s="490">
        <f t="shared" si="3"/>
        <v>0</v>
      </c>
      <c r="N9" s="491"/>
      <c r="O9" s="499"/>
      <c r="P9" s="501"/>
      <c r="Q9" s="487">
        <f t="shared" si="4"/>
        <v>0</v>
      </c>
      <c r="R9" s="494"/>
      <c r="S9" s="489"/>
      <c r="T9" s="490">
        <f t="shared" si="5"/>
        <v>0</v>
      </c>
      <c r="U9" s="491"/>
      <c r="V9" s="485"/>
      <c r="W9" s="492"/>
      <c r="X9" s="487">
        <f t="shared" si="6"/>
        <v>0</v>
      </c>
      <c r="Y9" s="494"/>
      <c r="Z9" s="489"/>
      <c r="AA9" s="490">
        <f t="shared" si="7"/>
        <v>0</v>
      </c>
      <c r="AB9" s="491"/>
      <c r="AC9" s="485"/>
      <c r="AD9" s="492"/>
      <c r="AE9" s="487">
        <f t="shared" si="8"/>
        <v>0</v>
      </c>
      <c r="AF9" s="494"/>
      <c r="AG9" s="489"/>
      <c r="AH9" s="490">
        <f t="shared" si="9"/>
        <v>0</v>
      </c>
      <c r="AI9" s="491"/>
      <c r="AJ9" s="485"/>
      <c r="AK9" s="492"/>
      <c r="AL9" s="487">
        <f t="shared" si="10"/>
        <v>0</v>
      </c>
      <c r="AM9" s="494"/>
      <c r="AN9" s="489"/>
      <c r="AO9" s="490">
        <f t="shared" si="11"/>
        <v>0</v>
      </c>
      <c r="AP9" s="491"/>
      <c r="AQ9" s="500">
        <f t="shared" si="12"/>
        <v>0</v>
      </c>
      <c r="AR9" s="500">
        <f t="shared" si="13"/>
        <v>0</v>
      </c>
      <c r="AS9" s="491"/>
      <c r="AT9" s="500">
        <f t="shared" si="14"/>
        <v>0</v>
      </c>
      <c r="AU9" s="500">
        <f t="shared" si="15"/>
        <v>0</v>
      </c>
      <c r="AV9" s="491"/>
      <c r="AW9" s="500">
        <f t="shared" si="16"/>
        <v>0</v>
      </c>
      <c r="AX9" s="500">
        <f t="shared" si="17"/>
        <v>0</v>
      </c>
      <c r="AY9" s="491"/>
      <c r="AZ9" s="500">
        <f t="shared" si="18"/>
        <v>0</v>
      </c>
      <c r="BA9" s="500">
        <f t="shared" si="19"/>
        <v>0</v>
      </c>
      <c r="BB9" s="491"/>
      <c r="BC9" s="500">
        <f t="shared" si="20"/>
        <v>0</v>
      </c>
      <c r="BD9" s="500">
        <f t="shared" si="21"/>
        <v>0</v>
      </c>
      <c r="BE9" s="491"/>
      <c r="BF9" s="500">
        <f t="shared" si="22"/>
        <v>0</v>
      </c>
      <c r="BG9" s="500">
        <f t="shared" si="23"/>
        <v>0</v>
      </c>
      <c r="BH9" s="491"/>
    </row>
    <row r="10" spans="1:60" ht="14.25" customHeight="1">
      <c r="A10" s="499"/>
      <c r="B10" s="486"/>
      <c r="C10" s="487">
        <f t="shared" si="0"/>
        <v>0</v>
      </c>
      <c r="D10" s="494"/>
      <c r="E10" s="489"/>
      <c r="F10" s="490">
        <f t="shared" si="1"/>
        <v>0</v>
      </c>
      <c r="G10" s="491"/>
      <c r="H10" s="485"/>
      <c r="I10" s="492"/>
      <c r="J10" s="487">
        <f t="shared" si="2"/>
        <v>0</v>
      </c>
      <c r="K10" s="494"/>
      <c r="L10" s="489"/>
      <c r="M10" s="490">
        <f t="shared" si="3"/>
        <v>0</v>
      </c>
      <c r="N10" s="491"/>
      <c r="O10" s="499"/>
      <c r="P10" s="501"/>
      <c r="Q10" s="487">
        <f t="shared" si="4"/>
        <v>0</v>
      </c>
      <c r="R10" s="494"/>
      <c r="S10" s="489"/>
      <c r="T10" s="490">
        <f t="shared" si="5"/>
        <v>0</v>
      </c>
      <c r="U10" s="491"/>
      <c r="V10" s="485"/>
      <c r="W10" s="492"/>
      <c r="X10" s="487">
        <f t="shared" si="6"/>
        <v>0</v>
      </c>
      <c r="Y10" s="494"/>
      <c r="Z10" s="489"/>
      <c r="AA10" s="490">
        <f t="shared" si="7"/>
        <v>0</v>
      </c>
      <c r="AB10" s="491"/>
      <c r="AC10" s="485"/>
      <c r="AD10" s="492"/>
      <c r="AE10" s="487">
        <f t="shared" si="8"/>
        <v>0</v>
      </c>
      <c r="AF10" s="494"/>
      <c r="AG10" s="489"/>
      <c r="AH10" s="490">
        <f t="shared" si="9"/>
        <v>0</v>
      </c>
      <c r="AI10" s="491"/>
      <c r="AJ10" s="485"/>
      <c r="AK10" s="492"/>
      <c r="AL10" s="487">
        <f t="shared" si="10"/>
        <v>0</v>
      </c>
      <c r="AM10" s="494"/>
      <c r="AN10" s="489"/>
      <c r="AO10" s="490">
        <f t="shared" si="11"/>
        <v>0</v>
      </c>
      <c r="AP10" s="491"/>
      <c r="AQ10" s="500">
        <f t="shared" si="12"/>
        <v>0</v>
      </c>
      <c r="AR10" s="500">
        <f t="shared" si="13"/>
        <v>0</v>
      </c>
      <c r="AS10" s="491"/>
      <c r="AT10" s="500">
        <f t="shared" si="14"/>
        <v>0</v>
      </c>
      <c r="AU10" s="500">
        <f t="shared" si="15"/>
        <v>0</v>
      </c>
      <c r="AV10" s="491"/>
      <c r="AW10" s="500">
        <f t="shared" si="16"/>
        <v>0</v>
      </c>
      <c r="AX10" s="500">
        <f t="shared" si="17"/>
        <v>0</v>
      </c>
      <c r="AY10" s="491"/>
      <c r="AZ10" s="500">
        <f t="shared" si="18"/>
        <v>0</v>
      </c>
      <c r="BA10" s="500">
        <f t="shared" si="19"/>
        <v>0</v>
      </c>
      <c r="BB10" s="491"/>
      <c r="BC10" s="500">
        <f t="shared" si="20"/>
        <v>0</v>
      </c>
      <c r="BD10" s="500">
        <f t="shared" si="21"/>
        <v>0</v>
      </c>
      <c r="BE10" s="491"/>
      <c r="BF10" s="500">
        <f t="shared" si="22"/>
        <v>0</v>
      </c>
      <c r="BG10" s="500">
        <f t="shared" si="23"/>
        <v>0</v>
      </c>
      <c r="BH10" s="491"/>
    </row>
    <row r="11" spans="1:60" ht="14.25" customHeight="1">
      <c r="A11" s="485"/>
      <c r="B11" s="492"/>
      <c r="C11" s="487">
        <f t="shared" si="0"/>
        <v>0</v>
      </c>
      <c r="D11" s="488"/>
      <c r="E11" s="489"/>
      <c r="F11" s="490">
        <f t="shared" si="1"/>
        <v>0</v>
      </c>
      <c r="G11" s="491"/>
      <c r="H11" s="485"/>
      <c r="I11" s="492"/>
      <c r="J11" s="487">
        <f t="shared" si="2"/>
        <v>0</v>
      </c>
      <c r="K11" s="494"/>
      <c r="L11" s="489"/>
      <c r="M11" s="490">
        <f t="shared" si="3"/>
        <v>0</v>
      </c>
      <c r="N11" s="491"/>
      <c r="O11" s="499"/>
      <c r="P11" s="501"/>
      <c r="Q11" s="487">
        <f t="shared" si="4"/>
        <v>0</v>
      </c>
      <c r="R11" s="494"/>
      <c r="S11" s="489"/>
      <c r="T11" s="490">
        <f t="shared" si="5"/>
        <v>0</v>
      </c>
      <c r="U11" s="491"/>
      <c r="V11" s="485"/>
      <c r="W11" s="492"/>
      <c r="X11" s="487">
        <f t="shared" si="6"/>
        <v>0</v>
      </c>
      <c r="Y11" s="494"/>
      <c r="Z11" s="489"/>
      <c r="AA11" s="490">
        <f t="shared" si="7"/>
        <v>0</v>
      </c>
      <c r="AB11" s="491"/>
      <c r="AC11" s="485"/>
      <c r="AD11" s="492"/>
      <c r="AE11" s="487">
        <f t="shared" si="8"/>
        <v>0</v>
      </c>
      <c r="AF11" s="494"/>
      <c r="AG11" s="489"/>
      <c r="AH11" s="490">
        <f t="shared" si="9"/>
        <v>0</v>
      </c>
      <c r="AI11" s="491"/>
      <c r="AJ11" s="485"/>
      <c r="AK11" s="492"/>
      <c r="AL11" s="487">
        <f t="shared" si="10"/>
        <v>0</v>
      </c>
      <c r="AM11" s="494"/>
      <c r="AN11" s="489"/>
      <c r="AO11" s="490">
        <f t="shared" si="11"/>
        <v>0</v>
      </c>
      <c r="AP11" s="491"/>
      <c r="AQ11" s="500">
        <f t="shared" si="12"/>
        <v>0</v>
      </c>
      <c r="AR11" s="500">
        <f t="shared" si="13"/>
        <v>0</v>
      </c>
      <c r="AS11" s="491"/>
      <c r="AT11" s="500">
        <f t="shared" si="14"/>
        <v>0</v>
      </c>
      <c r="AU11" s="500">
        <f t="shared" si="15"/>
        <v>0</v>
      </c>
      <c r="AV11" s="491"/>
      <c r="AW11" s="500">
        <f t="shared" si="16"/>
        <v>0</v>
      </c>
      <c r="AX11" s="500">
        <f t="shared" si="17"/>
        <v>0</v>
      </c>
      <c r="AY11" s="491"/>
      <c r="AZ11" s="500">
        <f t="shared" si="18"/>
        <v>0</v>
      </c>
      <c r="BA11" s="500">
        <f t="shared" si="19"/>
        <v>0</v>
      </c>
      <c r="BB11" s="491"/>
      <c r="BC11" s="500">
        <f t="shared" si="20"/>
        <v>0</v>
      </c>
      <c r="BD11" s="500">
        <f t="shared" si="21"/>
        <v>0</v>
      </c>
      <c r="BE11" s="491"/>
      <c r="BF11" s="500">
        <f t="shared" si="22"/>
        <v>0</v>
      </c>
      <c r="BG11" s="500">
        <f t="shared" si="23"/>
        <v>0</v>
      </c>
      <c r="BH11" s="491"/>
    </row>
    <row r="12" spans="1:60" ht="14.25" customHeight="1">
      <c r="A12" s="485"/>
      <c r="B12" s="492"/>
      <c r="C12" s="487">
        <f t="shared" si="0"/>
        <v>0</v>
      </c>
      <c r="D12" s="494"/>
      <c r="E12" s="489"/>
      <c r="F12" s="490">
        <f t="shared" si="1"/>
        <v>0</v>
      </c>
      <c r="G12" s="491"/>
      <c r="H12" s="485"/>
      <c r="I12" s="492"/>
      <c r="J12" s="487">
        <f t="shared" si="2"/>
        <v>0</v>
      </c>
      <c r="K12" s="494"/>
      <c r="L12" s="489"/>
      <c r="M12" s="490">
        <f t="shared" si="3"/>
        <v>0</v>
      </c>
      <c r="N12" s="491"/>
      <c r="O12" s="485"/>
      <c r="P12" s="492"/>
      <c r="Q12" s="487">
        <f t="shared" si="4"/>
        <v>0</v>
      </c>
      <c r="R12" s="494"/>
      <c r="S12" s="489"/>
      <c r="T12" s="490">
        <f t="shared" si="5"/>
        <v>0</v>
      </c>
      <c r="U12" s="491"/>
      <c r="V12" s="485"/>
      <c r="W12" s="492"/>
      <c r="X12" s="487">
        <f t="shared" si="6"/>
        <v>0</v>
      </c>
      <c r="Y12" s="494"/>
      <c r="Z12" s="489"/>
      <c r="AA12" s="490">
        <f t="shared" si="7"/>
        <v>0</v>
      </c>
      <c r="AB12" s="491"/>
      <c r="AC12" s="485"/>
      <c r="AD12" s="492"/>
      <c r="AE12" s="487">
        <f t="shared" si="8"/>
        <v>0</v>
      </c>
      <c r="AF12" s="494"/>
      <c r="AG12" s="489"/>
      <c r="AH12" s="490">
        <f t="shared" si="9"/>
        <v>0</v>
      </c>
      <c r="AI12" s="491"/>
      <c r="AJ12" s="485"/>
      <c r="AK12" s="492"/>
      <c r="AL12" s="487">
        <f t="shared" si="10"/>
        <v>0</v>
      </c>
      <c r="AM12" s="494"/>
      <c r="AN12" s="489"/>
      <c r="AO12" s="490">
        <f t="shared" si="11"/>
        <v>0</v>
      </c>
      <c r="AP12" s="491"/>
      <c r="AQ12" s="500">
        <f t="shared" si="12"/>
        <v>0</v>
      </c>
      <c r="AR12" s="500">
        <f t="shared" si="13"/>
        <v>0</v>
      </c>
      <c r="AS12" s="491"/>
      <c r="AT12" s="500">
        <f t="shared" si="14"/>
        <v>0</v>
      </c>
      <c r="AU12" s="500">
        <f t="shared" si="15"/>
        <v>0</v>
      </c>
      <c r="AV12" s="491"/>
      <c r="AW12" s="500">
        <f t="shared" si="16"/>
        <v>0</v>
      </c>
      <c r="AX12" s="500">
        <f t="shared" si="17"/>
        <v>0</v>
      </c>
      <c r="AY12" s="491"/>
      <c r="AZ12" s="500">
        <f t="shared" si="18"/>
        <v>0</v>
      </c>
      <c r="BA12" s="500">
        <f t="shared" si="19"/>
        <v>0</v>
      </c>
      <c r="BB12" s="491"/>
      <c r="BC12" s="500">
        <f t="shared" si="20"/>
        <v>0</v>
      </c>
      <c r="BD12" s="500">
        <f t="shared" si="21"/>
        <v>0</v>
      </c>
      <c r="BE12" s="491"/>
      <c r="BF12" s="500">
        <f t="shared" si="22"/>
        <v>0</v>
      </c>
      <c r="BG12" s="500">
        <f t="shared" si="23"/>
        <v>0</v>
      </c>
      <c r="BH12" s="491"/>
    </row>
    <row r="13" spans="1:60" ht="14.25" customHeight="1">
      <c r="A13" s="485"/>
      <c r="B13" s="501"/>
      <c r="C13" s="487">
        <f t="shared" si="0"/>
        <v>0</v>
      </c>
      <c r="D13" s="494"/>
      <c r="E13" s="489"/>
      <c r="F13" s="490">
        <f t="shared" si="1"/>
        <v>0</v>
      </c>
      <c r="G13" s="491"/>
      <c r="H13" s="485"/>
      <c r="I13" s="492"/>
      <c r="J13" s="487">
        <f t="shared" si="2"/>
        <v>0</v>
      </c>
      <c r="K13" s="494"/>
      <c r="L13" s="489"/>
      <c r="M13" s="490">
        <f t="shared" si="3"/>
        <v>0</v>
      </c>
      <c r="N13" s="491"/>
      <c r="O13" s="485"/>
      <c r="P13" s="492"/>
      <c r="Q13" s="487">
        <f t="shared" si="4"/>
        <v>0</v>
      </c>
      <c r="R13" s="494"/>
      <c r="S13" s="489"/>
      <c r="T13" s="490">
        <f t="shared" si="5"/>
        <v>0</v>
      </c>
      <c r="U13" s="491"/>
      <c r="V13" s="485"/>
      <c r="W13" s="492"/>
      <c r="X13" s="487">
        <f t="shared" si="6"/>
        <v>0</v>
      </c>
      <c r="Y13" s="494"/>
      <c r="Z13" s="489"/>
      <c r="AA13" s="490">
        <f t="shared" si="7"/>
        <v>0</v>
      </c>
      <c r="AB13" s="491"/>
      <c r="AC13" s="485"/>
      <c r="AD13" s="492"/>
      <c r="AE13" s="487">
        <f t="shared" si="8"/>
        <v>0</v>
      </c>
      <c r="AF13" s="494"/>
      <c r="AG13" s="489"/>
      <c r="AH13" s="490">
        <f t="shared" si="9"/>
        <v>0</v>
      </c>
      <c r="AI13" s="491"/>
      <c r="AJ13" s="485"/>
      <c r="AK13" s="492"/>
      <c r="AL13" s="487">
        <f t="shared" si="10"/>
        <v>0</v>
      </c>
      <c r="AM13" s="494"/>
      <c r="AN13" s="489"/>
      <c r="AO13" s="490">
        <f t="shared" si="11"/>
        <v>0</v>
      </c>
      <c r="AP13" s="491"/>
      <c r="AQ13" s="500">
        <f t="shared" si="12"/>
        <v>0</v>
      </c>
      <c r="AR13" s="500">
        <f t="shared" si="13"/>
        <v>0</v>
      </c>
      <c r="AS13" s="491"/>
      <c r="AT13" s="500">
        <f t="shared" si="14"/>
        <v>0</v>
      </c>
      <c r="AU13" s="500">
        <f t="shared" si="15"/>
        <v>0</v>
      </c>
      <c r="AV13" s="491"/>
      <c r="AW13" s="500">
        <f t="shared" si="16"/>
        <v>0</v>
      </c>
      <c r="AX13" s="500">
        <f t="shared" si="17"/>
        <v>0</v>
      </c>
      <c r="AY13" s="491"/>
      <c r="AZ13" s="500">
        <f t="shared" si="18"/>
        <v>0</v>
      </c>
      <c r="BA13" s="500">
        <f t="shared" si="19"/>
        <v>0</v>
      </c>
      <c r="BB13" s="491"/>
      <c r="BC13" s="500">
        <f t="shared" si="20"/>
        <v>0</v>
      </c>
      <c r="BD13" s="500">
        <f t="shared" si="21"/>
        <v>0</v>
      </c>
      <c r="BE13" s="491"/>
      <c r="BF13" s="500">
        <f t="shared" si="22"/>
        <v>0</v>
      </c>
      <c r="BG13" s="500">
        <f t="shared" si="23"/>
        <v>0</v>
      </c>
      <c r="BH13" s="491"/>
    </row>
    <row r="14" spans="1:60" ht="14.25" customHeight="1">
      <c r="A14" s="505">
        <f>SUM(A3:A13)</f>
        <v>0</v>
      </c>
      <c r="B14" s="506" t="e">
        <f>ROUND(C14/A14,4)</f>
        <v>#DIV/0!</v>
      </c>
      <c r="C14" s="507">
        <f t="shared" ref="C14:D14" si="24">SUM(C3:C13)</f>
        <v>0</v>
      </c>
      <c r="D14" s="508">
        <f t="shared" si="24"/>
        <v>0</v>
      </c>
      <c r="E14" s="509" t="e">
        <f>ROUND(F14/D14,4)</f>
        <v>#DIV/0!</v>
      </c>
      <c r="F14" s="510">
        <f>SUM(F3:F13)</f>
        <v>0</v>
      </c>
      <c r="G14" s="491"/>
      <c r="H14" s="505">
        <f>SUM(H3:H13)</f>
        <v>0</v>
      </c>
      <c r="I14" s="506" t="e">
        <f>ROUND(J14/H14,4)</f>
        <v>#DIV/0!</v>
      </c>
      <c r="J14" s="507">
        <f t="shared" ref="J14:K14" si="25">SUM(J3:J13)</f>
        <v>0</v>
      </c>
      <c r="K14" s="508">
        <f t="shared" si="25"/>
        <v>0</v>
      </c>
      <c r="L14" s="509" t="e">
        <f>ROUND(M14/K14,4)</f>
        <v>#DIV/0!</v>
      </c>
      <c r="M14" s="510">
        <f>SUM(M3:M13)</f>
        <v>0</v>
      </c>
      <c r="N14" s="491"/>
      <c r="O14" s="505">
        <f>SUM(O3:O13)</f>
        <v>0</v>
      </c>
      <c r="P14" s="506" t="e">
        <f>ROUND(Q14/O14,4)</f>
        <v>#DIV/0!</v>
      </c>
      <c r="Q14" s="507">
        <f t="shared" ref="Q14:R14" si="26">SUM(Q3:Q13)</f>
        <v>0</v>
      </c>
      <c r="R14" s="508">
        <f t="shared" si="26"/>
        <v>0</v>
      </c>
      <c r="S14" s="509" t="e">
        <f>ROUND(T14/R14,4)</f>
        <v>#DIV/0!</v>
      </c>
      <c r="T14" s="510">
        <f>SUM(T3:T13)</f>
        <v>0</v>
      </c>
      <c r="U14" s="491"/>
      <c r="V14" s="505">
        <f>SUM(V3:V13)</f>
        <v>0</v>
      </c>
      <c r="W14" s="506" t="e">
        <f>ROUND(X14/V14,4)</f>
        <v>#DIV/0!</v>
      </c>
      <c r="X14" s="507">
        <f t="shared" ref="X14:Y14" si="27">SUM(X3:X13)</f>
        <v>0</v>
      </c>
      <c r="Y14" s="508">
        <f t="shared" si="27"/>
        <v>0</v>
      </c>
      <c r="Z14" s="509" t="e">
        <f>ROUND(AA14/Y14,4)</f>
        <v>#DIV/0!</v>
      </c>
      <c r="AA14" s="510">
        <f>SUM(AA3:AA13)</f>
        <v>0</v>
      </c>
      <c r="AB14" s="491"/>
      <c r="AC14" s="505">
        <f>SUM(AC3:AC13)</f>
        <v>0</v>
      </c>
      <c r="AD14" s="506" t="e">
        <f>ROUND(AE14/AC14,4)</f>
        <v>#DIV/0!</v>
      </c>
      <c r="AE14" s="507">
        <f t="shared" ref="AE14:AF14" si="28">SUM(AE3:AE13)</f>
        <v>0</v>
      </c>
      <c r="AF14" s="508">
        <f t="shared" si="28"/>
        <v>0</v>
      </c>
      <c r="AG14" s="509" t="e">
        <f>ROUND(AH14/AF14,4)</f>
        <v>#DIV/0!</v>
      </c>
      <c r="AH14" s="510">
        <f>SUM(AH3:AH13)</f>
        <v>0</v>
      </c>
      <c r="AI14" s="491"/>
      <c r="AJ14" s="505">
        <f>SUM(AJ3:AJ13)</f>
        <v>0</v>
      </c>
      <c r="AK14" s="506" t="e">
        <f>ROUND(AL14/AJ14,4)</f>
        <v>#DIV/0!</v>
      </c>
      <c r="AL14" s="507">
        <f t="shared" ref="AL14:AM14" si="29">SUM(AL3:AL13)</f>
        <v>0</v>
      </c>
      <c r="AM14" s="508">
        <f t="shared" si="29"/>
        <v>0</v>
      </c>
      <c r="AN14" s="509" t="e">
        <f>ROUND(AO14/AM14,4)</f>
        <v>#DIV/0!</v>
      </c>
      <c r="AO14" s="510">
        <f>SUM(AO3:AO13)</f>
        <v>0</v>
      </c>
      <c r="AP14" s="491"/>
      <c r="AQ14" s="511">
        <f t="shared" ref="AQ14:AR14" si="30">SUM(AQ3:AQ13)</f>
        <v>0</v>
      </c>
      <c r="AR14" s="511">
        <f t="shared" si="30"/>
        <v>0</v>
      </c>
      <c r="AS14" s="491"/>
      <c r="AT14" s="511">
        <f t="shared" ref="AT14:AU14" si="31">SUM(AT3:AT13)</f>
        <v>0</v>
      </c>
      <c r="AU14" s="511">
        <f t="shared" si="31"/>
        <v>0</v>
      </c>
      <c r="AV14" s="491"/>
      <c r="AW14" s="511">
        <f t="shared" ref="AW14:AX14" si="32">SUM(AW3:AW13)</f>
        <v>0</v>
      </c>
      <c r="AX14" s="511">
        <f t="shared" si="32"/>
        <v>0</v>
      </c>
      <c r="AY14" s="491"/>
      <c r="AZ14" s="511">
        <f t="shared" ref="AZ14:BA14" si="33">SUM(AZ3:AZ13)</f>
        <v>0</v>
      </c>
      <c r="BA14" s="511">
        <f t="shared" si="33"/>
        <v>0</v>
      </c>
      <c r="BB14" s="491"/>
      <c r="BC14" s="511">
        <f t="shared" ref="BC14:BD14" si="34">SUM(BC3:BC13)</f>
        <v>0</v>
      </c>
      <c r="BD14" s="511">
        <f t="shared" si="34"/>
        <v>0</v>
      </c>
      <c r="BE14" s="491"/>
      <c r="BF14" s="511">
        <f t="shared" ref="BF14:BG14" si="35">SUM(BF3:BF13)</f>
        <v>0</v>
      </c>
      <c r="BG14" s="511">
        <f t="shared" si="35"/>
        <v>0</v>
      </c>
      <c r="BH14" s="491"/>
    </row>
    <row r="15" spans="1:60" ht="14.25" customHeight="1">
      <c r="A15" s="512" t="e">
        <f t="array" aca="1" ref="A15" ca="1">sumcolor($A$50,A3:A13)</f>
        <v>#NAME?</v>
      </c>
      <c r="B15" s="676">
        <f>ROUND(F14-C14,2)</f>
        <v>0</v>
      </c>
      <c r="C15" s="612"/>
      <c r="D15" s="513" t="e">
        <f ca="1">sumcolor($A$50,D6:D13)</f>
        <v>#NAME?</v>
      </c>
      <c r="E15" s="675">
        <f>C14+F14</f>
        <v>0</v>
      </c>
      <c r="F15" s="612"/>
      <c r="G15" s="491"/>
      <c r="H15" s="512" t="e">
        <f ca="1">sumcolor($A$50,H3:H13)</f>
        <v>#NAME?</v>
      </c>
      <c r="I15" s="676">
        <f>ROUND(M14-J14,2)</f>
        <v>0</v>
      </c>
      <c r="J15" s="612"/>
      <c r="K15" s="513" t="e">
        <f ca="1">sumcolor($A$50,K3:K13)</f>
        <v>#NAME?</v>
      </c>
      <c r="L15" s="675">
        <f>J14+M14</f>
        <v>0</v>
      </c>
      <c r="M15" s="612"/>
      <c r="N15" s="491"/>
      <c r="O15" s="512" t="e">
        <f ca="1">sumcolor($A$50,O3:O13)</f>
        <v>#NAME?</v>
      </c>
      <c r="P15" s="676">
        <f>ROUND(T14-Q14,2)</f>
        <v>0</v>
      </c>
      <c r="Q15" s="612"/>
      <c r="R15" s="513" t="e">
        <f ca="1">sumcolor($A$50,R3:R13)</f>
        <v>#NAME?</v>
      </c>
      <c r="S15" s="675">
        <f>Q14+T14</f>
        <v>0</v>
      </c>
      <c r="T15" s="612"/>
      <c r="U15" s="491"/>
      <c r="V15" s="512" t="e">
        <f ca="1">sumcolor($A$50,V3:V13)</f>
        <v>#NAME?</v>
      </c>
      <c r="W15" s="676">
        <f>ROUND(AA14-X14,2)</f>
        <v>0</v>
      </c>
      <c r="X15" s="612"/>
      <c r="Y15" s="513" t="e">
        <f ca="1">sumcolor($A$50,Y3:Y13)</f>
        <v>#NAME?</v>
      </c>
      <c r="Z15" s="675">
        <f>X14+AA14</f>
        <v>0</v>
      </c>
      <c r="AA15" s="612"/>
      <c r="AB15" s="491"/>
      <c r="AC15" s="512" t="e">
        <f ca="1">sumcolor($A$50,AC3:AC13)</f>
        <v>#NAME?</v>
      </c>
      <c r="AD15" s="676">
        <f>ROUND(AH14-AE14,2)</f>
        <v>0</v>
      </c>
      <c r="AE15" s="612"/>
      <c r="AF15" s="513" t="e">
        <f ca="1">sumcolor($A$50,AF3:AF13)</f>
        <v>#NAME?</v>
      </c>
      <c r="AG15" s="675">
        <f>AE14+AH14</f>
        <v>0</v>
      </c>
      <c r="AH15" s="612"/>
      <c r="AI15" s="491"/>
      <c r="AJ15" s="512" t="e">
        <f ca="1">sumcolor($A$50,AJ3:AJ13)</f>
        <v>#NAME?</v>
      </c>
      <c r="AK15" s="676">
        <f>ROUND(AO14-AL14,2)</f>
        <v>0</v>
      </c>
      <c r="AL15" s="612"/>
      <c r="AM15" s="513" t="e">
        <f ca="1">sumcolor($A$50,AM3:AM13)</f>
        <v>#NAME?</v>
      </c>
      <c r="AN15" s="675">
        <f>AL14+AO14</f>
        <v>0</v>
      </c>
      <c r="AO15" s="612"/>
      <c r="AP15" s="491"/>
      <c r="AQ15" s="93" t="s">
        <v>1485</v>
      </c>
      <c r="AR15" s="177">
        <f>SUM(AQ14:AR14)*(1+$E$61)</f>
        <v>0</v>
      </c>
      <c r="AS15" s="484"/>
      <c r="AT15" s="93" t="s">
        <v>1485</v>
      </c>
      <c r="AU15" s="177">
        <f>SUM(AT14:AU14)*(1+$E$61)</f>
        <v>0</v>
      </c>
      <c r="AV15" s="484"/>
      <c r="AW15" s="93" t="s">
        <v>1485</v>
      </c>
      <c r="AX15" s="177">
        <f>SUM(AW14:AX14)*(1+$E$61)</f>
        <v>0</v>
      </c>
      <c r="AY15" s="484"/>
      <c r="AZ15" s="93" t="s">
        <v>1485</v>
      </c>
      <c r="BA15" s="177">
        <f>SUM(AZ14:BA14)*(1+$E$61)</f>
        <v>0</v>
      </c>
      <c r="BB15" s="484"/>
      <c r="BC15" s="93" t="s">
        <v>1485</v>
      </c>
      <c r="BD15" s="177">
        <f>SUM(BC14:BD14)*(1+$E$61)</f>
        <v>0</v>
      </c>
      <c r="BE15" s="484"/>
      <c r="BF15" s="93" t="s">
        <v>1485</v>
      </c>
      <c r="BG15" s="177">
        <f>SUM(BF14:BG14)*(1+$E$61)</f>
        <v>0</v>
      </c>
      <c r="BH15" s="484"/>
    </row>
    <row r="16" spans="1:60" ht="14.25" customHeight="1">
      <c r="A16" s="514">
        <f>A14-D14</f>
        <v>0</v>
      </c>
      <c r="B16" s="515">
        <f>AR15</f>
        <v>0</v>
      </c>
      <c r="C16" s="516">
        <f>AR16</f>
        <v>0</v>
      </c>
      <c r="D16" s="517">
        <f>COUNT(D3:D13,A3:A13)</f>
        <v>0</v>
      </c>
      <c r="E16" s="518">
        <f>AR17+AR18+AR19+AR20</f>
        <v>0</v>
      </c>
      <c r="F16" s="519">
        <f>SUM(B16+C16+E16)</f>
        <v>0</v>
      </c>
      <c r="G16" s="491"/>
      <c r="H16" s="514">
        <f>H14-K14</f>
        <v>0</v>
      </c>
      <c r="I16" s="515">
        <f>AU15</f>
        <v>0</v>
      </c>
      <c r="J16" s="516">
        <f>AU16</f>
        <v>0</v>
      </c>
      <c r="K16" s="517">
        <f>COUNT(K3:K13,H3:H13)</f>
        <v>0</v>
      </c>
      <c r="L16" s="518">
        <f>AU17+AU18+AU19+AU20</f>
        <v>0</v>
      </c>
      <c r="M16" s="519">
        <f>SUM(I16+J16+L16)</f>
        <v>0</v>
      </c>
      <c r="N16" s="491"/>
      <c r="O16" s="514">
        <f>O14-R14</f>
        <v>0</v>
      </c>
      <c r="P16" s="515">
        <f>AX15</f>
        <v>0</v>
      </c>
      <c r="Q16" s="516">
        <f>AX16</f>
        <v>0</v>
      </c>
      <c r="R16" s="517">
        <f>COUNT(R3:R13,O3:O13)</f>
        <v>0</v>
      </c>
      <c r="S16" s="518">
        <f>AX17+AX18+AX19+AX20</f>
        <v>0</v>
      </c>
      <c r="T16" s="519">
        <f>SUM(P16+Q16+S16)</f>
        <v>0</v>
      </c>
      <c r="U16" s="491"/>
      <c r="V16" s="514">
        <f>V14-Y14</f>
        <v>0</v>
      </c>
      <c r="W16" s="515">
        <f>BA15</f>
        <v>0</v>
      </c>
      <c r="X16" s="516">
        <f>BA16</f>
        <v>0</v>
      </c>
      <c r="Y16" s="517">
        <f>COUNT(Y3:Y13,V3:V13)</f>
        <v>0</v>
      </c>
      <c r="Z16" s="518">
        <f>BA17+BA18+BA19+BA20</f>
        <v>0</v>
      </c>
      <c r="AA16" s="519">
        <f>SUM(W16+X16+Z16)</f>
        <v>0</v>
      </c>
      <c r="AB16" s="491"/>
      <c r="AC16" s="514">
        <f>AC14-AF14</f>
        <v>0</v>
      </c>
      <c r="AD16" s="515">
        <f>BD15</f>
        <v>0</v>
      </c>
      <c r="AE16" s="516">
        <f>BD16</f>
        <v>0</v>
      </c>
      <c r="AF16" s="517">
        <f>COUNT(AF3:AF13,AC3:AC13)</f>
        <v>0</v>
      </c>
      <c r="AG16" s="518">
        <f>BD17+BD18+BD19+BD20</f>
        <v>0</v>
      </c>
      <c r="AH16" s="519">
        <f>SUM(AD16+AE16+AG16)</f>
        <v>0</v>
      </c>
      <c r="AI16" s="491"/>
      <c r="AJ16" s="514">
        <f>AJ14-AM14</f>
        <v>0</v>
      </c>
      <c r="AK16" s="515">
        <f>BG15</f>
        <v>0</v>
      </c>
      <c r="AL16" s="516">
        <f>BG16</f>
        <v>0</v>
      </c>
      <c r="AM16" s="517">
        <f>COUNT(AM3:AM13,AJ3:AJ13)</f>
        <v>0</v>
      </c>
      <c r="AN16" s="518">
        <f>BG17+BG18+BG19+BG20</f>
        <v>0</v>
      </c>
      <c r="AO16" s="519">
        <f>SUM(AK16+AL16+AN16)</f>
        <v>0</v>
      </c>
      <c r="AP16" s="491"/>
      <c r="AQ16" s="41" t="s">
        <v>433</v>
      </c>
      <c r="AR16" s="177">
        <f>IF(D17="FNO",F14*$E$56,F14*$E$55)</f>
        <v>0</v>
      </c>
      <c r="AS16" s="520"/>
      <c r="AT16" s="41" t="s">
        <v>433</v>
      </c>
      <c r="AU16" s="177">
        <f>IF(K17="FNO",M14*$E$56,M14*$E$55)</f>
        <v>0</v>
      </c>
      <c r="AV16" s="520"/>
      <c r="AW16" s="41" t="s">
        <v>433</v>
      </c>
      <c r="AX16" s="177">
        <f>IF(R17="FNO",T14*$E$56,T14*$E$55)</f>
        <v>0</v>
      </c>
      <c r="AY16" s="520"/>
      <c r="AZ16" s="41" t="s">
        <v>433</v>
      </c>
      <c r="BA16" s="177">
        <f>IF(Y17="FNO",AA14*$E$56,AA14*$E$55)</f>
        <v>0</v>
      </c>
      <c r="BB16" s="520"/>
      <c r="BC16" s="41" t="s">
        <v>433</v>
      </c>
      <c r="BD16" s="177">
        <f>IF(AF17="FNO",AH14*$E$56,AH14*$E$55)</f>
        <v>0</v>
      </c>
      <c r="BE16" s="520"/>
      <c r="BF16" s="41" t="s">
        <v>433</v>
      </c>
      <c r="BG16" s="177">
        <f>IF(AM17="FNO",AO14*$E$56,AO14*$E$55)</f>
        <v>0</v>
      </c>
      <c r="BH16" s="520"/>
    </row>
    <row r="17" spans="1:60" ht="14.25" customHeight="1">
      <c r="A17" s="43" t="s">
        <v>1486</v>
      </c>
      <c r="B17" s="515">
        <f>IF(D17="fno",D16*23.6,0)</f>
        <v>0</v>
      </c>
      <c r="C17" s="43">
        <v>79.02</v>
      </c>
      <c r="D17" s="521"/>
      <c r="E17" s="43"/>
      <c r="F17" s="522">
        <f>IF(D17="fno",B15-F16+B16-B17,B15-F16)</f>
        <v>0</v>
      </c>
      <c r="G17" s="520"/>
      <c r="H17" s="43" t="s">
        <v>1486</v>
      </c>
      <c r="I17" s="515">
        <f>IF(K17="fno",K16*23.6,0)</f>
        <v>0</v>
      </c>
      <c r="J17" s="43">
        <v>6.0651999999999999</v>
      </c>
      <c r="K17" s="521"/>
      <c r="L17" s="43"/>
      <c r="M17" s="522">
        <f>IF(K17="fno",I15-M16+I16-I17,I15-M16)</f>
        <v>0</v>
      </c>
      <c r="N17" s="520"/>
      <c r="O17" s="43" t="s">
        <v>1486</v>
      </c>
      <c r="P17" s="515">
        <f>IF(R17="fno",R16*23.6,0)</f>
        <v>0</v>
      </c>
      <c r="Q17" s="43"/>
      <c r="R17" s="521"/>
      <c r="S17" s="43"/>
      <c r="T17" s="522">
        <f>IF(R17="fno",P15-T16+P16-P17,P15-T16)</f>
        <v>0</v>
      </c>
      <c r="U17" s="520"/>
      <c r="V17" s="43"/>
      <c r="W17" s="515">
        <f>IF(Y17="fno",Y16*23.6,0)</f>
        <v>0</v>
      </c>
      <c r="X17" s="43"/>
      <c r="Y17" s="521"/>
      <c r="Z17" s="43"/>
      <c r="AA17" s="522">
        <f>IF(Y17="fno",W15-AA16+W16-W17,W15-AA16)</f>
        <v>0</v>
      </c>
      <c r="AB17" s="520"/>
      <c r="AC17" s="43"/>
      <c r="AD17" s="515">
        <f>IF(AF17="fno",AF16*23.6,0)</f>
        <v>0</v>
      </c>
      <c r="AE17" s="43"/>
      <c r="AF17" s="521"/>
      <c r="AG17" s="43"/>
      <c r="AH17" s="522">
        <f>IF(AF17="fno",AD15-AH16+AD16-AD17,AD15-AH16)</f>
        <v>0</v>
      </c>
      <c r="AI17" s="520"/>
      <c r="AJ17" s="43"/>
      <c r="AK17" s="515">
        <f>IF(AM17="fno",AM16*23.6,0)</f>
        <v>0</v>
      </c>
      <c r="AL17" s="43"/>
      <c r="AM17" s="521"/>
      <c r="AN17" s="43"/>
      <c r="AO17" s="522">
        <f>IF(AM17="fno",AK15-AO16+AK16-AK17,AK15-AO16)</f>
        <v>0</v>
      </c>
      <c r="AP17" s="520"/>
      <c r="AQ17" s="41" t="s">
        <v>435</v>
      </c>
      <c r="AR17" s="177">
        <f>IF(D17="FNO",E15*$E$58,E15*$E$57)</f>
        <v>0</v>
      </c>
      <c r="AS17" s="520"/>
      <c r="AT17" s="41" t="s">
        <v>435</v>
      </c>
      <c r="AU17" s="177">
        <f>IF(K17="FNO",L15*$E$58,L15*$E$57)</f>
        <v>0</v>
      </c>
      <c r="AV17" s="520"/>
      <c r="AW17" s="41" t="s">
        <v>435</v>
      </c>
      <c r="AX17" s="177">
        <f>S15*$E$57</f>
        <v>0</v>
      </c>
      <c r="AY17" s="520"/>
      <c r="AZ17" s="41" t="s">
        <v>435</v>
      </c>
      <c r="BA17" s="177">
        <f>Z15*$E$57</f>
        <v>0</v>
      </c>
      <c r="BB17" s="520"/>
      <c r="BC17" s="41" t="s">
        <v>435</v>
      </c>
      <c r="BD17" s="177">
        <f>AG15*$E$57</f>
        <v>0</v>
      </c>
      <c r="BE17" s="520"/>
      <c r="BF17" s="41" t="s">
        <v>435</v>
      </c>
      <c r="BG17" s="177">
        <f>AN15*$E$57</f>
        <v>0</v>
      </c>
      <c r="BH17" s="520"/>
    </row>
    <row r="18" spans="1:60" ht="15" hidden="1" customHeight="1">
      <c r="A18" s="40"/>
      <c r="B18" s="40"/>
      <c r="C18" s="40"/>
      <c r="D18" s="40"/>
      <c r="E18" s="40"/>
      <c r="F18" s="40"/>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484"/>
      <c r="AQ18" s="41" t="s">
        <v>434</v>
      </c>
      <c r="AR18" s="177">
        <f>C14*$E$59</f>
        <v>0</v>
      </c>
      <c r="AS18" s="484"/>
      <c r="AT18" s="41" t="s">
        <v>434</v>
      </c>
      <c r="AU18" s="177">
        <f>J14*$E$59</f>
        <v>0</v>
      </c>
      <c r="AV18" s="484"/>
      <c r="AW18" s="41" t="s">
        <v>434</v>
      </c>
      <c r="AX18" s="177">
        <f>Q14*$E$59</f>
        <v>0</v>
      </c>
      <c r="AY18" s="484"/>
      <c r="AZ18" s="41" t="s">
        <v>434</v>
      </c>
      <c r="BA18" s="177">
        <f>X14*$E$59</f>
        <v>0</v>
      </c>
      <c r="BB18" s="520"/>
      <c r="BC18" s="41" t="s">
        <v>434</v>
      </c>
      <c r="BD18" s="177">
        <f>AE14*$E$59</f>
        <v>0</v>
      </c>
      <c r="BE18" s="484"/>
      <c r="BF18" s="41" t="s">
        <v>434</v>
      </c>
      <c r="BG18" s="177">
        <f>AL14*$E$59</f>
        <v>0</v>
      </c>
      <c r="BH18" s="484"/>
    </row>
    <row r="19" spans="1:60" ht="15" hidden="1" customHeight="1">
      <c r="A19" s="40"/>
      <c r="B19" s="40"/>
      <c r="C19" s="40"/>
      <c r="D19" s="40"/>
      <c r="E19" s="40"/>
      <c r="F19" s="40"/>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484"/>
      <c r="AQ19" s="41" t="s">
        <v>1487</v>
      </c>
      <c r="AR19" s="177">
        <f>E15*$E$60</f>
        <v>0</v>
      </c>
      <c r="AS19" s="484"/>
      <c r="AT19" s="41" t="s">
        <v>1487</v>
      </c>
      <c r="AU19" s="177">
        <f>L15*$E$60</f>
        <v>0</v>
      </c>
      <c r="AV19" s="484"/>
      <c r="AW19" s="41" t="s">
        <v>1487</v>
      </c>
      <c r="AX19" s="177">
        <f>S15*$E$60</f>
        <v>0</v>
      </c>
      <c r="AY19" s="484"/>
      <c r="AZ19" s="41" t="s">
        <v>1487</v>
      </c>
      <c r="BA19" s="177">
        <f>Z15*$E$60</f>
        <v>0</v>
      </c>
      <c r="BB19" s="520"/>
      <c r="BC19" s="41" t="s">
        <v>1487</v>
      </c>
      <c r="BD19" s="177">
        <f>AG15*$E$60</f>
        <v>0</v>
      </c>
      <c r="BE19" s="484"/>
      <c r="BF19" s="41" t="s">
        <v>1487</v>
      </c>
      <c r="BG19" s="177">
        <f>AN15*$E$60</f>
        <v>0</v>
      </c>
      <c r="BH19" s="484"/>
    </row>
    <row r="20" spans="1:60" ht="15" hidden="1" customHeight="1">
      <c r="A20" s="40"/>
      <c r="B20" s="40"/>
      <c r="C20" s="40"/>
      <c r="D20" s="40"/>
      <c r="E20" s="40"/>
      <c r="F20" s="40"/>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484"/>
      <c r="AQ20" s="41" t="s">
        <v>432</v>
      </c>
      <c r="AR20" s="178">
        <f>AR17*$E$61</f>
        <v>0</v>
      </c>
      <c r="AS20" s="484"/>
      <c r="AT20" s="41" t="s">
        <v>432</v>
      </c>
      <c r="AU20" s="177">
        <f>AU17*$E$61</f>
        <v>0</v>
      </c>
      <c r="AV20" s="484"/>
      <c r="AW20" s="41" t="s">
        <v>432</v>
      </c>
      <c r="AX20" s="177">
        <f>AX17*$E$61</f>
        <v>0</v>
      </c>
      <c r="AY20" s="484"/>
      <c r="AZ20" s="41" t="s">
        <v>432</v>
      </c>
      <c r="BA20" s="177">
        <f>BA17*$E$61</f>
        <v>0</v>
      </c>
      <c r="BB20" s="520"/>
      <c r="BC20" s="41" t="s">
        <v>432</v>
      </c>
      <c r="BD20" s="177">
        <f>BD17*$E$61</f>
        <v>0</v>
      </c>
      <c r="BE20" s="484"/>
      <c r="BF20" s="41" t="s">
        <v>432</v>
      </c>
      <c r="BG20" s="177">
        <f>BG17*$E$61</f>
        <v>0</v>
      </c>
      <c r="BH20" s="484"/>
    </row>
    <row r="21" spans="1:60" ht="4.5" customHeight="1">
      <c r="A21" s="484"/>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84"/>
      <c r="AB21" s="484"/>
      <c r="AC21" s="484"/>
      <c r="AD21" s="484"/>
      <c r="AE21" s="484"/>
      <c r="AF21" s="484"/>
      <c r="AG21" s="484"/>
      <c r="AH21" s="484"/>
      <c r="AI21" s="484"/>
      <c r="AJ21" s="484"/>
      <c r="AK21" s="484"/>
      <c r="AL21" s="484"/>
      <c r="AM21" s="484"/>
      <c r="AN21" s="484"/>
      <c r="AO21" s="484"/>
      <c r="AP21" s="484"/>
      <c r="AQ21" s="484"/>
      <c r="AR21" s="484"/>
      <c r="AS21" s="484"/>
      <c r="AT21" s="484"/>
      <c r="AU21" s="484"/>
      <c r="AV21" s="484"/>
      <c r="AW21" s="484"/>
      <c r="AX21" s="484"/>
      <c r="AY21" s="484"/>
      <c r="AZ21" s="484"/>
      <c r="BA21" s="484"/>
      <c r="BB21" s="484"/>
      <c r="BC21" s="484"/>
      <c r="BD21" s="484"/>
      <c r="BE21" s="484"/>
      <c r="BF21" s="484"/>
      <c r="BG21" s="484"/>
      <c r="BH21" s="484"/>
    </row>
    <row r="22" spans="1:60" ht="14.25" customHeight="1">
      <c r="A22" s="686" t="s">
        <v>1476</v>
      </c>
      <c r="B22" s="630"/>
      <c r="C22" s="685" t="s">
        <v>1488</v>
      </c>
      <c r="D22" s="629"/>
      <c r="E22" s="629"/>
      <c r="F22" s="630"/>
      <c r="G22" s="484"/>
      <c r="H22" s="686" t="s">
        <v>1476</v>
      </c>
      <c r="I22" s="630"/>
      <c r="J22" s="685" t="s">
        <v>1489</v>
      </c>
      <c r="K22" s="629"/>
      <c r="L22" s="629"/>
      <c r="M22" s="630"/>
      <c r="N22" s="484"/>
      <c r="O22" s="686" t="s">
        <v>1476</v>
      </c>
      <c r="P22" s="630"/>
      <c r="Q22" s="685" t="s">
        <v>1490</v>
      </c>
      <c r="R22" s="629"/>
      <c r="S22" s="629"/>
      <c r="T22" s="630"/>
      <c r="U22" s="484"/>
      <c r="V22" s="686" t="s">
        <v>1476</v>
      </c>
      <c r="W22" s="630"/>
      <c r="X22" s="685" t="s">
        <v>1491</v>
      </c>
      <c r="Y22" s="629"/>
      <c r="Z22" s="629"/>
      <c r="AA22" s="630"/>
      <c r="AB22" s="484"/>
      <c r="AC22" s="686" t="s">
        <v>1476</v>
      </c>
      <c r="AD22" s="630"/>
      <c r="AE22" s="685" t="s">
        <v>1492</v>
      </c>
      <c r="AF22" s="629"/>
      <c r="AG22" s="629"/>
      <c r="AH22" s="630"/>
      <c r="AI22" s="484"/>
      <c r="AJ22" s="686" t="s">
        <v>1476</v>
      </c>
      <c r="AK22" s="630"/>
      <c r="AL22" s="685" t="s">
        <v>1493</v>
      </c>
      <c r="AM22" s="629"/>
      <c r="AN22" s="629"/>
      <c r="AO22" s="630"/>
      <c r="AP22" s="484"/>
      <c r="AQ22" s="669" t="str">
        <f>C22</f>
        <v>nifty</v>
      </c>
      <c r="AR22" s="668"/>
      <c r="AS22" s="484"/>
      <c r="AT22" s="669" t="str">
        <f>J22</f>
        <v>H</v>
      </c>
      <c r="AU22" s="668"/>
      <c r="AV22" s="484"/>
      <c r="AW22" s="669" t="str">
        <f>Q22</f>
        <v>i</v>
      </c>
      <c r="AX22" s="668"/>
      <c r="AY22" s="484"/>
      <c r="AZ22" s="669" t="str">
        <f>X22</f>
        <v>j</v>
      </c>
      <c r="BA22" s="668"/>
      <c r="BB22" s="484"/>
      <c r="BC22" s="669" t="str">
        <f>AE22</f>
        <v>k</v>
      </c>
      <c r="BD22" s="668"/>
      <c r="BE22" s="484"/>
      <c r="BF22" s="669" t="str">
        <f>AL22</f>
        <v>l</v>
      </c>
      <c r="BG22" s="668"/>
      <c r="BH22" s="484"/>
    </row>
    <row r="23" spans="1:60" ht="14.25" customHeight="1">
      <c r="A23" s="674" t="s">
        <v>1494</v>
      </c>
      <c r="B23" s="673"/>
      <c r="C23" s="612"/>
      <c r="D23" s="672" t="s">
        <v>1484</v>
      </c>
      <c r="E23" s="673"/>
      <c r="F23" s="612"/>
      <c r="G23" s="484"/>
      <c r="H23" s="689" t="s">
        <v>1483</v>
      </c>
      <c r="I23" s="688"/>
      <c r="J23" s="650"/>
      <c r="K23" s="687" t="s">
        <v>1484</v>
      </c>
      <c r="L23" s="688"/>
      <c r="M23" s="650"/>
      <c r="N23" s="484"/>
      <c r="O23" s="689" t="s">
        <v>1483</v>
      </c>
      <c r="P23" s="688"/>
      <c r="Q23" s="650"/>
      <c r="R23" s="687" t="s">
        <v>1484</v>
      </c>
      <c r="S23" s="688"/>
      <c r="T23" s="650"/>
      <c r="U23" s="484"/>
      <c r="V23" s="689" t="s">
        <v>1483</v>
      </c>
      <c r="W23" s="688"/>
      <c r="X23" s="650"/>
      <c r="Y23" s="687" t="s">
        <v>1484</v>
      </c>
      <c r="Z23" s="688"/>
      <c r="AA23" s="650"/>
      <c r="AB23" s="484"/>
      <c r="AC23" s="689" t="s">
        <v>1483</v>
      </c>
      <c r="AD23" s="688"/>
      <c r="AE23" s="650"/>
      <c r="AF23" s="687" t="s">
        <v>1484</v>
      </c>
      <c r="AG23" s="688"/>
      <c r="AH23" s="650"/>
      <c r="AI23" s="484"/>
      <c r="AJ23" s="689" t="s">
        <v>1483</v>
      </c>
      <c r="AK23" s="688"/>
      <c r="AL23" s="650"/>
      <c r="AM23" s="687" t="s">
        <v>1484</v>
      </c>
      <c r="AN23" s="688"/>
      <c r="AO23" s="650"/>
      <c r="AP23" s="484"/>
      <c r="AQ23" s="41" t="s">
        <v>453</v>
      </c>
      <c r="AR23" s="41" t="s">
        <v>446</v>
      </c>
      <c r="AS23" s="484"/>
      <c r="AT23" s="41" t="s">
        <v>453</v>
      </c>
      <c r="AU23" s="41" t="s">
        <v>446</v>
      </c>
      <c r="AV23" s="484"/>
      <c r="AW23" s="41" t="s">
        <v>453</v>
      </c>
      <c r="AX23" s="41" t="s">
        <v>446</v>
      </c>
      <c r="AY23" s="484"/>
      <c r="AZ23" s="41" t="s">
        <v>453</v>
      </c>
      <c r="BA23" s="41" t="s">
        <v>446</v>
      </c>
      <c r="BB23" s="484"/>
      <c r="BC23" s="41" t="s">
        <v>453</v>
      </c>
      <c r="BD23" s="41" t="s">
        <v>446</v>
      </c>
      <c r="BE23" s="484"/>
      <c r="BF23" s="41" t="s">
        <v>453</v>
      </c>
      <c r="BG23" s="41" t="s">
        <v>446</v>
      </c>
      <c r="BH23" s="484"/>
    </row>
    <row r="24" spans="1:60" ht="14.25" customHeight="1">
      <c r="A24" s="485">
        <v>50</v>
      </c>
      <c r="B24" s="523">
        <v>2.65</v>
      </c>
      <c r="C24" s="487">
        <f t="shared" ref="C24:C41" si="36">ROUND(A24*B24,2)</f>
        <v>132.5</v>
      </c>
      <c r="D24" s="494">
        <v>50</v>
      </c>
      <c r="E24" s="489"/>
      <c r="F24" s="490">
        <f t="shared" ref="F24:F41" si="37">ROUND(D24*E24,2)</f>
        <v>0</v>
      </c>
      <c r="G24" s="491"/>
      <c r="H24" s="499"/>
      <c r="I24" s="492"/>
      <c r="J24" s="493">
        <f t="shared" ref="J24:J41" si="38">ROUND(H24*I24,4)</f>
        <v>0</v>
      </c>
      <c r="K24" s="494"/>
      <c r="L24" s="489"/>
      <c r="M24" s="495">
        <f t="shared" ref="M24:M41" si="39">ROUND(K24*L24,4)</f>
        <v>0</v>
      </c>
      <c r="N24" s="491"/>
      <c r="O24" s="499"/>
      <c r="P24" s="486"/>
      <c r="Q24" s="493">
        <f t="shared" ref="Q24:Q41" si="40">ROUND(O24*P24,2)</f>
        <v>0</v>
      </c>
      <c r="R24" s="494"/>
      <c r="S24" s="489"/>
      <c r="T24" s="495">
        <f t="shared" ref="T24:T41" si="41">ROUND(R24*S24,4)</f>
        <v>0</v>
      </c>
      <c r="U24" s="491"/>
      <c r="V24" s="499"/>
      <c r="W24" s="486"/>
      <c r="X24" s="493">
        <f t="shared" ref="X24:X41" si="42">ROUND(V24*W24,4)</f>
        <v>0</v>
      </c>
      <c r="Y24" s="488"/>
      <c r="Z24" s="498"/>
      <c r="AA24" s="495">
        <f t="shared" ref="AA24:AA41" si="43">ROUND(Y24*Z24,4)</f>
        <v>0</v>
      </c>
      <c r="AB24" s="491"/>
      <c r="AC24" s="499"/>
      <c r="AD24" s="486"/>
      <c r="AE24" s="493">
        <f t="shared" ref="AE24:AE41" si="44">ROUND(AC24*AD24,4)</f>
        <v>0</v>
      </c>
      <c r="AF24" s="488"/>
      <c r="AG24" s="498"/>
      <c r="AH24" s="495">
        <f t="shared" ref="AH24:AH41" si="45">ROUND(AF24*AG24,4)</f>
        <v>0</v>
      </c>
      <c r="AI24" s="491"/>
      <c r="AJ24" s="499"/>
      <c r="AK24" s="486"/>
      <c r="AL24" s="493">
        <f t="shared" ref="AL24:AL41" si="46">ROUND(AJ24*AK24,4)</f>
        <v>0</v>
      </c>
      <c r="AM24" s="488"/>
      <c r="AN24" s="498"/>
      <c r="AO24" s="495">
        <f t="shared" ref="AO24:AO41" si="47">ROUND(AM24*AN24,4)</f>
        <v>0</v>
      </c>
      <c r="AP24" s="491"/>
      <c r="AQ24" s="500">
        <f t="shared" ref="AQ24:AQ41" si="48">IF(C24*$E$54&lt;20,ROUND(C24*$E$54,2),20)</f>
        <v>0.04</v>
      </c>
      <c r="AR24" s="500">
        <f t="shared" ref="AR24:AR41" si="49">IF(F24*$E$54&lt;20,ROUND(F24*$E$54,2),20)</f>
        <v>0</v>
      </c>
      <c r="AS24" s="491"/>
      <c r="AT24" s="500">
        <f t="shared" ref="AT24:AT41" si="50">IF(J24*$E$54&lt;20,ROUND(J24*$E$54,2),20)</f>
        <v>0</v>
      </c>
      <c r="AU24" s="500">
        <f t="shared" ref="AU24:AU41" si="51">IF(M24*$E$54&lt;20,ROUND(M24*$E$54,2),20)</f>
        <v>0</v>
      </c>
      <c r="AV24" s="491"/>
      <c r="AW24" s="500">
        <f t="shared" ref="AW24:AW41" si="52">IF(Q24*$E$54&lt;20,ROUND(Q24*$E$54,2),20)</f>
        <v>0</v>
      </c>
      <c r="AX24" s="500">
        <f t="shared" ref="AX24:AX41" si="53">IF(T24*$E$54&lt;20,ROUND(T24*$E$54,2),20)</f>
        <v>0</v>
      </c>
      <c r="AY24" s="491"/>
      <c r="AZ24" s="500">
        <f t="shared" ref="AZ24:AZ41" si="54">IF(X24*$E$54&lt;20,ROUND(X24*$E$54,2),20)</f>
        <v>0</v>
      </c>
      <c r="BA24" s="500">
        <f t="shared" ref="BA24:BA41" si="55">IF(AA24*$E$54&lt;20,ROUND(AA24*$E$54,2),20)</f>
        <v>0</v>
      </c>
      <c r="BB24" s="491"/>
      <c r="BC24" s="500">
        <f t="shared" ref="BC24:BC41" si="56">IF(AE24*$E$54&lt;20,ROUND(AE24*$E$54,2),20)</f>
        <v>0</v>
      </c>
      <c r="BD24" s="500">
        <f t="shared" ref="BD24:BD41" si="57">IF(AH24*$E$54&lt;20,ROUND(AH24*$E$54,2),20)</f>
        <v>0</v>
      </c>
      <c r="BE24" s="491"/>
      <c r="BF24" s="500">
        <f t="shared" ref="BF24:BF41" si="58">IF(AL24*$E$54&lt;20,ROUND(AL24*$E$54,2),20)</f>
        <v>0</v>
      </c>
      <c r="BG24" s="500">
        <f t="shared" ref="BG24:BG41" si="59">IF(AO24*$E$54&lt;20,ROUND(AO24*$E$54,2),20)</f>
        <v>0</v>
      </c>
      <c r="BH24" s="491"/>
    </row>
    <row r="25" spans="1:60" ht="14.25" customHeight="1">
      <c r="A25" s="485">
        <v>50</v>
      </c>
      <c r="B25" s="524">
        <v>2</v>
      </c>
      <c r="C25" s="487">
        <f t="shared" si="36"/>
        <v>100</v>
      </c>
      <c r="D25" s="488">
        <v>50</v>
      </c>
      <c r="E25" s="489"/>
      <c r="F25" s="490">
        <f t="shared" si="37"/>
        <v>0</v>
      </c>
      <c r="G25" s="491"/>
      <c r="H25" s="485"/>
      <c r="I25" s="492"/>
      <c r="J25" s="487">
        <f t="shared" si="38"/>
        <v>0</v>
      </c>
      <c r="K25" s="494"/>
      <c r="L25" s="489"/>
      <c r="M25" s="490">
        <f t="shared" si="39"/>
        <v>0</v>
      </c>
      <c r="N25" s="491"/>
      <c r="O25" s="485"/>
      <c r="P25" s="492"/>
      <c r="Q25" s="487">
        <f t="shared" si="40"/>
        <v>0</v>
      </c>
      <c r="R25" s="494"/>
      <c r="S25" s="489"/>
      <c r="T25" s="490">
        <f t="shared" si="41"/>
        <v>0</v>
      </c>
      <c r="U25" s="491"/>
      <c r="V25" s="485"/>
      <c r="W25" s="492"/>
      <c r="X25" s="487">
        <f t="shared" si="42"/>
        <v>0</v>
      </c>
      <c r="Y25" s="494"/>
      <c r="Z25" s="489"/>
      <c r="AA25" s="490">
        <f t="shared" si="43"/>
        <v>0</v>
      </c>
      <c r="AB25" s="491"/>
      <c r="AC25" s="485"/>
      <c r="AD25" s="492"/>
      <c r="AE25" s="487">
        <f t="shared" si="44"/>
        <v>0</v>
      </c>
      <c r="AF25" s="494"/>
      <c r="AG25" s="489"/>
      <c r="AH25" s="490">
        <f t="shared" si="45"/>
        <v>0</v>
      </c>
      <c r="AI25" s="491"/>
      <c r="AJ25" s="485"/>
      <c r="AK25" s="492"/>
      <c r="AL25" s="487">
        <f t="shared" si="46"/>
        <v>0</v>
      </c>
      <c r="AM25" s="494"/>
      <c r="AN25" s="489"/>
      <c r="AO25" s="490">
        <f t="shared" si="47"/>
        <v>0</v>
      </c>
      <c r="AP25" s="491"/>
      <c r="AQ25" s="500">
        <f t="shared" si="48"/>
        <v>0.03</v>
      </c>
      <c r="AR25" s="500">
        <f t="shared" si="49"/>
        <v>0</v>
      </c>
      <c r="AS25" s="491"/>
      <c r="AT25" s="500">
        <f t="shared" si="50"/>
        <v>0</v>
      </c>
      <c r="AU25" s="500">
        <f t="shared" si="51"/>
        <v>0</v>
      </c>
      <c r="AV25" s="491"/>
      <c r="AW25" s="500">
        <f t="shared" si="52"/>
        <v>0</v>
      </c>
      <c r="AX25" s="500">
        <f t="shared" si="53"/>
        <v>0</v>
      </c>
      <c r="AY25" s="491"/>
      <c r="AZ25" s="500">
        <f t="shared" si="54"/>
        <v>0</v>
      </c>
      <c r="BA25" s="500">
        <f t="shared" si="55"/>
        <v>0</v>
      </c>
      <c r="BB25" s="491"/>
      <c r="BC25" s="500">
        <f t="shared" si="56"/>
        <v>0</v>
      </c>
      <c r="BD25" s="500">
        <f t="shared" si="57"/>
        <v>0</v>
      </c>
      <c r="BE25" s="491"/>
      <c r="BF25" s="500">
        <f t="shared" si="58"/>
        <v>0</v>
      </c>
      <c r="BG25" s="500">
        <f t="shared" si="59"/>
        <v>0</v>
      </c>
      <c r="BH25" s="491"/>
    </row>
    <row r="26" spans="1:60" ht="14.25" customHeight="1">
      <c r="A26" s="499">
        <v>50</v>
      </c>
      <c r="B26" s="524">
        <v>1.95</v>
      </c>
      <c r="C26" s="487">
        <f t="shared" si="36"/>
        <v>97.5</v>
      </c>
      <c r="D26" s="488">
        <v>50</v>
      </c>
      <c r="E26" s="489"/>
      <c r="F26" s="490">
        <f t="shared" si="37"/>
        <v>0</v>
      </c>
      <c r="G26" s="491"/>
      <c r="H26" s="485"/>
      <c r="I26" s="492"/>
      <c r="J26" s="487">
        <f t="shared" si="38"/>
        <v>0</v>
      </c>
      <c r="K26" s="494"/>
      <c r="L26" s="489"/>
      <c r="M26" s="490">
        <f t="shared" si="39"/>
        <v>0</v>
      </c>
      <c r="N26" s="491"/>
      <c r="O26" s="485"/>
      <c r="P26" s="492"/>
      <c r="Q26" s="487">
        <f t="shared" si="40"/>
        <v>0</v>
      </c>
      <c r="R26" s="494"/>
      <c r="S26" s="489"/>
      <c r="T26" s="490">
        <f t="shared" si="41"/>
        <v>0</v>
      </c>
      <c r="U26" s="491"/>
      <c r="V26" s="485"/>
      <c r="W26" s="492"/>
      <c r="X26" s="487">
        <f t="shared" si="42"/>
        <v>0</v>
      </c>
      <c r="Y26" s="494"/>
      <c r="Z26" s="489"/>
      <c r="AA26" s="490">
        <f t="shared" si="43"/>
        <v>0</v>
      </c>
      <c r="AB26" s="491"/>
      <c r="AC26" s="485"/>
      <c r="AD26" s="492"/>
      <c r="AE26" s="487">
        <f t="shared" si="44"/>
        <v>0</v>
      </c>
      <c r="AF26" s="494"/>
      <c r="AG26" s="489"/>
      <c r="AH26" s="490">
        <f t="shared" si="45"/>
        <v>0</v>
      </c>
      <c r="AI26" s="491"/>
      <c r="AJ26" s="485"/>
      <c r="AK26" s="492"/>
      <c r="AL26" s="487">
        <f t="shared" si="46"/>
        <v>0</v>
      </c>
      <c r="AM26" s="494"/>
      <c r="AN26" s="489"/>
      <c r="AO26" s="490">
        <f t="shared" si="47"/>
        <v>0</v>
      </c>
      <c r="AP26" s="491"/>
      <c r="AQ26" s="500">
        <f t="shared" si="48"/>
        <v>0.03</v>
      </c>
      <c r="AR26" s="500">
        <f t="shared" si="49"/>
        <v>0</v>
      </c>
      <c r="AS26" s="491"/>
      <c r="AT26" s="500">
        <f t="shared" si="50"/>
        <v>0</v>
      </c>
      <c r="AU26" s="500">
        <f t="shared" si="51"/>
        <v>0</v>
      </c>
      <c r="AV26" s="491"/>
      <c r="AW26" s="500">
        <f t="shared" si="52"/>
        <v>0</v>
      </c>
      <c r="AX26" s="500">
        <f t="shared" si="53"/>
        <v>0</v>
      </c>
      <c r="AY26" s="491"/>
      <c r="AZ26" s="500">
        <f t="shared" si="54"/>
        <v>0</v>
      </c>
      <c r="BA26" s="500">
        <f t="shared" si="55"/>
        <v>0</v>
      </c>
      <c r="BB26" s="491"/>
      <c r="BC26" s="500">
        <f t="shared" si="56"/>
        <v>0</v>
      </c>
      <c r="BD26" s="500">
        <f t="shared" si="57"/>
        <v>0</v>
      </c>
      <c r="BE26" s="491"/>
      <c r="BF26" s="500">
        <f t="shared" si="58"/>
        <v>0</v>
      </c>
      <c r="BG26" s="500">
        <f t="shared" si="59"/>
        <v>0</v>
      </c>
      <c r="BH26" s="491"/>
    </row>
    <row r="27" spans="1:60" ht="14.25" customHeight="1">
      <c r="A27" s="499"/>
      <c r="B27" s="524"/>
      <c r="C27" s="487">
        <f t="shared" si="36"/>
        <v>0</v>
      </c>
      <c r="D27" s="488"/>
      <c r="E27" s="489"/>
      <c r="F27" s="490">
        <f t="shared" si="37"/>
        <v>0</v>
      </c>
      <c r="G27" s="491"/>
      <c r="H27" s="485"/>
      <c r="I27" s="492"/>
      <c r="J27" s="487">
        <f t="shared" si="38"/>
        <v>0</v>
      </c>
      <c r="K27" s="494"/>
      <c r="L27" s="489"/>
      <c r="M27" s="490">
        <f t="shared" si="39"/>
        <v>0</v>
      </c>
      <c r="N27" s="491"/>
      <c r="O27" s="485"/>
      <c r="P27" s="492"/>
      <c r="Q27" s="487">
        <f t="shared" si="40"/>
        <v>0</v>
      </c>
      <c r="R27" s="494"/>
      <c r="S27" s="489"/>
      <c r="T27" s="490">
        <f t="shared" si="41"/>
        <v>0</v>
      </c>
      <c r="U27" s="491"/>
      <c r="V27" s="485"/>
      <c r="W27" s="492"/>
      <c r="X27" s="487">
        <f t="shared" si="42"/>
        <v>0</v>
      </c>
      <c r="Y27" s="494"/>
      <c r="Z27" s="489"/>
      <c r="AA27" s="490">
        <f t="shared" si="43"/>
        <v>0</v>
      </c>
      <c r="AB27" s="491"/>
      <c r="AC27" s="485"/>
      <c r="AD27" s="492"/>
      <c r="AE27" s="487">
        <f t="shared" si="44"/>
        <v>0</v>
      </c>
      <c r="AF27" s="494"/>
      <c r="AG27" s="489"/>
      <c r="AH27" s="490">
        <f t="shared" si="45"/>
        <v>0</v>
      </c>
      <c r="AI27" s="491"/>
      <c r="AJ27" s="485"/>
      <c r="AK27" s="492"/>
      <c r="AL27" s="487">
        <f t="shared" si="46"/>
        <v>0</v>
      </c>
      <c r="AM27" s="494"/>
      <c r="AN27" s="489"/>
      <c r="AO27" s="490">
        <f t="shared" si="47"/>
        <v>0</v>
      </c>
      <c r="AP27" s="491"/>
      <c r="AQ27" s="500">
        <f t="shared" si="48"/>
        <v>0</v>
      </c>
      <c r="AR27" s="500">
        <f t="shared" si="49"/>
        <v>0</v>
      </c>
      <c r="AS27" s="491"/>
      <c r="AT27" s="500">
        <f t="shared" si="50"/>
        <v>0</v>
      </c>
      <c r="AU27" s="500">
        <f t="shared" si="51"/>
        <v>0</v>
      </c>
      <c r="AV27" s="491"/>
      <c r="AW27" s="500">
        <f t="shared" si="52"/>
        <v>0</v>
      </c>
      <c r="AX27" s="500">
        <f t="shared" si="53"/>
        <v>0</v>
      </c>
      <c r="AY27" s="491"/>
      <c r="AZ27" s="500">
        <f t="shared" si="54"/>
        <v>0</v>
      </c>
      <c r="BA27" s="500">
        <f t="shared" si="55"/>
        <v>0</v>
      </c>
      <c r="BB27" s="491"/>
      <c r="BC27" s="500">
        <f t="shared" si="56"/>
        <v>0</v>
      </c>
      <c r="BD27" s="500">
        <f t="shared" si="57"/>
        <v>0</v>
      </c>
      <c r="BE27" s="491"/>
      <c r="BF27" s="500">
        <f t="shared" si="58"/>
        <v>0</v>
      </c>
      <c r="BG27" s="500">
        <f t="shared" si="59"/>
        <v>0</v>
      </c>
      <c r="BH27" s="491"/>
    </row>
    <row r="28" spans="1:60" ht="14.25" customHeight="1">
      <c r="A28" s="525"/>
      <c r="B28" s="524"/>
      <c r="C28" s="487">
        <f t="shared" si="36"/>
        <v>0</v>
      </c>
      <c r="D28" s="526"/>
      <c r="E28" s="527"/>
      <c r="F28" s="490">
        <f t="shared" si="37"/>
        <v>0</v>
      </c>
      <c r="G28" s="491"/>
      <c r="H28" s="485"/>
      <c r="I28" s="492"/>
      <c r="J28" s="487">
        <f t="shared" si="38"/>
        <v>0</v>
      </c>
      <c r="K28" s="494"/>
      <c r="L28" s="489"/>
      <c r="M28" s="490">
        <f t="shared" si="39"/>
        <v>0</v>
      </c>
      <c r="N28" s="491"/>
      <c r="O28" s="485"/>
      <c r="P28" s="492"/>
      <c r="Q28" s="487">
        <f t="shared" si="40"/>
        <v>0</v>
      </c>
      <c r="R28" s="494"/>
      <c r="S28" s="489"/>
      <c r="T28" s="490">
        <f t="shared" si="41"/>
        <v>0</v>
      </c>
      <c r="U28" s="491"/>
      <c r="V28" s="485"/>
      <c r="W28" s="492"/>
      <c r="X28" s="487">
        <f t="shared" si="42"/>
        <v>0</v>
      </c>
      <c r="Y28" s="494"/>
      <c r="Z28" s="489"/>
      <c r="AA28" s="490">
        <f t="shared" si="43"/>
        <v>0</v>
      </c>
      <c r="AB28" s="491"/>
      <c r="AC28" s="485"/>
      <c r="AD28" s="492"/>
      <c r="AE28" s="487">
        <f t="shared" si="44"/>
        <v>0</v>
      </c>
      <c r="AF28" s="494"/>
      <c r="AG28" s="489"/>
      <c r="AH28" s="490">
        <f t="shared" si="45"/>
        <v>0</v>
      </c>
      <c r="AI28" s="491"/>
      <c r="AJ28" s="485"/>
      <c r="AK28" s="492"/>
      <c r="AL28" s="487">
        <f t="shared" si="46"/>
        <v>0</v>
      </c>
      <c r="AM28" s="494"/>
      <c r="AN28" s="489"/>
      <c r="AO28" s="490">
        <f t="shared" si="47"/>
        <v>0</v>
      </c>
      <c r="AP28" s="491"/>
      <c r="AQ28" s="500">
        <f t="shared" si="48"/>
        <v>0</v>
      </c>
      <c r="AR28" s="500">
        <f t="shared" si="49"/>
        <v>0</v>
      </c>
      <c r="AS28" s="491"/>
      <c r="AT28" s="500">
        <f t="shared" si="50"/>
        <v>0</v>
      </c>
      <c r="AU28" s="500">
        <f t="shared" si="51"/>
        <v>0</v>
      </c>
      <c r="AV28" s="491"/>
      <c r="AW28" s="500">
        <f t="shared" si="52"/>
        <v>0</v>
      </c>
      <c r="AX28" s="500">
        <f t="shared" si="53"/>
        <v>0</v>
      </c>
      <c r="AY28" s="491"/>
      <c r="AZ28" s="500">
        <f t="shared" si="54"/>
        <v>0</v>
      </c>
      <c r="BA28" s="500">
        <f t="shared" si="55"/>
        <v>0</v>
      </c>
      <c r="BB28" s="491"/>
      <c r="BC28" s="500">
        <f t="shared" si="56"/>
        <v>0</v>
      </c>
      <c r="BD28" s="500">
        <f t="shared" si="57"/>
        <v>0</v>
      </c>
      <c r="BE28" s="491"/>
      <c r="BF28" s="500">
        <f t="shared" si="58"/>
        <v>0</v>
      </c>
      <c r="BG28" s="500">
        <f t="shared" si="59"/>
        <v>0</v>
      </c>
      <c r="BH28" s="491"/>
    </row>
    <row r="29" spans="1:60" ht="14.25" customHeight="1">
      <c r="A29" s="499"/>
      <c r="B29" s="486"/>
      <c r="C29" s="487">
        <f t="shared" si="36"/>
        <v>0</v>
      </c>
      <c r="D29" s="488"/>
      <c r="E29" s="489"/>
      <c r="F29" s="490">
        <f t="shared" si="37"/>
        <v>0</v>
      </c>
      <c r="G29" s="491"/>
      <c r="H29" s="485"/>
      <c r="I29" s="492"/>
      <c r="J29" s="487">
        <f t="shared" si="38"/>
        <v>0</v>
      </c>
      <c r="K29" s="494"/>
      <c r="L29" s="489"/>
      <c r="M29" s="490">
        <f t="shared" si="39"/>
        <v>0</v>
      </c>
      <c r="N29" s="491"/>
      <c r="O29" s="485"/>
      <c r="P29" s="492"/>
      <c r="Q29" s="487">
        <f t="shared" si="40"/>
        <v>0</v>
      </c>
      <c r="R29" s="494"/>
      <c r="S29" s="489"/>
      <c r="T29" s="490">
        <f t="shared" si="41"/>
        <v>0</v>
      </c>
      <c r="U29" s="491"/>
      <c r="V29" s="485"/>
      <c r="W29" s="492"/>
      <c r="X29" s="487">
        <f t="shared" si="42"/>
        <v>0</v>
      </c>
      <c r="Y29" s="494"/>
      <c r="Z29" s="489"/>
      <c r="AA29" s="490">
        <f t="shared" si="43"/>
        <v>0</v>
      </c>
      <c r="AB29" s="491"/>
      <c r="AC29" s="485"/>
      <c r="AD29" s="492"/>
      <c r="AE29" s="487">
        <f t="shared" si="44"/>
        <v>0</v>
      </c>
      <c r="AF29" s="494"/>
      <c r="AG29" s="489"/>
      <c r="AH29" s="490">
        <f t="shared" si="45"/>
        <v>0</v>
      </c>
      <c r="AI29" s="491"/>
      <c r="AJ29" s="485"/>
      <c r="AK29" s="492"/>
      <c r="AL29" s="487">
        <f t="shared" si="46"/>
        <v>0</v>
      </c>
      <c r="AM29" s="494"/>
      <c r="AN29" s="489"/>
      <c r="AO29" s="490">
        <f t="shared" si="47"/>
        <v>0</v>
      </c>
      <c r="AP29" s="491"/>
      <c r="AQ29" s="500">
        <f t="shared" si="48"/>
        <v>0</v>
      </c>
      <c r="AR29" s="500">
        <f t="shared" si="49"/>
        <v>0</v>
      </c>
      <c r="AS29" s="491"/>
      <c r="AT29" s="500">
        <f t="shared" si="50"/>
        <v>0</v>
      </c>
      <c r="AU29" s="500">
        <f t="shared" si="51"/>
        <v>0</v>
      </c>
      <c r="AV29" s="491"/>
      <c r="AW29" s="500">
        <f t="shared" si="52"/>
        <v>0</v>
      </c>
      <c r="AX29" s="500">
        <f t="shared" si="53"/>
        <v>0</v>
      </c>
      <c r="AY29" s="491"/>
      <c r="AZ29" s="500">
        <f t="shared" si="54"/>
        <v>0</v>
      </c>
      <c r="BA29" s="500">
        <f t="shared" si="55"/>
        <v>0</v>
      </c>
      <c r="BB29" s="491"/>
      <c r="BC29" s="500">
        <f t="shared" si="56"/>
        <v>0</v>
      </c>
      <c r="BD29" s="500">
        <f t="shared" si="57"/>
        <v>0</v>
      </c>
      <c r="BE29" s="491"/>
      <c r="BF29" s="500">
        <f t="shared" si="58"/>
        <v>0</v>
      </c>
      <c r="BG29" s="500">
        <f t="shared" si="59"/>
        <v>0</v>
      </c>
      <c r="BH29" s="491"/>
    </row>
    <row r="30" spans="1:60" ht="14.25" customHeight="1">
      <c r="A30" s="499"/>
      <c r="B30" s="492"/>
      <c r="C30" s="487">
        <f t="shared" si="36"/>
        <v>0</v>
      </c>
      <c r="D30" s="488"/>
      <c r="E30" s="489"/>
      <c r="F30" s="490">
        <f t="shared" si="37"/>
        <v>0</v>
      </c>
      <c r="G30" s="491"/>
      <c r="H30" s="485"/>
      <c r="I30" s="492"/>
      <c r="J30" s="487">
        <f t="shared" si="38"/>
        <v>0</v>
      </c>
      <c r="K30" s="494"/>
      <c r="L30" s="489"/>
      <c r="M30" s="490">
        <f t="shared" si="39"/>
        <v>0</v>
      </c>
      <c r="N30" s="491"/>
      <c r="O30" s="485"/>
      <c r="P30" s="492"/>
      <c r="Q30" s="487">
        <f t="shared" si="40"/>
        <v>0</v>
      </c>
      <c r="R30" s="494"/>
      <c r="S30" s="489"/>
      <c r="T30" s="490">
        <f t="shared" si="41"/>
        <v>0</v>
      </c>
      <c r="U30" s="491"/>
      <c r="V30" s="485"/>
      <c r="W30" s="492"/>
      <c r="X30" s="487">
        <f t="shared" si="42"/>
        <v>0</v>
      </c>
      <c r="Y30" s="494"/>
      <c r="Z30" s="489"/>
      <c r="AA30" s="490">
        <f t="shared" si="43"/>
        <v>0</v>
      </c>
      <c r="AB30" s="491"/>
      <c r="AC30" s="485"/>
      <c r="AD30" s="492"/>
      <c r="AE30" s="487">
        <f t="shared" si="44"/>
        <v>0</v>
      </c>
      <c r="AF30" s="494"/>
      <c r="AG30" s="489"/>
      <c r="AH30" s="490">
        <f t="shared" si="45"/>
        <v>0</v>
      </c>
      <c r="AI30" s="491"/>
      <c r="AJ30" s="485"/>
      <c r="AK30" s="492"/>
      <c r="AL30" s="487">
        <f t="shared" si="46"/>
        <v>0</v>
      </c>
      <c r="AM30" s="494"/>
      <c r="AN30" s="489"/>
      <c r="AO30" s="490">
        <f t="shared" si="47"/>
        <v>0</v>
      </c>
      <c r="AP30" s="491"/>
      <c r="AQ30" s="500">
        <f t="shared" si="48"/>
        <v>0</v>
      </c>
      <c r="AR30" s="500">
        <f t="shared" si="49"/>
        <v>0</v>
      </c>
      <c r="AS30" s="491"/>
      <c r="AT30" s="500">
        <f t="shared" si="50"/>
        <v>0</v>
      </c>
      <c r="AU30" s="500">
        <f t="shared" si="51"/>
        <v>0</v>
      </c>
      <c r="AV30" s="491"/>
      <c r="AW30" s="500">
        <f t="shared" si="52"/>
        <v>0</v>
      </c>
      <c r="AX30" s="500">
        <f t="shared" si="53"/>
        <v>0</v>
      </c>
      <c r="AY30" s="491"/>
      <c r="AZ30" s="500">
        <f t="shared" si="54"/>
        <v>0</v>
      </c>
      <c r="BA30" s="500">
        <f t="shared" si="55"/>
        <v>0</v>
      </c>
      <c r="BB30" s="491"/>
      <c r="BC30" s="500">
        <f t="shared" si="56"/>
        <v>0</v>
      </c>
      <c r="BD30" s="500">
        <f t="shared" si="57"/>
        <v>0</v>
      </c>
      <c r="BE30" s="491"/>
      <c r="BF30" s="500">
        <f t="shared" si="58"/>
        <v>0</v>
      </c>
      <c r="BG30" s="500">
        <f t="shared" si="59"/>
        <v>0</v>
      </c>
      <c r="BH30" s="491"/>
    </row>
    <row r="31" spans="1:60" ht="14.25" customHeight="1">
      <c r="A31" s="499"/>
      <c r="B31" s="501"/>
      <c r="C31" s="487">
        <f t="shared" si="36"/>
        <v>0</v>
      </c>
      <c r="D31" s="488"/>
      <c r="E31" s="489"/>
      <c r="F31" s="490">
        <f t="shared" si="37"/>
        <v>0</v>
      </c>
      <c r="G31" s="491"/>
      <c r="H31" s="485"/>
      <c r="I31" s="492"/>
      <c r="J31" s="487">
        <f t="shared" si="38"/>
        <v>0</v>
      </c>
      <c r="K31" s="494"/>
      <c r="L31" s="489"/>
      <c r="M31" s="490">
        <f t="shared" si="39"/>
        <v>0</v>
      </c>
      <c r="N31" s="491"/>
      <c r="O31" s="485"/>
      <c r="P31" s="492"/>
      <c r="Q31" s="487">
        <f t="shared" si="40"/>
        <v>0</v>
      </c>
      <c r="R31" s="494"/>
      <c r="S31" s="489"/>
      <c r="T31" s="490">
        <f t="shared" si="41"/>
        <v>0</v>
      </c>
      <c r="U31" s="491"/>
      <c r="V31" s="485"/>
      <c r="W31" s="492"/>
      <c r="X31" s="487">
        <f t="shared" si="42"/>
        <v>0</v>
      </c>
      <c r="Y31" s="494"/>
      <c r="Z31" s="489"/>
      <c r="AA31" s="490">
        <f t="shared" si="43"/>
        <v>0</v>
      </c>
      <c r="AB31" s="491"/>
      <c r="AC31" s="485"/>
      <c r="AD31" s="492"/>
      <c r="AE31" s="487">
        <f t="shared" si="44"/>
        <v>0</v>
      </c>
      <c r="AF31" s="494"/>
      <c r="AG31" s="489"/>
      <c r="AH31" s="490">
        <f t="shared" si="45"/>
        <v>0</v>
      </c>
      <c r="AI31" s="491"/>
      <c r="AJ31" s="485"/>
      <c r="AK31" s="492"/>
      <c r="AL31" s="487">
        <f t="shared" si="46"/>
        <v>0</v>
      </c>
      <c r="AM31" s="494"/>
      <c r="AN31" s="489"/>
      <c r="AO31" s="490">
        <f t="shared" si="47"/>
        <v>0</v>
      </c>
      <c r="AP31" s="491"/>
      <c r="AQ31" s="500">
        <f t="shared" si="48"/>
        <v>0</v>
      </c>
      <c r="AR31" s="500">
        <f t="shared" si="49"/>
        <v>0</v>
      </c>
      <c r="AS31" s="491"/>
      <c r="AT31" s="500">
        <f t="shared" si="50"/>
        <v>0</v>
      </c>
      <c r="AU31" s="500">
        <f t="shared" si="51"/>
        <v>0</v>
      </c>
      <c r="AV31" s="491"/>
      <c r="AW31" s="500">
        <f t="shared" si="52"/>
        <v>0</v>
      </c>
      <c r="AX31" s="500">
        <f t="shared" si="53"/>
        <v>0</v>
      </c>
      <c r="AY31" s="491"/>
      <c r="AZ31" s="500">
        <f t="shared" si="54"/>
        <v>0</v>
      </c>
      <c r="BA31" s="500">
        <f t="shared" si="55"/>
        <v>0</v>
      </c>
      <c r="BB31" s="491"/>
      <c r="BC31" s="500">
        <f t="shared" si="56"/>
        <v>0</v>
      </c>
      <c r="BD31" s="500">
        <f t="shared" si="57"/>
        <v>0</v>
      </c>
      <c r="BE31" s="491"/>
      <c r="BF31" s="500">
        <f t="shared" si="58"/>
        <v>0</v>
      </c>
      <c r="BG31" s="500">
        <f t="shared" si="59"/>
        <v>0</v>
      </c>
      <c r="BH31" s="491"/>
    </row>
    <row r="32" spans="1:60" ht="14.25" customHeight="1">
      <c r="A32" s="485"/>
      <c r="B32" s="486"/>
      <c r="C32" s="487">
        <f t="shared" si="36"/>
        <v>0</v>
      </c>
      <c r="D32" s="488"/>
      <c r="E32" s="528"/>
      <c r="F32" s="490">
        <f t="shared" si="37"/>
        <v>0</v>
      </c>
      <c r="G32" s="491"/>
      <c r="H32" s="485"/>
      <c r="I32" s="492"/>
      <c r="J32" s="487">
        <f t="shared" si="38"/>
        <v>0</v>
      </c>
      <c r="K32" s="494"/>
      <c r="L32" s="489"/>
      <c r="M32" s="490">
        <f t="shared" si="39"/>
        <v>0</v>
      </c>
      <c r="N32" s="491"/>
      <c r="O32" s="485"/>
      <c r="P32" s="492"/>
      <c r="Q32" s="487">
        <f t="shared" si="40"/>
        <v>0</v>
      </c>
      <c r="R32" s="494"/>
      <c r="S32" s="489"/>
      <c r="T32" s="490">
        <f t="shared" si="41"/>
        <v>0</v>
      </c>
      <c r="U32" s="491"/>
      <c r="V32" s="485"/>
      <c r="W32" s="492"/>
      <c r="X32" s="487">
        <f t="shared" si="42"/>
        <v>0</v>
      </c>
      <c r="Y32" s="494"/>
      <c r="Z32" s="489"/>
      <c r="AA32" s="490">
        <f t="shared" si="43"/>
        <v>0</v>
      </c>
      <c r="AB32" s="491"/>
      <c r="AC32" s="485"/>
      <c r="AD32" s="492"/>
      <c r="AE32" s="487">
        <f t="shared" si="44"/>
        <v>0</v>
      </c>
      <c r="AF32" s="494"/>
      <c r="AG32" s="489"/>
      <c r="AH32" s="490">
        <f t="shared" si="45"/>
        <v>0</v>
      </c>
      <c r="AI32" s="491"/>
      <c r="AJ32" s="485"/>
      <c r="AK32" s="492"/>
      <c r="AL32" s="487">
        <f t="shared" si="46"/>
        <v>0</v>
      </c>
      <c r="AM32" s="494"/>
      <c r="AN32" s="489"/>
      <c r="AO32" s="490">
        <f t="shared" si="47"/>
        <v>0</v>
      </c>
      <c r="AP32" s="491"/>
      <c r="AQ32" s="500">
        <f t="shared" si="48"/>
        <v>0</v>
      </c>
      <c r="AR32" s="500">
        <f t="shared" si="49"/>
        <v>0</v>
      </c>
      <c r="AS32" s="491"/>
      <c r="AT32" s="500">
        <f t="shared" si="50"/>
        <v>0</v>
      </c>
      <c r="AU32" s="500">
        <f t="shared" si="51"/>
        <v>0</v>
      </c>
      <c r="AV32" s="491"/>
      <c r="AW32" s="500">
        <f t="shared" si="52"/>
        <v>0</v>
      </c>
      <c r="AX32" s="500">
        <f t="shared" si="53"/>
        <v>0</v>
      </c>
      <c r="AY32" s="491"/>
      <c r="AZ32" s="500">
        <f t="shared" si="54"/>
        <v>0</v>
      </c>
      <c r="BA32" s="500">
        <f t="shared" si="55"/>
        <v>0</v>
      </c>
      <c r="BB32" s="491"/>
      <c r="BC32" s="500">
        <f t="shared" si="56"/>
        <v>0</v>
      </c>
      <c r="BD32" s="500">
        <f t="shared" si="57"/>
        <v>0</v>
      </c>
      <c r="BE32" s="491"/>
      <c r="BF32" s="500">
        <f t="shared" si="58"/>
        <v>0</v>
      </c>
      <c r="BG32" s="500">
        <f t="shared" si="59"/>
        <v>0</v>
      </c>
      <c r="BH32" s="491"/>
    </row>
    <row r="33" spans="1:60" ht="14.25" customHeight="1">
      <c r="A33" s="499"/>
      <c r="B33" s="501"/>
      <c r="C33" s="487">
        <f t="shared" si="36"/>
        <v>0</v>
      </c>
      <c r="D33" s="494"/>
      <c r="E33" s="489"/>
      <c r="F33" s="490">
        <f t="shared" si="37"/>
        <v>0</v>
      </c>
      <c r="G33" s="491"/>
      <c r="H33" s="485"/>
      <c r="I33" s="492"/>
      <c r="J33" s="487">
        <f t="shared" si="38"/>
        <v>0</v>
      </c>
      <c r="K33" s="494"/>
      <c r="L33" s="489"/>
      <c r="M33" s="490">
        <f t="shared" si="39"/>
        <v>0</v>
      </c>
      <c r="N33" s="491"/>
      <c r="O33" s="485"/>
      <c r="P33" s="492"/>
      <c r="Q33" s="487">
        <f t="shared" si="40"/>
        <v>0</v>
      </c>
      <c r="R33" s="494"/>
      <c r="S33" s="489"/>
      <c r="T33" s="490">
        <f t="shared" si="41"/>
        <v>0</v>
      </c>
      <c r="U33" s="491"/>
      <c r="V33" s="485"/>
      <c r="W33" s="492"/>
      <c r="X33" s="487">
        <f t="shared" si="42"/>
        <v>0</v>
      </c>
      <c r="Y33" s="494"/>
      <c r="Z33" s="489"/>
      <c r="AA33" s="490">
        <f t="shared" si="43"/>
        <v>0</v>
      </c>
      <c r="AB33" s="491"/>
      <c r="AC33" s="485"/>
      <c r="AD33" s="492"/>
      <c r="AE33" s="487">
        <f t="shared" si="44"/>
        <v>0</v>
      </c>
      <c r="AF33" s="494"/>
      <c r="AG33" s="489"/>
      <c r="AH33" s="490">
        <f t="shared" si="45"/>
        <v>0</v>
      </c>
      <c r="AI33" s="491"/>
      <c r="AJ33" s="485"/>
      <c r="AK33" s="492"/>
      <c r="AL33" s="487">
        <f t="shared" si="46"/>
        <v>0</v>
      </c>
      <c r="AM33" s="494"/>
      <c r="AN33" s="489"/>
      <c r="AO33" s="490">
        <f t="shared" si="47"/>
        <v>0</v>
      </c>
      <c r="AP33" s="491"/>
      <c r="AQ33" s="500">
        <f t="shared" si="48"/>
        <v>0</v>
      </c>
      <c r="AR33" s="500">
        <f t="shared" si="49"/>
        <v>0</v>
      </c>
      <c r="AS33" s="491"/>
      <c r="AT33" s="500">
        <f t="shared" si="50"/>
        <v>0</v>
      </c>
      <c r="AU33" s="500">
        <f t="shared" si="51"/>
        <v>0</v>
      </c>
      <c r="AV33" s="491"/>
      <c r="AW33" s="500">
        <f t="shared" si="52"/>
        <v>0</v>
      </c>
      <c r="AX33" s="500">
        <f t="shared" si="53"/>
        <v>0</v>
      </c>
      <c r="AY33" s="491"/>
      <c r="AZ33" s="500">
        <f t="shared" si="54"/>
        <v>0</v>
      </c>
      <c r="BA33" s="500">
        <f t="shared" si="55"/>
        <v>0</v>
      </c>
      <c r="BB33" s="491"/>
      <c r="BC33" s="500">
        <f t="shared" si="56"/>
        <v>0</v>
      </c>
      <c r="BD33" s="500">
        <f t="shared" si="57"/>
        <v>0</v>
      </c>
      <c r="BE33" s="491"/>
      <c r="BF33" s="500">
        <f t="shared" si="58"/>
        <v>0</v>
      </c>
      <c r="BG33" s="500">
        <f t="shared" si="59"/>
        <v>0</v>
      </c>
      <c r="BH33" s="491"/>
    </row>
    <row r="34" spans="1:60" ht="14.25" customHeight="1">
      <c r="A34" s="499"/>
      <c r="B34" s="486"/>
      <c r="C34" s="487">
        <f t="shared" si="36"/>
        <v>0</v>
      </c>
      <c r="D34" s="494"/>
      <c r="E34" s="489"/>
      <c r="F34" s="490">
        <f t="shared" si="37"/>
        <v>0</v>
      </c>
      <c r="G34" s="491"/>
      <c r="H34" s="485"/>
      <c r="I34" s="492"/>
      <c r="J34" s="487">
        <f t="shared" si="38"/>
        <v>0</v>
      </c>
      <c r="K34" s="494"/>
      <c r="L34" s="489"/>
      <c r="M34" s="490">
        <f t="shared" si="39"/>
        <v>0</v>
      </c>
      <c r="N34" s="491"/>
      <c r="O34" s="485"/>
      <c r="P34" s="492"/>
      <c r="Q34" s="487">
        <f t="shared" si="40"/>
        <v>0</v>
      </c>
      <c r="R34" s="494"/>
      <c r="S34" s="489"/>
      <c r="T34" s="490">
        <f t="shared" si="41"/>
        <v>0</v>
      </c>
      <c r="U34" s="491"/>
      <c r="V34" s="485"/>
      <c r="W34" s="492"/>
      <c r="X34" s="487">
        <f t="shared" si="42"/>
        <v>0</v>
      </c>
      <c r="Y34" s="494"/>
      <c r="Z34" s="489"/>
      <c r="AA34" s="490">
        <f t="shared" si="43"/>
        <v>0</v>
      </c>
      <c r="AB34" s="491"/>
      <c r="AC34" s="485"/>
      <c r="AD34" s="492"/>
      <c r="AE34" s="487">
        <f t="shared" si="44"/>
        <v>0</v>
      </c>
      <c r="AF34" s="494"/>
      <c r="AG34" s="489"/>
      <c r="AH34" s="490">
        <f t="shared" si="45"/>
        <v>0</v>
      </c>
      <c r="AI34" s="491"/>
      <c r="AJ34" s="485"/>
      <c r="AK34" s="492"/>
      <c r="AL34" s="487">
        <f t="shared" si="46"/>
        <v>0</v>
      </c>
      <c r="AM34" s="494"/>
      <c r="AN34" s="489"/>
      <c r="AO34" s="490">
        <f t="shared" si="47"/>
        <v>0</v>
      </c>
      <c r="AP34" s="491"/>
      <c r="AQ34" s="500">
        <f t="shared" si="48"/>
        <v>0</v>
      </c>
      <c r="AR34" s="500">
        <f t="shared" si="49"/>
        <v>0</v>
      </c>
      <c r="AS34" s="491"/>
      <c r="AT34" s="500">
        <f t="shared" si="50"/>
        <v>0</v>
      </c>
      <c r="AU34" s="500">
        <f t="shared" si="51"/>
        <v>0</v>
      </c>
      <c r="AV34" s="491"/>
      <c r="AW34" s="500">
        <f t="shared" si="52"/>
        <v>0</v>
      </c>
      <c r="AX34" s="500">
        <f t="shared" si="53"/>
        <v>0</v>
      </c>
      <c r="AY34" s="491"/>
      <c r="AZ34" s="500">
        <f t="shared" si="54"/>
        <v>0</v>
      </c>
      <c r="BA34" s="500">
        <f t="shared" si="55"/>
        <v>0</v>
      </c>
      <c r="BB34" s="491"/>
      <c r="BC34" s="500">
        <f t="shared" si="56"/>
        <v>0</v>
      </c>
      <c r="BD34" s="500">
        <f t="shared" si="57"/>
        <v>0</v>
      </c>
      <c r="BE34" s="491"/>
      <c r="BF34" s="500">
        <f t="shared" si="58"/>
        <v>0</v>
      </c>
      <c r="BG34" s="500">
        <f t="shared" si="59"/>
        <v>0</v>
      </c>
      <c r="BH34" s="491"/>
    </row>
    <row r="35" spans="1:60" ht="14.25" customHeight="1">
      <c r="A35" s="485"/>
      <c r="B35" s="486"/>
      <c r="C35" s="487">
        <f t="shared" si="36"/>
        <v>0</v>
      </c>
      <c r="D35" s="488"/>
      <c r="E35" s="528"/>
      <c r="F35" s="490">
        <f t="shared" si="37"/>
        <v>0</v>
      </c>
      <c r="G35" s="491"/>
      <c r="H35" s="485"/>
      <c r="I35" s="492"/>
      <c r="J35" s="487">
        <f t="shared" si="38"/>
        <v>0</v>
      </c>
      <c r="K35" s="494"/>
      <c r="L35" s="489"/>
      <c r="M35" s="490">
        <f t="shared" si="39"/>
        <v>0</v>
      </c>
      <c r="N35" s="491"/>
      <c r="O35" s="485"/>
      <c r="P35" s="492"/>
      <c r="Q35" s="487">
        <f t="shared" si="40"/>
        <v>0</v>
      </c>
      <c r="R35" s="494"/>
      <c r="S35" s="489"/>
      <c r="T35" s="490">
        <f t="shared" si="41"/>
        <v>0</v>
      </c>
      <c r="U35" s="491"/>
      <c r="V35" s="485"/>
      <c r="W35" s="492"/>
      <c r="X35" s="487">
        <f t="shared" si="42"/>
        <v>0</v>
      </c>
      <c r="Y35" s="494"/>
      <c r="Z35" s="489"/>
      <c r="AA35" s="490">
        <f t="shared" si="43"/>
        <v>0</v>
      </c>
      <c r="AB35" s="491"/>
      <c r="AC35" s="485"/>
      <c r="AD35" s="492"/>
      <c r="AE35" s="487">
        <f t="shared" si="44"/>
        <v>0</v>
      </c>
      <c r="AF35" s="494"/>
      <c r="AG35" s="489"/>
      <c r="AH35" s="490">
        <f t="shared" si="45"/>
        <v>0</v>
      </c>
      <c r="AI35" s="491"/>
      <c r="AJ35" s="485"/>
      <c r="AK35" s="492"/>
      <c r="AL35" s="487">
        <f t="shared" si="46"/>
        <v>0</v>
      </c>
      <c r="AM35" s="494"/>
      <c r="AN35" s="489"/>
      <c r="AO35" s="490">
        <f t="shared" si="47"/>
        <v>0</v>
      </c>
      <c r="AP35" s="491"/>
      <c r="AQ35" s="500">
        <f t="shared" si="48"/>
        <v>0</v>
      </c>
      <c r="AR35" s="500">
        <f t="shared" si="49"/>
        <v>0</v>
      </c>
      <c r="AS35" s="491"/>
      <c r="AT35" s="500">
        <f t="shared" si="50"/>
        <v>0</v>
      </c>
      <c r="AU35" s="500">
        <f t="shared" si="51"/>
        <v>0</v>
      </c>
      <c r="AV35" s="491"/>
      <c r="AW35" s="500">
        <f t="shared" si="52"/>
        <v>0</v>
      </c>
      <c r="AX35" s="500">
        <f t="shared" si="53"/>
        <v>0</v>
      </c>
      <c r="AY35" s="491"/>
      <c r="AZ35" s="500">
        <f t="shared" si="54"/>
        <v>0</v>
      </c>
      <c r="BA35" s="500">
        <f t="shared" si="55"/>
        <v>0</v>
      </c>
      <c r="BB35" s="491"/>
      <c r="BC35" s="500">
        <f t="shared" si="56"/>
        <v>0</v>
      </c>
      <c r="BD35" s="500">
        <f t="shared" si="57"/>
        <v>0</v>
      </c>
      <c r="BE35" s="491"/>
      <c r="BF35" s="500">
        <f t="shared" si="58"/>
        <v>0</v>
      </c>
      <c r="BG35" s="500">
        <f t="shared" si="59"/>
        <v>0</v>
      </c>
      <c r="BH35" s="491"/>
    </row>
    <row r="36" spans="1:60" ht="14.25" customHeight="1">
      <c r="A36" s="499"/>
      <c r="B36" s="502"/>
      <c r="C36" s="487">
        <f t="shared" si="36"/>
        <v>0</v>
      </c>
      <c r="D36" s="488"/>
      <c r="E36" s="528"/>
      <c r="F36" s="490">
        <f t="shared" si="37"/>
        <v>0</v>
      </c>
      <c r="G36" s="491"/>
      <c r="H36" s="485"/>
      <c r="I36" s="492"/>
      <c r="J36" s="487">
        <f t="shared" si="38"/>
        <v>0</v>
      </c>
      <c r="K36" s="494"/>
      <c r="L36" s="489"/>
      <c r="M36" s="490">
        <f t="shared" si="39"/>
        <v>0</v>
      </c>
      <c r="N36" s="491"/>
      <c r="O36" s="485"/>
      <c r="P36" s="492"/>
      <c r="Q36" s="487">
        <f t="shared" si="40"/>
        <v>0</v>
      </c>
      <c r="R36" s="494"/>
      <c r="S36" s="489"/>
      <c r="T36" s="490">
        <f t="shared" si="41"/>
        <v>0</v>
      </c>
      <c r="U36" s="491"/>
      <c r="V36" s="485"/>
      <c r="W36" s="492"/>
      <c r="X36" s="487">
        <f t="shared" si="42"/>
        <v>0</v>
      </c>
      <c r="Y36" s="494"/>
      <c r="Z36" s="489"/>
      <c r="AA36" s="490">
        <f t="shared" si="43"/>
        <v>0</v>
      </c>
      <c r="AB36" s="491"/>
      <c r="AC36" s="485"/>
      <c r="AD36" s="492"/>
      <c r="AE36" s="487">
        <f t="shared" si="44"/>
        <v>0</v>
      </c>
      <c r="AF36" s="494"/>
      <c r="AG36" s="489"/>
      <c r="AH36" s="490">
        <f t="shared" si="45"/>
        <v>0</v>
      </c>
      <c r="AI36" s="491"/>
      <c r="AJ36" s="485"/>
      <c r="AK36" s="492"/>
      <c r="AL36" s="487">
        <f t="shared" si="46"/>
        <v>0</v>
      </c>
      <c r="AM36" s="494"/>
      <c r="AN36" s="489"/>
      <c r="AO36" s="490">
        <f t="shared" si="47"/>
        <v>0</v>
      </c>
      <c r="AP36" s="491"/>
      <c r="AQ36" s="500">
        <f t="shared" si="48"/>
        <v>0</v>
      </c>
      <c r="AR36" s="500">
        <f t="shared" si="49"/>
        <v>0</v>
      </c>
      <c r="AS36" s="491"/>
      <c r="AT36" s="500">
        <f t="shared" si="50"/>
        <v>0</v>
      </c>
      <c r="AU36" s="500">
        <f t="shared" si="51"/>
        <v>0</v>
      </c>
      <c r="AV36" s="491"/>
      <c r="AW36" s="500">
        <f t="shared" si="52"/>
        <v>0</v>
      </c>
      <c r="AX36" s="500">
        <f t="shared" si="53"/>
        <v>0</v>
      </c>
      <c r="AY36" s="491"/>
      <c r="AZ36" s="500">
        <f t="shared" si="54"/>
        <v>0</v>
      </c>
      <c r="BA36" s="500">
        <f t="shared" si="55"/>
        <v>0</v>
      </c>
      <c r="BB36" s="491"/>
      <c r="BC36" s="500">
        <f t="shared" si="56"/>
        <v>0</v>
      </c>
      <c r="BD36" s="500">
        <f t="shared" si="57"/>
        <v>0</v>
      </c>
      <c r="BE36" s="491"/>
      <c r="BF36" s="500">
        <f t="shared" si="58"/>
        <v>0</v>
      </c>
      <c r="BG36" s="500">
        <f t="shared" si="59"/>
        <v>0</v>
      </c>
      <c r="BH36" s="491"/>
    </row>
    <row r="37" spans="1:60" ht="14.25" customHeight="1">
      <c r="A37" s="499"/>
      <c r="B37" s="502"/>
      <c r="C37" s="487">
        <f t="shared" si="36"/>
        <v>0</v>
      </c>
      <c r="D37" s="488"/>
      <c r="E37" s="528"/>
      <c r="F37" s="490">
        <f t="shared" si="37"/>
        <v>0</v>
      </c>
      <c r="G37" s="491"/>
      <c r="H37" s="485"/>
      <c r="I37" s="492"/>
      <c r="J37" s="487">
        <f t="shared" si="38"/>
        <v>0</v>
      </c>
      <c r="K37" s="494"/>
      <c r="L37" s="489"/>
      <c r="M37" s="490">
        <f t="shared" si="39"/>
        <v>0</v>
      </c>
      <c r="N37" s="491"/>
      <c r="O37" s="485"/>
      <c r="P37" s="492"/>
      <c r="Q37" s="487">
        <f t="shared" si="40"/>
        <v>0</v>
      </c>
      <c r="R37" s="494"/>
      <c r="S37" s="489"/>
      <c r="T37" s="490">
        <f t="shared" si="41"/>
        <v>0</v>
      </c>
      <c r="U37" s="491"/>
      <c r="V37" s="485"/>
      <c r="W37" s="492"/>
      <c r="X37" s="487">
        <f t="shared" si="42"/>
        <v>0</v>
      </c>
      <c r="Y37" s="494"/>
      <c r="Z37" s="489"/>
      <c r="AA37" s="490">
        <f t="shared" si="43"/>
        <v>0</v>
      </c>
      <c r="AB37" s="491"/>
      <c r="AC37" s="485"/>
      <c r="AD37" s="492"/>
      <c r="AE37" s="487">
        <f t="shared" si="44"/>
        <v>0</v>
      </c>
      <c r="AF37" s="494"/>
      <c r="AG37" s="489"/>
      <c r="AH37" s="490">
        <f t="shared" si="45"/>
        <v>0</v>
      </c>
      <c r="AI37" s="491"/>
      <c r="AJ37" s="485"/>
      <c r="AK37" s="492"/>
      <c r="AL37" s="487">
        <f t="shared" si="46"/>
        <v>0</v>
      </c>
      <c r="AM37" s="494"/>
      <c r="AN37" s="489"/>
      <c r="AO37" s="490">
        <f t="shared" si="47"/>
        <v>0</v>
      </c>
      <c r="AP37" s="491"/>
      <c r="AQ37" s="500">
        <f t="shared" si="48"/>
        <v>0</v>
      </c>
      <c r="AR37" s="500">
        <f t="shared" si="49"/>
        <v>0</v>
      </c>
      <c r="AS37" s="491"/>
      <c r="AT37" s="500">
        <f t="shared" si="50"/>
        <v>0</v>
      </c>
      <c r="AU37" s="500">
        <f t="shared" si="51"/>
        <v>0</v>
      </c>
      <c r="AV37" s="491"/>
      <c r="AW37" s="500">
        <f t="shared" si="52"/>
        <v>0</v>
      </c>
      <c r="AX37" s="500">
        <f t="shared" si="53"/>
        <v>0</v>
      </c>
      <c r="AY37" s="491"/>
      <c r="AZ37" s="500">
        <f t="shared" si="54"/>
        <v>0</v>
      </c>
      <c r="BA37" s="500">
        <f t="shared" si="55"/>
        <v>0</v>
      </c>
      <c r="BB37" s="491"/>
      <c r="BC37" s="500">
        <f t="shared" si="56"/>
        <v>0</v>
      </c>
      <c r="BD37" s="500">
        <f t="shared" si="57"/>
        <v>0</v>
      </c>
      <c r="BE37" s="491"/>
      <c r="BF37" s="500">
        <f t="shared" si="58"/>
        <v>0</v>
      </c>
      <c r="BG37" s="500">
        <f t="shared" si="59"/>
        <v>0</v>
      </c>
      <c r="BH37" s="491"/>
    </row>
    <row r="38" spans="1:60" ht="14.25" customHeight="1">
      <c r="A38" s="499"/>
      <c r="B38" s="502"/>
      <c r="C38" s="487">
        <f t="shared" si="36"/>
        <v>0</v>
      </c>
      <c r="D38" s="488"/>
      <c r="E38" s="528"/>
      <c r="F38" s="490">
        <f t="shared" si="37"/>
        <v>0</v>
      </c>
      <c r="G38" s="491"/>
      <c r="H38" s="485"/>
      <c r="I38" s="492"/>
      <c r="J38" s="487">
        <f t="shared" si="38"/>
        <v>0</v>
      </c>
      <c r="K38" s="494"/>
      <c r="L38" s="489"/>
      <c r="M38" s="490">
        <f t="shared" si="39"/>
        <v>0</v>
      </c>
      <c r="N38" s="491"/>
      <c r="O38" s="485"/>
      <c r="P38" s="492"/>
      <c r="Q38" s="487">
        <f t="shared" si="40"/>
        <v>0</v>
      </c>
      <c r="R38" s="494"/>
      <c r="S38" s="489"/>
      <c r="T38" s="490">
        <f t="shared" si="41"/>
        <v>0</v>
      </c>
      <c r="U38" s="491"/>
      <c r="V38" s="485"/>
      <c r="W38" s="492"/>
      <c r="X38" s="487">
        <f t="shared" si="42"/>
        <v>0</v>
      </c>
      <c r="Y38" s="494"/>
      <c r="Z38" s="489"/>
      <c r="AA38" s="490">
        <f t="shared" si="43"/>
        <v>0</v>
      </c>
      <c r="AB38" s="491"/>
      <c r="AC38" s="485"/>
      <c r="AD38" s="492"/>
      <c r="AE38" s="487">
        <f t="shared" si="44"/>
        <v>0</v>
      </c>
      <c r="AF38" s="494"/>
      <c r="AG38" s="489"/>
      <c r="AH38" s="490">
        <f t="shared" si="45"/>
        <v>0</v>
      </c>
      <c r="AI38" s="491"/>
      <c r="AJ38" s="485"/>
      <c r="AK38" s="492"/>
      <c r="AL38" s="487">
        <f t="shared" si="46"/>
        <v>0</v>
      </c>
      <c r="AM38" s="494"/>
      <c r="AN38" s="489"/>
      <c r="AO38" s="490">
        <f t="shared" si="47"/>
        <v>0</v>
      </c>
      <c r="AP38" s="491"/>
      <c r="AQ38" s="500">
        <f t="shared" si="48"/>
        <v>0</v>
      </c>
      <c r="AR38" s="500">
        <f t="shared" si="49"/>
        <v>0</v>
      </c>
      <c r="AS38" s="491"/>
      <c r="AT38" s="500">
        <f t="shared" si="50"/>
        <v>0</v>
      </c>
      <c r="AU38" s="500">
        <f t="shared" si="51"/>
        <v>0</v>
      </c>
      <c r="AV38" s="491"/>
      <c r="AW38" s="500">
        <f t="shared" si="52"/>
        <v>0</v>
      </c>
      <c r="AX38" s="500">
        <f t="shared" si="53"/>
        <v>0</v>
      </c>
      <c r="AY38" s="491"/>
      <c r="AZ38" s="500">
        <f t="shared" si="54"/>
        <v>0</v>
      </c>
      <c r="BA38" s="500">
        <f t="shared" si="55"/>
        <v>0</v>
      </c>
      <c r="BB38" s="491"/>
      <c r="BC38" s="500">
        <f t="shared" si="56"/>
        <v>0</v>
      </c>
      <c r="BD38" s="500">
        <f t="shared" si="57"/>
        <v>0</v>
      </c>
      <c r="BE38" s="491"/>
      <c r="BF38" s="500">
        <f t="shared" si="58"/>
        <v>0</v>
      </c>
      <c r="BG38" s="500">
        <f t="shared" si="59"/>
        <v>0</v>
      </c>
      <c r="BH38" s="491"/>
    </row>
    <row r="39" spans="1:60" ht="14.25" customHeight="1">
      <c r="A39" s="499"/>
      <c r="B39" s="502"/>
      <c r="C39" s="487">
        <f t="shared" si="36"/>
        <v>0</v>
      </c>
      <c r="D39" s="488"/>
      <c r="E39" s="528"/>
      <c r="F39" s="490">
        <f t="shared" si="37"/>
        <v>0</v>
      </c>
      <c r="G39" s="491"/>
      <c r="H39" s="485"/>
      <c r="I39" s="492"/>
      <c r="J39" s="487">
        <f t="shared" si="38"/>
        <v>0</v>
      </c>
      <c r="K39" s="494"/>
      <c r="L39" s="489"/>
      <c r="M39" s="490">
        <f t="shared" si="39"/>
        <v>0</v>
      </c>
      <c r="N39" s="491"/>
      <c r="O39" s="485"/>
      <c r="P39" s="492"/>
      <c r="Q39" s="487">
        <f t="shared" si="40"/>
        <v>0</v>
      </c>
      <c r="R39" s="494"/>
      <c r="S39" s="489"/>
      <c r="T39" s="490">
        <f t="shared" si="41"/>
        <v>0</v>
      </c>
      <c r="U39" s="491"/>
      <c r="V39" s="485"/>
      <c r="W39" s="492"/>
      <c r="X39" s="487">
        <f t="shared" si="42"/>
        <v>0</v>
      </c>
      <c r="Y39" s="494"/>
      <c r="Z39" s="489"/>
      <c r="AA39" s="490">
        <f t="shared" si="43"/>
        <v>0</v>
      </c>
      <c r="AB39" s="491"/>
      <c r="AC39" s="485"/>
      <c r="AD39" s="492"/>
      <c r="AE39" s="487">
        <f t="shared" si="44"/>
        <v>0</v>
      </c>
      <c r="AF39" s="494"/>
      <c r="AG39" s="489"/>
      <c r="AH39" s="490">
        <f t="shared" si="45"/>
        <v>0</v>
      </c>
      <c r="AI39" s="491"/>
      <c r="AJ39" s="485"/>
      <c r="AK39" s="492"/>
      <c r="AL39" s="487">
        <f t="shared" si="46"/>
        <v>0</v>
      </c>
      <c r="AM39" s="494"/>
      <c r="AN39" s="489"/>
      <c r="AO39" s="490">
        <f t="shared" si="47"/>
        <v>0</v>
      </c>
      <c r="AP39" s="491"/>
      <c r="AQ39" s="500">
        <f t="shared" si="48"/>
        <v>0</v>
      </c>
      <c r="AR39" s="500">
        <f t="shared" si="49"/>
        <v>0</v>
      </c>
      <c r="AS39" s="491"/>
      <c r="AT39" s="500">
        <f t="shared" si="50"/>
        <v>0</v>
      </c>
      <c r="AU39" s="500">
        <f t="shared" si="51"/>
        <v>0</v>
      </c>
      <c r="AV39" s="491"/>
      <c r="AW39" s="500">
        <f t="shared" si="52"/>
        <v>0</v>
      </c>
      <c r="AX39" s="500">
        <f t="shared" si="53"/>
        <v>0</v>
      </c>
      <c r="AY39" s="491"/>
      <c r="AZ39" s="500">
        <f t="shared" si="54"/>
        <v>0</v>
      </c>
      <c r="BA39" s="500">
        <f t="shared" si="55"/>
        <v>0</v>
      </c>
      <c r="BB39" s="491"/>
      <c r="BC39" s="500">
        <f t="shared" si="56"/>
        <v>0</v>
      </c>
      <c r="BD39" s="500">
        <f t="shared" si="57"/>
        <v>0</v>
      </c>
      <c r="BE39" s="491"/>
      <c r="BF39" s="500">
        <f t="shared" si="58"/>
        <v>0</v>
      </c>
      <c r="BG39" s="500">
        <f t="shared" si="59"/>
        <v>0</v>
      </c>
      <c r="BH39" s="491"/>
    </row>
    <row r="40" spans="1:60" ht="14.25" customHeight="1">
      <c r="A40" s="499"/>
      <c r="B40" s="502"/>
      <c r="C40" s="487">
        <f t="shared" si="36"/>
        <v>0</v>
      </c>
      <c r="D40" s="488"/>
      <c r="E40" s="528"/>
      <c r="F40" s="490">
        <f t="shared" si="37"/>
        <v>0</v>
      </c>
      <c r="G40" s="491"/>
      <c r="H40" s="485"/>
      <c r="I40" s="492"/>
      <c r="J40" s="487">
        <f t="shared" si="38"/>
        <v>0</v>
      </c>
      <c r="K40" s="494"/>
      <c r="L40" s="489"/>
      <c r="M40" s="490">
        <f t="shared" si="39"/>
        <v>0</v>
      </c>
      <c r="N40" s="491"/>
      <c r="O40" s="485"/>
      <c r="P40" s="492"/>
      <c r="Q40" s="487">
        <f t="shared" si="40"/>
        <v>0</v>
      </c>
      <c r="R40" s="494"/>
      <c r="S40" s="489"/>
      <c r="T40" s="490">
        <f t="shared" si="41"/>
        <v>0</v>
      </c>
      <c r="U40" s="491"/>
      <c r="V40" s="485"/>
      <c r="W40" s="492"/>
      <c r="X40" s="487">
        <f t="shared" si="42"/>
        <v>0</v>
      </c>
      <c r="Y40" s="494"/>
      <c r="Z40" s="489"/>
      <c r="AA40" s="490">
        <f t="shared" si="43"/>
        <v>0</v>
      </c>
      <c r="AB40" s="491"/>
      <c r="AC40" s="485"/>
      <c r="AD40" s="492"/>
      <c r="AE40" s="487">
        <f t="shared" si="44"/>
        <v>0</v>
      </c>
      <c r="AF40" s="494"/>
      <c r="AG40" s="489"/>
      <c r="AH40" s="490">
        <f t="shared" si="45"/>
        <v>0</v>
      </c>
      <c r="AI40" s="491"/>
      <c r="AJ40" s="485"/>
      <c r="AK40" s="492"/>
      <c r="AL40" s="487">
        <f t="shared" si="46"/>
        <v>0</v>
      </c>
      <c r="AM40" s="494"/>
      <c r="AN40" s="489"/>
      <c r="AO40" s="490">
        <f t="shared" si="47"/>
        <v>0</v>
      </c>
      <c r="AP40" s="491"/>
      <c r="AQ40" s="500">
        <f t="shared" si="48"/>
        <v>0</v>
      </c>
      <c r="AR40" s="500">
        <f t="shared" si="49"/>
        <v>0</v>
      </c>
      <c r="AS40" s="491"/>
      <c r="AT40" s="500">
        <f t="shared" si="50"/>
        <v>0</v>
      </c>
      <c r="AU40" s="500">
        <f t="shared" si="51"/>
        <v>0</v>
      </c>
      <c r="AV40" s="491"/>
      <c r="AW40" s="500">
        <f t="shared" si="52"/>
        <v>0</v>
      </c>
      <c r="AX40" s="500">
        <f t="shared" si="53"/>
        <v>0</v>
      </c>
      <c r="AY40" s="491"/>
      <c r="AZ40" s="500">
        <f t="shared" si="54"/>
        <v>0</v>
      </c>
      <c r="BA40" s="500">
        <f t="shared" si="55"/>
        <v>0</v>
      </c>
      <c r="BB40" s="491"/>
      <c r="BC40" s="500">
        <f t="shared" si="56"/>
        <v>0</v>
      </c>
      <c r="BD40" s="500">
        <f t="shared" si="57"/>
        <v>0</v>
      </c>
      <c r="BE40" s="491"/>
      <c r="BF40" s="500">
        <f t="shared" si="58"/>
        <v>0</v>
      </c>
      <c r="BG40" s="500">
        <f t="shared" si="59"/>
        <v>0</v>
      </c>
      <c r="BH40" s="491"/>
    </row>
    <row r="41" spans="1:60" ht="14.25" customHeight="1">
      <c r="A41" s="499"/>
      <c r="B41" s="502"/>
      <c r="C41" s="487">
        <f t="shared" si="36"/>
        <v>0</v>
      </c>
      <c r="D41" s="488"/>
      <c r="E41" s="528"/>
      <c r="F41" s="490">
        <f t="shared" si="37"/>
        <v>0</v>
      </c>
      <c r="G41" s="491"/>
      <c r="H41" s="485"/>
      <c r="I41" s="492"/>
      <c r="J41" s="487">
        <f t="shared" si="38"/>
        <v>0</v>
      </c>
      <c r="K41" s="494"/>
      <c r="L41" s="489"/>
      <c r="M41" s="490">
        <f t="shared" si="39"/>
        <v>0</v>
      </c>
      <c r="N41" s="491"/>
      <c r="O41" s="485"/>
      <c r="P41" s="492"/>
      <c r="Q41" s="487">
        <f t="shared" si="40"/>
        <v>0</v>
      </c>
      <c r="R41" s="494"/>
      <c r="S41" s="489"/>
      <c r="T41" s="490">
        <f t="shared" si="41"/>
        <v>0</v>
      </c>
      <c r="U41" s="491"/>
      <c r="V41" s="485"/>
      <c r="W41" s="492"/>
      <c r="X41" s="487">
        <f t="shared" si="42"/>
        <v>0</v>
      </c>
      <c r="Y41" s="494"/>
      <c r="Z41" s="489"/>
      <c r="AA41" s="490">
        <f t="shared" si="43"/>
        <v>0</v>
      </c>
      <c r="AB41" s="491"/>
      <c r="AC41" s="485"/>
      <c r="AD41" s="492"/>
      <c r="AE41" s="487">
        <f t="shared" si="44"/>
        <v>0</v>
      </c>
      <c r="AF41" s="494"/>
      <c r="AG41" s="489"/>
      <c r="AH41" s="490">
        <f t="shared" si="45"/>
        <v>0</v>
      </c>
      <c r="AI41" s="491"/>
      <c r="AJ41" s="485"/>
      <c r="AK41" s="492"/>
      <c r="AL41" s="487">
        <f t="shared" si="46"/>
        <v>0</v>
      </c>
      <c r="AM41" s="494"/>
      <c r="AN41" s="489"/>
      <c r="AO41" s="490">
        <f t="shared" si="47"/>
        <v>0</v>
      </c>
      <c r="AP41" s="491"/>
      <c r="AQ41" s="500">
        <f t="shared" si="48"/>
        <v>0</v>
      </c>
      <c r="AR41" s="500">
        <f t="shared" si="49"/>
        <v>0</v>
      </c>
      <c r="AS41" s="491"/>
      <c r="AT41" s="500">
        <f t="shared" si="50"/>
        <v>0</v>
      </c>
      <c r="AU41" s="500">
        <f t="shared" si="51"/>
        <v>0</v>
      </c>
      <c r="AV41" s="491"/>
      <c r="AW41" s="500">
        <f t="shared" si="52"/>
        <v>0</v>
      </c>
      <c r="AX41" s="500">
        <f t="shared" si="53"/>
        <v>0</v>
      </c>
      <c r="AY41" s="491"/>
      <c r="AZ41" s="500">
        <f t="shared" si="54"/>
        <v>0</v>
      </c>
      <c r="BA41" s="500">
        <f t="shared" si="55"/>
        <v>0</v>
      </c>
      <c r="BB41" s="491"/>
      <c r="BC41" s="500">
        <f t="shared" si="56"/>
        <v>0</v>
      </c>
      <c r="BD41" s="500">
        <f t="shared" si="57"/>
        <v>0</v>
      </c>
      <c r="BE41" s="491"/>
      <c r="BF41" s="500">
        <f t="shared" si="58"/>
        <v>0</v>
      </c>
      <c r="BG41" s="500">
        <f t="shared" si="59"/>
        <v>0</v>
      </c>
      <c r="BH41" s="491"/>
    </row>
    <row r="42" spans="1:60" ht="14.25" customHeight="1">
      <c r="A42" s="505">
        <f>SUM(A24:A41)</f>
        <v>150</v>
      </c>
      <c r="B42" s="506">
        <f>ROUND(C42/A42,4)</f>
        <v>2.2000000000000002</v>
      </c>
      <c r="C42" s="507">
        <f t="shared" ref="C42:D42" si="60">SUM(C24:C41)</f>
        <v>330</v>
      </c>
      <c r="D42" s="508">
        <f t="shared" si="60"/>
        <v>150</v>
      </c>
      <c r="E42" s="509">
        <f>ROUND(F42/D42,4)</f>
        <v>0</v>
      </c>
      <c r="F42" s="510">
        <f>SUM(F24:F41)</f>
        <v>0</v>
      </c>
      <c r="G42" s="491"/>
      <c r="H42" s="505">
        <f>SUM(H24:H41)</f>
        <v>0</v>
      </c>
      <c r="I42" s="506" t="e">
        <f>ROUND(J42/H42,4)</f>
        <v>#DIV/0!</v>
      </c>
      <c r="J42" s="507">
        <f t="shared" ref="J42:K42" si="61">SUM(J24:J41)</f>
        <v>0</v>
      </c>
      <c r="K42" s="508">
        <f t="shared" si="61"/>
        <v>0</v>
      </c>
      <c r="L42" s="509" t="e">
        <f>ROUND(M42/K42,4)</f>
        <v>#DIV/0!</v>
      </c>
      <c r="M42" s="510">
        <f>SUM(M24:M41)</f>
        <v>0</v>
      </c>
      <c r="N42" s="491"/>
      <c r="O42" s="505">
        <f>SUM(O24:O41)</f>
        <v>0</v>
      </c>
      <c r="P42" s="506" t="e">
        <f>ROUND(Q42/O42,4)</f>
        <v>#DIV/0!</v>
      </c>
      <c r="Q42" s="507">
        <f t="shared" ref="Q42:R42" si="62">SUM(Q24:Q41)</f>
        <v>0</v>
      </c>
      <c r="R42" s="508">
        <f t="shared" si="62"/>
        <v>0</v>
      </c>
      <c r="S42" s="509" t="e">
        <f>ROUND(T42/R42,4)</f>
        <v>#DIV/0!</v>
      </c>
      <c r="T42" s="510">
        <f>SUM(T24:T41)</f>
        <v>0</v>
      </c>
      <c r="U42" s="491"/>
      <c r="V42" s="505">
        <f>SUM(V24:V41)</f>
        <v>0</v>
      </c>
      <c r="W42" s="506" t="e">
        <f>ROUND(X42/V42,4)</f>
        <v>#DIV/0!</v>
      </c>
      <c r="X42" s="507">
        <f t="shared" ref="X42:Y42" si="63">SUM(X24:X41)</f>
        <v>0</v>
      </c>
      <c r="Y42" s="508">
        <f t="shared" si="63"/>
        <v>0</v>
      </c>
      <c r="Z42" s="509" t="e">
        <f>ROUND(AA42/Y42,4)</f>
        <v>#DIV/0!</v>
      </c>
      <c r="AA42" s="510">
        <f>SUM(AA24:AA41)</f>
        <v>0</v>
      </c>
      <c r="AB42" s="491"/>
      <c r="AC42" s="505">
        <f>SUM(AC24:AC41)</f>
        <v>0</v>
      </c>
      <c r="AD42" s="506" t="e">
        <f>ROUND(AE42/AC42,4)</f>
        <v>#DIV/0!</v>
      </c>
      <c r="AE42" s="507">
        <f t="shared" ref="AE42:AF42" si="64">SUM(AE24:AE41)</f>
        <v>0</v>
      </c>
      <c r="AF42" s="508">
        <f t="shared" si="64"/>
        <v>0</v>
      </c>
      <c r="AG42" s="509" t="e">
        <f>ROUND(AH42/AF42,4)</f>
        <v>#DIV/0!</v>
      </c>
      <c r="AH42" s="510">
        <f>SUM(AH24:AH41)</f>
        <v>0</v>
      </c>
      <c r="AI42" s="491"/>
      <c r="AJ42" s="505">
        <f>SUM(AJ24:AJ41)</f>
        <v>0</v>
      </c>
      <c r="AK42" s="506" t="e">
        <f>ROUND(AL42/AJ42,4)</f>
        <v>#DIV/0!</v>
      </c>
      <c r="AL42" s="507">
        <f t="shared" ref="AL42:AM42" si="65">SUM(AL24:AL41)</f>
        <v>0</v>
      </c>
      <c r="AM42" s="508">
        <f t="shared" si="65"/>
        <v>0</v>
      </c>
      <c r="AN42" s="509" t="e">
        <f>ROUND(AO42/AM42,4)</f>
        <v>#DIV/0!</v>
      </c>
      <c r="AO42" s="510">
        <f>SUM(AO24:AO41)</f>
        <v>0</v>
      </c>
      <c r="AP42" s="491"/>
      <c r="AQ42" s="511">
        <f t="shared" ref="AQ42:AR42" si="66">SUM(AQ24:AQ41)</f>
        <v>0.1</v>
      </c>
      <c r="AR42" s="511">
        <f t="shared" si="66"/>
        <v>0</v>
      </c>
      <c r="AS42" s="491"/>
      <c r="AT42" s="511">
        <f t="shared" ref="AT42:AU42" si="67">SUM(AT24:AT41)</f>
        <v>0</v>
      </c>
      <c r="AU42" s="511">
        <f t="shared" si="67"/>
        <v>0</v>
      </c>
      <c r="AV42" s="491"/>
      <c r="AW42" s="511">
        <f t="shared" ref="AW42:AX42" si="68">SUM(AW24:AW41)</f>
        <v>0</v>
      </c>
      <c r="AX42" s="511">
        <f t="shared" si="68"/>
        <v>0</v>
      </c>
      <c r="AY42" s="491"/>
      <c r="AZ42" s="511">
        <f t="shared" ref="AZ42:BA42" si="69">SUM(AZ24:AZ41)</f>
        <v>0</v>
      </c>
      <c r="BA42" s="511">
        <f t="shared" si="69"/>
        <v>0</v>
      </c>
      <c r="BB42" s="491"/>
      <c r="BC42" s="511">
        <f t="shared" ref="BC42:BD42" si="70">SUM(BC24:BC41)</f>
        <v>0</v>
      </c>
      <c r="BD42" s="511">
        <f t="shared" si="70"/>
        <v>0</v>
      </c>
      <c r="BE42" s="491"/>
      <c r="BF42" s="511">
        <f t="shared" ref="BF42:BG42" si="71">SUM(BF24:BF41)</f>
        <v>0</v>
      </c>
      <c r="BG42" s="511">
        <f t="shared" si="71"/>
        <v>0</v>
      </c>
      <c r="BH42" s="491"/>
    </row>
    <row r="43" spans="1:60" ht="14.25" customHeight="1">
      <c r="A43" s="512" t="e">
        <f t="array" aca="1" ref="A43" ca="1">sumcolor($A$50,A24:A41)</f>
        <v>#NAME?</v>
      </c>
      <c r="B43" s="676">
        <f>ROUND(F42-C42,2)</f>
        <v>-330</v>
      </c>
      <c r="C43" s="612"/>
      <c r="D43" s="513" t="e">
        <f ca="1">sumcolor($A$50,D24:D41)</f>
        <v>#NAME?</v>
      </c>
      <c r="E43" s="675">
        <f>C42+F42</f>
        <v>330</v>
      </c>
      <c r="F43" s="612"/>
      <c r="G43" s="491"/>
      <c r="H43" s="512" t="e">
        <f ca="1">sumcolor($A$50,H24:H41)</f>
        <v>#NAME?</v>
      </c>
      <c r="I43" s="676">
        <f>ROUND(M42-J42,2)</f>
        <v>0</v>
      </c>
      <c r="J43" s="612"/>
      <c r="K43" s="513" t="e">
        <f ca="1">sumcolor($A$50,K24:K41)</f>
        <v>#NAME?</v>
      </c>
      <c r="L43" s="675">
        <f>J42+M42</f>
        <v>0</v>
      </c>
      <c r="M43" s="612"/>
      <c r="N43" s="491"/>
      <c r="O43" s="512" t="e">
        <f ca="1">sumcolor($A$50,O24:O41)</f>
        <v>#NAME?</v>
      </c>
      <c r="P43" s="676">
        <f>ROUND(T42-Q42,2)</f>
        <v>0</v>
      </c>
      <c r="Q43" s="612"/>
      <c r="R43" s="513" t="e">
        <f ca="1">sumcolor($A$50,R24:R41)</f>
        <v>#NAME?</v>
      </c>
      <c r="S43" s="675">
        <f>Q42+T42</f>
        <v>0</v>
      </c>
      <c r="T43" s="612"/>
      <c r="U43" s="491"/>
      <c r="V43" s="512" t="e">
        <f ca="1">sumcolor($A$50,V24:V41)</f>
        <v>#NAME?</v>
      </c>
      <c r="W43" s="676">
        <f>ROUND(AA42-X42,2)</f>
        <v>0</v>
      </c>
      <c r="X43" s="612"/>
      <c r="Y43" s="513" t="e">
        <f ca="1">sumcolor($A$50,Y24:Y41)</f>
        <v>#NAME?</v>
      </c>
      <c r="Z43" s="675">
        <f>X42+AA42</f>
        <v>0</v>
      </c>
      <c r="AA43" s="612"/>
      <c r="AB43" s="491"/>
      <c r="AC43" s="512" t="e">
        <f ca="1">sumcolor($A$50,AC24:AC41)</f>
        <v>#NAME?</v>
      </c>
      <c r="AD43" s="676">
        <f>ROUND(AH42-AE42,2)</f>
        <v>0</v>
      </c>
      <c r="AE43" s="612"/>
      <c r="AF43" s="513" t="e">
        <f ca="1">sumcolor($A$50,AF24:AF41)</f>
        <v>#NAME?</v>
      </c>
      <c r="AG43" s="675">
        <f>AE42+AH42</f>
        <v>0</v>
      </c>
      <c r="AH43" s="612"/>
      <c r="AI43" s="491"/>
      <c r="AJ43" s="512" t="e">
        <f ca="1">sumcolor($A$50,AJ24:AJ41)</f>
        <v>#NAME?</v>
      </c>
      <c r="AK43" s="676">
        <f>ROUND(AO42-AL42,2)</f>
        <v>0</v>
      </c>
      <c r="AL43" s="612"/>
      <c r="AM43" s="513" t="e">
        <f ca="1">sumcolor($A$50,AM24:AM41)</f>
        <v>#NAME?</v>
      </c>
      <c r="AN43" s="675">
        <f>AL42+AO42</f>
        <v>0</v>
      </c>
      <c r="AO43" s="612"/>
      <c r="AP43" s="491"/>
      <c r="AQ43" s="93" t="s">
        <v>1485</v>
      </c>
      <c r="AR43" s="177">
        <f>SUM(AQ42:AR42)*(1+$E$61)</f>
        <v>0.11799999999999999</v>
      </c>
      <c r="AS43" s="484"/>
      <c r="AT43" s="93" t="s">
        <v>1485</v>
      </c>
      <c r="AU43" s="177">
        <f>SUM(AT42:AU42)*(1+$E$61)</f>
        <v>0</v>
      </c>
      <c r="AV43" s="484"/>
      <c r="AW43" s="93" t="s">
        <v>1485</v>
      </c>
      <c r="AX43" s="177">
        <f>SUM(AW42:AX42)*(1+$E$61)</f>
        <v>0</v>
      </c>
      <c r="AY43" s="484"/>
      <c r="AZ43" s="93" t="s">
        <v>1485</v>
      </c>
      <c r="BA43" s="177">
        <f>SUM(AZ42:BA42)*(1+$E$61)</f>
        <v>0</v>
      </c>
      <c r="BB43" s="484"/>
      <c r="BC43" s="93" t="s">
        <v>1485</v>
      </c>
      <c r="BD43" s="177">
        <f>SUM(BC42:BD42)*(1+$E$61)</f>
        <v>0</v>
      </c>
      <c r="BE43" s="484"/>
      <c r="BF43" s="93" t="s">
        <v>1485</v>
      </c>
      <c r="BG43" s="177">
        <f>SUM(BF42:BG42)*(1+$E$61)</f>
        <v>0</v>
      </c>
      <c r="BH43" s="484"/>
    </row>
    <row r="44" spans="1:60" ht="14.25" customHeight="1">
      <c r="A44" s="514">
        <f>A42-D42</f>
        <v>0</v>
      </c>
      <c r="B44" s="515">
        <f>AR43</f>
        <v>0.11799999999999999</v>
      </c>
      <c r="C44" s="516">
        <f>AR44</f>
        <v>0</v>
      </c>
      <c r="D44" s="517">
        <f>COUNT(D24:D41,A24:A41)</f>
        <v>6</v>
      </c>
      <c r="E44" s="518">
        <f>AR45+AR46+AR47+AR48</f>
        <v>2.1746999999999999E-2</v>
      </c>
      <c r="F44" s="519">
        <f>SUM(B44+C44+E44)</f>
        <v>0.13974699999999998</v>
      </c>
      <c r="G44" s="491"/>
      <c r="H44" s="514">
        <f>H42-K42</f>
        <v>0</v>
      </c>
      <c r="I44" s="515">
        <f>AU43</f>
        <v>0</v>
      </c>
      <c r="J44" s="516">
        <f>AU44</f>
        <v>0</v>
      </c>
      <c r="K44" s="517">
        <f>COUNT(K24:K41,H24:H41)</f>
        <v>0</v>
      </c>
      <c r="L44" s="518">
        <f>AU45+AU46+AU47+AU48</f>
        <v>0</v>
      </c>
      <c r="M44" s="519">
        <f>SUM(I44+J44+L44)</f>
        <v>0</v>
      </c>
      <c r="N44" s="491"/>
      <c r="O44" s="514">
        <f>O42-R42</f>
        <v>0</v>
      </c>
      <c r="P44" s="515">
        <f>AX43</f>
        <v>0</v>
      </c>
      <c r="Q44" s="516">
        <f>AX44</f>
        <v>0</v>
      </c>
      <c r="R44" s="517">
        <f>COUNT(R24:R41,O24:O41)</f>
        <v>0</v>
      </c>
      <c r="S44" s="518">
        <f>AX45+AX46+AX47+AX48</f>
        <v>0</v>
      </c>
      <c r="T44" s="519">
        <f>SUM(P44+Q44+S44)</f>
        <v>0</v>
      </c>
      <c r="U44" s="491"/>
      <c r="V44" s="514">
        <f>V42-Y42</f>
        <v>0</v>
      </c>
      <c r="W44" s="515">
        <f>BA43</f>
        <v>0</v>
      </c>
      <c r="X44" s="516">
        <f>BA44</f>
        <v>0</v>
      </c>
      <c r="Y44" s="517">
        <f>COUNT(Y24:Y41,V24:V41)</f>
        <v>0</v>
      </c>
      <c r="Z44" s="518">
        <f>BA45+BA46+BA47+BA48</f>
        <v>0</v>
      </c>
      <c r="AA44" s="519">
        <f>SUM(W44+X44+Z44)</f>
        <v>0</v>
      </c>
      <c r="AB44" s="491"/>
      <c r="AC44" s="514">
        <f>AC42-AF42</f>
        <v>0</v>
      </c>
      <c r="AD44" s="515">
        <f>BD43</f>
        <v>0</v>
      </c>
      <c r="AE44" s="516">
        <f>BD44</f>
        <v>0</v>
      </c>
      <c r="AF44" s="517">
        <f>COUNT(AF24:AF41,AC24:AC41)</f>
        <v>0</v>
      </c>
      <c r="AG44" s="518">
        <f>BD45+BD46+BD47+BD48</f>
        <v>0</v>
      </c>
      <c r="AH44" s="519">
        <f>SUM(AD44+AE44+AG44)</f>
        <v>0</v>
      </c>
      <c r="AI44" s="491"/>
      <c r="AJ44" s="514">
        <f>AJ42-AM42</f>
        <v>0</v>
      </c>
      <c r="AK44" s="515">
        <f>BG43</f>
        <v>0</v>
      </c>
      <c r="AL44" s="516">
        <f>BG44</f>
        <v>0</v>
      </c>
      <c r="AM44" s="517">
        <f>COUNT(AM24:AM41,AJ24:AJ41)</f>
        <v>0</v>
      </c>
      <c r="AN44" s="518">
        <f>BG45+BG46+BG47+BG48</f>
        <v>0</v>
      </c>
      <c r="AO44" s="519">
        <f>SUM(AK44+AL44+AN44)</f>
        <v>0</v>
      </c>
      <c r="AP44" s="491"/>
      <c r="AQ44" s="41" t="s">
        <v>433</v>
      </c>
      <c r="AR44" s="177">
        <f>IF(D45="FNO",F42*$E$56,F42*$E$55)</f>
        <v>0</v>
      </c>
      <c r="AS44" s="520"/>
      <c r="AT44" s="41" t="s">
        <v>433</v>
      </c>
      <c r="AU44" s="177">
        <f>IF(K45="FNO",M42*$E$56,M42*$E$55)</f>
        <v>0</v>
      </c>
      <c r="AV44" s="520"/>
      <c r="AW44" s="41" t="s">
        <v>433</v>
      </c>
      <c r="AX44" s="177">
        <f>IF(R45="FNO",T42*$E$56,T42*$E$55)</f>
        <v>0</v>
      </c>
      <c r="AY44" s="520"/>
      <c r="AZ44" s="41" t="s">
        <v>433</v>
      </c>
      <c r="BA44" s="177">
        <f>IF(Y45="FNO",AA42*$E$56,AA42*$E$55)</f>
        <v>0</v>
      </c>
      <c r="BB44" s="520"/>
      <c r="BC44" s="41" t="s">
        <v>433</v>
      </c>
      <c r="BD44" s="177">
        <f>IF(AF45="FNO",AH42*$E$56,AH42*$E$55)</f>
        <v>0</v>
      </c>
      <c r="BE44" s="520"/>
      <c r="BF44" s="41" t="s">
        <v>433</v>
      </c>
      <c r="BG44" s="177">
        <f>IF(AM45="FNO",AO42*$E$56,AO42*$E$55)</f>
        <v>0</v>
      </c>
      <c r="BH44" s="520"/>
    </row>
    <row r="45" spans="1:60" ht="14.25" customHeight="1">
      <c r="A45" s="43" t="s">
        <v>1486</v>
      </c>
      <c r="B45" s="515">
        <f>IF(D45="fno",D44*23.6,0)</f>
        <v>0</v>
      </c>
      <c r="C45" s="43"/>
      <c r="D45" s="521"/>
      <c r="E45" s="43"/>
      <c r="F45" s="522">
        <f>IF(D45="fno",B43-F44+B44-B45,B43-F44)</f>
        <v>-330.139747</v>
      </c>
      <c r="G45" s="520"/>
      <c r="H45" s="43" t="s">
        <v>1486</v>
      </c>
      <c r="I45" s="515">
        <f>IF(K45="fno",K44*23.6,0)</f>
        <v>0</v>
      </c>
      <c r="J45" s="43"/>
      <c r="K45" s="521"/>
      <c r="L45" s="43"/>
      <c r="M45" s="522">
        <f>IF(K45="fno",I43-M44+I44-I45,I43-M44)</f>
        <v>0</v>
      </c>
      <c r="N45" s="520"/>
      <c r="O45" s="43" t="s">
        <v>1486</v>
      </c>
      <c r="P45" s="515">
        <f>IF(R45="fno",R44*23.6,0)</f>
        <v>0</v>
      </c>
      <c r="Q45" s="43"/>
      <c r="R45" s="521"/>
      <c r="S45" s="43"/>
      <c r="T45" s="522">
        <f>IF(R45="fno",P43-T44+P44-P45,P43-T44)</f>
        <v>0</v>
      </c>
      <c r="U45" s="520"/>
      <c r="V45" s="43"/>
      <c r="W45" s="515">
        <f>IF(Y45="fno",Y44*23.6,0)</f>
        <v>0</v>
      </c>
      <c r="X45" s="43"/>
      <c r="Y45" s="521"/>
      <c r="Z45" s="43"/>
      <c r="AA45" s="522">
        <f>IF(Y45="fno",W43-AA44+W44-W45,W43-AA44)</f>
        <v>0</v>
      </c>
      <c r="AB45" s="520"/>
      <c r="AC45" s="43"/>
      <c r="AD45" s="515">
        <f>IF(AF45="fno",AF44*23.6,0)</f>
        <v>0</v>
      </c>
      <c r="AE45" s="43"/>
      <c r="AF45" s="521"/>
      <c r="AG45" s="43"/>
      <c r="AH45" s="522">
        <f>IF(AF45="fno",AD43-AH44+AD44-AD45,AD43-AH44)</f>
        <v>0</v>
      </c>
      <c r="AI45" s="520"/>
      <c r="AJ45" s="43"/>
      <c r="AK45" s="515">
        <f>IF(AM45="fno",AM44*23.6,0)</f>
        <v>0</v>
      </c>
      <c r="AL45" s="43"/>
      <c r="AM45" s="521"/>
      <c r="AN45" s="43"/>
      <c r="AO45" s="522">
        <f>IF(AM45="fno",AK43-AO44+AK44-AK45,AK43-AO44)</f>
        <v>0</v>
      </c>
      <c r="AP45" s="520"/>
      <c r="AQ45" s="41" t="s">
        <v>435</v>
      </c>
      <c r="AR45" s="177">
        <f>IF(D45="FNO",E43*$E$58,E43*$E$57)</f>
        <v>9.9000000000000008E-3</v>
      </c>
      <c r="AS45" s="520"/>
      <c r="AT45" s="41" t="s">
        <v>435</v>
      </c>
      <c r="AU45" s="177">
        <f>IF(K45="FNO",L43*$E$58,L43*$E$57)</f>
        <v>0</v>
      </c>
      <c r="AV45" s="520"/>
      <c r="AW45" s="41" t="s">
        <v>435</v>
      </c>
      <c r="AX45" s="177">
        <f>S43*$E$57</f>
        <v>0</v>
      </c>
      <c r="AY45" s="520"/>
      <c r="AZ45" s="41" t="s">
        <v>435</v>
      </c>
      <c r="BA45" s="177">
        <f>Z43*$E$57</f>
        <v>0</v>
      </c>
      <c r="BB45" s="520"/>
      <c r="BC45" s="41" t="s">
        <v>435</v>
      </c>
      <c r="BD45" s="177">
        <f>AG43*$E$57</f>
        <v>0</v>
      </c>
      <c r="BE45" s="520"/>
      <c r="BF45" s="41" t="s">
        <v>435</v>
      </c>
      <c r="BG45" s="177">
        <f>AN43*$E$57</f>
        <v>0</v>
      </c>
      <c r="BH45" s="520"/>
    </row>
    <row r="46" spans="1:60" ht="15" customHeight="1">
      <c r="A46" s="40"/>
      <c r="B46" s="40"/>
      <c r="C46" s="40"/>
      <c r="D46" s="40"/>
      <c r="E46" s="40"/>
      <c r="F46" s="40"/>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484"/>
      <c r="AQ46" s="41" t="s">
        <v>434</v>
      </c>
      <c r="AR46" s="177">
        <f>C42*$E$59</f>
        <v>9.9000000000000008E-3</v>
      </c>
      <c r="AS46" s="484"/>
      <c r="AT46" s="41" t="s">
        <v>434</v>
      </c>
      <c r="AU46" s="177">
        <f>J42*$E$59</f>
        <v>0</v>
      </c>
      <c r="AV46" s="484"/>
      <c r="AW46" s="41" t="s">
        <v>434</v>
      </c>
      <c r="AX46" s="177">
        <f>Q42*$E$59</f>
        <v>0</v>
      </c>
      <c r="AY46" s="484"/>
      <c r="AZ46" s="41" t="s">
        <v>434</v>
      </c>
      <c r="BA46" s="177">
        <f>X42*$E$59</f>
        <v>0</v>
      </c>
      <c r="BB46" s="484"/>
      <c r="BC46" s="41" t="s">
        <v>434</v>
      </c>
      <c r="BD46" s="177">
        <f>AE42*$E$59</f>
        <v>0</v>
      </c>
      <c r="BE46" s="484"/>
      <c r="BF46" s="41" t="s">
        <v>434</v>
      </c>
      <c r="BG46" s="177">
        <f>AL42*$E$59</f>
        <v>0</v>
      </c>
      <c r="BH46" s="484"/>
    </row>
    <row r="47" spans="1:60" ht="15" customHeight="1">
      <c r="A47" s="40"/>
      <c r="B47" s="40"/>
      <c r="C47" s="40"/>
      <c r="D47" s="40"/>
      <c r="E47" s="40"/>
      <c r="F47" s="40"/>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484"/>
      <c r="AQ47" s="41" t="s">
        <v>1487</v>
      </c>
      <c r="AR47" s="177">
        <f>E43*$E$60</f>
        <v>1.65E-4</v>
      </c>
      <c r="AS47" s="484"/>
      <c r="AT47" s="41" t="s">
        <v>1487</v>
      </c>
      <c r="AU47" s="177">
        <f>L43*$E$60</f>
        <v>0</v>
      </c>
      <c r="AV47" s="484"/>
      <c r="AW47" s="41" t="s">
        <v>1487</v>
      </c>
      <c r="AX47" s="177">
        <f>S43*$E$60</f>
        <v>0</v>
      </c>
      <c r="AY47" s="484"/>
      <c r="AZ47" s="41" t="s">
        <v>1487</v>
      </c>
      <c r="BA47" s="177">
        <f>Z43*$E$60</f>
        <v>0</v>
      </c>
      <c r="BB47" s="484"/>
      <c r="BC47" s="41" t="s">
        <v>1487</v>
      </c>
      <c r="BD47" s="177">
        <f>AG43*$E$60</f>
        <v>0</v>
      </c>
      <c r="BE47" s="484"/>
      <c r="BF47" s="41" t="s">
        <v>1487</v>
      </c>
      <c r="BG47" s="177">
        <f>AN43*$E$60</f>
        <v>0</v>
      </c>
      <c r="BH47" s="484"/>
    </row>
    <row r="48" spans="1:60" ht="15" customHeight="1">
      <c r="A48" s="40"/>
      <c r="B48" s="40"/>
      <c r="C48" s="40"/>
      <c r="D48" s="40"/>
      <c r="E48" s="40"/>
      <c r="F48" s="40"/>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484"/>
      <c r="AQ48" s="41" t="s">
        <v>432</v>
      </c>
      <c r="AR48" s="178">
        <f>AR45*$E$61</f>
        <v>1.7820000000000002E-3</v>
      </c>
      <c r="AS48" s="484"/>
      <c r="AT48" s="41" t="s">
        <v>432</v>
      </c>
      <c r="AU48" s="177">
        <f>AU45*$E$61</f>
        <v>0</v>
      </c>
      <c r="AV48" s="484"/>
      <c r="AW48" s="41" t="s">
        <v>432</v>
      </c>
      <c r="AX48" s="177">
        <f>AX45*$E$61</f>
        <v>0</v>
      </c>
      <c r="AY48" s="484"/>
      <c r="AZ48" s="41" t="s">
        <v>432</v>
      </c>
      <c r="BA48" s="177">
        <f>BA45*$E$61</f>
        <v>0</v>
      </c>
      <c r="BB48" s="484"/>
      <c r="BC48" s="41" t="s">
        <v>432</v>
      </c>
      <c r="BD48" s="177">
        <f>BD45*$E$61</f>
        <v>0</v>
      </c>
      <c r="BE48" s="484"/>
      <c r="BF48" s="41" t="s">
        <v>432</v>
      </c>
      <c r="BG48" s="177">
        <f>BG45*$E$61</f>
        <v>0</v>
      </c>
      <c r="BH48" s="484"/>
    </row>
    <row r="49" spans="1:60" ht="15.75" customHeight="1">
      <c r="A49" s="40"/>
      <c r="B49" s="40"/>
      <c r="C49" s="40"/>
      <c r="D49" s="40"/>
      <c r="E49" s="40"/>
      <c r="F49" s="40"/>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row>
    <row r="50" spans="1:60" ht="15" customHeight="1">
      <c r="A50" s="514"/>
      <c r="B50" s="521" t="s">
        <v>1390</v>
      </c>
      <c r="C50" s="682" t="s">
        <v>1495</v>
      </c>
      <c r="D50" s="668"/>
      <c r="E50" s="517">
        <f>D16+D44+K16+K44+R16+R44+Y16+Y44+AF16+AF44+AM16+AM44+D80+D70</f>
        <v>6</v>
      </c>
      <c r="F50" s="529">
        <f>E43+L43+S43+Z43+AG43+AN43+E15+L15+S15+Z15+AG15+AN15+C80+C70</f>
        <v>330</v>
      </c>
      <c r="G50" s="93"/>
      <c r="H50" s="93"/>
      <c r="I50" s="93"/>
      <c r="J50" s="530"/>
      <c r="K50" s="530"/>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row>
    <row r="51" spans="1:60" ht="15.75" customHeight="1">
      <c r="A51" s="93"/>
      <c r="B51" s="93"/>
      <c r="C51" s="682" t="s">
        <v>1496</v>
      </c>
      <c r="D51" s="668"/>
      <c r="E51" s="40"/>
      <c r="F51" s="529">
        <f>B43+I43+P43+W43+AD43+AK43+B15+I15+P15+W15+AD15+AK15</f>
        <v>-330</v>
      </c>
      <c r="G51" s="93"/>
      <c r="H51" s="93"/>
      <c r="I51" s="93"/>
      <c r="J51" s="530"/>
      <c r="K51" s="530"/>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row>
    <row r="52" spans="1:60" ht="15.75" customHeight="1">
      <c r="A52" s="93"/>
      <c r="B52" s="93"/>
      <c r="C52" s="682" t="s">
        <v>1497</v>
      </c>
      <c r="D52" s="668"/>
      <c r="E52" s="514">
        <f>A44+A16</f>
        <v>0</v>
      </c>
      <c r="F52" s="529">
        <f>F17+M17+T17+AA17+AH17+AO17+F45+M45+T45+AA45+AH45+AO45</f>
        <v>-330.139747</v>
      </c>
      <c r="G52" s="93"/>
      <c r="H52" s="93"/>
      <c r="I52" s="93"/>
      <c r="J52" s="530"/>
      <c r="K52" s="530"/>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row>
    <row r="53" spans="1:60" ht="15.7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row>
    <row r="54" spans="1:60" ht="15.75" hidden="1" customHeight="1" outlineLevel="1">
      <c r="A54" s="93"/>
      <c r="B54" s="531" t="s">
        <v>1498</v>
      </c>
      <c r="C54" s="531"/>
      <c r="D54" s="531"/>
      <c r="E54" s="683">
        <v>2.9999999999999997E-4</v>
      </c>
      <c r="F54" s="630"/>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row>
    <row r="55" spans="1:60" ht="15.75" hidden="1" customHeight="1" outlineLevel="1">
      <c r="A55" s="93"/>
      <c r="B55" s="532" t="s">
        <v>1499</v>
      </c>
      <c r="C55" s="532"/>
      <c r="D55" s="532"/>
      <c r="E55" s="684">
        <v>2.5000000000000001E-4</v>
      </c>
      <c r="F55" s="630"/>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row>
    <row r="56" spans="1:60" ht="15.75" hidden="1" customHeight="1" outlineLevel="1">
      <c r="A56" s="93"/>
      <c r="B56" s="532" t="s">
        <v>1500</v>
      </c>
      <c r="C56" s="532"/>
      <c r="D56" s="532"/>
      <c r="E56" s="684">
        <v>5.0000000000000001E-4</v>
      </c>
      <c r="F56" s="630"/>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row>
    <row r="57" spans="1:60" ht="15.75" hidden="1" customHeight="1" outlineLevel="1">
      <c r="A57" s="93"/>
      <c r="B57" s="533" t="s">
        <v>1501</v>
      </c>
      <c r="C57" s="533"/>
      <c r="D57" s="533"/>
      <c r="E57" s="677">
        <v>3.0000000000000001E-5</v>
      </c>
      <c r="F57" s="630"/>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row>
    <row r="58" spans="1:60" ht="15.75" hidden="1" customHeight="1" outlineLevel="1">
      <c r="A58" s="93"/>
      <c r="B58" s="533" t="s">
        <v>1502</v>
      </c>
      <c r="C58" s="533"/>
      <c r="D58" s="533"/>
      <c r="E58" s="677">
        <v>5.2999999999999998E-4</v>
      </c>
      <c r="F58" s="630"/>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row>
    <row r="59" spans="1:60" ht="15.75" hidden="1" customHeight="1" outlineLevel="1">
      <c r="A59" s="93"/>
      <c r="B59" s="534" t="s">
        <v>1503</v>
      </c>
      <c r="C59" s="534"/>
      <c r="D59" s="535"/>
      <c r="E59" s="678">
        <v>3.0000000000000001E-5</v>
      </c>
      <c r="F59" s="630"/>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row>
    <row r="60" spans="1:60" ht="15.75" hidden="1" customHeight="1" outlineLevel="1">
      <c r="A60" s="93"/>
      <c r="B60" s="532" t="s">
        <v>1504</v>
      </c>
      <c r="C60" s="532"/>
      <c r="D60" s="536"/>
      <c r="E60" s="679">
        <v>4.9999999999999998E-7</v>
      </c>
      <c r="F60" s="630"/>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row>
    <row r="61" spans="1:60" ht="15.75" hidden="1" customHeight="1" outlineLevel="1">
      <c r="A61" s="93"/>
      <c r="B61" s="537" t="s">
        <v>1505</v>
      </c>
      <c r="C61" s="537"/>
      <c r="D61" s="538"/>
      <c r="E61" s="680">
        <v>0.18</v>
      </c>
      <c r="F61" s="630"/>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row>
    <row r="62" spans="1:60" ht="15.75" hidden="1" customHeight="1" outlineLevel="1">
      <c r="A62" s="40"/>
      <c r="B62" s="40"/>
      <c r="C62" s="40"/>
      <c r="D62" s="40"/>
      <c r="E62" s="40"/>
      <c r="F62" s="40"/>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row>
    <row r="63" spans="1:60" ht="15.75" customHeight="1" collapsed="1">
      <c r="A63" s="681" t="s">
        <v>1506</v>
      </c>
      <c r="B63" s="668"/>
      <c r="C63" s="668"/>
      <c r="D63" s="40"/>
      <c r="E63" s="539"/>
      <c r="F63" s="540"/>
      <c r="G63" s="93"/>
      <c r="H63" s="93"/>
      <c r="I63" s="93" t="s">
        <v>1507</v>
      </c>
      <c r="J63" s="93" t="s">
        <v>904</v>
      </c>
      <c r="K63" s="93" t="s">
        <v>1508</v>
      </c>
      <c r="L63" s="93" t="s">
        <v>1509</v>
      </c>
      <c r="M63" s="93"/>
      <c r="N63" s="93"/>
      <c r="O63" s="40"/>
      <c r="P63" s="40"/>
      <c r="Q63" s="40"/>
      <c r="R63" s="40"/>
      <c r="S63" s="40"/>
      <c r="T63" s="40"/>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row>
    <row r="64" spans="1:60" ht="15.75" customHeight="1">
      <c r="A64" s="494"/>
      <c r="B64" s="489"/>
      <c r="C64" s="490">
        <f t="shared" ref="C64:C69" si="72">ROUND(A64*B64,2)</f>
        <v>0</v>
      </c>
      <c r="D64" s="43"/>
      <c r="E64" s="490">
        <f>C64+B15</f>
        <v>0</v>
      </c>
      <c r="F64" s="541" t="str">
        <f>C1</f>
        <v>banknifty</v>
      </c>
      <c r="G64" s="93"/>
      <c r="H64" s="93" t="s">
        <v>433</v>
      </c>
      <c r="I64" s="540" t="e">
        <f>(E15+E64)/(A14+D14+A64)</f>
        <v>#DIV/0!</v>
      </c>
      <c r="J64" s="93" t="e">
        <f>D14*I64*E$55</f>
        <v>#DIV/0!</v>
      </c>
      <c r="K64" s="93" t="e">
        <f t="shared" ref="K64:K69" si="73">I64*A64*0.1%</f>
        <v>#DIV/0!</v>
      </c>
      <c r="L64" s="93" t="e">
        <f t="shared" ref="L64:L69" si="74">J64+K64</f>
        <v>#DIV/0!</v>
      </c>
      <c r="M64" s="93"/>
      <c r="N64" s="93"/>
      <c r="O64" s="40"/>
      <c r="P64" s="40"/>
      <c r="Q64" s="40"/>
      <c r="R64" s="40"/>
      <c r="S64" s="40"/>
      <c r="T64" s="40"/>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row>
    <row r="65" spans="1:60" ht="15.75" customHeight="1">
      <c r="A65" s="494"/>
      <c r="B65" s="489"/>
      <c r="C65" s="490">
        <f t="shared" si="72"/>
        <v>0</v>
      </c>
      <c r="D65" s="43"/>
      <c r="E65" s="490">
        <f>C65+I15</f>
        <v>0</v>
      </c>
      <c r="F65" s="541" t="str">
        <f>J1</f>
        <v>b</v>
      </c>
      <c r="G65" s="93"/>
      <c r="H65" s="93" t="s">
        <v>433</v>
      </c>
      <c r="I65" s="540" t="e">
        <f>(L15+E65)/(H14+K14+A65)</f>
        <v>#DIV/0!</v>
      </c>
      <c r="J65" s="93" t="e">
        <f>K14*I65*E$55</f>
        <v>#DIV/0!</v>
      </c>
      <c r="K65" s="93" t="e">
        <f t="shared" si="73"/>
        <v>#DIV/0!</v>
      </c>
      <c r="L65" s="93" t="e">
        <f t="shared" si="74"/>
        <v>#DIV/0!</v>
      </c>
      <c r="M65" s="93"/>
      <c r="N65" s="93"/>
      <c r="O65" s="40"/>
      <c r="P65" s="40"/>
      <c r="Q65" s="40"/>
      <c r="R65" s="40"/>
      <c r="S65" s="40"/>
      <c r="T65" s="40"/>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row>
    <row r="66" spans="1:60" ht="15.75" customHeight="1">
      <c r="A66" s="494"/>
      <c r="B66" s="489"/>
      <c r="C66" s="490">
        <f t="shared" si="72"/>
        <v>0</v>
      </c>
      <c r="D66" s="43"/>
      <c r="E66" s="490">
        <f>C66+P15</f>
        <v>0</v>
      </c>
      <c r="F66" s="541" t="str">
        <f>Q1</f>
        <v>c</v>
      </c>
      <c r="G66" s="93"/>
      <c r="H66" s="93" t="s">
        <v>433</v>
      </c>
      <c r="I66" s="540" t="e">
        <f>(S15+E66)/(O14+R14+A66)</f>
        <v>#DIV/0!</v>
      </c>
      <c r="J66" s="93" t="e">
        <f>R14*I66*E$55</f>
        <v>#DIV/0!</v>
      </c>
      <c r="K66" s="93" t="e">
        <f t="shared" si="73"/>
        <v>#DIV/0!</v>
      </c>
      <c r="L66" s="93" t="e">
        <f t="shared" si="74"/>
        <v>#DIV/0!</v>
      </c>
      <c r="M66" s="93"/>
      <c r="N66" s="93"/>
      <c r="O66" s="40"/>
      <c r="P66" s="40"/>
      <c r="Q66" s="40"/>
      <c r="R66" s="40"/>
      <c r="S66" s="40"/>
      <c r="T66" s="40"/>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row>
    <row r="67" spans="1:60" ht="15.75" customHeight="1">
      <c r="A67" s="494"/>
      <c r="B67" s="489"/>
      <c r="C67" s="490">
        <f t="shared" si="72"/>
        <v>0</v>
      </c>
      <c r="D67" s="43"/>
      <c r="E67" s="490">
        <f>C67+W15</f>
        <v>0</v>
      </c>
      <c r="F67" s="541" t="str">
        <f>X1</f>
        <v>d</v>
      </c>
      <c r="G67" s="93"/>
      <c r="H67" s="93" t="s">
        <v>433</v>
      </c>
      <c r="I67" s="540" t="e">
        <f>(Z15+E67)/(V14+Y14+A67)</f>
        <v>#DIV/0!</v>
      </c>
      <c r="J67" s="93" t="e">
        <f>Y14*I67*E$55</f>
        <v>#DIV/0!</v>
      </c>
      <c r="K67" s="93" t="e">
        <f t="shared" si="73"/>
        <v>#DIV/0!</v>
      </c>
      <c r="L67" s="93" t="e">
        <f t="shared" si="74"/>
        <v>#DIV/0!</v>
      </c>
      <c r="M67" s="93"/>
      <c r="N67" s="93"/>
      <c r="O67" s="40"/>
      <c r="P67" s="40"/>
      <c r="Q67" s="40"/>
      <c r="R67" s="40"/>
      <c r="S67" s="40"/>
      <c r="T67" s="40"/>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row>
    <row r="68" spans="1:60" ht="15.75" customHeight="1">
      <c r="A68" s="494"/>
      <c r="B68" s="489"/>
      <c r="C68" s="490">
        <f t="shared" si="72"/>
        <v>0</v>
      </c>
      <c r="D68" s="43"/>
      <c r="E68" s="490">
        <f>C68+AD15</f>
        <v>0</v>
      </c>
      <c r="F68" s="541" t="str">
        <f>AE1</f>
        <v>e</v>
      </c>
      <c r="G68" s="93"/>
      <c r="H68" s="93" t="s">
        <v>433</v>
      </c>
      <c r="I68" s="540" t="e">
        <f>(AG15+E68)/(AC14+AF14+A68)</f>
        <v>#DIV/0!</v>
      </c>
      <c r="J68" s="93" t="e">
        <f>AF14*I68*E$55</f>
        <v>#DIV/0!</v>
      </c>
      <c r="K68" s="93" t="e">
        <f t="shared" si="73"/>
        <v>#DIV/0!</v>
      </c>
      <c r="L68" s="93" t="e">
        <f t="shared" si="74"/>
        <v>#DIV/0!</v>
      </c>
      <c r="M68" s="93"/>
      <c r="N68" s="93"/>
      <c r="O68" s="40"/>
      <c r="P68" s="40"/>
      <c r="Q68" s="40"/>
      <c r="R68" s="40"/>
      <c r="S68" s="40"/>
      <c r="T68" s="40"/>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row>
    <row r="69" spans="1:60" ht="15.75" customHeight="1">
      <c r="A69" s="494"/>
      <c r="B69" s="489"/>
      <c r="C69" s="490">
        <f t="shared" si="72"/>
        <v>0</v>
      </c>
      <c r="D69" s="43"/>
      <c r="E69" s="490">
        <f>C69+AK15</f>
        <v>0</v>
      </c>
      <c r="F69" s="541" t="str">
        <f>AL1</f>
        <v>f</v>
      </c>
      <c r="G69" s="93"/>
      <c r="H69" s="93" t="s">
        <v>433</v>
      </c>
      <c r="I69" s="540" t="e">
        <f>(AN15+E69)/(AJ14+AM14+A69)</f>
        <v>#DIV/0!</v>
      </c>
      <c r="J69" s="93" t="e">
        <f>AM14*I69*E$55</f>
        <v>#DIV/0!</v>
      </c>
      <c r="K69" s="93" t="e">
        <f t="shared" si="73"/>
        <v>#DIV/0!</v>
      </c>
      <c r="L69" s="93" t="e">
        <f t="shared" si="74"/>
        <v>#DIV/0!</v>
      </c>
      <c r="M69" s="93"/>
      <c r="N69" s="93"/>
      <c r="O69" s="40"/>
      <c r="P69" s="40"/>
      <c r="Q69" s="40"/>
      <c r="R69" s="40"/>
      <c r="S69" s="40"/>
      <c r="T69" s="40"/>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row>
    <row r="70" spans="1:60" ht="15.75" customHeight="1">
      <c r="A70" s="508">
        <f>SUM(A64:A69)</f>
        <v>0</v>
      </c>
      <c r="B70" s="509" t="e">
        <f>C70/A70</f>
        <v>#DIV/0!</v>
      </c>
      <c r="C70" s="510">
        <f>SUM(C64:C69)</f>
        <v>0</v>
      </c>
      <c r="D70" s="517">
        <f>COUNT(A64:A69)</f>
        <v>0</v>
      </c>
      <c r="E70" s="40"/>
      <c r="F70" s="40"/>
      <c r="G70" s="40"/>
      <c r="H70" s="93"/>
      <c r="I70" s="93"/>
      <c r="J70" s="93"/>
      <c r="K70" s="93"/>
      <c r="L70" s="93"/>
      <c r="M70" s="93"/>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row>
    <row r="71" spans="1:60" ht="15.75" customHeight="1">
      <c r="A71" s="40"/>
      <c r="B71" s="542" t="e">
        <f>(B70-C71)*A70</f>
        <v>#DIV/0!</v>
      </c>
      <c r="C71" s="543">
        <v>986.15</v>
      </c>
      <c r="D71" s="40"/>
      <c r="E71" s="40"/>
      <c r="F71" s="40"/>
      <c r="G71" s="40"/>
      <c r="H71" s="93"/>
      <c r="I71" s="93"/>
      <c r="J71" s="93"/>
      <c r="K71" s="93"/>
      <c r="L71" s="93"/>
      <c r="M71" s="93"/>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row>
    <row r="72" spans="1:60" ht="15.75" customHeight="1">
      <c r="A72" s="40"/>
      <c r="B72" s="40"/>
      <c r="C72" s="40"/>
      <c r="D72" s="40"/>
      <c r="E72" s="40"/>
      <c r="F72" s="40"/>
      <c r="G72" s="40"/>
      <c r="H72" s="93"/>
      <c r="I72" s="93"/>
      <c r="J72" s="93"/>
      <c r="K72" s="93"/>
      <c r="L72" s="93"/>
      <c r="M72" s="93"/>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row>
    <row r="73" spans="1:60" ht="15.75" customHeight="1">
      <c r="A73" s="681" t="s">
        <v>1510</v>
      </c>
      <c r="B73" s="668"/>
      <c r="C73" s="668"/>
      <c r="D73" s="40"/>
      <c r="E73" s="40"/>
      <c r="F73" s="40"/>
      <c r="G73" s="93"/>
      <c r="H73" s="93"/>
      <c r="I73" s="93" t="s">
        <v>1507</v>
      </c>
      <c r="J73" s="93" t="s">
        <v>904</v>
      </c>
      <c r="K73" s="93" t="s">
        <v>1508</v>
      </c>
      <c r="L73" s="93" t="s">
        <v>1509</v>
      </c>
      <c r="M73" s="93"/>
      <c r="N73" s="93"/>
      <c r="O73" s="40"/>
      <c r="P73" s="40"/>
      <c r="Q73" s="40"/>
      <c r="R73" s="40"/>
      <c r="S73" s="40"/>
      <c r="T73" s="40"/>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row>
    <row r="74" spans="1:60" ht="15.75" customHeight="1">
      <c r="A74" s="485"/>
      <c r="B74" s="492"/>
      <c r="C74" s="487">
        <f t="shared" ref="C74:C79" si="75">ROUND(A74*B74,2)</f>
        <v>0</v>
      </c>
      <c r="D74" s="43"/>
      <c r="E74" s="487">
        <f>C74-B43</f>
        <v>330</v>
      </c>
      <c r="F74" s="541" t="str">
        <f>C22</f>
        <v>nifty</v>
      </c>
      <c r="G74" s="93"/>
      <c r="H74" s="93" t="s">
        <v>433</v>
      </c>
      <c r="I74" s="540">
        <f>(E43+E74)/(A42+D42+A74)</f>
        <v>2.2000000000000002</v>
      </c>
      <c r="J74" s="93">
        <f>D42*I74*E$55</f>
        <v>8.2500000000000004E-2</v>
      </c>
      <c r="K74" s="93">
        <f t="shared" ref="K74:K79" si="76">I74*A74*0.1%</f>
        <v>0</v>
      </c>
      <c r="L74" s="93">
        <f t="shared" ref="L74:L79" si="77">J74+K74</f>
        <v>8.2500000000000004E-2</v>
      </c>
      <c r="M74" s="93"/>
      <c r="N74" s="93"/>
      <c r="O74" s="40"/>
      <c r="P74" s="40"/>
      <c r="Q74" s="40"/>
      <c r="R74" s="40"/>
      <c r="S74" s="40"/>
      <c r="T74" s="40"/>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row>
    <row r="75" spans="1:60" ht="15.75" customHeight="1">
      <c r="A75" s="485"/>
      <c r="B75" s="492"/>
      <c r="C75" s="487">
        <f t="shared" si="75"/>
        <v>0</v>
      </c>
      <c r="D75" s="43"/>
      <c r="E75" s="487">
        <f>C75-I43</f>
        <v>0</v>
      </c>
      <c r="F75" s="541" t="str">
        <f>J22</f>
        <v>H</v>
      </c>
      <c r="G75" s="93"/>
      <c r="H75" s="93" t="s">
        <v>433</v>
      </c>
      <c r="I75" s="540" t="e">
        <f>(L43+E75)/(H42+K42+A75)</f>
        <v>#DIV/0!</v>
      </c>
      <c r="J75" s="93" t="e">
        <f>K42*I75*E$55</f>
        <v>#DIV/0!</v>
      </c>
      <c r="K75" s="93" t="e">
        <f t="shared" si="76"/>
        <v>#DIV/0!</v>
      </c>
      <c r="L75" s="93" t="e">
        <f t="shared" si="77"/>
        <v>#DIV/0!</v>
      </c>
      <c r="M75" s="93"/>
      <c r="N75" s="93"/>
      <c r="O75" s="40"/>
      <c r="P75" s="40"/>
      <c r="Q75" s="40"/>
      <c r="R75" s="40"/>
      <c r="S75" s="40"/>
      <c r="T75" s="40"/>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row>
    <row r="76" spans="1:60" ht="15.75" customHeight="1">
      <c r="A76" s="485"/>
      <c r="B76" s="492"/>
      <c r="C76" s="487">
        <f t="shared" si="75"/>
        <v>0</v>
      </c>
      <c r="D76" s="43"/>
      <c r="E76" s="487">
        <f>C76-P43</f>
        <v>0</v>
      </c>
      <c r="F76" s="541" t="str">
        <f>Q22</f>
        <v>i</v>
      </c>
      <c r="G76" s="93"/>
      <c r="H76" s="93" t="s">
        <v>433</v>
      </c>
      <c r="I76" s="540" t="e">
        <f>(S43+E76)/(O42+R42+A76)</f>
        <v>#DIV/0!</v>
      </c>
      <c r="J76" s="93" t="e">
        <f>R42*I76*E$55</f>
        <v>#DIV/0!</v>
      </c>
      <c r="K76" s="93" t="e">
        <f t="shared" si="76"/>
        <v>#DIV/0!</v>
      </c>
      <c r="L76" s="93" t="e">
        <f t="shared" si="77"/>
        <v>#DIV/0!</v>
      </c>
      <c r="M76" s="93"/>
      <c r="N76" s="93"/>
      <c r="O76" s="40"/>
      <c r="P76" s="40"/>
      <c r="Q76" s="40"/>
      <c r="R76" s="40"/>
      <c r="S76" s="40"/>
      <c r="T76" s="40"/>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row>
    <row r="77" spans="1:60" ht="15.75" customHeight="1">
      <c r="A77" s="485"/>
      <c r="B77" s="492"/>
      <c r="C77" s="487">
        <f t="shared" si="75"/>
        <v>0</v>
      </c>
      <c r="D77" s="43"/>
      <c r="E77" s="487">
        <f>C77-W43</f>
        <v>0</v>
      </c>
      <c r="F77" s="541" t="str">
        <f>X22</f>
        <v>j</v>
      </c>
      <c r="G77" s="93"/>
      <c r="H77" s="93" t="s">
        <v>433</v>
      </c>
      <c r="I77" s="540" t="e">
        <f>(Z43+E77)/(V42+Y42+A77)</f>
        <v>#DIV/0!</v>
      </c>
      <c r="J77" s="93" t="e">
        <f>Y42*I77*E$55</f>
        <v>#DIV/0!</v>
      </c>
      <c r="K77" s="93" t="e">
        <f t="shared" si="76"/>
        <v>#DIV/0!</v>
      </c>
      <c r="L77" s="93" t="e">
        <f t="shared" si="77"/>
        <v>#DIV/0!</v>
      </c>
      <c r="M77" s="93"/>
      <c r="N77" s="93"/>
      <c r="O77" s="40"/>
      <c r="P77" s="40"/>
      <c r="Q77" s="40"/>
      <c r="R77" s="40"/>
      <c r="S77" s="40"/>
      <c r="T77" s="40"/>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row>
    <row r="78" spans="1:60" ht="15.75" customHeight="1">
      <c r="A78" s="485"/>
      <c r="B78" s="492"/>
      <c r="C78" s="487">
        <f t="shared" si="75"/>
        <v>0</v>
      </c>
      <c r="D78" s="43"/>
      <c r="E78" s="487">
        <f>C78-AD43</f>
        <v>0</v>
      </c>
      <c r="F78" s="541" t="str">
        <f>AE22</f>
        <v>k</v>
      </c>
      <c r="G78" s="93"/>
      <c r="H78" s="93" t="s">
        <v>433</v>
      </c>
      <c r="I78" s="540" t="e">
        <f>(AG43+E78)/(AC42+AF42+A78)</f>
        <v>#DIV/0!</v>
      </c>
      <c r="J78" s="93" t="e">
        <f>AF42*I78*E$55</f>
        <v>#DIV/0!</v>
      </c>
      <c r="K78" s="93" t="e">
        <f t="shared" si="76"/>
        <v>#DIV/0!</v>
      </c>
      <c r="L78" s="93" t="e">
        <f t="shared" si="77"/>
        <v>#DIV/0!</v>
      </c>
      <c r="M78" s="93"/>
      <c r="N78" s="93"/>
      <c r="O78" s="40"/>
      <c r="P78" s="40"/>
      <c r="Q78" s="40"/>
      <c r="R78" s="40"/>
      <c r="S78" s="40"/>
      <c r="T78" s="40"/>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row>
    <row r="79" spans="1:60" ht="15.75" customHeight="1">
      <c r="A79" s="485"/>
      <c r="B79" s="492"/>
      <c r="C79" s="487">
        <f t="shared" si="75"/>
        <v>0</v>
      </c>
      <c r="D79" s="43"/>
      <c r="E79" s="487">
        <f>C79-AK43</f>
        <v>0</v>
      </c>
      <c r="F79" s="541" t="str">
        <f>AL22</f>
        <v>l</v>
      </c>
      <c r="G79" s="93"/>
      <c r="H79" s="93" t="s">
        <v>433</v>
      </c>
      <c r="I79" s="540" t="e">
        <f>(AN43+E79)/(AJ42+AM42+A79)</f>
        <v>#DIV/0!</v>
      </c>
      <c r="J79" s="93" t="e">
        <f>AM$42*I79*E$55</f>
        <v>#DIV/0!</v>
      </c>
      <c r="K79" s="93" t="e">
        <f t="shared" si="76"/>
        <v>#DIV/0!</v>
      </c>
      <c r="L79" s="93" t="e">
        <f t="shared" si="77"/>
        <v>#DIV/0!</v>
      </c>
      <c r="M79" s="93"/>
      <c r="N79" s="93"/>
      <c r="O79" s="40"/>
      <c r="P79" s="40"/>
      <c r="Q79" s="40"/>
      <c r="R79" s="40"/>
      <c r="S79" s="40"/>
      <c r="T79" s="40"/>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row>
    <row r="80" spans="1:60" ht="15.75" customHeight="1">
      <c r="A80" s="505">
        <f>SUM(A74:A79)</f>
        <v>0</v>
      </c>
      <c r="B80" s="506" t="e">
        <f>C80/A80</f>
        <v>#DIV/0!</v>
      </c>
      <c r="C80" s="507">
        <f>SUM(C74:C79)</f>
        <v>0</v>
      </c>
      <c r="D80" s="517">
        <f>COUNT(A74:A79)</f>
        <v>0</v>
      </c>
      <c r="E80" s="539"/>
      <c r="F80" s="540"/>
      <c r="G80" s="93"/>
      <c r="H80" s="93"/>
      <c r="I80" s="93"/>
      <c r="J80" s="93"/>
      <c r="K80" s="93"/>
      <c r="L80" s="93"/>
      <c r="M80" s="93"/>
      <c r="N80" s="93"/>
      <c r="O80" s="40"/>
      <c r="P80" s="40"/>
      <c r="Q80" s="40"/>
      <c r="R80" s="40"/>
      <c r="S80" s="40"/>
      <c r="T80" s="40"/>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row>
    <row r="81" spans="1:60">
      <c r="A81" s="40"/>
      <c r="B81" s="544" t="e">
        <f>(B80-C81)*A80</f>
        <v>#DIV/0!</v>
      </c>
      <c r="C81" s="543">
        <v>946.8</v>
      </c>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row>
    <row r="82" spans="1:60">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row>
    <row r="83" spans="1:60">
      <c r="A83" s="40"/>
      <c r="B83" s="93" t="e">
        <f>B43+B71-B81</f>
        <v>#DIV/0!</v>
      </c>
      <c r="C83" s="545">
        <v>-7302.4</v>
      </c>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row>
    <row r="84" spans="1:60">
      <c r="A84" s="40"/>
      <c r="B84" s="40"/>
      <c r="C84" s="93" t="e">
        <f>C83-B83</f>
        <v>#DIV/0!</v>
      </c>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row>
    <row r="85" spans="1:60">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row>
    <row r="86" spans="1:60">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row>
  </sheetData>
  <mergeCells count="97">
    <mergeCell ref="B43:C43"/>
    <mergeCell ref="E43:F43"/>
    <mergeCell ref="I43:J43"/>
    <mergeCell ref="L43:M43"/>
    <mergeCell ref="P43:Q43"/>
    <mergeCell ref="Z43:AA43"/>
    <mergeCell ref="AD43:AE43"/>
    <mergeCell ref="AG43:AH43"/>
    <mergeCell ref="AK43:AL43"/>
    <mergeCell ref="AN43:AO43"/>
    <mergeCell ref="A23:C23"/>
    <mergeCell ref="D23:F23"/>
    <mergeCell ref="H23:J23"/>
    <mergeCell ref="K23:M23"/>
    <mergeCell ref="O23:Q23"/>
    <mergeCell ref="Y23:AA23"/>
    <mergeCell ref="AC23:AE23"/>
    <mergeCell ref="AF23:AH23"/>
    <mergeCell ref="AJ23:AL23"/>
    <mergeCell ref="AM23:AO23"/>
    <mergeCell ref="A22:B22"/>
    <mergeCell ref="C22:F22"/>
    <mergeCell ref="H22:I22"/>
    <mergeCell ref="J22:M22"/>
    <mergeCell ref="O22:P22"/>
    <mergeCell ref="AW22:AX22"/>
    <mergeCell ref="AZ22:BA22"/>
    <mergeCell ref="BC22:BD22"/>
    <mergeCell ref="BF22:BG22"/>
    <mergeCell ref="X22:AA22"/>
    <mergeCell ref="AC22:AD22"/>
    <mergeCell ref="AE22:AH22"/>
    <mergeCell ref="AJ22:AK22"/>
    <mergeCell ref="AL22:AO22"/>
    <mergeCell ref="AQ22:AR22"/>
    <mergeCell ref="AT22:AU22"/>
    <mergeCell ref="E61:F61"/>
    <mergeCell ref="A63:C63"/>
    <mergeCell ref="A73:C73"/>
    <mergeCell ref="C50:D50"/>
    <mergeCell ref="C51:D51"/>
    <mergeCell ref="C52:D52"/>
    <mergeCell ref="E54:F54"/>
    <mergeCell ref="E55:F55"/>
    <mergeCell ref="E56:F56"/>
    <mergeCell ref="E57:F57"/>
    <mergeCell ref="S15:T15"/>
    <mergeCell ref="W15:X15"/>
    <mergeCell ref="E58:F58"/>
    <mergeCell ref="E59:F59"/>
    <mergeCell ref="E60:F60"/>
    <mergeCell ref="Q22:T22"/>
    <mergeCell ref="V22:W22"/>
    <mergeCell ref="R23:T23"/>
    <mergeCell ref="V23:X23"/>
    <mergeCell ref="S43:T43"/>
    <mergeCell ref="W43:X43"/>
    <mergeCell ref="B15:C15"/>
    <mergeCell ref="E15:F15"/>
    <mergeCell ref="I15:J15"/>
    <mergeCell ref="L15:M15"/>
    <mergeCell ref="P15:Q15"/>
    <mergeCell ref="Z15:AA15"/>
    <mergeCell ref="AD15:AE15"/>
    <mergeCell ref="AG15:AH15"/>
    <mergeCell ref="AK15:AL15"/>
    <mergeCell ref="AN15:AO15"/>
    <mergeCell ref="AJ2:AL2"/>
    <mergeCell ref="AM2:AO2"/>
    <mergeCell ref="A2:C2"/>
    <mergeCell ref="D2:F2"/>
    <mergeCell ref="H2:J2"/>
    <mergeCell ref="K2:M2"/>
    <mergeCell ref="O2:Q2"/>
    <mergeCell ref="R2:T2"/>
    <mergeCell ref="V2:X2"/>
    <mergeCell ref="Q1:T1"/>
    <mergeCell ref="V1:W1"/>
    <mergeCell ref="Y2:AA2"/>
    <mergeCell ref="AC2:AE2"/>
    <mergeCell ref="AF2:AH2"/>
    <mergeCell ref="A1:B1"/>
    <mergeCell ref="C1:F1"/>
    <mergeCell ref="H1:I1"/>
    <mergeCell ref="J1:M1"/>
    <mergeCell ref="O1:P1"/>
    <mergeCell ref="AW1:AX1"/>
    <mergeCell ref="AZ1:BA1"/>
    <mergeCell ref="BC1:BD1"/>
    <mergeCell ref="BF1:BG1"/>
    <mergeCell ref="X1:AA1"/>
    <mergeCell ref="AC1:AD1"/>
    <mergeCell ref="AE1:AH1"/>
    <mergeCell ref="AJ1:AK1"/>
    <mergeCell ref="AL1:AO1"/>
    <mergeCell ref="AQ1:AR1"/>
    <mergeCell ref="AT1:AU1"/>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outlinePr summaryBelow="0" summaryRight="0"/>
  </sheetPr>
  <dimension ref="A1:AK186"/>
  <sheetViews>
    <sheetView workbookViewId="0"/>
  </sheetViews>
  <sheetFormatPr baseColWidth="10" defaultColWidth="14.42578125" defaultRowHeight="15" customHeight="1" outlineLevelCol="1"/>
  <cols>
    <col min="1" max="5" width="4.42578125" customWidth="1"/>
    <col min="6" max="6" width="6.5703125" customWidth="1" collapsed="1"/>
    <col min="7" max="7" width="7" hidden="1" customWidth="1" outlineLevel="1"/>
    <col min="8" max="10" width="6.7109375" hidden="1" customWidth="1" outlineLevel="1"/>
    <col min="11" max="11" width="6.7109375" customWidth="1"/>
    <col min="12" max="12" width="9.42578125" customWidth="1"/>
    <col min="13" max="13" width="6" customWidth="1" outlineLevel="1"/>
    <col min="14" max="14" width="7.7109375" customWidth="1"/>
    <col min="15" max="15" width="11.85546875" customWidth="1"/>
    <col min="16" max="16" width="4.5703125" customWidth="1" outlineLevel="1"/>
    <col min="17" max="17" width="5.140625" customWidth="1" outlineLevel="1"/>
    <col min="18" max="18" width="3" customWidth="1" outlineLevel="1"/>
    <col min="19" max="23" width="8.7109375" customWidth="1"/>
    <col min="24" max="24" width="8.7109375" customWidth="1" collapsed="1"/>
    <col min="25" max="25" width="6.7109375" hidden="1" customWidth="1" outlineLevel="1"/>
    <col min="26" max="29" width="6.42578125" hidden="1" customWidth="1" outlineLevel="1"/>
    <col min="30" max="31" width="6.5703125" hidden="1" customWidth="1" outlineLevel="1"/>
    <col min="32" max="32" width="7.28515625" hidden="1" customWidth="1" outlineLevel="1"/>
    <col min="33" max="33" width="5.7109375" hidden="1" customWidth="1" outlineLevel="1"/>
    <col min="34" max="34" width="6.28515625" hidden="1" customWidth="1" outlineLevel="1"/>
    <col min="35" max="35" width="7.5703125" customWidth="1"/>
    <col min="36" max="37" width="7.28515625" customWidth="1"/>
  </cols>
  <sheetData>
    <row r="1" spans="1:37" ht="90">
      <c r="A1" s="546" t="s">
        <v>1511</v>
      </c>
      <c r="B1" s="546" t="s">
        <v>1512</v>
      </c>
      <c r="C1" s="546" t="s">
        <v>1513</v>
      </c>
      <c r="D1" s="546" t="s">
        <v>1514</v>
      </c>
      <c r="E1" s="546" t="s">
        <v>1515</v>
      </c>
      <c r="F1" s="546" t="s">
        <v>1516</v>
      </c>
      <c r="G1" s="547" t="s">
        <v>1517</v>
      </c>
      <c r="H1" s="548" t="s">
        <v>1518</v>
      </c>
      <c r="I1" s="547" t="s">
        <v>1519</v>
      </c>
      <c r="J1" s="548" t="s">
        <v>1520</v>
      </c>
      <c r="K1" s="549" t="s">
        <v>722</v>
      </c>
      <c r="L1" s="546" t="s">
        <v>1521</v>
      </c>
      <c r="M1" s="550" t="s">
        <v>1522</v>
      </c>
      <c r="N1" s="546" t="s">
        <v>1082</v>
      </c>
      <c r="O1" s="546" t="s">
        <v>1523</v>
      </c>
      <c r="P1" s="546" t="s">
        <v>1524</v>
      </c>
      <c r="Q1" s="546" t="s">
        <v>720</v>
      </c>
      <c r="R1" s="546" t="s">
        <v>721</v>
      </c>
      <c r="S1" s="546" t="s">
        <v>1525</v>
      </c>
      <c r="T1" s="551" t="s">
        <v>1080</v>
      </c>
      <c r="U1" s="552" t="s">
        <v>1526</v>
      </c>
      <c r="V1" s="553" t="s">
        <v>1527</v>
      </c>
      <c r="W1" s="554" t="s">
        <v>1528</v>
      </c>
      <c r="X1" s="552" t="s">
        <v>1529</v>
      </c>
      <c r="Y1" s="546" t="s">
        <v>653</v>
      </c>
      <c r="Z1" s="546" t="s">
        <v>1527</v>
      </c>
      <c r="AA1" s="546" t="s">
        <v>1530</v>
      </c>
      <c r="AB1" s="546" t="s">
        <v>1531</v>
      </c>
      <c r="AC1" s="546" t="s">
        <v>1528</v>
      </c>
      <c r="AD1" s="546" t="s">
        <v>1080</v>
      </c>
      <c r="AE1" s="546" t="s">
        <v>1532</v>
      </c>
      <c r="AF1" s="546" t="s">
        <v>1529</v>
      </c>
      <c r="AG1" s="546" t="s">
        <v>1526</v>
      </c>
      <c r="AH1" s="546" t="s">
        <v>1533</v>
      </c>
      <c r="AI1" s="554" t="s">
        <v>1534</v>
      </c>
      <c r="AJ1" s="554" t="s">
        <v>1535</v>
      </c>
      <c r="AK1" s="554" t="s">
        <v>1536</v>
      </c>
    </row>
    <row r="2" spans="1:37">
      <c r="A2" s="555">
        <f t="shared" ref="A2:A160" si="0">IF(M2="Yes",0,IF(AC2&gt;=AD2,10,IF(AE2&lt;=0.05,8,IF(AND(AE2&gt;=0.05,AE2&lt;=0.15),7,IF(AND(AE2&gt;0.15,AE2&lt;=0.25),5,IF(AND(AE2&gt;0.25,AE2&lt;=0.35),4,IF(AND(AE2&gt;0.35,AE2&lt;=0.45),2,IF(AE2&gt;0.45,1))))))))</f>
        <v>10</v>
      </c>
      <c r="B2" s="556">
        <f t="shared" ref="B2:B3" si="1">IF(AF2&lt;=AG2,1,IF(AH2&lt;=0.005,2,IF(AND(AH2&gt;0.005,AH2&lt;=0.02, L184),4,IF(AND(AH2&gt;0.02,AH2&lt;=0.05),5,IF(AND(AH2&gt;0.05,AH2&lt;=0.1),7,IF(AND(AH2&gt;0.1,AH2&lt;=0.2),8,IF(AH2&gt;0.2,10)))))))</f>
        <v>1</v>
      </c>
      <c r="C2" s="555">
        <f t="shared" ref="C2:C11" si="2">IF(AA2&lt;=0.005,10,IF(AND(AA2&gt;0.005,AA2&lt;=0.01),9,IF(AND(AA2&gt;0.01,AA2&lt;=0.02),8,IF(AND(AA2&gt;0.02,AA2&lt;=0.05),7,IF(AND(AA2&gt;0.05,AA2&lt;=0.1),6,IF(AND(AA2&gt;0.1,AA2&lt;=0.2),5,IF(AND(AA2&gt;0.2,AA2&lt;=0.3),4,IF(AND(AA2&gt;0.3,AA2&lt;=0.4),3,IF(AND(AA2&gt;0.4,AA2&lt;=0.5),2,IF(AA2&gt;0.5,1))))))))))</f>
        <v>10</v>
      </c>
      <c r="D2" s="555">
        <f t="shared" ref="D2:D160" si="3">IF(AB2&gt;0.5,10,IF(AND(AB2&lt;=0.5,AB2&gt;0.4),9,IF(AND(AB2&lt;=0.4,AB2&gt;0.3),8,IF(AND(AB2&lt;=0.3,AB2&gt;0.2),7,IF(AND(AB2&lt;=0.2,AB2&gt;0.1),6,IF(AND(AB2&lt;=0.1,AB2&gt;0.05),5,IF(AND(AB2&lt;=0.05,AB2&gt;0.04),4,IF(AND(AB2&lt;=0.04,AB2&gt;0.03),3,IF(AND(AB2&lt;=0.03,AB2&gt;0.02),2,IF(AB2&lt;=0.02,1))))))))))</f>
        <v>8</v>
      </c>
      <c r="E2" s="556">
        <f t="shared" ref="E2:E99" si="4">IFERROR(IF(O2="","",ROUND((A2*1+B2*1+C2*10+D2*1)/13,1)),"")</f>
        <v>9.1999999999999993</v>
      </c>
      <c r="F2" s="557">
        <f t="shared" ref="F2:F160" si="5">IF(AF2&gt;AG2,"     -",(AG2-AF2)/AG2)</f>
        <v>0</v>
      </c>
      <c r="G2" s="558">
        <f t="shared" ref="G2:G5" si="6">ROUND((AD2/Y2)-1,4)</f>
        <v>0.18870000000000001</v>
      </c>
      <c r="H2" s="559">
        <f t="shared" ref="H2:H33" si="7">ROUND(-(Y2-AG2)/Y2,3)</f>
        <v>-7.4999999999999997E-2</v>
      </c>
      <c r="I2" s="560">
        <f t="shared" ref="I2:I160" si="8">ROUND(K2*(AD2-Y2),0)</f>
        <v>6000</v>
      </c>
      <c r="J2" s="561">
        <f t="shared" ref="J2:J160" si="9">ROUND(K2*(Y2-AG2),0)</f>
        <v>2400</v>
      </c>
      <c r="K2" s="562">
        <v>600</v>
      </c>
      <c r="L2" s="563">
        <v>44837</v>
      </c>
      <c r="M2" s="247"/>
      <c r="N2" s="247" t="s">
        <v>1537</v>
      </c>
      <c r="O2" s="247" t="s">
        <v>1538</v>
      </c>
      <c r="P2" s="247" t="s">
        <v>1539</v>
      </c>
      <c r="Q2" s="247">
        <v>1180</v>
      </c>
      <c r="R2" s="247" t="s">
        <v>1540</v>
      </c>
      <c r="S2" s="247" t="s">
        <v>1541</v>
      </c>
      <c r="T2" s="564" t="s">
        <v>1542</v>
      </c>
      <c r="U2" s="565" t="s">
        <v>1543</v>
      </c>
      <c r="V2" s="566" t="s">
        <v>1544</v>
      </c>
      <c r="W2" s="564" t="s">
        <v>1545</v>
      </c>
      <c r="X2" s="565" t="s">
        <v>1546</v>
      </c>
      <c r="Y2" s="247">
        <f t="shared" ref="Y2:Y160" si="10">IFERROR(VALUE(RIGHT(S2,LEN(S2)-1)),"")</f>
        <v>53</v>
      </c>
      <c r="Z2" s="247">
        <f t="shared" ref="Z2:Z160" si="11">IFERROR(VALUE(RIGHT(V2,LEN(V2)-2)),"")</f>
        <v>53</v>
      </c>
      <c r="AA2" s="567">
        <f t="shared" ref="AA2:AA160" si="12">IFERROR(ROUND((Z2-Y2)/Y2,3),"")</f>
        <v>0</v>
      </c>
      <c r="AB2" s="567">
        <f t="shared" ref="AB2:AB160" si="13">IFERROR(ROUND((AC2-Z2)/Z2,3),"")</f>
        <v>0.34</v>
      </c>
      <c r="AC2" s="247">
        <f t="shared" ref="AC2:AC160" si="14">IFERROR(VALUE(RIGHT(W2,LEN(W2)-2)),0)</f>
        <v>71</v>
      </c>
      <c r="AD2" s="247">
        <f t="shared" ref="AD2:AD160" si="15">IFERROR(VALUE(RIGHT(T2,LEN(T2)-2)),"")</f>
        <v>63</v>
      </c>
      <c r="AE2" s="567" t="str">
        <f t="shared" ref="AE2:AE160" si="16">IFERROR(IF(AC2&gt;=AD2,"Tgt Hit",ROUND((AD2-AC2)/AD2,3)),"")</f>
        <v>Tgt Hit</v>
      </c>
      <c r="AF2" s="247">
        <f t="shared" ref="AF2:AF160" si="17">IFERROR(VALUE(RIGHT(X2,LEN(X2)-2)),"")</f>
        <v>49</v>
      </c>
      <c r="AG2" s="247">
        <f t="shared" ref="AG2:AG160" si="18">IFERROR(VALUE(RIGHT(U2,LEN(U2)-3)),0)</f>
        <v>49</v>
      </c>
      <c r="AH2" s="557" t="str">
        <f t="shared" ref="AH2:AH160" si="19">IFERROR(IF(AF2&lt;=AG2,"SL Hit",ROUND((AF2-AG2)/AG2,3)),"")</f>
        <v>SL Hit</v>
      </c>
    </row>
    <row r="3" spans="1:37">
      <c r="A3" s="555">
        <f t="shared" si="0"/>
        <v>8</v>
      </c>
      <c r="B3" s="556">
        <f t="shared" si="1"/>
        <v>1</v>
      </c>
      <c r="C3" s="555">
        <f t="shared" si="2"/>
        <v>5</v>
      </c>
      <c r="D3" s="555">
        <f t="shared" si="3"/>
        <v>1</v>
      </c>
      <c r="E3" s="556">
        <f t="shared" si="4"/>
        <v>4.5999999999999996</v>
      </c>
      <c r="F3" s="557">
        <f t="shared" si="5"/>
        <v>0.23529411764705882</v>
      </c>
      <c r="G3" s="558">
        <f t="shared" si="6"/>
        <v>0.17019999999999999</v>
      </c>
      <c r="H3" s="559">
        <f t="shared" si="7"/>
        <v>-9.6000000000000002E-2</v>
      </c>
      <c r="I3" s="560">
        <f t="shared" si="8"/>
        <v>8800</v>
      </c>
      <c r="J3" s="561">
        <f t="shared" si="9"/>
        <v>4950</v>
      </c>
      <c r="K3" s="562">
        <v>550</v>
      </c>
      <c r="L3" s="563">
        <v>44837</v>
      </c>
      <c r="M3" s="247"/>
      <c r="N3" s="247" t="s">
        <v>1547</v>
      </c>
      <c r="O3" s="247" t="s">
        <v>670</v>
      </c>
      <c r="P3" s="247" t="s">
        <v>1539</v>
      </c>
      <c r="Q3" s="247">
        <v>2120</v>
      </c>
      <c r="R3" s="247" t="s">
        <v>1548</v>
      </c>
      <c r="S3" s="247" t="s">
        <v>1549</v>
      </c>
      <c r="T3" s="564" t="s">
        <v>1550</v>
      </c>
      <c r="U3" s="565" t="s">
        <v>1551</v>
      </c>
      <c r="V3" s="566" t="s">
        <v>1552</v>
      </c>
      <c r="W3" s="564" t="s">
        <v>1553</v>
      </c>
      <c r="X3" s="565" t="s">
        <v>1554</v>
      </c>
      <c r="Y3" s="247">
        <f t="shared" si="10"/>
        <v>94</v>
      </c>
      <c r="Z3" s="247">
        <f t="shared" si="11"/>
        <v>109</v>
      </c>
      <c r="AA3" s="567">
        <f t="shared" si="12"/>
        <v>0.16</v>
      </c>
      <c r="AB3" s="567">
        <f t="shared" si="13"/>
        <v>0</v>
      </c>
      <c r="AC3" s="247">
        <f t="shared" si="14"/>
        <v>109</v>
      </c>
      <c r="AD3" s="247">
        <f t="shared" si="15"/>
        <v>110</v>
      </c>
      <c r="AE3" s="567">
        <f t="shared" si="16"/>
        <v>8.9999999999999993E-3</v>
      </c>
      <c r="AF3" s="247">
        <f t="shared" si="17"/>
        <v>65</v>
      </c>
      <c r="AG3" s="247">
        <f t="shared" si="18"/>
        <v>85</v>
      </c>
      <c r="AH3" s="557" t="str">
        <f t="shared" si="19"/>
        <v>SL Hit</v>
      </c>
    </row>
    <row r="4" spans="1:37">
      <c r="A4" s="555">
        <f t="shared" si="0"/>
        <v>1</v>
      </c>
      <c r="B4" s="556">
        <f t="shared" ref="B4:B5" si="20">IF(AF4&lt;=AG4,1,IF(AH4&lt;=0.005,2,IF(AND(AH4&gt;0.005,AH4&lt;=0.02, L182),4,IF(AND(AH4&gt;0.02,AH4&lt;=0.05),5,IF(AND(AH4&gt;0.05,AH4&lt;=0.1),7,IF(AND(AH4&gt;0.1,AH4&lt;=0.2),8,IF(AH4&gt;0.2,10)))))))</f>
        <v>1</v>
      </c>
      <c r="C4" s="555">
        <f t="shared" si="2"/>
        <v>8</v>
      </c>
      <c r="D4" s="555">
        <f t="shared" si="3"/>
        <v>1</v>
      </c>
      <c r="E4" s="556">
        <f t="shared" si="4"/>
        <v>6.4</v>
      </c>
      <c r="F4" s="557">
        <f t="shared" si="5"/>
        <v>0.37361547928346778</v>
      </c>
      <c r="G4" s="558">
        <f t="shared" si="6"/>
        <v>-0.43109999999999998</v>
      </c>
      <c r="H4" s="559">
        <f t="shared" si="7"/>
        <v>-0.35099999999999998</v>
      </c>
      <c r="I4" s="560">
        <f t="shared" si="8"/>
        <v>-82539250</v>
      </c>
      <c r="J4" s="561">
        <f t="shared" si="9"/>
        <v>67137250</v>
      </c>
      <c r="K4" s="562">
        <v>4250</v>
      </c>
      <c r="L4" s="563">
        <v>44838</v>
      </c>
      <c r="M4" s="247"/>
      <c r="N4" s="247" t="s">
        <v>1537</v>
      </c>
      <c r="O4" s="247" t="s">
        <v>482</v>
      </c>
      <c r="P4" s="247" t="s">
        <v>1539</v>
      </c>
      <c r="Q4" s="247">
        <v>69</v>
      </c>
      <c r="R4" s="247" t="s">
        <v>1548</v>
      </c>
      <c r="S4" s="247" t="s">
        <v>1555</v>
      </c>
      <c r="T4" s="564" t="s">
        <v>1556</v>
      </c>
      <c r="U4" s="565" t="s">
        <v>1557</v>
      </c>
      <c r="V4" s="566" t="s">
        <v>1558</v>
      </c>
      <c r="W4" s="564" t="s">
        <v>1559</v>
      </c>
      <c r="X4" s="565" t="s">
        <v>1560</v>
      </c>
      <c r="Y4" s="247">
        <f t="shared" si="10"/>
        <v>45049</v>
      </c>
      <c r="Z4" s="247">
        <f t="shared" si="11"/>
        <v>45748</v>
      </c>
      <c r="AA4" s="567">
        <f t="shared" si="12"/>
        <v>1.6E-2</v>
      </c>
      <c r="AB4" s="567">
        <f t="shared" si="13"/>
        <v>-0.71899999999999997</v>
      </c>
      <c r="AC4" s="247">
        <f t="shared" si="14"/>
        <v>12875</v>
      </c>
      <c r="AD4" s="247">
        <f t="shared" si="15"/>
        <v>25628</v>
      </c>
      <c r="AE4" s="567">
        <f t="shared" si="16"/>
        <v>0.498</v>
      </c>
      <c r="AF4" s="247">
        <f t="shared" si="17"/>
        <v>18323</v>
      </c>
      <c r="AG4" s="247">
        <f t="shared" si="18"/>
        <v>29252</v>
      </c>
      <c r="AH4" s="557" t="str">
        <f t="shared" si="19"/>
        <v>SL Hit</v>
      </c>
    </row>
    <row r="5" spans="1:37">
      <c r="A5" s="555">
        <f t="shared" si="0"/>
        <v>1</v>
      </c>
      <c r="B5" s="556">
        <f t="shared" si="20"/>
        <v>10</v>
      </c>
      <c r="C5" s="555">
        <f t="shared" si="2"/>
        <v>1</v>
      </c>
      <c r="D5" s="555">
        <f t="shared" si="3"/>
        <v>10</v>
      </c>
      <c r="E5" s="556">
        <f t="shared" si="4"/>
        <v>2.4</v>
      </c>
      <c r="F5" s="557" t="str">
        <f t="shared" si="5"/>
        <v xml:space="preserve">     -</v>
      </c>
      <c r="G5" s="558" t="e">
        <f t="shared" si="6"/>
        <v>#VALUE!</v>
      </c>
      <c r="H5" s="559" t="e">
        <f t="shared" si="7"/>
        <v>#VALUE!</v>
      </c>
      <c r="I5" s="560" t="e">
        <f t="shared" si="8"/>
        <v>#VALUE!</v>
      </c>
      <c r="J5" s="561" t="e">
        <f t="shared" si="9"/>
        <v>#VALUE!</v>
      </c>
      <c r="K5" s="562">
        <v>150</v>
      </c>
      <c r="L5" s="563">
        <v>44838</v>
      </c>
      <c r="M5" s="247"/>
      <c r="N5" s="247" t="s">
        <v>1547</v>
      </c>
      <c r="O5" s="247" t="s">
        <v>574</v>
      </c>
      <c r="P5" s="247" t="s">
        <v>1539</v>
      </c>
      <c r="Q5" s="247">
        <v>2980</v>
      </c>
      <c r="R5" s="247" t="s">
        <v>1548</v>
      </c>
      <c r="S5" s="247" t="s">
        <v>1561</v>
      </c>
      <c r="T5" s="564" t="s">
        <v>1562</v>
      </c>
      <c r="U5" s="565" t="s">
        <v>1563</v>
      </c>
      <c r="V5" s="566" t="s">
        <v>1564</v>
      </c>
      <c r="W5" s="564" t="s">
        <v>1565</v>
      </c>
      <c r="X5" s="565" t="s">
        <v>1566</v>
      </c>
      <c r="Y5" s="247" t="str">
        <f t="shared" si="10"/>
        <v/>
      </c>
      <c r="Z5" s="247" t="str">
        <f t="shared" si="11"/>
        <v/>
      </c>
      <c r="AA5" s="567" t="str">
        <f t="shared" si="12"/>
        <v/>
      </c>
      <c r="AB5" s="567" t="str">
        <f t="shared" si="13"/>
        <v/>
      </c>
      <c r="AC5" s="247">
        <f t="shared" si="14"/>
        <v>0</v>
      </c>
      <c r="AD5" s="247">
        <f t="shared" si="15"/>
        <v>115</v>
      </c>
      <c r="AE5" s="567">
        <f t="shared" si="16"/>
        <v>1</v>
      </c>
      <c r="AF5" s="247" t="str">
        <f t="shared" si="17"/>
        <v/>
      </c>
      <c r="AG5" s="247">
        <f t="shared" si="18"/>
        <v>95</v>
      </c>
      <c r="AH5" s="557" t="str">
        <f t="shared" si="19"/>
        <v/>
      </c>
    </row>
    <row r="6" spans="1:37">
      <c r="A6" s="555">
        <f t="shared" si="0"/>
        <v>1</v>
      </c>
      <c r="B6" s="556">
        <f t="shared" ref="B6:B7" si="21">IF(AF6&lt;=AG6,1,IF(AH6&lt;=0.005,2,IF(AND(AH6&gt;0.005,AH6&lt;=0.02, L182),4,IF(AND(AH6&gt;0.02,AH6&lt;=0.05),5,IF(AND(AH6&gt;0.05,AH6&lt;=0.1),7,IF(AND(AH6&gt;0.1,AH6&lt;=0.2),8,IF(AH6&gt;0.2,10)))))))</f>
        <v>10</v>
      </c>
      <c r="C6" s="555">
        <f t="shared" si="2"/>
        <v>1</v>
      </c>
      <c r="D6" s="555">
        <f t="shared" si="3"/>
        <v>10</v>
      </c>
      <c r="E6" s="556">
        <f t="shared" si="4"/>
        <v>2.4</v>
      </c>
      <c r="F6" s="557" t="str">
        <f t="shared" si="5"/>
        <v xml:space="preserve">     -</v>
      </c>
      <c r="G6" s="558">
        <f t="shared" ref="G6:G160" si="22">IFERROR(ROUND((AD6/Y6)-1,4),"")</f>
        <v>0.25</v>
      </c>
      <c r="H6" s="559">
        <f t="shared" si="7"/>
        <v>-0.16700000000000001</v>
      </c>
      <c r="I6" s="560">
        <f t="shared" si="8"/>
        <v>3000</v>
      </c>
      <c r="J6" s="561">
        <f t="shared" si="9"/>
        <v>2000</v>
      </c>
      <c r="K6" s="562">
        <v>250</v>
      </c>
      <c r="L6" s="563">
        <v>44851</v>
      </c>
      <c r="M6" s="247"/>
      <c r="N6" s="247" t="s">
        <v>1547</v>
      </c>
      <c r="O6" s="247" t="s">
        <v>460</v>
      </c>
      <c r="P6" s="247" t="s">
        <v>1539</v>
      </c>
      <c r="Q6" s="247">
        <v>2380</v>
      </c>
      <c r="R6" s="247" t="s">
        <v>1540</v>
      </c>
      <c r="S6" s="247" t="s">
        <v>1567</v>
      </c>
      <c r="T6" s="564" t="s">
        <v>1568</v>
      </c>
      <c r="U6" s="565" t="s">
        <v>1569</v>
      </c>
      <c r="V6" s="566" t="s">
        <v>1570</v>
      </c>
      <c r="W6" s="564" t="s">
        <v>1571</v>
      </c>
      <c r="X6" s="565" t="s">
        <v>1572</v>
      </c>
      <c r="Y6" s="247">
        <f t="shared" si="10"/>
        <v>48</v>
      </c>
      <c r="Z6" s="247" t="str">
        <f t="shared" si="11"/>
        <v/>
      </c>
      <c r="AA6" s="567" t="str">
        <f t="shared" si="12"/>
        <v/>
      </c>
      <c r="AB6" s="567" t="str">
        <f t="shared" si="13"/>
        <v/>
      </c>
      <c r="AC6" s="247">
        <f t="shared" si="14"/>
        <v>0</v>
      </c>
      <c r="AD6" s="247">
        <f t="shared" si="15"/>
        <v>60</v>
      </c>
      <c r="AE6" s="567">
        <f t="shared" si="16"/>
        <v>1</v>
      </c>
      <c r="AF6" s="247" t="str">
        <f t="shared" si="17"/>
        <v/>
      </c>
      <c r="AG6" s="247">
        <f t="shared" si="18"/>
        <v>40</v>
      </c>
      <c r="AH6" s="557" t="str">
        <f t="shared" si="19"/>
        <v/>
      </c>
    </row>
    <row r="7" spans="1:37">
      <c r="A7" s="555">
        <f t="shared" si="0"/>
        <v>10</v>
      </c>
      <c r="B7" s="556">
        <f t="shared" si="21"/>
        <v>10</v>
      </c>
      <c r="C7" s="555">
        <f t="shared" si="2"/>
        <v>10</v>
      </c>
      <c r="D7" s="555">
        <f t="shared" si="3"/>
        <v>10</v>
      </c>
      <c r="E7" s="556">
        <f t="shared" si="4"/>
        <v>10</v>
      </c>
      <c r="F7" s="557" t="str">
        <f t="shared" si="5"/>
        <v xml:space="preserve">     -</v>
      </c>
      <c r="G7" s="558">
        <f t="shared" si="22"/>
        <v>-0.99950000000000006</v>
      </c>
      <c r="H7" s="559">
        <f t="shared" si="7"/>
        <v>-1</v>
      </c>
      <c r="I7" s="560">
        <f t="shared" si="8"/>
        <v>-22088000</v>
      </c>
      <c r="J7" s="561">
        <f t="shared" si="9"/>
        <v>22092000</v>
      </c>
      <c r="K7" s="562">
        <v>1000</v>
      </c>
      <c r="L7" s="563">
        <v>44851</v>
      </c>
      <c r="M7" s="247"/>
      <c r="N7" s="247" t="s">
        <v>1573</v>
      </c>
      <c r="O7" s="247" t="s">
        <v>1574</v>
      </c>
      <c r="P7" s="247" t="s">
        <v>1539</v>
      </c>
      <c r="Q7" s="247">
        <v>375</v>
      </c>
      <c r="R7" s="247" t="s">
        <v>1540</v>
      </c>
      <c r="S7" s="247" t="s">
        <v>1575</v>
      </c>
      <c r="T7" s="564" t="s">
        <v>1576</v>
      </c>
      <c r="U7" s="565" t="s">
        <v>1577</v>
      </c>
      <c r="V7" s="566" t="s">
        <v>1578</v>
      </c>
      <c r="W7" s="564" t="s">
        <v>1579</v>
      </c>
      <c r="X7" s="565" t="s">
        <v>1580</v>
      </c>
      <c r="Y7" s="247">
        <f t="shared" si="10"/>
        <v>22098</v>
      </c>
      <c r="Z7" s="247">
        <f t="shared" si="11"/>
        <v>18445</v>
      </c>
      <c r="AA7" s="567">
        <f t="shared" si="12"/>
        <v>-0.16500000000000001</v>
      </c>
      <c r="AB7" s="567">
        <f t="shared" si="13"/>
        <v>0.60099999999999998</v>
      </c>
      <c r="AC7" s="247">
        <f t="shared" si="14"/>
        <v>29526</v>
      </c>
      <c r="AD7" s="247">
        <f t="shared" si="15"/>
        <v>10</v>
      </c>
      <c r="AE7" s="567" t="str">
        <f t="shared" si="16"/>
        <v>Tgt Hit</v>
      </c>
      <c r="AF7" s="247">
        <f t="shared" si="17"/>
        <v>29342</v>
      </c>
      <c r="AG7" s="247">
        <f t="shared" si="18"/>
        <v>6</v>
      </c>
      <c r="AH7" s="557">
        <f t="shared" si="19"/>
        <v>4889.3329999999996</v>
      </c>
    </row>
    <row r="8" spans="1:37">
      <c r="A8" s="555">
        <f t="shared" si="0"/>
        <v>1</v>
      </c>
      <c r="B8" s="556">
        <f t="shared" ref="B8:B9" si="23">IF(AF8&lt;=AG8,1,IF(AH8&lt;=0.005,2,IF(AND(AH8&gt;0.005,AH8&lt;=0.02, L182),4,IF(AND(AH8&gt;0.02,AH8&lt;=0.05),5,IF(AND(AH8&gt;0.05,AH8&lt;=0.1),7,IF(AND(AH8&gt;0.1,AH8&lt;=0.2),8,IF(AH8&gt;0.2,10)))))))</f>
        <v>10</v>
      </c>
      <c r="C8" s="555">
        <f t="shared" si="2"/>
        <v>4</v>
      </c>
      <c r="D8" s="555">
        <f t="shared" si="3"/>
        <v>1</v>
      </c>
      <c r="E8" s="556">
        <f t="shared" si="4"/>
        <v>4</v>
      </c>
      <c r="F8" s="557" t="str">
        <f t="shared" si="5"/>
        <v xml:space="preserve">     -</v>
      </c>
      <c r="G8" s="558">
        <f t="shared" si="22"/>
        <v>0.2281</v>
      </c>
      <c r="H8" s="559">
        <f t="shared" si="7"/>
        <v>-0.123</v>
      </c>
      <c r="I8" s="560">
        <f t="shared" si="8"/>
        <v>1950</v>
      </c>
      <c r="J8" s="561">
        <f t="shared" si="9"/>
        <v>1050</v>
      </c>
      <c r="K8" s="562">
        <v>150</v>
      </c>
      <c r="L8" s="563">
        <v>44852</v>
      </c>
      <c r="M8" s="247"/>
      <c r="N8" s="247" t="s">
        <v>1547</v>
      </c>
      <c r="O8" s="247" t="s">
        <v>574</v>
      </c>
      <c r="P8" s="247" t="s">
        <v>1539</v>
      </c>
      <c r="Q8" s="247">
        <v>3100</v>
      </c>
      <c r="R8" s="247" t="s">
        <v>1548</v>
      </c>
      <c r="S8" s="247" t="s">
        <v>1581</v>
      </c>
      <c r="T8" s="564" t="s">
        <v>1582</v>
      </c>
      <c r="U8" s="565" t="s">
        <v>1583</v>
      </c>
      <c r="V8" s="566" t="s">
        <v>1584</v>
      </c>
      <c r="W8" s="564" t="s">
        <v>1585</v>
      </c>
      <c r="X8" s="565" t="s">
        <v>1586</v>
      </c>
      <c r="Y8" s="247">
        <f t="shared" si="10"/>
        <v>57</v>
      </c>
      <c r="Z8" s="247">
        <f t="shared" si="11"/>
        <v>70</v>
      </c>
      <c r="AA8" s="567">
        <f t="shared" si="12"/>
        <v>0.22800000000000001</v>
      </c>
      <c r="AB8" s="567">
        <f t="shared" si="13"/>
        <v>-1</v>
      </c>
      <c r="AC8" s="247">
        <f t="shared" si="14"/>
        <v>0</v>
      </c>
      <c r="AD8" s="247">
        <f t="shared" si="15"/>
        <v>70</v>
      </c>
      <c r="AE8" s="567">
        <f t="shared" si="16"/>
        <v>1</v>
      </c>
      <c r="AF8" s="247" t="str">
        <f t="shared" si="17"/>
        <v/>
      </c>
      <c r="AG8" s="247">
        <f t="shared" si="18"/>
        <v>50</v>
      </c>
      <c r="AH8" s="557" t="str">
        <f t="shared" si="19"/>
        <v/>
      </c>
    </row>
    <row r="9" spans="1:37">
      <c r="A9" s="555">
        <f t="shared" si="0"/>
        <v>1</v>
      </c>
      <c r="B9" s="556">
        <f t="shared" si="23"/>
        <v>10</v>
      </c>
      <c r="C9" s="555">
        <f t="shared" si="2"/>
        <v>10</v>
      </c>
      <c r="D9" s="555">
        <f t="shared" si="3"/>
        <v>1</v>
      </c>
      <c r="E9" s="556">
        <f t="shared" si="4"/>
        <v>8.6</v>
      </c>
      <c r="F9" s="557" t="str">
        <f t="shared" si="5"/>
        <v xml:space="preserve">     -</v>
      </c>
      <c r="G9" s="558">
        <f t="shared" si="22"/>
        <v>-0.99970000000000003</v>
      </c>
      <c r="H9" s="559">
        <f t="shared" si="7"/>
        <v>-1</v>
      </c>
      <c r="I9" s="560">
        <f t="shared" si="8"/>
        <v>-62789775</v>
      </c>
      <c r="J9" s="561">
        <f t="shared" si="9"/>
        <v>62795475</v>
      </c>
      <c r="K9" s="562">
        <v>1425</v>
      </c>
      <c r="L9" s="563">
        <v>44852</v>
      </c>
      <c r="M9" s="247"/>
      <c r="N9" s="247" t="s">
        <v>1573</v>
      </c>
      <c r="O9" s="247" t="s">
        <v>504</v>
      </c>
      <c r="P9" s="247" t="s">
        <v>1539</v>
      </c>
      <c r="Q9" s="247">
        <v>400</v>
      </c>
      <c r="R9" s="247" t="s">
        <v>1548</v>
      </c>
      <c r="S9" s="247" t="s">
        <v>1587</v>
      </c>
      <c r="T9" s="564" t="s">
        <v>1588</v>
      </c>
      <c r="U9" s="565" t="s">
        <v>1589</v>
      </c>
      <c r="V9" s="566" t="s">
        <v>1590</v>
      </c>
      <c r="W9" s="564" t="s">
        <v>1591</v>
      </c>
      <c r="X9" s="565" t="s">
        <v>1592</v>
      </c>
      <c r="Y9" s="247">
        <f t="shared" si="10"/>
        <v>44075</v>
      </c>
      <c r="Z9" s="247">
        <f t="shared" si="11"/>
        <v>33117</v>
      </c>
      <c r="AA9" s="567">
        <f t="shared" si="12"/>
        <v>-0.249</v>
      </c>
      <c r="AB9" s="567">
        <f t="shared" si="13"/>
        <v>-1</v>
      </c>
      <c r="AC9" s="247">
        <f t="shared" si="14"/>
        <v>0</v>
      </c>
      <c r="AD9" s="247">
        <f t="shared" si="15"/>
        <v>12</v>
      </c>
      <c r="AE9" s="567">
        <f t="shared" si="16"/>
        <v>1</v>
      </c>
      <c r="AF9" s="247">
        <f t="shared" si="17"/>
        <v>44075</v>
      </c>
      <c r="AG9" s="247">
        <f t="shared" si="18"/>
        <v>8</v>
      </c>
      <c r="AH9" s="557">
        <f t="shared" si="19"/>
        <v>5508.375</v>
      </c>
    </row>
    <row r="10" spans="1:37">
      <c r="A10" s="555">
        <f t="shared" si="0"/>
        <v>1</v>
      </c>
      <c r="B10" s="556">
        <f t="shared" ref="B10:B11" si="24">IF(AF10&lt;=AG10,1,IF(AH10&lt;=0.005,2,IF(AND(AH10&gt;0.005,AH10&lt;=0.02, L182),4,IF(AND(AH10&gt;0.02,AH10&lt;=0.05),5,IF(AND(AH10&gt;0.05,AH10&lt;=0.1),7,IF(AND(AH10&gt;0.1,AH10&lt;=0.2),8,IF(AH10&gt;0.2,10)))))))</f>
        <v>10</v>
      </c>
      <c r="C10" s="555">
        <f t="shared" si="2"/>
        <v>1</v>
      </c>
      <c r="D10" s="555">
        <f t="shared" si="3"/>
        <v>10</v>
      </c>
      <c r="E10" s="556">
        <f t="shared" si="4"/>
        <v>2.4</v>
      </c>
      <c r="F10" s="557" t="str">
        <f t="shared" si="5"/>
        <v xml:space="preserve">     -</v>
      </c>
      <c r="G10" s="558">
        <f t="shared" si="22"/>
        <v>0.83330000000000004</v>
      </c>
      <c r="H10" s="559">
        <f t="shared" si="7"/>
        <v>-0.33300000000000002</v>
      </c>
      <c r="I10" s="560">
        <f t="shared" si="8"/>
        <v>11000</v>
      </c>
      <c r="J10" s="561">
        <f t="shared" si="9"/>
        <v>4400</v>
      </c>
      <c r="K10" s="562">
        <v>1100</v>
      </c>
      <c r="L10" s="563">
        <v>44853</v>
      </c>
      <c r="M10" s="247"/>
      <c r="N10" s="247" t="s">
        <v>1547</v>
      </c>
      <c r="O10" s="247" t="s">
        <v>1593</v>
      </c>
      <c r="P10" s="247" t="s">
        <v>1539</v>
      </c>
      <c r="Q10" s="247">
        <v>620</v>
      </c>
      <c r="R10" s="247" t="s">
        <v>1548</v>
      </c>
      <c r="S10" s="247" t="s">
        <v>1594</v>
      </c>
      <c r="T10" s="564" t="s">
        <v>1595</v>
      </c>
      <c r="U10" s="565" t="s">
        <v>1589</v>
      </c>
      <c r="V10" s="566" t="s">
        <v>1596</v>
      </c>
      <c r="W10" s="564" t="s">
        <v>1597</v>
      </c>
      <c r="X10" s="565" t="s">
        <v>1598</v>
      </c>
      <c r="Y10" s="247">
        <f t="shared" si="10"/>
        <v>12</v>
      </c>
      <c r="Z10" s="247" t="str">
        <f t="shared" si="11"/>
        <v/>
      </c>
      <c r="AA10" s="567" t="str">
        <f t="shared" si="12"/>
        <v/>
      </c>
      <c r="AB10" s="567" t="str">
        <f t="shared" si="13"/>
        <v/>
      </c>
      <c r="AC10" s="247">
        <f t="shared" si="14"/>
        <v>0</v>
      </c>
      <c r="AD10" s="247">
        <f t="shared" si="15"/>
        <v>22</v>
      </c>
      <c r="AE10" s="567">
        <f t="shared" si="16"/>
        <v>1</v>
      </c>
      <c r="AF10" s="247">
        <f t="shared" si="17"/>
        <v>29465</v>
      </c>
      <c r="AG10" s="247">
        <f t="shared" si="18"/>
        <v>8</v>
      </c>
      <c r="AH10" s="557">
        <f t="shared" si="19"/>
        <v>3682.125</v>
      </c>
    </row>
    <row r="11" spans="1:37">
      <c r="A11" s="555">
        <f t="shared" si="0"/>
        <v>1</v>
      </c>
      <c r="B11" s="556">
        <f t="shared" si="24"/>
        <v>1</v>
      </c>
      <c r="C11" s="555">
        <f t="shared" si="2"/>
        <v>1</v>
      </c>
      <c r="D11" s="555">
        <f t="shared" si="3"/>
        <v>10</v>
      </c>
      <c r="E11" s="556">
        <f t="shared" si="4"/>
        <v>1.7</v>
      </c>
      <c r="F11" s="557">
        <f t="shared" si="5"/>
        <v>9.0909090909090912E-2</v>
      </c>
      <c r="G11" s="558">
        <f t="shared" si="22"/>
        <v>0.3115</v>
      </c>
      <c r="H11" s="559">
        <f t="shared" si="7"/>
        <v>-9.8000000000000004E-2</v>
      </c>
      <c r="I11" s="560">
        <f t="shared" si="8"/>
        <v>3800</v>
      </c>
      <c r="J11" s="561">
        <f t="shared" si="9"/>
        <v>1200</v>
      </c>
      <c r="K11" s="562">
        <v>200</v>
      </c>
      <c r="L11" s="563">
        <v>44853</v>
      </c>
      <c r="M11" s="247"/>
      <c r="N11" s="247" t="s">
        <v>1573</v>
      </c>
      <c r="O11" s="247" t="s">
        <v>691</v>
      </c>
      <c r="P11" s="247" t="s">
        <v>1539</v>
      </c>
      <c r="Q11" s="247">
        <v>3250</v>
      </c>
      <c r="R11" s="247" t="s">
        <v>1548</v>
      </c>
      <c r="S11" s="247" t="s">
        <v>1599</v>
      </c>
      <c r="T11" s="564" t="s">
        <v>1600</v>
      </c>
      <c r="U11" s="565" t="s">
        <v>1601</v>
      </c>
      <c r="V11" s="566" t="s">
        <v>1602</v>
      </c>
      <c r="W11" s="564" t="s">
        <v>1603</v>
      </c>
      <c r="X11" s="565" t="s">
        <v>1604</v>
      </c>
      <c r="Y11" s="247">
        <f t="shared" si="10"/>
        <v>61</v>
      </c>
      <c r="Z11" s="247" t="str">
        <f t="shared" si="11"/>
        <v/>
      </c>
      <c r="AA11" s="567" t="str">
        <f t="shared" si="12"/>
        <v/>
      </c>
      <c r="AB11" s="567" t="str">
        <f t="shared" si="13"/>
        <v/>
      </c>
      <c r="AC11" s="247">
        <f t="shared" si="14"/>
        <v>0</v>
      </c>
      <c r="AD11" s="247">
        <f t="shared" si="15"/>
        <v>80</v>
      </c>
      <c r="AE11" s="567">
        <f t="shared" si="16"/>
        <v>1</v>
      </c>
      <c r="AF11" s="247">
        <f t="shared" si="17"/>
        <v>50</v>
      </c>
      <c r="AG11" s="247">
        <f t="shared" si="18"/>
        <v>55</v>
      </c>
      <c r="AH11" s="557" t="str">
        <f t="shared" si="19"/>
        <v>SL Hit</v>
      </c>
    </row>
    <row r="12" spans="1:37">
      <c r="A12" s="555">
        <f t="shared" si="0"/>
        <v>10</v>
      </c>
      <c r="B12" s="556">
        <f t="shared" ref="B12:B13" si="25">IF(AF12&lt;=AG12,1,IF(AH12&lt;=0.005,2,IF(AND(AH12&gt;0.005,AH12&lt;=0.02, L182),4,IF(AND(AH12&gt;0.02,AH12&lt;=0.05),5,IF(AND(AH12&gt;0.05,AH12&lt;=0.1),7,IF(AND(AH12&gt;0.1,AH12&lt;=0.2),8,IF(AH12&gt;0.2,10)))))))</f>
        <v>10</v>
      </c>
      <c r="C12" s="555">
        <f t="shared" ref="C12:C13" si="26">IF(AA12&lt;=0.005,10,IF(AND(AA12&gt;0.005,AA12&lt;=0.01, C167),9,IF(AND(AA12&gt;0.01,AA12&lt;=0.02),8,IF(AND(AA12&gt;0.02,AA12&lt;=0.05),7,IF(AND(AA12&gt;0.05,AA12&lt;=0.1),6,IF(AND(AA12&gt;0.1,AA12&lt;=0.2),5,IF(AND(AA12&gt;0.2,AA12&lt;=0.3),4,IF(AND(AA12&gt;0.3,AA12&lt;=0.4),3,IF(AND(AA12&gt;0.4,AA12&lt;=0.5),2,IF(AA12&gt;0.5,1))))))))))</f>
        <v>10</v>
      </c>
      <c r="D12" s="555">
        <f t="shared" si="3"/>
        <v>1</v>
      </c>
      <c r="E12" s="556">
        <f t="shared" si="4"/>
        <v>9.3000000000000007</v>
      </c>
      <c r="F12" s="557" t="str">
        <f t="shared" si="5"/>
        <v xml:space="preserve">     -</v>
      </c>
      <c r="G12" s="558">
        <f t="shared" si="22"/>
        <v>-0.99950000000000006</v>
      </c>
      <c r="H12" s="559">
        <f t="shared" si="7"/>
        <v>-1</v>
      </c>
      <c r="I12" s="560">
        <f t="shared" si="8"/>
        <v>-169126650</v>
      </c>
      <c r="J12" s="561">
        <f t="shared" si="9"/>
        <v>169176700</v>
      </c>
      <c r="K12" s="562">
        <v>3850</v>
      </c>
      <c r="L12" s="563">
        <v>44861</v>
      </c>
      <c r="M12" s="247"/>
      <c r="N12" s="247" t="s">
        <v>1547</v>
      </c>
      <c r="O12" s="247" t="s">
        <v>296</v>
      </c>
      <c r="P12" s="247" t="s">
        <v>1605</v>
      </c>
      <c r="Q12" s="247">
        <v>130</v>
      </c>
      <c r="R12" s="247" t="s">
        <v>1548</v>
      </c>
      <c r="S12" s="247" t="s">
        <v>1606</v>
      </c>
      <c r="T12" s="564" t="s">
        <v>1607</v>
      </c>
      <c r="U12" s="565" t="s">
        <v>1608</v>
      </c>
      <c r="V12" s="566" t="s">
        <v>1609</v>
      </c>
      <c r="W12" s="564" t="s">
        <v>1610</v>
      </c>
      <c r="X12" s="565" t="s">
        <v>1611</v>
      </c>
      <c r="Y12" s="247">
        <f t="shared" si="10"/>
        <v>43952</v>
      </c>
      <c r="Z12" s="247">
        <f t="shared" si="11"/>
        <v>22037</v>
      </c>
      <c r="AA12" s="567">
        <f t="shared" si="12"/>
        <v>-0.499</v>
      </c>
      <c r="AB12" s="567">
        <f t="shared" si="13"/>
        <v>-0.247</v>
      </c>
      <c r="AC12" s="247">
        <f t="shared" si="14"/>
        <v>16589</v>
      </c>
      <c r="AD12" s="247">
        <f t="shared" si="15"/>
        <v>23</v>
      </c>
      <c r="AE12" s="567" t="str">
        <f t="shared" si="16"/>
        <v>Tgt Hit</v>
      </c>
      <c r="AF12" s="247" t="str">
        <f t="shared" si="17"/>
        <v/>
      </c>
      <c r="AG12" s="247">
        <f t="shared" si="18"/>
        <v>10</v>
      </c>
      <c r="AH12" s="557" t="str">
        <f t="shared" si="19"/>
        <v/>
      </c>
    </row>
    <row r="13" spans="1:37">
      <c r="A13" s="555">
        <f t="shared" si="0"/>
        <v>10</v>
      </c>
      <c r="B13" s="556">
        <f t="shared" si="25"/>
        <v>10</v>
      </c>
      <c r="C13" s="555">
        <f t="shared" si="26"/>
        <v>1</v>
      </c>
      <c r="D13" s="555">
        <f t="shared" si="3"/>
        <v>10</v>
      </c>
      <c r="E13" s="556">
        <f t="shared" si="4"/>
        <v>3.1</v>
      </c>
      <c r="F13" s="557" t="str">
        <f t="shared" si="5"/>
        <v xml:space="preserve">     -</v>
      </c>
      <c r="G13" s="558">
        <f t="shared" si="22"/>
        <v>-0.99950000000000006</v>
      </c>
      <c r="H13" s="559">
        <f t="shared" si="7"/>
        <v>-1</v>
      </c>
      <c r="I13" s="560">
        <f t="shared" si="8"/>
        <v>-46805250</v>
      </c>
      <c r="J13" s="561">
        <f t="shared" si="9"/>
        <v>46813750</v>
      </c>
      <c r="K13" s="562">
        <v>4250</v>
      </c>
      <c r="L13" s="563">
        <v>44861</v>
      </c>
      <c r="M13" s="247"/>
      <c r="N13" s="247" t="s">
        <v>1573</v>
      </c>
      <c r="O13" s="247" t="s">
        <v>482</v>
      </c>
      <c r="P13" s="247" t="s">
        <v>1605</v>
      </c>
      <c r="Q13" s="247">
        <v>70</v>
      </c>
      <c r="R13" s="247" t="s">
        <v>1548</v>
      </c>
      <c r="S13" s="247" t="s">
        <v>1612</v>
      </c>
      <c r="T13" s="564" t="s">
        <v>1613</v>
      </c>
      <c r="U13" s="565" t="s">
        <v>1614</v>
      </c>
      <c r="V13" s="566" t="s">
        <v>1615</v>
      </c>
      <c r="W13" s="564" t="s">
        <v>1616</v>
      </c>
      <c r="X13" s="565" t="s">
        <v>1617</v>
      </c>
      <c r="Y13" s="247">
        <f t="shared" si="10"/>
        <v>11018</v>
      </c>
      <c r="Z13" s="247">
        <f t="shared" si="11"/>
        <v>22007</v>
      </c>
      <c r="AA13" s="567">
        <f t="shared" si="12"/>
        <v>0.997</v>
      </c>
      <c r="AB13" s="567">
        <f t="shared" si="13"/>
        <v>0.57899999999999996</v>
      </c>
      <c r="AC13" s="247">
        <f t="shared" si="14"/>
        <v>34759</v>
      </c>
      <c r="AD13" s="247">
        <f t="shared" si="15"/>
        <v>5</v>
      </c>
      <c r="AE13" s="567" t="str">
        <f t="shared" si="16"/>
        <v>Tgt Hit</v>
      </c>
      <c r="AF13" s="247">
        <f t="shared" si="17"/>
        <v>22007</v>
      </c>
      <c r="AG13" s="247">
        <f t="shared" si="18"/>
        <v>3</v>
      </c>
      <c r="AH13" s="557">
        <f t="shared" si="19"/>
        <v>7334.6670000000004</v>
      </c>
    </row>
    <row r="14" spans="1:37">
      <c r="A14" s="555">
        <f t="shared" si="0"/>
        <v>1</v>
      </c>
      <c r="B14" s="556">
        <f t="shared" ref="B14:B15" si="27">IF(AF14&lt;=AG14,1,IF(AH14&lt;=0.005,2,IF(AND(AH14&gt;0.005,AH14&lt;=0.02, L182),4,IF(AND(AH14&gt;0.02,AH14&lt;=0.05),5,IF(AND(AH14&gt;0.05,AH14&lt;=0.1),7,IF(AND(AH14&gt;0.1,AH14&lt;=0.2),8,IF(AH14&gt;0.2,10)))))))</f>
        <v>10</v>
      </c>
      <c r="C14" s="555">
        <f t="shared" ref="C14:C15" si="28">IF(AA14&lt;=0.005,10,IF(AND(AA14&gt;0.005,AA14&lt;=0.01, C167),9,IF(AND(AA14&gt;0.01,AA14&lt;=0.02),8,IF(AND(AA14&gt;0.02,AA14&lt;=0.05),7,IF(AND(AA14&gt;0.05,AA14&lt;=0.1),6,IF(AND(AA14&gt;0.1,AA14&lt;=0.2),5,IF(AND(AA14&gt;0.2,AA14&lt;=0.3),4,IF(AND(AA14&gt;0.3,AA14&lt;=0.4),3,IF(AND(AA14&gt;0.4,AA14&lt;=0.5),2,IF(AA14&gt;0.5,1))))))))))</f>
        <v>1</v>
      </c>
      <c r="D14" s="555">
        <f t="shared" si="3"/>
        <v>10</v>
      </c>
      <c r="E14" s="556">
        <f t="shared" si="4"/>
        <v>2.4</v>
      </c>
      <c r="F14" s="557" t="str">
        <f t="shared" si="5"/>
        <v xml:space="preserve">     -</v>
      </c>
      <c r="G14" s="558">
        <f t="shared" si="22"/>
        <v>0.4</v>
      </c>
      <c r="H14" s="559">
        <f t="shared" si="7"/>
        <v>-0.2</v>
      </c>
      <c r="I14" s="560">
        <f t="shared" si="8"/>
        <v>16500</v>
      </c>
      <c r="J14" s="561">
        <f t="shared" si="9"/>
        <v>8250</v>
      </c>
      <c r="K14" s="562">
        <v>1375</v>
      </c>
      <c r="L14" s="563">
        <v>44862</v>
      </c>
      <c r="M14" s="247"/>
      <c r="N14" s="247" t="s">
        <v>1547</v>
      </c>
      <c r="O14" s="247" t="s">
        <v>487</v>
      </c>
      <c r="P14" s="247" t="s">
        <v>1605</v>
      </c>
      <c r="Q14" s="247">
        <v>920</v>
      </c>
      <c r="R14" s="247" t="s">
        <v>1548</v>
      </c>
      <c r="S14" s="247" t="s">
        <v>1618</v>
      </c>
      <c r="T14" s="564" t="s">
        <v>1619</v>
      </c>
      <c r="U14" s="565" t="s">
        <v>1620</v>
      </c>
      <c r="V14" s="566" t="s">
        <v>1621</v>
      </c>
      <c r="W14" s="564" t="s">
        <v>1622</v>
      </c>
      <c r="X14" s="565" t="s">
        <v>1623</v>
      </c>
      <c r="Y14" s="247">
        <f t="shared" si="10"/>
        <v>30</v>
      </c>
      <c r="Z14" s="247" t="str">
        <f t="shared" si="11"/>
        <v/>
      </c>
      <c r="AA14" s="567" t="str">
        <f t="shared" si="12"/>
        <v/>
      </c>
      <c r="AB14" s="567" t="str">
        <f t="shared" si="13"/>
        <v/>
      </c>
      <c r="AC14" s="247">
        <f t="shared" si="14"/>
        <v>0</v>
      </c>
      <c r="AD14" s="247">
        <f t="shared" si="15"/>
        <v>42</v>
      </c>
      <c r="AE14" s="567">
        <f t="shared" si="16"/>
        <v>1</v>
      </c>
      <c r="AF14" s="247" t="str">
        <f t="shared" si="17"/>
        <v/>
      </c>
      <c r="AG14" s="247">
        <f t="shared" si="18"/>
        <v>24</v>
      </c>
      <c r="AH14" s="557" t="str">
        <f t="shared" si="19"/>
        <v/>
      </c>
    </row>
    <row r="15" spans="1:37">
      <c r="A15" s="555">
        <f t="shared" si="0"/>
        <v>10</v>
      </c>
      <c r="B15" s="556">
        <f t="shared" si="27"/>
        <v>10</v>
      </c>
      <c r="C15" s="555">
        <f t="shared" si="28"/>
        <v>1</v>
      </c>
      <c r="D15" s="555">
        <f t="shared" si="3"/>
        <v>10</v>
      </c>
      <c r="E15" s="556">
        <f t="shared" si="4"/>
        <v>3.1</v>
      </c>
      <c r="F15" s="557" t="str">
        <f t="shared" si="5"/>
        <v xml:space="preserve">     -</v>
      </c>
      <c r="G15" s="558" t="str">
        <f t="shared" si="22"/>
        <v/>
      </c>
      <c r="H15" s="559" t="e">
        <f t="shared" si="7"/>
        <v>#VALUE!</v>
      </c>
      <c r="I15" s="560" t="e">
        <f t="shared" si="8"/>
        <v>#VALUE!</v>
      </c>
      <c r="J15" s="561" t="e">
        <f t="shared" si="9"/>
        <v>#VALUE!</v>
      </c>
      <c r="K15" s="562">
        <v>500</v>
      </c>
      <c r="L15" s="563">
        <v>44862</v>
      </c>
      <c r="M15" s="247"/>
      <c r="N15" s="247" t="s">
        <v>1573</v>
      </c>
      <c r="O15" s="247" t="s">
        <v>677</v>
      </c>
      <c r="P15" s="247" t="s">
        <v>1605</v>
      </c>
      <c r="Q15" s="247">
        <v>1190</v>
      </c>
      <c r="R15" s="247" t="s">
        <v>1540</v>
      </c>
      <c r="S15" s="247" t="s">
        <v>1624</v>
      </c>
      <c r="T15" s="564" t="s">
        <v>1582</v>
      </c>
      <c r="U15" s="565" t="s">
        <v>1625</v>
      </c>
      <c r="V15" s="566" t="s">
        <v>1626</v>
      </c>
      <c r="W15" s="564" t="s">
        <v>1627</v>
      </c>
      <c r="X15" s="565" t="s">
        <v>1628</v>
      </c>
      <c r="Y15" s="247" t="str">
        <f t="shared" si="10"/>
        <v/>
      </c>
      <c r="Z15" s="247" t="str">
        <f t="shared" si="11"/>
        <v/>
      </c>
      <c r="AA15" s="567" t="str">
        <f t="shared" si="12"/>
        <v/>
      </c>
      <c r="AB15" s="567" t="str">
        <f t="shared" si="13"/>
        <v/>
      </c>
      <c r="AC15" s="247">
        <f t="shared" si="14"/>
        <v>83</v>
      </c>
      <c r="AD15" s="247">
        <f t="shared" si="15"/>
        <v>70</v>
      </c>
      <c r="AE15" s="567" t="str">
        <f t="shared" si="16"/>
        <v>Tgt Hit</v>
      </c>
      <c r="AF15" s="247" t="str">
        <f t="shared" si="17"/>
        <v/>
      </c>
      <c r="AG15" s="247">
        <f t="shared" si="18"/>
        <v>48</v>
      </c>
      <c r="AH15" s="557" t="str">
        <f t="shared" si="19"/>
        <v/>
      </c>
    </row>
    <row r="16" spans="1:37">
      <c r="A16" s="555">
        <f t="shared" si="0"/>
        <v>1</v>
      </c>
      <c r="B16" s="556">
        <f t="shared" ref="B16:B17" si="29">IF(AF16&lt;=AG16,1,IF(AH16&lt;=0.005,2,IF(AND(AH16&gt;0.005,AH16&lt;=0.02, L182),4,IF(AND(AH16&gt;0.02,AH16&lt;=0.05),5,IF(AND(AH16&gt;0.05,AH16&lt;=0.1),7,IF(AND(AH16&gt;0.1,AH16&lt;=0.2),8,IF(AH16&gt;0.2,10)))))))</f>
        <v>10</v>
      </c>
      <c r="C16" s="555">
        <f t="shared" ref="C16:C17" si="30">IF(AA16&lt;=0.005,10,IF(AND(AA16&gt;0.005,AA16&lt;=0.01, C167),9,IF(AND(AA16&gt;0.01,AA16&lt;=0.02),8,IF(AND(AA16&gt;0.02,AA16&lt;=0.05),7,IF(AND(AA16&gt;0.05,AA16&lt;=0.1),6,IF(AND(AA16&gt;0.1,AA16&lt;=0.2),5,IF(AND(AA16&gt;0.2,AA16&lt;=0.3),4,IF(AND(AA16&gt;0.3,AA16&lt;=0.4),3,IF(AND(AA16&gt;0.4,AA16&lt;=0.5),2,IF(AA16&gt;0.5,1))))))))))</f>
        <v>1</v>
      </c>
      <c r="D16" s="555">
        <f t="shared" si="3"/>
        <v>10</v>
      </c>
      <c r="E16" s="556">
        <f t="shared" si="4"/>
        <v>2.4</v>
      </c>
      <c r="F16" s="557" t="str">
        <f t="shared" si="5"/>
        <v xml:space="preserve">     -</v>
      </c>
      <c r="G16" s="558" t="str">
        <f t="shared" si="22"/>
        <v/>
      </c>
      <c r="H16" s="559" t="e">
        <f t="shared" si="7"/>
        <v>#VALUE!</v>
      </c>
      <c r="I16" s="560" t="e">
        <f t="shared" si="8"/>
        <v>#VALUE!</v>
      </c>
      <c r="J16" s="561" t="e">
        <f t="shared" si="9"/>
        <v>#VALUE!</v>
      </c>
      <c r="K16" s="562">
        <v>300</v>
      </c>
      <c r="L16" s="563">
        <v>44865</v>
      </c>
      <c r="M16" s="247"/>
      <c r="N16" s="247" t="s">
        <v>1537</v>
      </c>
      <c r="O16" s="247" t="s">
        <v>461</v>
      </c>
      <c r="P16" s="247" t="s">
        <v>1605</v>
      </c>
      <c r="Q16" s="247">
        <v>2650</v>
      </c>
      <c r="R16" s="247" t="s">
        <v>1548</v>
      </c>
      <c r="S16" s="247" t="s">
        <v>1629</v>
      </c>
      <c r="T16" s="564" t="s">
        <v>1630</v>
      </c>
      <c r="U16" s="565" t="s">
        <v>1631</v>
      </c>
      <c r="V16" s="566" t="s">
        <v>1632</v>
      </c>
      <c r="W16" s="564" t="s">
        <v>1633</v>
      </c>
      <c r="X16" s="565" t="s">
        <v>1634</v>
      </c>
      <c r="Y16" s="247" t="str">
        <f t="shared" si="10"/>
        <v/>
      </c>
      <c r="Z16" s="247" t="str">
        <f t="shared" si="11"/>
        <v/>
      </c>
      <c r="AA16" s="567" t="str">
        <f t="shared" si="12"/>
        <v/>
      </c>
      <c r="AB16" s="567" t="str">
        <f t="shared" si="13"/>
        <v/>
      </c>
      <c r="AC16" s="247">
        <f t="shared" si="14"/>
        <v>0</v>
      </c>
      <c r="AD16" s="247">
        <f t="shared" si="15"/>
        <v>96</v>
      </c>
      <c r="AE16" s="567">
        <f t="shared" si="16"/>
        <v>1</v>
      </c>
      <c r="AF16" s="247" t="str">
        <f t="shared" si="17"/>
        <v/>
      </c>
      <c r="AG16" s="247">
        <f t="shared" si="18"/>
        <v>60</v>
      </c>
      <c r="AH16" s="557" t="str">
        <f t="shared" si="19"/>
        <v/>
      </c>
    </row>
    <row r="17" spans="1:34">
      <c r="A17" s="555">
        <f t="shared" si="0"/>
        <v>1</v>
      </c>
      <c r="B17" s="556">
        <f t="shared" si="29"/>
        <v>8</v>
      </c>
      <c r="C17" s="555">
        <f t="shared" si="30"/>
        <v>1</v>
      </c>
      <c r="D17" s="555">
        <f t="shared" si="3"/>
        <v>1</v>
      </c>
      <c r="E17" s="556">
        <f t="shared" si="4"/>
        <v>1.5</v>
      </c>
      <c r="F17" s="557" t="str">
        <f t="shared" si="5"/>
        <v xml:space="preserve">     -</v>
      </c>
      <c r="G17" s="558" t="str">
        <f t="shared" si="22"/>
        <v/>
      </c>
      <c r="H17" s="559" t="e">
        <f t="shared" si="7"/>
        <v>#VALUE!</v>
      </c>
      <c r="I17" s="560" t="e">
        <f t="shared" si="8"/>
        <v>#VALUE!</v>
      </c>
      <c r="J17" s="561" t="e">
        <f t="shared" si="9"/>
        <v>#VALUE!</v>
      </c>
      <c r="K17" s="562">
        <v>5700</v>
      </c>
      <c r="L17" s="563">
        <v>44865</v>
      </c>
      <c r="M17" s="247"/>
      <c r="N17" s="247" t="s">
        <v>1573</v>
      </c>
      <c r="O17" s="247" t="s">
        <v>626</v>
      </c>
      <c r="P17" s="247" t="s">
        <v>1605</v>
      </c>
      <c r="Q17" s="247">
        <v>172.5</v>
      </c>
      <c r="R17" s="247" t="s">
        <v>1540</v>
      </c>
      <c r="S17" s="247" t="s">
        <v>1635</v>
      </c>
      <c r="T17" s="564" t="s">
        <v>1636</v>
      </c>
      <c r="U17" s="565" t="s">
        <v>1637</v>
      </c>
      <c r="V17" s="566" t="s">
        <v>1638</v>
      </c>
      <c r="W17" s="564" t="s">
        <v>1639</v>
      </c>
      <c r="X17" s="565" t="s">
        <v>1640</v>
      </c>
      <c r="Y17" s="247" t="str">
        <f t="shared" si="10"/>
        <v/>
      </c>
      <c r="Z17" s="247">
        <f t="shared" si="11"/>
        <v>45051</v>
      </c>
      <c r="AA17" s="567" t="str">
        <f t="shared" si="12"/>
        <v/>
      </c>
      <c r="AB17" s="567">
        <f t="shared" si="13"/>
        <v>-1</v>
      </c>
      <c r="AC17" s="247">
        <f t="shared" si="14"/>
        <v>0</v>
      </c>
      <c r="AD17" s="247" t="str">
        <f t="shared" si="15"/>
        <v/>
      </c>
      <c r="AE17" s="567" t="str">
        <f t="shared" si="16"/>
        <v/>
      </c>
      <c r="AF17" s="247">
        <f t="shared" si="17"/>
        <v>21976</v>
      </c>
      <c r="AG17" s="247">
        <f t="shared" si="18"/>
        <v>18323</v>
      </c>
      <c r="AH17" s="557">
        <f t="shared" si="19"/>
        <v>0.19900000000000001</v>
      </c>
    </row>
    <row r="18" spans="1:34">
      <c r="A18" s="555">
        <f t="shared" si="0"/>
        <v>1</v>
      </c>
      <c r="B18" s="556">
        <f t="shared" ref="B18:B19" si="31">IF(AF18&lt;=AG18,1,IF(AH18&lt;=0.005,2,IF(AND(AH18&gt;0.005,AH18&lt;=0.02, L182),4,IF(AND(AH18&gt;0.02,AH18&lt;=0.05),5,IF(AND(AH18&gt;0.05,AH18&lt;=0.1),7,IF(AND(AH18&gt;0.1,AH18&lt;=0.2),8,IF(AH18&gt;0.2,10)))))))</f>
        <v>10</v>
      </c>
      <c r="C18" s="555">
        <f t="shared" ref="C18:C19" si="32">IF(AA18&lt;=0.005,10,IF(AND(AA18&gt;0.005,AA18&lt;=0.01, C167),9,IF(AND(AA18&gt;0.01,AA18&lt;=0.02),8,IF(AND(AA18&gt;0.02,AA18&lt;=0.05),7,IF(AND(AA18&gt;0.05,AA18&lt;=0.1),6,IF(AND(AA18&gt;0.1,AA18&lt;=0.2),5,IF(AND(AA18&gt;0.2,AA18&lt;=0.3),4,IF(AND(AA18&gt;0.3,AA18&lt;=0.4),3,IF(AND(AA18&gt;0.4,AA18&lt;=0.5),2,IF(AA18&gt;0.5,1))))))))))</f>
        <v>1</v>
      </c>
      <c r="D18" s="555">
        <f t="shared" si="3"/>
        <v>10</v>
      </c>
      <c r="E18" s="556">
        <f t="shared" si="4"/>
        <v>2.4</v>
      </c>
      <c r="F18" s="557" t="str">
        <f t="shared" si="5"/>
        <v xml:space="preserve">     -</v>
      </c>
      <c r="G18" s="558" t="str">
        <f t="shared" si="22"/>
        <v/>
      </c>
      <c r="H18" s="559" t="e">
        <f t="shared" si="7"/>
        <v>#VALUE!</v>
      </c>
      <c r="I18" s="560" t="e">
        <f t="shared" si="8"/>
        <v>#VALUE!</v>
      </c>
      <c r="J18" s="561" t="e">
        <f t="shared" si="9"/>
        <v>#VALUE!</v>
      </c>
      <c r="K18" s="562">
        <v>700</v>
      </c>
      <c r="L18" s="563">
        <v>44866</v>
      </c>
      <c r="M18" s="247"/>
      <c r="N18" s="247" t="s">
        <v>1537</v>
      </c>
      <c r="O18" s="247" t="s">
        <v>1641</v>
      </c>
      <c r="P18" s="247" t="s">
        <v>1605</v>
      </c>
      <c r="Q18" s="247">
        <v>1020</v>
      </c>
      <c r="R18" s="247" t="s">
        <v>1548</v>
      </c>
      <c r="S18" s="247" t="s">
        <v>1642</v>
      </c>
      <c r="T18" s="564" t="s">
        <v>1643</v>
      </c>
      <c r="U18" s="565" t="s">
        <v>1644</v>
      </c>
      <c r="V18" s="566" t="s">
        <v>1645</v>
      </c>
      <c r="W18" s="564" t="s">
        <v>1646</v>
      </c>
      <c r="X18" s="565" t="s">
        <v>1647</v>
      </c>
      <c r="Y18" s="247" t="str">
        <f t="shared" si="10"/>
        <v/>
      </c>
      <c r="Z18" s="247" t="str">
        <f t="shared" si="11"/>
        <v/>
      </c>
      <c r="AA18" s="567" t="str">
        <f t="shared" si="12"/>
        <v/>
      </c>
      <c r="AB18" s="567" t="str">
        <f t="shared" si="13"/>
        <v/>
      </c>
      <c r="AC18" s="247">
        <f t="shared" si="14"/>
        <v>0</v>
      </c>
      <c r="AD18" s="247">
        <f t="shared" si="15"/>
        <v>41</v>
      </c>
      <c r="AE18" s="567">
        <f t="shared" si="16"/>
        <v>1</v>
      </c>
      <c r="AF18" s="247" t="str">
        <f t="shared" si="17"/>
        <v/>
      </c>
      <c r="AG18" s="247">
        <f t="shared" si="18"/>
        <v>0</v>
      </c>
      <c r="AH18" s="557" t="str">
        <f t="shared" si="19"/>
        <v/>
      </c>
    </row>
    <row r="19" spans="1:34">
      <c r="A19" s="555">
        <f t="shared" si="0"/>
        <v>10</v>
      </c>
      <c r="B19" s="556">
        <f t="shared" si="31"/>
        <v>10</v>
      </c>
      <c r="C19" s="555">
        <f t="shared" si="32"/>
        <v>6</v>
      </c>
      <c r="D19" s="555">
        <f t="shared" si="3"/>
        <v>1</v>
      </c>
      <c r="E19" s="556">
        <f t="shared" si="4"/>
        <v>6.2</v>
      </c>
      <c r="F19" s="557" t="str">
        <f t="shared" si="5"/>
        <v xml:space="preserve">     -</v>
      </c>
      <c r="G19" s="558">
        <f t="shared" si="22"/>
        <v>-0.56369999999999998</v>
      </c>
      <c r="H19" s="559">
        <f t="shared" si="7"/>
        <v>-1</v>
      </c>
      <c r="I19" s="560">
        <f t="shared" si="8"/>
        <v>-100767500</v>
      </c>
      <c r="J19" s="561">
        <f t="shared" si="9"/>
        <v>178772000</v>
      </c>
      <c r="K19" s="562">
        <v>4250</v>
      </c>
      <c r="L19" s="563">
        <v>44866</v>
      </c>
      <c r="M19" s="247"/>
      <c r="N19" s="247" t="s">
        <v>1573</v>
      </c>
      <c r="O19" s="247" t="s">
        <v>590</v>
      </c>
      <c r="P19" s="247" t="s">
        <v>1605</v>
      </c>
      <c r="Q19" s="247">
        <v>100</v>
      </c>
      <c r="R19" s="247" t="s">
        <v>1540</v>
      </c>
      <c r="S19" s="247" t="s">
        <v>1648</v>
      </c>
      <c r="T19" s="564" t="s">
        <v>1649</v>
      </c>
      <c r="U19" s="565" t="s">
        <v>1650</v>
      </c>
      <c r="V19" s="566" t="s">
        <v>1651</v>
      </c>
      <c r="W19" s="564" t="s">
        <v>1652</v>
      </c>
      <c r="X19" s="565" t="s">
        <v>1653</v>
      </c>
      <c r="Y19" s="247">
        <f t="shared" si="10"/>
        <v>42064</v>
      </c>
      <c r="Z19" s="247">
        <f t="shared" si="11"/>
        <v>45050</v>
      </c>
      <c r="AA19" s="567">
        <f t="shared" si="12"/>
        <v>7.0999999999999994E-2</v>
      </c>
      <c r="AB19" s="567">
        <f t="shared" si="13"/>
        <v>1.4999999999999999E-2</v>
      </c>
      <c r="AC19" s="247">
        <f t="shared" si="14"/>
        <v>45748</v>
      </c>
      <c r="AD19" s="247">
        <f t="shared" si="15"/>
        <v>18354</v>
      </c>
      <c r="AE19" s="567" t="str">
        <f t="shared" si="16"/>
        <v>Tgt Hit</v>
      </c>
      <c r="AF19" s="247">
        <f t="shared" si="17"/>
        <v>21947</v>
      </c>
      <c r="AG19" s="247">
        <f t="shared" si="18"/>
        <v>0</v>
      </c>
      <c r="AH19" s="557" t="str">
        <f t="shared" si="19"/>
        <v/>
      </c>
    </row>
    <row r="20" spans="1:34">
      <c r="A20" s="555">
        <f t="shared" si="0"/>
        <v>10</v>
      </c>
      <c r="B20" s="556">
        <f t="shared" ref="B20:B21" si="33">IF(AF20&lt;=AG20,1,IF(AH20&lt;=0.005,2,IF(AND(AH20&gt;0.005,AH20&lt;=0.02, L182),4,IF(AND(AH20&gt;0.02,AH20&lt;=0.05),5,IF(AND(AH20&gt;0.05,AH20&lt;=0.1),7,IF(AND(AH20&gt;0.1,AH20&lt;=0.2),8,IF(AH20&gt;0.2,10)))))))</f>
        <v>1</v>
      </c>
      <c r="C20" s="555">
        <f t="shared" ref="C20:C21" si="34">IF(AA20&lt;=0.005,10,IF(AND(AA20&gt;0.005,AA20&lt;=0.01, C167),9,IF(AND(AA20&gt;0.01,AA20&lt;=0.02),8,IF(AND(AA20&gt;0.02,AA20&lt;=0.05),7,IF(AND(AA20&gt;0.05,AA20&lt;=0.1),6,IF(AND(AA20&gt;0.1,AA20&lt;=0.2),5,IF(AND(AA20&gt;0.2,AA20&lt;=0.3),4,IF(AND(AA20&gt;0.3,AA20&lt;=0.4),3,IF(AND(AA20&gt;0.4,AA20&lt;=0.5),2,IF(AA20&gt;0.5,1))))))))))</f>
        <v>10</v>
      </c>
      <c r="D20" s="555">
        <f t="shared" si="3"/>
        <v>10</v>
      </c>
      <c r="E20" s="556">
        <f t="shared" si="4"/>
        <v>9.3000000000000007</v>
      </c>
      <c r="F20" s="557">
        <f t="shared" si="5"/>
        <v>0.47323716564452506</v>
      </c>
      <c r="G20" s="558">
        <f t="shared" si="22"/>
        <v>-8.9099999999999999E-2</v>
      </c>
      <c r="H20" s="559">
        <f t="shared" si="7"/>
        <v>0.72399999999999998</v>
      </c>
      <c r="I20" s="560">
        <f t="shared" si="8"/>
        <v>-18847500</v>
      </c>
      <c r="J20" s="561">
        <f t="shared" si="9"/>
        <v>-153111000</v>
      </c>
      <c r="K20" s="562">
        <v>10500</v>
      </c>
      <c r="L20" s="563">
        <v>44867</v>
      </c>
      <c r="M20" s="247"/>
      <c r="N20" s="247" t="s">
        <v>1537</v>
      </c>
      <c r="O20" s="247" t="s">
        <v>457</v>
      </c>
      <c r="P20" s="247" t="s">
        <v>1605</v>
      </c>
      <c r="Q20" s="247">
        <v>76</v>
      </c>
      <c r="R20" s="247" t="s">
        <v>1548</v>
      </c>
      <c r="S20" s="247" t="s">
        <v>1654</v>
      </c>
      <c r="T20" s="564" t="s">
        <v>1649</v>
      </c>
      <c r="U20" s="565" t="s">
        <v>1655</v>
      </c>
      <c r="V20" s="566" t="s">
        <v>1656</v>
      </c>
      <c r="W20" s="564" t="s">
        <v>1657</v>
      </c>
      <c r="X20" s="565" t="s">
        <v>1658</v>
      </c>
      <c r="Y20" s="247">
        <f t="shared" si="10"/>
        <v>20149</v>
      </c>
      <c r="Z20" s="247">
        <f t="shared" si="11"/>
        <v>20149</v>
      </c>
      <c r="AA20" s="567">
        <f t="shared" si="12"/>
        <v>0</v>
      </c>
      <c r="AB20" s="567">
        <f t="shared" si="13"/>
        <v>0.63400000000000001</v>
      </c>
      <c r="AC20" s="247">
        <f t="shared" si="14"/>
        <v>32933</v>
      </c>
      <c r="AD20" s="247">
        <f t="shared" si="15"/>
        <v>18354</v>
      </c>
      <c r="AE20" s="567" t="str">
        <f t="shared" si="16"/>
        <v>Tgt Hit</v>
      </c>
      <c r="AF20" s="247">
        <f t="shared" si="17"/>
        <v>18295</v>
      </c>
      <c r="AG20" s="247">
        <f t="shared" si="18"/>
        <v>34731</v>
      </c>
      <c r="AH20" s="557" t="str">
        <f t="shared" si="19"/>
        <v>SL Hit</v>
      </c>
    </row>
    <row r="21" spans="1:34">
      <c r="A21" s="555">
        <f t="shared" si="0"/>
        <v>1</v>
      </c>
      <c r="B21" s="556">
        <f t="shared" si="33"/>
        <v>10</v>
      </c>
      <c r="C21" s="555">
        <f t="shared" si="34"/>
        <v>1</v>
      </c>
      <c r="D21" s="555">
        <f t="shared" si="3"/>
        <v>10</v>
      </c>
      <c r="E21" s="556">
        <f t="shared" si="4"/>
        <v>2.4</v>
      </c>
      <c r="F21" s="557" t="str">
        <f t="shared" si="5"/>
        <v xml:space="preserve">     -</v>
      </c>
      <c r="G21" s="558" t="str">
        <f t="shared" si="22"/>
        <v/>
      </c>
      <c r="H21" s="559" t="e">
        <f t="shared" si="7"/>
        <v>#VALUE!</v>
      </c>
      <c r="I21" s="560" t="e">
        <f t="shared" si="8"/>
        <v>#VALUE!</v>
      </c>
      <c r="J21" s="561" t="e">
        <f t="shared" si="9"/>
        <v>#VALUE!</v>
      </c>
      <c r="K21" s="562">
        <v>700</v>
      </c>
      <c r="L21" s="563">
        <v>44867</v>
      </c>
      <c r="M21" s="247"/>
      <c r="N21" s="247" t="s">
        <v>1547</v>
      </c>
      <c r="O21" s="247" t="s">
        <v>1641</v>
      </c>
      <c r="P21" s="247" t="s">
        <v>1605</v>
      </c>
      <c r="Q21" s="247">
        <v>1030</v>
      </c>
      <c r="R21" s="247" t="s">
        <v>1548</v>
      </c>
      <c r="S21" s="247" t="s">
        <v>1659</v>
      </c>
      <c r="T21" s="564" t="s">
        <v>1660</v>
      </c>
      <c r="U21" s="565" t="s">
        <v>1661</v>
      </c>
      <c r="V21" s="566" t="s">
        <v>1662</v>
      </c>
      <c r="W21" s="564" t="s">
        <v>1663</v>
      </c>
      <c r="X21" s="565" t="s">
        <v>1664</v>
      </c>
      <c r="Y21" s="247" t="str">
        <f t="shared" si="10"/>
        <v/>
      </c>
      <c r="Z21" s="247" t="str">
        <f t="shared" si="11"/>
        <v/>
      </c>
      <c r="AA21" s="567" t="str">
        <f t="shared" si="12"/>
        <v/>
      </c>
      <c r="AB21" s="567" t="str">
        <f t="shared" si="13"/>
        <v/>
      </c>
      <c r="AC21" s="247">
        <f t="shared" si="14"/>
        <v>0</v>
      </c>
      <c r="AD21" s="247" t="str">
        <f t="shared" si="15"/>
        <v/>
      </c>
      <c r="AE21" s="567" t="str">
        <f t="shared" si="16"/>
        <v/>
      </c>
      <c r="AF21" s="247" t="str">
        <f t="shared" si="17"/>
        <v/>
      </c>
      <c r="AG21" s="247">
        <f t="shared" si="18"/>
        <v>21</v>
      </c>
      <c r="AH21" s="557" t="str">
        <f t="shared" si="19"/>
        <v/>
      </c>
    </row>
    <row r="22" spans="1:34">
      <c r="A22" s="555">
        <f t="shared" si="0"/>
        <v>1</v>
      </c>
      <c r="B22" s="556">
        <f>IF(AF22&lt;=AG22,1,IF(AH22&lt;=0.005,2,IF(AND(AH22&gt;0.005,AH22&lt;=0.02, L182),4,IF(AND(AH22&gt;0.02,AH22&lt;=0.05),5,IF(AND(AH22&gt;0.05,AH22&lt;=0.1),7,IF(AND(AH22&gt;0.1,AH22&lt;=0.2),8,IF(AH22&gt;0.2,10)))))))</f>
        <v>10</v>
      </c>
      <c r="C22" s="555">
        <f>IF(AA22&lt;=0.005,10,IF(AND(AA22&gt;0.005,AA22&lt;=0.01, C167),9,IF(AND(AA22&gt;0.01,AA22&lt;=0.02),8,IF(AND(AA22&gt;0.02,AA22&lt;=0.05),7,IF(AND(AA22&gt;0.05,AA22&lt;=0.1),6,IF(AND(AA22&gt;0.1,AA22&lt;=0.2),5,IF(AND(AA22&gt;0.2,AA22&lt;=0.3),4,IF(AND(AA22&gt;0.3,AA22&lt;=0.4),3,IF(AND(AA22&gt;0.4,AA22&lt;=0.5),2,IF(AA22&gt;0.5,1))))))))))</f>
        <v>1</v>
      </c>
      <c r="D22" s="555">
        <f t="shared" si="3"/>
        <v>10</v>
      </c>
      <c r="E22" s="556">
        <f t="shared" si="4"/>
        <v>2.4</v>
      </c>
      <c r="F22" s="557" t="str">
        <f t="shared" si="5"/>
        <v xml:space="preserve">     -</v>
      </c>
      <c r="G22" s="558" t="str">
        <f t="shared" si="22"/>
        <v/>
      </c>
      <c r="H22" s="559" t="e">
        <f t="shared" si="7"/>
        <v>#VALUE!</v>
      </c>
      <c r="I22" s="560" t="e">
        <f t="shared" si="8"/>
        <v>#VALUE!</v>
      </c>
      <c r="J22" s="561" t="e">
        <f t="shared" si="9"/>
        <v>#VALUE!</v>
      </c>
      <c r="K22" s="562">
        <v>275</v>
      </c>
      <c r="L22" s="563">
        <v>44868</v>
      </c>
      <c r="M22" s="247"/>
      <c r="N22" s="247" t="s">
        <v>1537</v>
      </c>
      <c r="O22" s="247" t="s">
        <v>1665</v>
      </c>
      <c r="P22" s="247" t="s">
        <v>1605</v>
      </c>
      <c r="Q22" s="247">
        <v>1860</v>
      </c>
      <c r="R22" s="247" t="s">
        <v>1540</v>
      </c>
      <c r="S22" s="247" t="s">
        <v>1666</v>
      </c>
      <c r="T22" s="564" t="s">
        <v>1667</v>
      </c>
      <c r="U22" s="565" t="s">
        <v>1583</v>
      </c>
      <c r="V22" s="566" t="s">
        <v>1668</v>
      </c>
      <c r="W22" s="564" t="s">
        <v>1669</v>
      </c>
      <c r="X22" s="565" t="s">
        <v>1670</v>
      </c>
      <c r="Y22" s="247" t="str">
        <f t="shared" si="10"/>
        <v/>
      </c>
      <c r="Z22" s="247" t="str">
        <f t="shared" si="11"/>
        <v/>
      </c>
      <c r="AA22" s="567" t="str">
        <f t="shared" si="12"/>
        <v/>
      </c>
      <c r="AB22" s="567" t="str">
        <f t="shared" si="13"/>
        <v/>
      </c>
      <c r="AC22" s="247">
        <f t="shared" si="14"/>
        <v>0</v>
      </c>
      <c r="AD22" s="247">
        <f t="shared" si="15"/>
        <v>67</v>
      </c>
      <c r="AE22" s="567">
        <f t="shared" si="16"/>
        <v>1</v>
      </c>
      <c r="AF22" s="247" t="str">
        <f t="shared" si="17"/>
        <v/>
      </c>
      <c r="AG22" s="247">
        <f t="shared" si="18"/>
        <v>50</v>
      </c>
      <c r="AH22" s="557" t="str">
        <f t="shared" si="19"/>
        <v/>
      </c>
    </row>
    <row r="23" spans="1:34">
      <c r="A23" s="555">
        <f t="shared" si="0"/>
        <v>10</v>
      </c>
      <c r="B23" s="556">
        <f>IF(AF23&lt;=AG23,1,IF(AH23&lt;=0.005,2,IF(AND(AH23&gt;0.005,AH23&lt;=0.02, L182),4,IF(AND(AH23&gt;0.02,AH23&lt;=0.05),5,IF(AND(AH23&gt;0.05,AH23&lt;=0.1),7,IF(AND(AH23&gt;0.1,AH23&lt;=0.2),8,IF(AH23&gt;0.2,10)))))))</f>
        <v>10</v>
      </c>
      <c r="C23" s="555">
        <f>IF(AA23&lt;=0.005,10,IF(AND(AA23&gt;0.005,AA23&lt;=0.01, C167),9,IF(AND(AA23&gt;0.01,AA23&lt;=0.02),8,IF(AND(AA23&gt;0.02,AA23&lt;=0.05),7,IF(AND(AA23&gt;0.05,AA23&lt;=0.1),6,IF(AND(AA23&gt;0.1,AA23&lt;=0.2),5,IF(AND(AA23&gt;0.2,AA23&lt;=0.3),4,IF(AND(AA23&gt;0.3,AA23&lt;=0.4),3,IF(AND(AA23&gt;0.4,AA23&lt;=0.5),2,IF(AA23&gt;0.5,1))))))))))</f>
        <v>1</v>
      </c>
      <c r="D23" s="555">
        <f t="shared" si="3"/>
        <v>10</v>
      </c>
      <c r="E23" s="556">
        <f t="shared" si="4"/>
        <v>3.1</v>
      </c>
      <c r="F23" s="557" t="str">
        <f t="shared" si="5"/>
        <v xml:space="preserve">     -</v>
      </c>
      <c r="G23" s="558">
        <f t="shared" si="22"/>
        <v>1.3438000000000001</v>
      </c>
      <c r="H23" s="559">
        <f t="shared" si="7"/>
        <v>-1</v>
      </c>
      <c r="I23" s="560">
        <f t="shared" si="8"/>
        <v>2150</v>
      </c>
      <c r="J23" s="561">
        <f t="shared" si="9"/>
        <v>1600</v>
      </c>
      <c r="K23" s="562">
        <v>25</v>
      </c>
      <c r="L23" s="563">
        <v>44868</v>
      </c>
      <c r="M23" s="247"/>
      <c r="N23" s="247" t="s">
        <v>1671</v>
      </c>
      <c r="O23" s="247" t="s">
        <v>932</v>
      </c>
      <c r="P23" s="247">
        <v>44868</v>
      </c>
      <c r="Q23" s="247">
        <v>41300</v>
      </c>
      <c r="R23" s="247" t="s">
        <v>1548</v>
      </c>
      <c r="S23" s="247" t="s">
        <v>1672</v>
      </c>
      <c r="T23" s="564" t="s">
        <v>1673</v>
      </c>
      <c r="U23" s="565" t="s">
        <v>1674</v>
      </c>
      <c r="V23" s="566" t="s">
        <v>1675</v>
      </c>
      <c r="W23" s="564" t="s">
        <v>1676</v>
      </c>
      <c r="X23" s="565" t="s">
        <v>1677</v>
      </c>
      <c r="Y23" s="247">
        <f t="shared" si="10"/>
        <v>64</v>
      </c>
      <c r="Z23" s="247" t="str">
        <f t="shared" si="11"/>
        <v/>
      </c>
      <c r="AA23" s="567" t="str">
        <f t="shared" si="12"/>
        <v/>
      </c>
      <c r="AB23" s="567" t="str">
        <f t="shared" si="13"/>
        <v/>
      </c>
      <c r="AC23" s="247">
        <f t="shared" si="14"/>
        <v>215</v>
      </c>
      <c r="AD23" s="247">
        <f t="shared" si="15"/>
        <v>150</v>
      </c>
      <c r="AE23" s="567" t="str">
        <f t="shared" si="16"/>
        <v>Tgt Hit</v>
      </c>
      <c r="AF23" s="247">
        <f t="shared" si="17"/>
        <v>36</v>
      </c>
      <c r="AG23" s="247">
        <f t="shared" si="18"/>
        <v>0</v>
      </c>
      <c r="AH23" s="557" t="str">
        <f t="shared" si="19"/>
        <v/>
      </c>
    </row>
    <row r="24" spans="1:34">
      <c r="A24" s="555">
        <f t="shared" si="0"/>
        <v>1</v>
      </c>
      <c r="B24" s="556">
        <f>IF(AF24&lt;=AG24,1,IF(AH24&lt;=0.005,2,IF(AND(AH24&gt;0.005,AH24&lt;=0.02, L184),4,IF(AND(AH24&gt;0.02,AH24&lt;=0.05),5,IF(AND(AH24&gt;0.05,AH24&lt;=0.1),7,IF(AND(AH24&gt;0.1,AH24&lt;=0.2),8,IF(AH24&gt;0.2,10)))))))</f>
        <v>10</v>
      </c>
      <c r="C24" s="555">
        <f>IF(AA24&lt;=0.005,10,IF(AND(AA24&gt;0.005,AA24&lt;=0.01, C169),9,IF(AND(AA24&gt;0.01,AA24&lt;=0.02),8,IF(AND(AA24&gt;0.02,AA24&lt;=0.05),7,IF(AND(AA24&gt;0.05,AA24&lt;=0.1),6,IF(AND(AA24&gt;0.1,AA24&lt;=0.2),5,IF(AND(AA24&gt;0.2,AA24&lt;=0.3),4,IF(AND(AA24&gt;0.3,AA24&lt;=0.4),3,IF(AND(AA24&gt;0.4,AA24&lt;=0.5),2,IF(AA24&gt;0.5,1))))))))))</f>
        <v>10</v>
      </c>
      <c r="D24" s="555">
        <f t="shared" si="3"/>
        <v>1</v>
      </c>
      <c r="E24" s="556">
        <f t="shared" si="4"/>
        <v>8.6</v>
      </c>
      <c r="F24" s="557" t="str">
        <f t="shared" si="5"/>
        <v xml:space="preserve">     -</v>
      </c>
      <c r="G24" s="558" t="str">
        <f t="shared" si="22"/>
        <v/>
      </c>
      <c r="H24" s="559">
        <f t="shared" si="7"/>
        <v>-1</v>
      </c>
      <c r="I24" s="560" t="e">
        <f t="shared" si="8"/>
        <v>#VALUE!</v>
      </c>
      <c r="J24" s="561">
        <f t="shared" si="9"/>
        <v>70075500</v>
      </c>
      <c r="K24" s="562">
        <v>1550</v>
      </c>
      <c r="L24" s="563">
        <v>44868</v>
      </c>
      <c r="M24" s="247"/>
      <c r="N24" s="247" t="s">
        <v>1573</v>
      </c>
      <c r="O24" s="247" t="s">
        <v>1678</v>
      </c>
      <c r="P24" s="247" t="s">
        <v>1605</v>
      </c>
      <c r="Q24" s="247">
        <v>300</v>
      </c>
      <c r="R24" s="247" t="s">
        <v>1540</v>
      </c>
      <c r="S24" s="247" t="s">
        <v>1679</v>
      </c>
      <c r="T24" s="564" t="s">
        <v>1680</v>
      </c>
      <c r="U24" s="565" t="s">
        <v>1681</v>
      </c>
      <c r="V24" s="566" t="s">
        <v>1682</v>
      </c>
      <c r="W24" s="564" t="s">
        <v>1683</v>
      </c>
      <c r="X24" s="565" t="s">
        <v>1684</v>
      </c>
      <c r="Y24" s="247">
        <f t="shared" si="10"/>
        <v>45210</v>
      </c>
      <c r="Z24" s="247">
        <f t="shared" si="11"/>
        <v>13</v>
      </c>
      <c r="AA24" s="567">
        <f t="shared" si="12"/>
        <v>-1</v>
      </c>
      <c r="AB24" s="567">
        <f t="shared" si="13"/>
        <v>-1</v>
      </c>
      <c r="AC24" s="247">
        <f t="shared" si="14"/>
        <v>0</v>
      </c>
      <c r="AD24" s="247" t="str">
        <f t="shared" si="15"/>
        <v/>
      </c>
      <c r="AE24" s="567" t="str">
        <f t="shared" si="16"/>
        <v/>
      </c>
      <c r="AF24" s="247">
        <f t="shared" si="17"/>
        <v>33055</v>
      </c>
      <c r="AG24" s="247">
        <f t="shared" si="18"/>
        <v>0</v>
      </c>
      <c r="AH24" s="557" t="str">
        <f t="shared" si="19"/>
        <v/>
      </c>
    </row>
    <row r="25" spans="1:34">
      <c r="A25" s="555">
        <f t="shared" si="0"/>
        <v>1</v>
      </c>
      <c r="B25" s="556">
        <f t="shared" ref="B25:B26" si="35">IF(AF25&lt;=AG25,1,IF(AH25&lt;=0.005,2,IF(AND(AH25&gt;0.005,AH25&lt;=0.02, L182),4,IF(AND(AH25&gt;0.02,AH25&lt;=0.05),5,IF(AND(AH25&gt;0.05,AH25&lt;=0.1),7,IF(AND(AH25&gt;0.1,AH25&lt;=0.2),8,IF(AH25&gt;0.2,10)))))))</f>
        <v>10</v>
      </c>
      <c r="C25" s="555">
        <f t="shared" ref="C25:C26" si="36">IF(AA25&lt;=0.005,10,IF(AND(AA25&gt;0.005,AA25&lt;=0.01, C167),9,IF(AND(AA25&gt;0.01,AA25&lt;=0.02),8,IF(AND(AA25&gt;0.02,AA25&lt;=0.05),7,IF(AND(AA25&gt;0.05,AA25&lt;=0.1),6,IF(AND(AA25&gt;0.1,AA25&lt;=0.2),5,IF(AND(AA25&gt;0.2,AA25&lt;=0.3),4,IF(AND(AA25&gt;0.3,AA25&lt;=0.4),3,IF(AND(AA25&gt;0.4,AA25&lt;=0.5),2,IF(AA25&gt;0.5,1))))))))))</f>
        <v>2</v>
      </c>
      <c r="D25" s="555">
        <f t="shared" si="3"/>
        <v>1</v>
      </c>
      <c r="E25" s="556">
        <f t="shared" si="4"/>
        <v>2.5</v>
      </c>
      <c r="F25" s="557" t="str">
        <f t="shared" si="5"/>
        <v xml:space="preserve">     -</v>
      </c>
      <c r="G25" s="558" t="str">
        <f t="shared" si="22"/>
        <v/>
      </c>
      <c r="H25" s="559">
        <f t="shared" si="7"/>
        <v>-0.53800000000000003</v>
      </c>
      <c r="I25" s="560" t="e">
        <f t="shared" si="8"/>
        <v>#VALUE!</v>
      </c>
      <c r="J25" s="561">
        <f t="shared" si="9"/>
        <v>64075000</v>
      </c>
      <c r="K25" s="562">
        <v>5000</v>
      </c>
      <c r="L25" s="563">
        <v>44869</v>
      </c>
      <c r="M25" s="247"/>
      <c r="N25" s="247" t="s">
        <v>1537</v>
      </c>
      <c r="O25" s="247" t="s">
        <v>587</v>
      </c>
      <c r="P25" s="247" t="s">
        <v>1605</v>
      </c>
      <c r="Q25" s="247">
        <v>137</v>
      </c>
      <c r="R25" s="247" t="s">
        <v>1548</v>
      </c>
      <c r="S25" s="247" t="s">
        <v>1685</v>
      </c>
      <c r="T25" s="564" t="s">
        <v>1686</v>
      </c>
      <c r="U25" s="565" t="s">
        <v>1687</v>
      </c>
      <c r="V25" s="566" t="s">
        <v>1688</v>
      </c>
      <c r="W25" s="564" t="s">
        <v>1689</v>
      </c>
      <c r="X25" s="565" t="s">
        <v>1690</v>
      </c>
      <c r="Y25" s="247">
        <f t="shared" si="10"/>
        <v>23833</v>
      </c>
      <c r="Z25" s="247">
        <f t="shared" si="11"/>
        <v>34790</v>
      </c>
      <c r="AA25" s="567">
        <f t="shared" si="12"/>
        <v>0.46</v>
      </c>
      <c r="AB25" s="567">
        <f t="shared" si="13"/>
        <v>-0.47199999999999998</v>
      </c>
      <c r="AC25" s="247">
        <f t="shared" si="14"/>
        <v>18384</v>
      </c>
      <c r="AD25" s="247" t="str">
        <f t="shared" si="15"/>
        <v/>
      </c>
      <c r="AE25" s="567" t="str">
        <f t="shared" si="16"/>
        <v/>
      </c>
      <c r="AF25" s="247">
        <f t="shared" si="17"/>
        <v>25628</v>
      </c>
      <c r="AG25" s="247">
        <f t="shared" si="18"/>
        <v>11018</v>
      </c>
      <c r="AH25" s="557">
        <f t="shared" si="19"/>
        <v>1.3260000000000001</v>
      </c>
    </row>
    <row r="26" spans="1:34">
      <c r="A26" s="555">
        <f t="shared" si="0"/>
        <v>1</v>
      </c>
      <c r="B26" s="556">
        <f t="shared" si="35"/>
        <v>10</v>
      </c>
      <c r="C26" s="555">
        <f t="shared" si="36"/>
        <v>10</v>
      </c>
      <c r="D26" s="555">
        <f t="shared" si="3"/>
        <v>1</v>
      </c>
      <c r="E26" s="556">
        <f t="shared" si="4"/>
        <v>8.6</v>
      </c>
      <c r="F26" s="557" t="str">
        <f t="shared" si="5"/>
        <v xml:space="preserve">     -</v>
      </c>
      <c r="G26" s="558" t="str">
        <f t="shared" si="22"/>
        <v/>
      </c>
      <c r="H26" s="559">
        <f t="shared" si="7"/>
        <v>-0.56399999999999995</v>
      </c>
      <c r="I26" s="560" t="e">
        <f t="shared" si="8"/>
        <v>#VALUE!</v>
      </c>
      <c r="J26" s="561">
        <f t="shared" si="9"/>
        <v>64181700</v>
      </c>
      <c r="K26" s="562">
        <v>2700</v>
      </c>
      <c r="L26" s="563">
        <v>44869</v>
      </c>
      <c r="M26" s="247"/>
      <c r="N26" s="247" t="s">
        <v>1573</v>
      </c>
      <c r="O26" s="247" t="s">
        <v>675</v>
      </c>
      <c r="P26" s="247" t="s">
        <v>1605</v>
      </c>
      <c r="Q26" s="247">
        <v>210</v>
      </c>
      <c r="R26" s="247" t="s">
        <v>1540</v>
      </c>
      <c r="S26" s="247" t="s">
        <v>1691</v>
      </c>
      <c r="T26" s="564" t="s">
        <v>1692</v>
      </c>
      <c r="U26" s="565" t="s">
        <v>1693</v>
      </c>
      <c r="V26" s="566" t="s">
        <v>1694</v>
      </c>
      <c r="W26" s="564" t="s">
        <v>1695</v>
      </c>
      <c r="X26" s="565" t="s">
        <v>1696</v>
      </c>
      <c r="Y26" s="247">
        <f t="shared" si="10"/>
        <v>42125</v>
      </c>
      <c r="Z26" s="247">
        <f t="shared" si="11"/>
        <v>23894</v>
      </c>
      <c r="AA26" s="567">
        <f t="shared" si="12"/>
        <v>-0.433</v>
      </c>
      <c r="AB26" s="567">
        <f t="shared" si="13"/>
        <v>-1</v>
      </c>
      <c r="AC26" s="247">
        <f t="shared" si="14"/>
        <v>0</v>
      </c>
      <c r="AD26" s="247" t="str">
        <f t="shared" si="15"/>
        <v/>
      </c>
      <c r="AE26" s="567" t="str">
        <f t="shared" si="16"/>
        <v/>
      </c>
      <c r="AF26" s="247">
        <f t="shared" si="17"/>
        <v>32994</v>
      </c>
      <c r="AG26" s="247">
        <f t="shared" si="18"/>
        <v>18354</v>
      </c>
      <c r="AH26" s="557">
        <f t="shared" si="19"/>
        <v>0.79800000000000004</v>
      </c>
    </row>
    <row r="27" spans="1:34">
      <c r="A27" s="555">
        <f t="shared" si="0"/>
        <v>1</v>
      </c>
      <c r="B27" s="556">
        <f t="shared" ref="B27:B28" si="37">IF(AF27&lt;=AG27,1,IF(AH27&lt;=0.005,2,IF(AND(AH27&gt;0.005,AH27&lt;=0.02, L182),4,IF(AND(AH27&gt;0.02,AH27&lt;=0.05),5,IF(AND(AH27&gt;0.05,AH27&lt;=0.1),7,IF(AND(AH27&gt;0.1,AH27&lt;=0.2),8,IF(AH27&gt;0.2,10)))))))</f>
        <v>10</v>
      </c>
      <c r="C27" s="555">
        <f t="shared" ref="C27:C28" si="38">IF(AA27&lt;=0.005,10,IF(AND(AA27&gt;0.005,AA27&lt;=0.01, C167),9,IF(AND(AA27&gt;0.01,AA27&lt;=0.02),8,IF(AND(AA27&gt;0.02,AA27&lt;=0.05),7,IF(AND(AA27&gt;0.05,AA27&lt;=0.1),6,IF(AND(AA27&gt;0.1,AA27&lt;=0.2),5,IF(AND(AA27&gt;0.2,AA27&lt;=0.3),4,IF(AND(AA27&gt;0.3,AA27&lt;=0.4),3,IF(AND(AA27&gt;0.4,AA27&lt;=0.5),2,IF(AA27&gt;0.5,1))))))))))</f>
        <v>1</v>
      </c>
      <c r="D27" s="555">
        <f t="shared" si="3"/>
        <v>10</v>
      </c>
      <c r="E27" s="556">
        <f t="shared" si="4"/>
        <v>2.4</v>
      </c>
      <c r="F27" s="557" t="str">
        <f t="shared" si="5"/>
        <v xml:space="preserve">     -</v>
      </c>
      <c r="G27" s="558" t="str">
        <f t="shared" si="22"/>
        <v/>
      </c>
      <c r="H27" s="559" t="e">
        <f t="shared" si="7"/>
        <v>#VALUE!</v>
      </c>
      <c r="I27" s="560" t="e">
        <f t="shared" si="8"/>
        <v>#VALUE!</v>
      </c>
      <c r="J27" s="561" t="e">
        <f t="shared" si="9"/>
        <v>#VALUE!</v>
      </c>
      <c r="K27" s="562">
        <v>1075</v>
      </c>
      <c r="L27" s="563">
        <v>44872</v>
      </c>
      <c r="M27" s="247"/>
      <c r="N27" s="247" t="s">
        <v>1547</v>
      </c>
      <c r="O27" s="247" t="s">
        <v>467</v>
      </c>
      <c r="P27" s="247" t="s">
        <v>1605</v>
      </c>
      <c r="Q27" s="247">
        <v>430</v>
      </c>
      <c r="R27" s="247" t="s">
        <v>1548</v>
      </c>
      <c r="S27" s="247" t="s">
        <v>1697</v>
      </c>
      <c r="T27" s="564" t="s">
        <v>1698</v>
      </c>
      <c r="U27" s="565" t="s">
        <v>1681</v>
      </c>
      <c r="V27" s="566" t="s">
        <v>1699</v>
      </c>
      <c r="W27" s="564" t="s">
        <v>1700</v>
      </c>
      <c r="X27" s="565" t="s">
        <v>1701</v>
      </c>
      <c r="Y27" s="247" t="str">
        <f t="shared" si="10"/>
        <v/>
      </c>
      <c r="Z27" s="247" t="str">
        <f t="shared" si="11"/>
        <v/>
      </c>
      <c r="AA27" s="567" t="str">
        <f t="shared" si="12"/>
        <v/>
      </c>
      <c r="AB27" s="567" t="str">
        <f t="shared" si="13"/>
        <v/>
      </c>
      <c r="AC27" s="247">
        <f t="shared" si="14"/>
        <v>0</v>
      </c>
      <c r="AD27" s="247" t="str">
        <f t="shared" si="15"/>
        <v/>
      </c>
      <c r="AE27" s="567" t="str">
        <f t="shared" si="16"/>
        <v/>
      </c>
      <c r="AF27" s="247">
        <f t="shared" si="17"/>
        <v>13119</v>
      </c>
      <c r="AG27" s="247">
        <f t="shared" si="18"/>
        <v>0</v>
      </c>
      <c r="AH27" s="557" t="str">
        <f t="shared" si="19"/>
        <v/>
      </c>
    </row>
    <row r="28" spans="1:34">
      <c r="A28" s="555">
        <f t="shared" si="0"/>
        <v>1</v>
      </c>
      <c r="B28" s="556">
        <f t="shared" si="37"/>
        <v>10</v>
      </c>
      <c r="C28" s="555">
        <f t="shared" si="38"/>
        <v>1</v>
      </c>
      <c r="D28" s="555">
        <f t="shared" si="3"/>
        <v>10</v>
      </c>
      <c r="E28" s="556">
        <f t="shared" si="4"/>
        <v>2.4</v>
      </c>
      <c r="F28" s="557" t="str">
        <f t="shared" si="5"/>
        <v xml:space="preserve">     -</v>
      </c>
      <c r="G28" s="558">
        <f t="shared" si="22"/>
        <v>-0.99929999999999997</v>
      </c>
      <c r="H28" s="559">
        <f t="shared" si="7"/>
        <v>-1</v>
      </c>
      <c r="I28" s="560">
        <f t="shared" si="8"/>
        <v>-36152800</v>
      </c>
      <c r="J28" s="561">
        <f t="shared" si="9"/>
        <v>36160800</v>
      </c>
      <c r="K28" s="562">
        <v>800</v>
      </c>
      <c r="L28" s="563">
        <v>44872</v>
      </c>
      <c r="M28" s="247"/>
      <c r="N28" s="247" t="s">
        <v>1573</v>
      </c>
      <c r="O28" s="247" t="s">
        <v>673</v>
      </c>
      <c r="P28" s="247" t="s">
        <v>1605</v>
      </c>
      <c r="Q28" s="247">
        <v>900</v>
      </c>
      <c r="R28" s="247" t="s">
        <v>1548</v>
      </c>
      <c r="S28" s="247" t="s">
        <v>1702</v>
      </c>
      <c r="T28" s="564" t="s">
        <v>1703</v>
      </c>
      <c r="U28" s="565" t="s">
        <v>1704</v>
      </c>
      <c r="V28" s="566" t="s">
        <v>1705</v>
      </c>
      <c r="W28" s="564" t="s">
        <v>1706</v>
      </c>
      <c r="X28" s="565" t="s">
        <v>1707</v>
      </c>
      <c r="Y28" s="247">
        <f t="shared" si="10"/>
        <v>45221</v>
      </c>
      <c r="Z28" s="247" t="str">
        <f t="shared" si="11"/>
        <v/>
      </c>
      <c r="AA28" s="567" t="str">
        <f t="shared" si="12"/>
        <v/>
      </c>
      <c r="AB28" s="567" t="str">
        <f t="shared" si="13"/>
        <v/>
      </c>
      <c r="AC28" s="247">
        <f t="shared" si="14"/>
        <v>0</v>
      </c>
      <c r="AD28" s="247">
        <f t="shared" si="15"/>
        <v>30</v>
      </c>
      <c r="AE28" s="567">
        <f t="shared" si="16"/>
        <v>1</v>
      </c>
      <c r="AF28" s="247">
        <f t="shared" si="17"/>
        <v>45063</v>
      </c>
      <c r="AG28" s="247">
        <f t="shared" si="18"/>
        <v>20</v>
      </c>
      <c r="AH28" s="557">
        <f t="shared" si="19"/>
        <v>2252.15</v>
      </c>
    </row>
    <row r="29" spans="1:34">
      <c r="A29" s="555">
        <f t="shared" si="0"/>
        <v>5</v>
      </c>
      <c r="B29" s="556">
        <f t="shared" ref="B29:B30" si="39">IF(AF29&lt;=AG29,1,IF(AH29&lt;=0.005,2,IF(AND(AH29&gt;0.005,AH29&lt;=0.02, L182),4,IF(AND(AH29&gt;0.02,AH29&lt;=0.05),5,IF(AND(AH29&gt;0.05,AH29&lt;=0.1),7,IF(AND(AH29&gt;0.1,AH29&lt;=0.2),8,IF(AH29&gt;0.2,10)))))))</f>
        <v>10</v>
      </c>
      <c r="C29" s="555">
        <f t="shared" ref="C29:C30" si="40">IF(AA29&lt;=0.005,10,IF(AND(AA29&gt;0.005,AA29&lt;=0.01, C167),9,IF(AND(AA29&gt;0.01,AA29&lt;=0.02),8,IF(AND(AA29&gt;0.02,AA29&lt;=0.05),7,IF(AND(AA29&gt;0.05,AA29&lt;=0.1),6,IF(AND(AA29&gt;0.1,AA29&lt;=0.2),5,IF(AND(AA29&gt;0.2,AA29&lt;=0.3),4,IF(AND(AA29&gt;0.3,AA29&lt;=0.4),3,IF(AND(AA29&gt;0.4,AA29&lt;=0.5),2,IF(AA29&gt;0.5,1))))))))))</f>
        <v>10</v>
      </c>
      <c r="D29" s="555">
        <f t="shared" si="3"/>
        <v>1</v>
      </c>
      <c r="E29" s="556">
        <f t="shared" si="4"/>
        <v>8.9</v>
      </c>
      <c r="F29" s="557" t="str">
        <f t="shared" si="5"/>
        <v xml:space="preserve">     -</v>
      </c>
      <c r="G29" s="558">
        <f t="shared" si="22"/>
        <v>0.12790000000000001</v>
      </c>
      <c r="H29" s="559">
        <f t="shared" si="7"/>
        <v>-0.438</v>
      </c>
      <c r="I29" s="560">
        <f t="shared" si="8"/>
        <v>15903500</v>
      </c>
      <c r="J29" s="561">
        <f t="shared" si="9"/>
        <v>54459500</v>
      </c>
      <c r="K29" s="562">
        <v>4250</v>
      </c>
      <c r="L29" s="563">
        <v>44872</v>
      </c>
      <c r="M29" s="247"/>
      <c r="N29" s="247" t="s">
        <v>1671</v>
      </c>
      <c r="O29" s="247" t="s">
        <v>590</v>
      </c>
      <c r="P29" s="247" t="s">
        <v>1605</v>
      </c>
      <c r="Q29" s="247">
        <v>107</v>
      </c>
      <c r="R29" s="247" t="s">
        <v>1548</v>
      </c>
      <c r="S29" s="247" t="s">
        <v>1708</v>
      </c>
      <c r="T29" s="564" t="s">
        <v>1709</v>
      </c>
      <c r="U29" s="565" t="s">
        <v>1710</v>
      </c>
      <c r="V29" s="566" t="s">
        <v>1711</v>
      </c>
      <c r="W29" s="564" t="s">
        <v>1712</v>
      </c>
      <c r="X29" s="565" t="s">
        <v>1713</v>
      </c>
      <c r="Y29" s="247">
        <f t="shared" si="10"/>
        <v>29252</v>
      </c>
      <c r="Z29" s="247">
        <f t="shared" si="11"/>
        <v>27426</v>
      </c>
      <c r="AA29" s="567">
        <f t="shared" si="12"/>
        <v>-6.2E-2</v>
      </c>
      <c r="AB29" s="567">
        <f t="shared" si="13"/>
        <v>-6.6000000000000003E-2</v>
      </c>
      <c r="AC29" s="247">
        <f t="shared" si="14"/>
        <v>25628</v>
      </c>
      <c r="AD29" s="247">
        <f t="shared" si="15"/>
        <v>32994</v>
      </c>
      <c r="AE29" s="567">
        <f t="shared" si="16"/>
        <v>0.223</v>
      </c>
      <c r="AF29" s="247">
        <f t="shared" si="17"/>
        <v>45689</v>
      </c>
      <c r="AG29" s="247">
        <f t="shared" si="18"/>
        <v>16438</v>
      </c>
      <c r="AH29" s="557">
        <f t="shared" si="19"/>
        <v>1.7789999999999999</v>
      </c>
    </row>
    <row r="30" spans="1:34">
      <c r="A30" s="555">
        <f t="shared" si="0"/>
        <v>1</v>
      </c>
      <c r="B30" s="556">
        <f t="shared" si="39"/>
        <v>10</v>
      </c>
      <c r="C30" s="555">
        <f t="shared" si="40"/>
        <v>1</v>
      </c>
      <c r="D30" s="555">
        <f t="shared" si="3"/>
        <v>1</v>
      </c>
      <c r="E30" s="556">
        <f t="shared" si="4"/>
        <v>1.7</v>
      </c>
      <c r="F30" s="557" t="str">
        <f t="shared" si="5"/>
        <v xml:space="preserve">     -</v>
      </c>
      <c r="G30" s="558" t="str">
        <f t="shared" si="22"/>
        <v/>
      </c>
      <c r="H30" s="559">
        <f t="shared" si="7"/>
        <v>-1</v>
      </c>
      <c r="I30" s="560" t="e">
        <f t="shared" si="8"/>
        <v>#VALUE!</v>
      </c>
      <c r="J30" s="561">
        <f t="shared" si="9"/>
        <v>106850250</v>
      </c>
      <c r="K30" s="562">
        <v>9750</v>
      </c>
      <c r="L30" s="563">
        <v>44872</v>
      </c>
      <c r="M30" s="247"/>
      <c r="N30" s="247" t="s">
        <v>1671</v>
      </c>
      <c r="O30" s="247" t="s">
        <v>503</v>
      </c>
      <c r="P30" s="247" t="s">
        <v>1605</v>
      </c>
      <c r="Q30" s="247">
        <v>70</v>
      </c>
      <c r="R30" s="247" t="s">
        <v>1548</v>
      </c>
      <c r="S30" s="247" t="s">
        <v>1714</v>
      </c>
      <c r="T30" s="564" t="s">
        <v>1715</v>
      </c>
      <c r="U30" s="565" t="s">
        <v>1716</v>
      </c>
      <c r="V30" s="566" t="s">
        <v>1717</v>
      </c>
      <c r="W30" s="564" t="s">
        <v>1718</v>
      </c>
      <c r="X30" s="565" t="s">
        <v>1719</v>
      </c>
      <c r="Y30" s="247">
        <f t="shared" si="10"/>
        <v>10959</v>
      </c>
      <c r="Z30" s="247">
        <f t="shared" si="11"/>
        <v>42005</v>
      </c>
      <c r="AA30" s="567">
        <f t="shared" si="12"/>
        <v>2.8330000000000002</v>
      </c>
      <c r="AB30" s="567">
        <f t="shared" si="13"/>
        <v>-0.39100000000000001</v>
      </c>
      <c r="AC30" s="247">
        <f t="shared" si="14"/>
        <v>25569</v>
      </c>
      <c r="AD30" s="247" t="str">
        <f t="shared" si="15"/>
        <v/>
      </c>
      <c r="AE30" s="567" t="str">
        <f t="shared" si="16"/>
        <v/>
      </c>
      <c r="AF30" s="247">
        <f t="shared" si="17"/>
        <v>45200</v>
      </c>
      <c r="AG30" s="247">
        <f t="shared" si="18"/>
        <v>0</v>
      </c>
      <c r="AH30" s="557" t="str">
        <f t="shared" si="19"/>
        <v/>
      </c>
    </row>
    <row r="31" spans="1:34">
      <c r="A31" s="555">
        <f t="shared" si="0"/>
        <v>7</v>
      </c>
      <c r="B31" s="556">
        <f t="shared" ref="B31:B32" si="41">IF(AF31&lt;=AG31,1,IF(AH31&lt;=0.005,2,IF(AND(AH31&gt;0.005,AH31&lt;=0.02, L182),4,IF(AND(AH31&gt;0.02,AH31&lt;=0.05),5,IF(AND(AH31&gt;0.05,AH31&lt;=0.1),7,IF(AND(AH31&gt;0.1,AH31&lt;=0.2),8,IF(AH31&gt;0.2,10)))))))</f>
        <v>10</v>
      </c>
      <c r="C31" s="555">
        <f t="shared" ref="C31:C32" si="42">IF(AA31&lt;=0.005,10,IF(AND(AA31&gt;0.005,AA31&lt;=0.01, C167),9,IF(AND(AA31&gt;0.01,AA31&lt;=0.02),8,IF(AND(AA31&gt;0.02,AA31&lt;=0.05),7,IF(AND(AA31&gt;0.05,AA31&lt;=0.1),6,IF(AND(AA31&gt;0.1,AA31&lt;=0.2),5,IF(AND(AA31&gt;0.2,AA31&lt;=0.3),4,IF(AND(AA31&gt;0.3,AA31&lt;=0.4),3,IF(AND(AA31&gt;0.4,AA31&lt;=0.5),2,IF(AA31&gt;0.5,1))))))))))</f>
        <v>1</v>
      </c>
      <c r="D31" s="555">
        <f t="shared" si="3"/>
        <v>6</v>
      </c>
      <c r="E31" s="556">
        <f t="shared" si="4"/>
        <v>2.5</v>
      </c>
      <c r="F31" s="557" t="str">
        <f t="shared" si="5"/>
        <v xml:space="preserve">     -</v>
      </c>
      <c r="G31" s="558" t="str">
        <f t="shared" si="22"/>
        <v/>
      </c>
      <c r="H31" s="559" t="e">
        <f t="shared" si="7"/>
        <v>#VALUE!</v>
      </c>
      <c r="I31" s="560" t="e">
        <f t="shared" si="8"/>
        <v>#VALUE!</v>
      </c>
      <c r="J31" s="561" t="e">
        <f t="shared" si="9"/>
        <v>#VALUE!</v>
      </c>
      <c r="K31" s="562">
        <v>250</v>
      </c>
      <c r="L31" s="563">
        <v>44874</v>
      </c>
      <c r="M31" s="247"/>
      <c r="N31" s="247" t="s">
        <v>1573</v>
      </c>
      <c r="O31" s="247" t="s">
        <v>1720</v>
      </c>
      <c r="P31" s="247" t="s">
        <v>1605</v>
      </c>
      <c r="Q31" s="247">
        <v>2650</v>
      </c>
      <c r="R31" s="247" t="s">
        <v>1548</v>
      </c>
      <c r="S31" s="247" t="s">
        <v>1721</v>
      </c>
      <c r="T31" s="564" t="s">
        <v>1722</v>
      </c>
      <c r="U31" s="565" t="s">
        <v>1631</v>
      </c>
      <c r="V31" s="566" t="s">
        <v>1723</v>
      </c>
      <c r="W31" s="564" t="s">
        <v>1724</v>
      </c>
      <c r="X31" s="565" t="s">
        <v>1725</v>
      </c>
      <c r="Y31" s="247" t="str">
        <f t="shared" si="10"/>
        <v/>
      </c>
      <c r="Z31" s="247">
        <f t="shared" si="11"/>
        <v>71</v>
      </c>
      <c r="AA31" s="567" t="str">
        <f t="shared" si="12"/>
        <v/>
      </c>
      <c r="AB31" s="567">
        <f t="shared" si="13"/>
        <v>0.127</v>
      </c>
      <c r="AC31" s="247">
        <f t="shared" si="14"/>
        <v>80</v>
      </c>
      <c r="AD31" s="247">
        <f t="shared" si="15"/>
        <v>90</v>
      </c>
      <c r="AE31" s="567">
        <f t="shared" si="16"/>
        <v>0.111</v>
      </c>
      <c r="AF31" s="247">
        <f t="shared" si="17"/>
        <v>18507</v>
      </c>
      <c r="AG31" s="247">
        <f t="shared" si="18"/>
        <v>60</v>
      </c>
      <c r="AH31" s="557">
        <f t="shared" si="19"/>
        <v>307.45</v>
      </c>
    </row>
    <row r="32" spans="1:34">
      <c r="A32" s="555">
        <f t="shared" si="0"/>
        <v>1</v>
      </c>
      <c r="B32" s="556">
        <f t="shared" si="41"/>
        <v>10</v>
      </c>
      <c r="C32" s="555">
        <f t="shared" si="42"/>
        <v>1</v>
      </c>
      <c r="D32" s="555">
        <f t="shared" si="3"/>
        <v>10</v>
      </c>
      <c r="E32" s="556">
        <f t="shared" si="4"/>
        <v>2.4</v>
      </c>
      <c r="F32" s="557" t="str">
        <f t="shared" si="5"/>
        <v xml:space="preserve">     -</v>
      </c>
      <c r="G32" s="558" t="str">
        <f t="shared" si="22"/>
        <v/>
      </c>
      <c r="H32" s="559" t="e">
        <f t="shared" si="7"/>
        <v>#VALUE!</v>
      </c>
      <c r="I32" s="560" t="e">
        <f t="shared" si="8"/>
        <v>#VALUE!</v>
      </c>
      <c r="J32" s="561" t="e">
        <f t="shared" si="9"/>
        <v>#VALUE!</v>
      </c>
      <c r="K32" s="562">
        <v>300</v>
      </c>
      <c r="L32" s="563">
        <v>44874</v>
      </c>
      <c r="M32" s="247"/>
      <c r="N32" s="247" t="s">
        <v>1547</v>
      </c>
      <c r="O32" s="247" t="s">
        <v>461</v>
      </c>
      <c r="P32" s="247" t="s">
        <v>1605</v>
      </c>
      <c r="Q32" s="247">
        <v>2600</v>
      </c>
      <c r="R32" s="247" t="s">
        <v>1548</v>
      </c>
      <c r="S32" s="247" t="s">
        <v>1726</v>
      </c>
      <c r="T32" s="564" t="s">
        <v>1727</v>
      </c>
      <c r="U32" s="565" t="s">
        <v>1601</v>
      </c>
      <c r="V32" s="566" t="s">
        <v>1728</v>
      </c>
      <c r="W32" s="564" t="s">
        <v>1729</v>
      </c>
      <c r="X32" s="565" t="s">
        <v>1730</v>
      </c>
      <c r="Y32" s="247" t="str">
        <f t="shared" si="10"/>
        <v/>
      </c>
      <c r="Z32" s="247" t="str">
        <f t="shared" si="11"/>
        <v/>
      </c>
      <c r="AA32" s="567" t="str">
        <f t="shared" si="12"/>
        <v/>
      </c>
      <c r="AB32" s="567" t="str">
        <f t="shared" si="13"/>
        <v/>
      </c>
      <c r="AC32" s="247">
        <f t="shared" si="14"/>
        <v>0</v>
      </c>
      <c r="AD32" s="247">
        <f t="shared" si="15"/>
        <v>75</v>
      </c>
      <c r="AE32" s="567">
        <f t="shared" si="16"/>
        <v>1</v>
      </c>
      <c r="AF32" s="247" t="str">
        <f t="shared" si="17"/>
        <v/>
      </c>
      <c r="AG32" s="247">
        <f t="shared" si="18"/>
        <v>55</v>
      </c>
      <c r="AH32" s="557" t="str">
        <f t="shared" si="19"/>
        <v/>
      </c>
    </row>
    <row r="33" spans="1:34">
      <c r="A33" s="555">
        <f t="shared" si="0"/>
        <v>10</v>
      </c>
      <c r="B33" s="556">
        <f>IF(AF33&lt;=AG33,1,IF(AH33&lt;=0.005,2,IF(AND(AH33&gt;0.005,AH33&lt;=0.02, L183),4,IF(AND(AH33&gt;0.02,AH33&lt;=0.05),5,IF(AND(AH33&gt;0.05,AH33&lt;=0.1),7,IF(AND(AH33&gt;0.1,AH33&lt;=0.2),8,IF(AH33&gt;0.2,10)))))))</f>
        <v>10</v>
      </c>
      <c r="C33" s="555">
        <f>IF(AA33&lt;=0.005,10,IF(AND(AA33&gt;0.005,AA33&lt;=0.01, C168),9,IF(AND(AA33&gt;0.01,AA33&lt;=0.02),8,IF(AND(AA33&gt;0.02,AA33&lt;=0.05),7,IF(AND(AA33&gt;0.05,AA33&lt;=0.1),6,IF(AND(AA33&gt;0.1,AA33&lt;=0.2),5,IF(AND(AA33&gt;0.2,AA33&lt;=0.3),4,IF(AND(AA33&gt;0.3,AA33&lt;=0.4),3,IF(AND(AA33&gt;0.4,AA33&lt;=0.5),2,IF(AA33&gt;0.5,1))))))))))</f>
        <v>1</v>
      </c>
      <c r="D33" s="555">
        <f t="shared" si="3"/>
        <v>10</v>
      </c>
      <c r="E33" s="556">
        <f t="shared" si="4"/>
        <v>3.1</v>
      </c>
      <c r="F33" s="557" t="str">
        <f t="shared" si="5"/>
        <v xml:space="preserve">     -</v>
      </c>
      <c r="G33" s="558">
        <f t="shared" si="22"/>
        <v>-0.27929999999999999</v>
      </c>
      <c r="H33" s="559">
        <f t="shared" si="7"/>
        <v>-1</v>
      </c>
      <c r="I33" s="560">
        <f t="shared" si="8"/>
        <v>-204048000</v>
      </c>
      <c r="J33" s="561">
        <f t="shared" si="9"/>
        <v>730528000</v>
      </c>
      <c r="K33" s="562">
        <v>16000</v>
      </c>
      <c r="L33" s="563">
        <v>44874</v>
      </c>
      <c r="M33" s="247"/>
      <c r="N33" s="247" t="s">
        <v>1671</v>
      </c>
      <c r="O33" s="247" t="s">
        <v>519</v>
      </c>
      <c r="P33" s="247" t="s">
        <v>1605</v>
      </c>
      <c r="Q33" s="247">
        <v>44</v>
      </c>
      <c r="R33" s="247" t="s">
        <v>1548</v>
      </c>
      <c r="S33" s="247" t="s">
        <v>1731</v>
      </c>
      <c r="T33" s="564" t="s">
        <v>1732</v>
      </c>
      <c r="U33" s="565" t="s">
        <v>1733</v>
      </c>
      <c r="V33" s="566" t="s">
        <v>1734</v>
      </c>
      <c r="W33" s="564" t="s">
        <v>1735</v>
      </c>
      <c r="X33" s="565" t="s">
        <v>1736</v>
      </c>
      <c r="Y33" s="247">
        <f t="shared" si="10"/>
        <v>45658</v>
      </c>
      <c r="Z33" s="247" t="str">
        <f t="shared" si="11"/>
        <v/>
      </c>
      <c r="AA33" s="567" t="str">
        <f t="shared" si="12"/>
        <v/>
      </c>
      <c r="AB33" s="567" t="str">
        <f t="shared" si="13"/>
        <v/>
      </c>
      <c r="AC33" s="247">
        <f t="shared" si="14"/>
        <v>42064</v>
      </c>
      <c r="AD33" s="247">
        <f t="shared" si="15"/>
        <v>32905</v>
      </c>
      <c r="AE33" s="567" t="str">
        <f t="shared" si="16"/>
        <v>Tgt Hit</v>
      </c>
      <c r="AF33" s="247" t="str">
        <f t="shared" si="17"/>
        <v/>
      </c>
      <c r="AG33" s="247">
        <f t="shared" si="18"/>
        <v>0</v>
      </c>
      <c r="AH33" s="557" t="str">
        <f t="shared" si="19"/>
        <v/>
      </c>
    </row>
    <row r="34" spans="1:34">
      <c r="A34" s="555">
        <f t="shared" si="0"/>
        <v>1</v>
      </c>
      <c r="B34" s="556">
        <f t="shared" ref="B34:B35" si="43">IF(AF34&lt;=AG34,1,IF(AH34&lt;=0.005,2,IF(AND(AH34&gt;0.005,AH34&lt;=0.02, L182),4,IF(AND(AH34&gt;0.02,AH34&lt;=0.05),5,IF(AND(AH34&gt;0.05,AH34&lt;=0.1),7,IF(AND(AH34&gt;0.1,AH34&lt;=0.2),8,IF(AH34&gt;0.2,10)))))))</f>
        <v>10</v>
      </c>
      <c r="C34" s="555">
        <f t="shared" ref="C34:C35" si="44">IF(AA34&lt;=0.005,10,IF(AND(AA34&gt;0.005,AA34&lt;=0.01, C167),9,IF(AND(AA34&gt;0.01,AA34&lt;=0.02),8,IF(AND(AA34&gt;0.02,AA34&lt;=0.05),7,IF(AND(AA34&gt;0.05,AA34&lt;=0.1),6,IF(AND(AA34&gt;0.1,AA34&lt;=0.2),5,IF(AND(AA34&gt;0.2,AA34&lt;=0.3),4,IF(AND(AA34&gt;0.3,AA34&lt;=0.4),3,IF(AND(AA34&gt;0.4,AA34&lt;=0.5),2,IF(AA34&gt;0.5,1))))))))))</f>
        <v>1</v>
      </c>
      <c r="D34" s="555">
        <f t="shared" si="3"/>
        <v>1</v>
      </c>
      <c r="E34" s="556">
        <f t="shared" si="4"/>
        <v>1.7</v>
      </c>
      <c r="F34" s="557" t="str">
        <f t="shared" si="5"/>
        <v xml:space="preserve">     -</v>
      </c>
      <c r="G34" s="558" t="str">
        <f t="shared" si="22"/>
        <v/>
      </c>
      <c r="H34" s="559" t="str">
        <f t="shared" ref="H34:H160" si="45">IFERROR(ROUND(-(Y34-AG34)/Y34,3),"")</f>
        <v/>
      </c>
      <c r="I34" s="560" t="e">
        <f t="shared" si="8"/>
        <v>#VALUE!</v>
      </c>
      <c r="J34" s="561" t="e">
        <f t="shared" si="9"/>
        <v>#VALUE!</v>
      </c>
      <c r="K34" s="562">
        <v>300</v>
      </c>
      <c r="L34" s="563">
        <v>44874</v>
      </c>
      <c r="M34" s="247"/>
      <c r="N34" s="247" t="s">
        <v>1573</v>
      </c>
      <c r="O34" s="247" t="s">
        <v>458</v>
      </c>
      <c r="P34" s="247" t="s">
        <v>1605</v>
      </c>
      <c r="Q34" s="247">
        <v>1500</v>
      </c>
      <c r="R34" s="247" t="s">
        <v>1540</v>
      </c>
      <c r="S34" s="247" t="s">
        <v>1737</v>
      </c>
      <c r="T34" s="564" t="s">
        <v>1703</v>
      </c>
      <c r="U34" s="565" t="s">
        <v>1738</v>
      </c>
      <c r="V34" s="566" t="s">
        <v>1739</v>
      </c>
      <c r="W34" s="564" t="s">
        <v>1740</v>
      </c>
      <c r="X34" s="565" t="s">
        <v>1741</v>
      </c>
      <c r="Y34" s="247" t="str">
        <f t="shared" si="10"/>
        <v/>
      </c>
      <c r="Z34" s="247">
        <f t="shared" si="11"/>
        <v>45219</v>
      </c>
      <c r="AA34" s="567" t="str">
        <f t="shared" si="12"/>
        <v/>
      </c>
      <c r="AB34" s="567">
        <f t="shared" si="13"/>
        <v>-1</v>
      </c>
      <c r="AC34" s="247">
        <f t="shared" si="14"/>
        <v>0</v>
      </c>
      <c r="AD34" s="247">
        <f t="shared" si="15"/>
        <v>30</v>
      </c>
      <c r="AE34" s="567">
        <f t="shared" si="16"/>
        <v>1</v>
      </c>
      <c r="AF34" s="247" t="str">
        <f t="shared" si="17"/>
        <v/>
      </c>
      <c r="AG34" s="247">
        <f t="shared" si="18"/>
        <v>0</v>
      </c>
      <c r="AH34" s="557" t="str">
        <f t="shared" si="19"/>
        <v/>
      </c>
    </row>
    <row r="35" spans="1:34">
      <c r="A35" s="555">
        <f t="shared" si="0"/>
        <v>1</v>
      </c>
      <c r="B35" s="556">
        <f t="shared" si="43"/>
        <v>10</v>
      </c>
      <c r="C35" s="555">
        <f t="shared" si="44"/>
        <v>1</v>
      </c>
      <c r="D35" s="555">
        <f t="shared" si="3"/>
        <v>10</v>
      </c>
      <c r="E35" s="556">
        <f t="shared" si="4"/>
        <v>2.4</v>
      </c>
      <c r="F35" s="557" t="str">
        <f t="shared" si="5"/>
        <v xml:space="preserve">     -</v>
      </c>
      <c r="G35" s="558" t="str">
        <f t="shared" si="22"/>
        <v/>
      </c>
      <c r="H35" s="559" t="str">
        <f t="shared" si="45"/>
        <v/>
      </c>
      <c r="I35" s="560" t="e">
        <f t="shared" si="8"/>
        <v>#VALUE!</v>
      </c>
      <c r="J35" s="561" t="e">
        <f t="shared" si="9"/>
        <v>#VALUE!</v>
      </c>
      <c r="K35" s="562">
        <v>250</v>
      </c>
      <c r="L35" s="563">
        <v>44874</v>
      </c>
      <c r="M35" s="247"/>
      <c r="N35" s="247" t="s">
        <v>1547</v>
      </c>
      <c r="O35" s="247" t="s">
        <v>688</v>
      </c>
      <c r="P35" s="247" t="s">
        <v>1605</v>
      </c>
      <c r="Q35" s="247">
        <v>2650</v>
      </c>
      <c r="R35" s="247" t="s">
        <v>1540</v>
      </c>
      <c r="S35" s="247" t="s">
        <v>1742</v>
      </c>
      <c r="T35" s="564" t="s">
        <v>1743</v>
      </c>
      <c r="U35" s="565" t="s">
        <v>1744</v>
      </c>
      <c r="V35" s="566" t="s">
        <v>1745</v>
      </c>
      <c r="W35" s="564" t="s">
        <v>1746</v>
      </c>
      <c r="X35" s="565" t="s">
        <v>1747</v>
      </c>
      <c r="Y35" s="247" t="str">
        <f t="shared" si="10"/>
        <v/>
      </c>
      <c r="Z35" s="247" t="str">
        <f t="shared" si="11"/>
        <v/>
      </c>
      <c r="AA35" s="567" t="str">
        <f t="shared" si="12"/>
        <v/>
      </c>
      <c r="AB35" s="567" t="str">
        <f t="shared" si="13"/>
        <v/>
      </c>
      <c r="AC35" s="247">
        <f t="shared" si="14"/>
        <v>0</v>
      </c>
      <c r="AD35" s="247" t="str">
        <f t="shared" si="15"/>
        <v/>
      </c>
      <c r="AE35" s="567" t="str">
        <f t="shared" si="16"/>
        <v/>
      </c>
      <c r="AF35" s="247" t="str">
        <f t="shared" si="17"/>
        <v/>
      </c>
      <c r="AG35" s="247">
        <f t="shared" si="18"/>
        <v>0</v>
      </c>
      <c r="AH35" s="557" t="str">
        <f t="shared" si="19"/>
        <v/>
      </c>
    </row>
    <row r="36" spans="1:34">
      <c r="A36" s="555">
        <f t="shared" si="0"/>
        <v>1</v>
      </c>
      <c r="B36" s="556">
        <f t="shared" ref="B36:B37" si="46">IF(AF36&lt;=AG36,1,IF(AH36&lt;=0.005,2,IF(AND(AH36&gt;0.005,AH36&lt;=0.02, L182),4,IF(AND(AH36&gt;0.02,AH36&lt;=0.05),5,IF(AND(AH36&gt;0.05,AH36&lt;=0.1),7,IF(AND(AH36&gt;0.1,AH36&lt;=0.2),8,IF(AH36&gt;0.2,10)))))))</f>
        <v>10</v>
      </c>
      <c r="C36" s="555">
        <f t="shared" ref="C36:C37" si="47">IF(AA36&lt;=0.005,10,IF(AND(AA36&gt;0.005,AA36&lt;=0.01, C167),9,IF(AND(AA36&gt;0.01,AA36&lt;=0.02),8,IF(AND(AA36&gt;0.02,AA36&lt;=0.05),7,IF(AND(AA36&gt;0.05,AA36&lt;=0.1),6,IF(AND(AA36&gt;0.1,AA36&lt;=0.2),5,IF(AND(AA36&gt;0.2,AA36&lt;=0.3),4,IF(AND(AA36&gt;0.3,AA36&lt;=0.4),3,IF(AND(AA36&gt;0.4,AA36&lt;=0.5),2,IF(AA36&gt;0.5,1))))))))))</f>
        <v>1</v>
      </c>
      <c r="D36" s="555">
        <f t="shared" si="3"/>
        <v>1</v>
      </c>
      <c r="E36" s="556">
        <f t="shared" si="4"/>
        <v>1.7</v>
      </c>
      <c r="F36" s="557" t="str">
        <f t="shared" si="5"/>
        <v xml:space="preserve">     -</v>
      </c>
      <c r="G36" s="558" t="str">
        <f t="shared" si="22"/>
        <v/>
      </c>
      <c r="H36" s="559" t="str">
        <f t="shared" si="45"/>
        <v/>
      </c>
      <c r="I36" s="560" t="e">
        <f t="shared" si="8"/>
        <v>#VALUE!</v>
      </c>
      <c r="J36" s="561" t="e">
        <f t="shared" si="9"/>
        <v>#VALUE!</v>
      </c>
      <c r="K36" s="562">
        <v>1000</v>
      </c>
      <c r="L36" s="563">
        <v>44875</v>
      </c>
      <c r="M36" s="247"/>
      <c r="N36" s="247" t="s">
        <v>1573</v>
      </c>
      <c r="O36" s="247" t="s">
        <v>1574</v>
      </c>
      <c r="P36" s="247" t="s">
        <v>1605</v>
      </c>
      <c r="Q36" s="247">
        <v>390</v>
      </c>
      <c r="R36" s="247" t="s">
        <v>1548</v>
      </c>
      <c r="S36" s="247" t="s">
        <v>1748</v>
      </c>
      <c r="T36" s="564" t="s">
        <v>1749</v>
      </c>
      <c r="U36" s="565" t="s">
        <v>1750</v>
      </c>
      <c r="V36" s="566" t="s">
        <v>1751</v>
      </c>
      <c r="W36" s="564" t="s">
        <v>1752</v>
      </c>
      <c r="X36" s="565" t="s">
        <v>1753</v>
      </c>
      <c r="Y36" s="247" t="str">
        <f t="shared" si="10"/>
        <v/>
      </c>
      <c r="Z36" s="247">
        <f t="shared" si="11"/>
        <v>18476</v>
      </c>
      <c r="AA36" s="567" t="str">
        <f t="shared" si="12"/>
        <v/>
      </c>
      <c r="AB36" s="567">
        <f t="shared" si="13"/>
        <v>-1</v>
      </c>
      <c r="AC36" s="247">
        <f t="shared" si="14"/>
        <v>0</v>
      </c>
      <c r="AD36" s="247" t="str">
        <f t="shared" si="15"/>
        <v/>
      </c>
      <c r="AE36" s="567" t="str">
        <f t="shared" si="16"/>
        <v/>
      </c>
      <c r="AF36" s="247">
        <f t="shared" si="17"/>
        <v>44044</v>
      </c>
      <c r="AG36" s="247">
        <f t="shared" si="18"/>
        <v>0</v>
      </c>
      <c r="AH36" s="557" t="str">
        <f t="shared" si="19"/>
        <v/>
      </c>
    </row>
    <row r="37" spans="1:34">
      <c r="A37" s="555">
        <f t="shared" si="0"/>
        <v>1</v>
      </c>
      <c r="B37" s="556">
        <f t="shared" si="46"/>
        <v>10</v>
      </c>
      <c r="C37" s="555">
        <f t="shared" si="47"/>
        <v>1</v>
      </c>
      <c r="D37" s="555">
        <f t="shared" si="3"/>
        <v>10</v>
      </c>
      <c r="E37" s="556">
        <f t="shared" si="4"/>
        <v>2.4</v>
      </c>
      <c r="F37" s="557" t="str">
        <f t="shared" si="5"/>
        <v xml:space="preserve">     -</v>
      </c>
      <c r="G37" s="558" t="str">
        <f t="shared" si="22"/>
        <v/>
      </c>
      <c r="H37" s="559" t="str">
        <f t="shared" si="45"/>
        <v/>
      </c>
      <c r="I37" s="560" t="e">
        <f t="shared" si="8"/>
        <v>#VALUE!</v>
      </c>
      <c r="J37" s="561" t="e">
        <f t="shared" si="9"/>
        <v>#VALUE!</v>
      </c>
      <c r="K37" s="562">
        <v>150</v>
      </c>
      <c r="L37" s="563">
        <v>44875</v>
      </c>
      <c r="M37" s="247"/>
      <c r="N37" s="247" t="s">
        <v>1537</v>
      </c>
      <c r="O37" s="247" t="s">
        <v>1754</v>
      </c>
      <c r="P37" s="247" t="s">
        <v>1605</v>
      </c>
      <c r="Q37" s="247">
        <v>4900</v>
      </c>
      <c r="R37" s="247" t="s">
        <v>1548</v>
      </c>
      <c r="S37" s="247" t="s">
        <v>1755</v>
      </c>
      <c r="T37" s="564" t="s">
        <v>1756</v>
      </c>
      <c r="U37" s="565" t="s">
        <v>1757</v>
      </c>
      <c r="V37" s="566" t="s">
        <v>1758</v>
      </c>
      <c r="W37" s="564" t="s">
        <v>1759</v>
      </c>
      <c r="X37" s="565" t="s">
        <v>1760</v>
      </c>
      <c r="Y37" s="247" t="str">
        <f t="shared" si="10"/>
        <v/>
      </c>
      <c r="Z37" s="247" t="str">
        <f t="shared" si="11"/>
        <v/>
      </c>
      <c r="AA37" s="567" t="str">
        <f t="shared" si="12"/>
        <v/>
      </c>
      <c r="AB37" s="567" t="str">
        <f t="shared" si="13"/>
        <v/>
      </c>
      <c r="AC37" s="247">
        <f t="shared" si="14"/>
        <v>0</v>
      </c>
      <c r="AD37" s="247" t="str">
        <f t="shared" si="15"/>
        <v/>
      </c>
      <c r="AE37" s="567" t="str">
        <f t="shared" si="16"/>
        <v/>
      </c>
      <c r="AF37" s="247" t="str">
        <f t="shared" si="17"/>
        <v/>
      </c>
      <c r="AG37" s="247">
        <f t="shared" si="18"/>
        <v>0</v>
      </c>
      <c r="AH37" s="557" t="str">
        <f t="shared" si="19"/>
        <v/>
      </c>
    </row>
    <row r="38" spans="1:34">
      <c r="A38" s="555">
        <f t="shared" si="0"/>
        <v>10</v>
      </c>
      <c r="B38" s="556">
        <f>IF(AF38&lt;=AG38,1,IF(AH38&lt;=0.005,2,IF(AND(AH38&gt;0.005,AH38&lt;=0.02, L183),4,IF(AND(AH38&gt;0.02,AH38&lt;=0.05),5,IF(AND(AH38&gt;0.05,AH38&lt;=0.1),7,IF(AND(AH38&gt;0.1,AH38&lt;=0.2),8,IF(AH38&gt;0.2,10)))))))</f>
        <v>1</v>
      </c>
      <c r="C38" s="555">
        <f>IF(AA38&lt;=0.005,10,IF(AND(AA38&gt;0.005,AA38&lt;=0.01, C168),9,IF(AND(AA38&gt;0.01,AA38&lt;=0.02),8,IF(AND(AA38&gt;0.02,AA38&lt;=0.05),7,IF(AND(AA38&gt;0.05,AA38&lt;=0.1),6,IF(AND(AA38&gt;0.1,AA38&lt;=0.2),5,IF(AND(AA38&gt;0.2,AA38&lt;=0.3),4,IF(AND(AA38&gt;0.3,AA38&lt;=0.4),3,IF(AND(AA38&gt;0.4,AA38&lt;=0.5),2,IF(AA38&gt;0.5,1))))))))))</f>
        <v>10</v>
      </c>
      <c r="D38" s="555">
        <f t="shared" si="3"/>
        <v>10</v>
      </c>
      <c r="E38" s="556">
        <f t="shared" si="4"/>
        <v>9.3000000000000007</v>
      </c>
      <c r="F38" s="557">
        <f t="shared" si="5"/>
        <v>0.54126578815375492</v>
      </c>
      <c r="G38" s="558">
        <f t="shared" si="22"/>
        <v>-0.3306</v>
      </c>
      <c r="H38" s="559">
        <f t="shared" si="45"/>
        <v>-1E-3</v>
      </c>
      <c r="I38" s="560">
        <f t="shared" si="8"/>
        <v>-54446250</v>
      </c>
      <c r="J38" s="561">
        <f t="shared" si="9"/>
        <v>225000</v>
      </c>
      <c r="K38" s="562">
        <v>3750</v>
      </c>
      <c r="L38" s="563">
        <v>44875</v>
      </c>
      <c r="M38" s="247"/>
      <c r="N38" s="247" t="s">
        <v>1671</v>
      </c>
      <c r="O38" s="247" t="s">
        <v>571</v>
      </c>
      <c r="P38" s="247" t="s">
        <v>1605</v>
      </c>
      <c r="Q38" s="247">
        <v>145</v>
      </c>
      <c r="R38" s="247" t="s">
        <v>1548</v>
      </c>
      <c r="S38" s="247" t="s">
        <v>1761</v>
      </c>
      <c r="T38" s="564" t="s">
        <v>1762</v>
      </c>
      <c r="U38" s="565" t="s">
        <v>1763</v>
      </c>
      <c r="V38" s="566" t="s">
        <v>1764</v>
      </c>
      <c r="W38" s="564" t="s">
        <v>1765</v>
      </c>
      <c r="X38" s="565" t="s">
        <v>1766</v>
      </c>
      <c r="Y38" s="247">
        <f t="shared" si="10"/>
        <v>43922</v>
      </c>
      <c r="Z38" s="247">
        <f t="shared" si="11"/>
        <v>20121</v>
      </c>
      <c r="AA38" s="567">
        <f t="shared" si="12"/>
        <v>-0.54200000000000004</v>
      </c>
      <c r="AB38" s="567">
        <f t="shared" si="13"/>
        <v>0.72899999999999998</v>
      </c>
      <c r="AC38" s="247">
        <f t="shared" si="14"/>
        <v>34790</v>
      </c>
      <c r="AD38" s="247">
        <f t="shared" si="15"/>
        <v>29403</v>
      </c>
      <c r="AE38" s="567" t="str">
        <f t="shared" si="16"/>
        <v>Tgt Hit</v>
      </c>
      <c r="AF38" s="247">
        <f t="shared" si="17"/>
        <v>20121</v>
      </c>
      <c r="AG38" s="247">
        <f t="shared" si="18"/>
        <v>43862</v>
      </c>
      <c r="AH38" s="557" t="str">
        <f t="shared" si="19"/>
        <v>SL Hit</v>
      </c>
    </row>
    <row r="39" spans="1:34">
      <c r="A39" s="555">
        <f t="shared" si="0"/>
        <v>10</v>
      </c>
      <c r="B39" s="556">
        <f t="shared" ref="B39:B40" si="48">IF(AF39&lt;=AG39,1,IF(AH39&lt;=0.005,2,IF(AND(AH39&gt;0.005,AH39&lt;=0.02, L182),4,IF(AND(AH39&gt;0.02,AH39&lt;=0.05),5,IF(AND(AH39&gt;0.05,AH39&lt;=0.1),7,IF(AND(AH39&gt;0.1,AH39&lt;=0.2),8,IF(AH39&gt;0.2,10)))))))</f>
        <v>1</v>
      </c>
      <c r="C39" s="555">
        <f t="shared" ref="C39:C40" si="49">IF(AA39&lt;=0.005,10,IF(AND(AA39&gt;0.005,AA39&lt;=0.01, C167),9,IF(AND(AA39&gt;0.01,AA39&lt;=0.02),8,IF(AND(AA39&gt;0.02,AA39&lt;=0.05),7,IF(AND(AA39&gt;0.05,AA39&lt;=0.1),6,IF(AND(AA39&gt;0.1,AA39&lt;=0.2),5,IF(AND(AA39&gt;0.2,AA39&lt;=0.3),4,IF(AND(AA39&gt;0.3,AA39&lt;=0.4),3,IF(AND(AA39&gt;0.4,AA39&lt;=0.5),2,IF(AA39&gt;0.5,1))))))))))</f>
        <v>10</v>
      </c>
      <c r="D39" s="555">
        <f t="shared" si="3"/>
        <v>10</v>
      </c>
      <c r="E39" s="556">
        <f t="shared" si="4"/>
        <v>9.3000000000000007</v>
      </c>
      <c r="F39" s="557">
        <f t="shared" si="5"/>
        <v>0.12470973910667942</v>
      </c>
      <c r="G39" s="558">
        <f t="shared" si="22"/>
        <v>-0.35220000000000001</v>
      </c>
      <c r="H39" s="559">
        <f t="shared" si="45"/>
        <v>-0.67600000000000005</v>
      </c>
      <c r="I39" s="560">
        <f t="shared" si="8"/>
        <v>-167170500</v>
      </c>
      <c r="J39" s="561">
        <f t="shared" si="9"/>
        <v>320880000</v>
      </c>
      <c r="K39" s="562">
        <v>10500</v>
      </c>
      <c r="L39" s="563">
        <v>44878</v>
      </c>
      <c r="M39" s="247"/>
      <c r="N39" s="247" t="s">
        <v>1573</v>
      </c>
      <c r="O39" s="247" t="s">
        <v>457</v>
      </c>
      <c r="P39" s="247" t="s">
        <v>1605</v>
      </c>
      <c r="Q39" s="247">
        <v>74</v>
      </c>
      <c r="R39" s="247" t="s">
        <v>1540</v>
      </c>
      <c r="S39" s="247" t="s">
        <v>1767</v>
      </c>
      <c r="T39" s="564" t="s">
        <v>1768</v>
      </c>
      <c r="U39" s="565" t="s">
        <v>1769</v>
      </c>
      <c r="V39" s="566" t="s">
        <v>1770</v>
      </c>
      <c r="W39" s="564" t="s">
        <v>1771</v>
      </c>
      <c r="X39" s="565" t="s">
        <v>1772</v>
      </c>
      <c r="Y39" s="247">
        <f t="shared" si="10"/>
        <v>45202</v>
      </c>
      <c r="Z39" s="247">
        <f t="shared" si="11"/>
        <v>11049</v>
      </c>
      <c r="AA39" s="567">
        <f t="shared" si="12"/>
        <v>-0.75600000000000001</v>
      </c>
      <c r="AB39" s="567">
        <f t="shared" si="13"/>
        <v>2.9780000000000002</v>
      </c>
      <c r="AC39" s="247">
        <f t="shared" si="14"/>
        <v>43952</v>
      </c>
      <c r="AD39" s="247">
        <f t="shared" si="15"/>
        <v>29281</v>
      </c>
      <c r="AE39" s="567" t="str">
        <f t="shared" si="16"/>
        <v>Tgt Hit</v>
      </c>
      <c r="AF39" s="247">
        <f t="shared" si="17"/>
        <v>12816</v>
      </c>
      <c r="AG39" s="247">
        <f t="shared" si="18"/>
        <v>14642</v>
      </c>
      <c r="AH39" s="557" t="str">
        <f t="shared" si="19"/>
        <v>SL Hit</v>
      </c>
    </row>
    <row r="40" spans="1:34">
      <c r="A40" s="555">
        <f t="shared" si="0"/>
        <v>1</v>
      </c>
      <c r="B40" s="556">
        <f t="shared" si="48"/>
        <v>10</v>
      </c>
      <c r="C40" s="555">
        <f t="shared" si="49"/>
        <v>1</v>
      </c>
      <c r="D40" s="555">
        <f t="shared" si="3"/>
        <v>10</v>
      </c>
      <c r="E40" s="556">
        <f t="shared" si="4"/>
        <v>2.4</v>
      </c>
      <c r="F40" s="557" t="str">
        <f t="shared" si="5"/>
        <v xml:space="preserve">     -</v>
      </c>
      <c r="G40" s="558" t="str">
        <f t="shared" si="22"/>
        <v/>
      </c>
      <c r="H40" s="559">
        <f t="shared" si="45"/>
        <v>-1</v>
      </c>
      <c r="I40" s="560" t="e">
        <f t="shared" si="8"/>
        <v>#VALUE!</v>
      </c>
      <c r="J40" s="561">
        <f t="shared" si="9"/>
        <v>17187900</v>
      </c>
      <c r="K40" s="562">
        <v>1150</v>
      </c>
      <c r="L40" s="563">
        <v>44878</v>
      </c>
      <c r="M40" s="247"/>
      <c r="N40" s="247" t="s">
        <v>1537</v>
      </c>
      <c r="O40" s="247" t="s">
        <v>1773</v>
      </c>
      <c r="P40" s="247" t="s">
        <v>1605</v>
      </c>
      <c r="Q40" s="247">
        <v>415</v>
      </c>
      <c r="R40" s="247" t="s">
        <v>1548</v>
      </c>
      <c r="S40" s="247" t="s">
        <v>1774</v>
      </c>
      <c r="T40" s="564" t="s">
        <v>1775</v>
      </c>
      <c r="U40" s="565" t="s">
        <v>1681</v>
      </c>
      <c r="V40" s="566" t="s">
        <v>1776</v>
      </c>
      <c r="W40" s="564" t="s">
        <v>1777</v>
      </c>
      <c r="X40" s="565" t="s">
        <v>1778</v>
      </c>
      <c r="Y40" s="247">
        <f t="shared" si="10"/>
        <v>14946</v>
      </c>
      <c r="Z40" s="247" t="str">
        <f t="shared" si="11"/>
        <v/>
      </c>
      <c r="AA40" s="567" t="str">
        <f t="shared" si="12"/>
        <v/>
      </c>
      <c r="AB40" s="567" t="str">
        <f t="shared" si="13"/>
        <v/>
      </c>
      <c r="AC40" s="247">
        <f t="shared" si="14"/>
        <v>0</v>
      </c>
      <c r="AD40" s="247" t="str">
        <f t="shared" si="15"/>
        <v/>
      </c>
      <c r="AE40" s="567" t="str">
        <f t="shared" si="16"/>
        <v/>
      </c>
      <c r="AF40" s="247" t="str">
        <f t="shared" si="17"/>
        <v/>
      </c>
      <c r="AG40" s="247">
        <f t="shared" si="18"/>
        <v>0</v>
      </c>
      <c r="AH40" s="557" t="str">
        <f t="shared" si="19"/>
        <v/>
      </c>
    </row>
    <row r="41" spans="1:34">
      <c r="A41" s="555">
        <f t="shared" si="0"/>
        <v>1</v>
      </c>
      <c r="B41" s="556">
        <f>IF(AF41&lt;=AG41,1,IF(AH41&lt;=0.005,2,IF(AND(AH41&gt;0.005,AH41&lt;=0.02, L183),4,IF(AND(AH41&gt;0.02,AH41&lt;=0.05),5,IF(AND(AH41&gt;0.05,AH41&lt;=0.1),7,IF(AND(AH41&gt;0.1,AH41&lt;=0.2),8,IF(AH41&gt;0.2,10)))))))</f>
        <v>10</v>
      </c>
      <c r="C41" s="555">
        <f>IF(AA41&lt;=0.005,10,IF(AND(AA41&gt;0.005,AA41&lt;=0.01, C168),9,IF(AND(AA41&gt;0.01,AA41&lt;=0.02),8,IF(AND(AA41&gt;0.02,AA41&lt;=0.05),7,IF(AND(AA41&gt;0.05,AA41&lt;=0.1),6,IF(AND(AA41&gt;0.1,AA41&lt;=0.2),5,IF(AND(AA41&gt;0.2,AA41&lt;=0.3),4,IF(AND(AA41&gt;0.3,AA41&lt;=0.4),3,IF(AND(AA41&gt;0.4,AA41&lt;=0.5),2,IF(AA41&gt;0.5,1))))))))))</f>
        <v>10</v>
      </c>
      <c r="D41" s="555">
        <f t="shared" si="3"/>
        <v>1</v>
      </c>
      <c r="E41" s="556">
        <f t="shared" si="4"/>
        <v>8.6</v>
      </c>
      <c r="F41" s="557" t="str">
        <f t="shared" si="5"/>
        <v xml:space="preserve">     -</v>
      </c>
      <c r="G41" s="558">
        <f t="shared" si="22"/>
        <v>-0.37009999999999998</v>
      </c>
      <c r="H41" s="559">
        <f t="shared" si="45"/>
        <v>-0.438</v>
      </c>
      <c r="I41" s="560">
        <f t="shared" si="8"/>
        <v>-46594800</v>
      </c>
      <c r="J41" s="561">
        <f t="shared" si="9"/>
        <v>55091600</v>
      </c>
      <c r="K41" s="562">
        <v>4300</v>
      </c>
      <c r="L41" s="563">
        <f ca="1">TODAY()</f>
        <v>45009</v>
      </c>
      <c r="M41" s="247"/>
      <c r="N41" s="247" t="s">
        <v>1671</v>
      </c>
      <c r="O41" s="247" t="s">
        <v>1779</v>
      </c>
      <c r="P41" s="247" t="s">
        <v>1605</v>
      </c>
      <c r="Q41" s="247">
        <v>115</v>
      </c>
      <c r="R41" s="247" t="s">
        <v>1548</v>
      </c>
      <c r="S41" s="247" t="s">
        <v>1780</v>
      </c>
      <c r="T41" s="564" t="s">
        <v>1781</v>
      </c>
      <c r="U41" s="565" t="s">
        <v>1782</v>
      </c>
      <c r="V41" s="566" t="s">
        <v>1783</v>
      </c>
      <c r="W41" s="564" t="s">
        <v>1784</v>
      </c>
      <c r="X41" s="565" t="s">
        <v>1785</v>
      </c>
      <c r="Y41" s="247">
        <f t="shared" si="10"/>
        <v>29281</v>
      </c>
      <c r="Z41" s="247">
        <f t="shared" si="11"/>
        <v>25628</v>
      </c>
      <c r="AA41" s="567">
        <f t="shared" si="12"/>
        <v>-0.125</v>
      </c>
      <c r="AB41" s="567">
        <f t="shared" si="13"/>
        <v>-1</v>
      </c>
      <c r="AC41" s="247">
        <f t="shared" si="14"/>
        <v>0</v>
      </c>
      <c r="AD41" s="247">
        <f t="shared" si="15"/>
        <v>18445</v>
      </c>
      <c r="AE41" s="567">
        <f t="shared" si="16"/>
        <v>1</v>
      </c>
      <c r="AF41" s="247" t="str">
        <f t="shared" si="17"/>
        <v/>
      </c>
      <c r="AG41" s="247">
        <f t="shared" si="18"/>
        <v>16469</v>
      </c>
      <c r="AH41" s="557" t="str">
        <f t="shared" si="19"/>
        <v/>
      </c>
    </row>
    <row r="42" spans="1:34">
      <c r="A42" s="555">
        <f t="shared" si="0"/>
        <v>1</v>
      </c>
      <c r="B42" s="556">
        <f t="shared" ref="B42:B43" si="50">IF(AF42&lt;=AG42,1,IF(AH42&lt;=0.005,2,IF(AND(AH42&gt;0.005,AH42&lt;=0.02, L182),4,IF(AND(AH42&gt;0.02,AH42&lt;=0.05),5,IF(AND(AH42&gt;0.05,AH42&lt;=0.1),7,IF(AND(AH42&gt;0.1,AH42&lt;=0.2),8,IF(AH42&gt;0.2,10)))))))</f>
        <v>10</v>
      </c>
      <c r="C42" s="555">
        <f t="shared" ref="C42:C43" si="51">IF(AA42&lt;=0.005,10,IF(AND(AA42&gt;0.005,AA42&lt;=0.01, C167),9,IF(AND(AA42&gt;0.01,AA42&lt;=0.02),8,IF(AND(AA42&gt;0.02,AA42&lt;=0.05),7,IF(AND(AA42&gt;0.05,AA42&lt;=0.1),6,IF(AND(AA42&gt;0.1,AA42&lt;=0.2),5,IF(AND(AA42&gt;0.2,AA42&lt;=0.3),4,IF(AND(AA42&gt;0.3,AA42&lt;=0.4),3,IF(AND(AA42&gt;0.4,AA42&lt;=0.5),2,IF(AA42&gt;0.5,1))))))))))</f>
        <v>1</v>
      </c>
      <c r="D42" s="555">
        <f t="shared" si="3"/>
        <v>1</v>
      </c>
      <c r="E42" s="556">
        <f t="shared" si="4"/>
        <v>1.7</v>
      </c>
      <c r="F42" s="557" t="str">
        <f t="shared" si="5"/>
        <v xml:space="preserve">     -</v>
      </c>
      <c r="G42" s="558" t="str">
        <f t="shared" si="22"/>
        <v/>
      </c>
      <c r="H42" s="559">
        <f t="shared" si="45"/>
        <v>-1</v>
      </c>
      <c r="I42" s="560" t="e">
        <f t="shared" si="8"/>
        <v>#VALUE!</v>
      </c>
      <c r="J42" s="561">
        <f t="shared" si="9"/>
        <v>21080025</v>
      </c>
      <c r="K42" s="562">
        <v>1425</v>
      </c>
      <c r="L42" s="563">
        <v>44879</v>
      </c>
      <c r="M42" s="247"/>
      <c r="N42" s="247" t="s">
        <v>1573</v>
      </c>
      <c r="O42" s="247" t="s">
        <v>504</v>
      </c>
      <c r="P42" s="247" t="s">
        <v>1605</v>
      </c>
      <c r="Q42" s="247">
        <v>440</v>
      </c>
      <c r="R42" s="247" t="s">
        <v>1548</v>
      </c>
      <c r="S42" s="247" t="s">
        <v>1786</v>
      </c>
      <c r="T42" s="564" t="s">
        <v>1749</v>
      </c>
      <c r="U42" s="565" t="s">
        <v>1750</v>
      </c>
      <c r="V42" s="566" t="s">
        <v>1787</v>
      </c>
      <c r="W42" s="564" t="s">
        <v>1788</v>
      </c>
      <c r="X42" s="565" t="s">
        <v>1789</v>
      </c>
      <c r="Y42" s="247">
        <f t="shared" si="10"/>
        <v>14793</v>
      </c>
      <c r="Z42" s="247">
        <f t="shared" si="11"/>
        <v>45054</v>
      </c>
      <c r="AA42" s="567">
        <f t="shared" si="12"/>
        <v>2.0459999999999998</v>
      </c>
      <c r="AB42" s="567">
        <f t="shared" si="13"/>
        <v>-0.30499999999999999</v>
      </c>
      <c r="AC42" s="247">
        <f t="shared" si="14"/>
        <v>31291</v>
      </c>
      <c r="AD42" s="247" t="str">
        <f t="shared" si="15"/>
        <v/>
      </c>
      <c r="AE42" s="567" t="str">
        <f t="shared" si="16"/>
        <v/>
      </c>
      <c r="AF42" s="247">
        <f t="shared" si="17"/>
        <v>14793</v>
      </c>
      <c r="AG42" s="247">
        <f t="shared" si="18"/>
        <v>0</v>
      </c>
      <c r="AH42" s="557" t="str">
        <f t="shared" si="19"/>
        <v/>
      </c>
    </row>
    <row r="43" spans="1:34">
      <c r="A43" s="555">
        <f t="shared" si="0"/>
        <v>0</v>
      </c>
      <c r="B43" s="556">
        <f t="shared" si="50"/>
        <v>10</v>
      </c>
      <c r="C43" s="555">
        <f t="shared" si="51"/>
        <v>1</v>
      </c>
      <c r="D43" s="555">
        <f t="shared" si="3"/>
        <v>10</v>
      </c>
      <c r="E43" s="556">
        <f t="shared" si="4"/>
        <v>2.2999999999999998</v>
      </c>
      <c r="F43" s="557" t="str">
        <f t="shared" si="5"/>
        <v xml:space="preserve">     -</v>
      </c>
      <c r="G43" s="558" t="str">
        <f t="shared" si="22"/>
        <v/>
      </c>
      <c r="H43" s="559" t="str">
        <f t="shared" si="45"/>
        <v/>
      </c>
      <c r="I43" s="560" t="e">
        <f t="shared" si="8"/>
        <v>#VALUE!</v>
      </c>
      <c r="J43" s="561" t="e">
        <f t="shared" si="9"/>
        <v>#VALUE!</v>
      </c>
      <c r="K43" s="562">
        <v>1620</v>
      </c>
      <c r="L43" s="563">
        <v>44880</v>
      </c>
      <c r="M43" s="568" t="s">
        <v>1790</v>
      </c>
      <c r="N43" s="247" t="s">
        <v>1537</v>
      </c>
      <c r="O43" s="247" t="s">
        <v>1791</v>
      </c>
      <c r="P43" s="247" t="s">
        <v>1605</v>
      </c>
      <c r="Q43" s="247">
        <v>760</v>
      </c>
      <c r="R43" s="247" t="s">
        <v>1548</v>
      </c>
      <c r="S43" s="247" t="s">
        <v>1792</v>
      </c>
      <c r="T43" s="564" t="s">
        <v>1793</v>
      </c>
      <c r="U43" s="565" t="s">
        <v>1794</v>
      </c>
      <c r="V43" s="566" t="s">
        <v>1795</v>
      </c>
      <c r="W43" s="564" t="s">
        <v>1796</v>
      </c>
      <c r="X43" s="565" t="s">
        <v>1797</v>
      </c>
      <c r="Y43" s="247" t="str">
        <f t="shared" si="10"/>
        <v/>
      </c>
      <c r="Z43" s="247" t="str">
        <f t="shared" si="11"/>
        <v/>
      </c>
      <c r="AA43" s="567" t="str">
        <f t="shared" si="12"/>
        <v/>
      </c>
      <c r="AB43" s="567" t="str">
        <f t="shared" si="13"/>
        <v/>
      </c>
      <c r="AC43" s="247">
        <f t="shared" si="14"/>
        <v>0</v>
      </c>
      <c r="AD43" s="247" t="str">
        <f t="shared" si="15"/>
        <v/>
      </c>
      <c r="AE43" s="567" t="str">
        <f t="shared" si="16"/>
        <v/>
      </c>
      <c r="AF43" s="247">
        <f t="shared" si="17"/>
        <v>24016</v>
      </c>
      <c r="AG43" s="247">
        <f t="shared" si="18"/>
        <v>0</v>
      </c>
      <c r="AH43" s="557" t="str">
        <f t="shared" si="19"/>
        <v/>
      </c>
    </row>
    <row r="44" spans="1:34">
      <c r="A44" s="555">
        <f t="shared" si="0"/>
        <v>1</v>
      </c>
      <c r="B44" s="556">
        <f>IF(AF44&lt;=AG44,1,IF(AH44&lt;=0.005,2,IF(AND(AH44&gt;0.005,AH44&lt;=0.02, L183),4,IF(AND(AH44&gt;0.02,AH44&lt;=0.05),5,IF(AND(AH44&gt;0.05,AH44&lt;=0.1),7,IF(AND(AH44&gt;0.1,AH44&lt;=0.2),8,IF(AH44&gt;0.2,10)))))))</f>
        <v>4</v>
      </c>
      <c r="C44" s="555">
        <f>IF(AA44&lt;=0.005,10,IF(AND(AA44&gt;0.005,AA44&lt;=0.01, C168),9,IF(AND(AA44&gt;0.01,AA44&lt;=0.02),8,IF(AND(AA44&gt;0.02,AA44&lt;=0.05),7,IF(AND(AA44&gt;0.05,AA44&lt;=0.1),6,IF(AND(AA44&gt;0.1,AA44&lt;=0.2),5,IF(AND(AA44&gt;0.2,AA44&lt;=0.3),4,IF(AND(AA44&gt;0.3,AA44&lt;=0.4),3,IF(AND(AA44&gt;0.4,AA44&lt;=0.5),2,IF(AA44&gt;0.5,1))))))))))</f>
        <v>1</v>
      </c>
      <c r="D44" s="555">
        <f t="shared" si="3"/>
        <v>1</v>
      </c>
      <c r="E44" s="556">
        <f t="shared" si="4"/>
        <v>1.2</v>
      </c>
      <c r="F44" s="557" t="str">
        <f t="shared" si="5"/>
        <v xml:space="preserve">     -</v>
      </c>
      <c r="G44" s="558" t="str">
        <f t="shared" si="22"/>
        <v/>
      </c>
      <c r="H44" s="559" t="str">
        <f t="shared" si="45"/>
        <v/>
      </c>
      <c r="I44" s="560" t="e">
        <f t="shared" si="8"/>
        <v>#VALUE!</v>
      </c>
      <c r="J44" s="561" t="e">
        <f t="shared" si="9"/>
        <v>#VALUE!</v>
      </c>
      <c r="K44" s="562">
        <v>1425</v>
      </c>
      <c r="L44" s="563">
        <v>44880</v>
      </c>
      <c r="M44" s="247"/>
      <c r="N44" s="247" t="s">
        <v>1671</v>
      </c>
      <c r="O44" s="247" t="s">
        <v>504</v>
      </c>
      <c r="P44" s="247" t="s">
        <v>1605</v>
      </c>
      <c r="Q44" s="247">
        <v>440</v>
      </c>
      <c r="R44" s="247" t="s">
        <v>1548</v>
      </c>
      <c r="S44" s="247" t="s">
        <v>1798</v>
      </c>
      <c r="T44" s="564" t="s">
        <v>1799</v>
      </c>
      <c r="U44" s="565" t="s">
        <v>1800</v>
      </c>
      <c r="V44" s="566" t="s">
        <v>1787</v>
      </c>
      <c r="W44" s="564" t="s">
        <v>1788</v>
      </c>
      <c r="X44" s="565" t="s">
        <v>1789</v>
      </c>
      <c r="Y44" s="247" t="str">
        <f t="shared" si="10"/>
        <v/>
      </c>
      <c r="Z44" s="247">
        <f t="shared" si="11"/>
        <v>45054</v>
      </c>
      <c r="AA44" s="567" t="str">
        <f t="shared" si="12"/>
        <v/>
      </c>
      <c r="AB44" s="567">
        <f t="shared" si="13"/>
        <v>-0.30499999999999999</v>
      </c>
      <c r="AC44" s="247">
        <f t="shared" si="14"/>
        <v>31291</v>
      </c>
      <c r="AD44" s="247" t="str">
        <f t="shared" si="15"/>
        <v/>
      </c>
      <c r="AE44" s="567" t="str">
        <f t="shared" si="16"/>
        <v/>
      </c>
      <c r="AF44" s="247">
        <f t="shared" si="17"/>
        <v>14793</v>
      </c>
      <c r="AG44" s="247">
        <f t="shared" si="18"/>
        <v>14702</v>
      </c>
      <c r="AH44" s="557">
        <f t="shared" si="19"/>
        <v>6.0000000000000001E-3</v>
      </c>
    </row>
    <row r="45" spans="1:34">
      <c r="A45" s="555">
        <f t="shared" si="0"/>
        <v>1</v>
      </c>
      <c r="B45" s="556">
        <f t="shared" ref="B45:B46" si="52">IF(AF45&lt;=AG45,1,IF(AH45&lt;=0.005,2,IF(AND(AH45&gt;0.005,AH45&lt;=0.02, L182),4,IF(AND(AH45&gt;0.02,AH45&lt;=0.05),5,IF(AND(AH45&gt;0.05,AH45&lt;=0.1),7,IF(AND(AH45&gt;0.1,AH45&lt;=0.2),8,IF(AH45&gt;0.2,10)))))))</f>
        <v>10</v>
      </c>
      <c r="C45" s="555">
        <f t="shared" ref="C45:C46" si="53">IF(AA45&lt;=0.005,10,IF(AND(AA45&gt;0.005,AA45&lt;=0.01, C167),9,IF(AND(AA45&gt;0.01,AA45&lt;=0.02),8,IF(AND(AA45&gt;0.02,AA45&lt;=0.05),7,IF(AND(AA45&gt;0.05,AA45&lt;=0.1),6,IF(AND(AA45&gt;0.1,AA45&lt;=0.2),5,IF(AND(AA45&gt;0.2,AA45&lt;=0.3),4,IF(AND(AA45&gt;0.3,AA45&lt;=0.4),3,IF(AND(AA45&gt;0.4,AA45&lt;=0.5),2,IF(AA45&gt;0.5,1))))))))))</f>
        <v>10</v>
      </c>
      <c r="D45" s="555">
        <f t="shared" si="3"/>
        <v>1</v>
      </c>
      <c r="E45" s="556">
        <f t="shared" si="4"/>
        <v>8.6</v>
      </c>
      <c r="F45" s="557" t="str">
        <f t="shared" si="5"/>
        <v xml:space="preserve">     -</v>
      </c>
      <c r="G45" s="558" t="str">
        <f t="shared" si="22"/>
        <v/>
      </c>
      <c r="H45" s="559">
        <f t="shared" si="45"/>
        <v>-1</v>
      </c>
      <c r="I45" s="560" t="e">
        <f t="shared" si="8"/>
        <v>#VALUE!</v>
      </c>
      <c r="J45" s="561">
        <f t="shared" si="9"/>
        <v>48655350</v>
      </c>
      <c r="K45" s="562">
        <v>1150</v>
      </c>
      <c r="L45" s="563">
        <v>44881</v>
      </c>
      <c r="M45" s="247"/>
      <c r="N45" s="247" t="s">
        <v>1537</v>
      </c>
      <c r="O45" s="247" t="s">
        <v>1773</v>
      </c>
      <c r="P45" s="247" t="s">
        <v>1605</v>
      </c>
      <c r="Q45" s="247">
        <v>435</v>
      </c>
      <c r="R45" s="247" t="s">
        <v>1548</v>
      </c>
      <c r="S45" s="247" t="s">
        <v>1801</v>
      </c>
      <c r="T45" s="564" t="s">
        <v>1775</v>
      </c>
      <c r="U45" s="565" t="s">
        <v>1802</v>
      </c>
      <c r="V45" s="566" t="s">
        <v>1803</v>
      </c>
      <c r="W45" s="564" t="s">
        <v>1804</v>
      </c>
      <c r="X45" s="565" t="s">
        <v>1805</v>
      </c>
      <c r="Y45" s="247">
        <f t="shared" si="10"/>
        <v>42309</v>
      </c>
      <c r="Z45" s="247">
        <f t="shared" si="11"/>
        <v>14916</v>
      </c>
      <c r="AA45" s="567">
        <f t="shared" si="12"/>
        <v>-0.64700000000000002</v>
      </c>
      <c r="AB45" s="567">
        <f t="shared" si="13"/>
        <v>-1</v>
      </c>
      <c r="AC45" s="247">
        <f t="shared" si="14"/>
        <v>0</v>
      </c>
      <c r="AD45" s="247" t="str">
        <f t="shared" si="15"/>
        <v/>
      </c>
      <c r="AE45" s="567" t="str">
        <f t="shared" si="16"/>
        <v/>
      </c>
      <c r="AF45" s="247" t="str">
        <f t="shared" si="17"/>
        <v/>
      </c>
      <c r="AG45" s="247">
        <f t="shared" si="18"/>
        <v>0</v>
      </c>
      <c r="AH45" s="557" t="str">
        <f t="shared" si="19"/>
        <v/>
      </c>
    </row>
    <row r="46" spans="1:34">
      <c r="A46" s="555">
        <f t="shared" si="0"/>
        <v>10</v>
      </c>
      <c r="B46" s="556">
        <f t="shared" si="52"/>
        <v>10</v>
      </c>
      <c r="C46" s="555">
        <f t="shared" si="53"/>
        <v>4</v>
      </c>
      <c r="D46" s="555">
        <f t="shared" si="3"/>
        <v>7</v>
      </c>
      <c r="E46" s="556">
        <f t="shared" si="4"/>
        <v>5.2</v>
      </c>
      <c r="F46" s="557" t="str">
        <f t="shared" si="5"/>
        <v xml:space="preserve">     -</v>
      </c>
      <c r="G46" s="558">
        <f t="shared" si="22"/>
        <v>-0.39829999999999999</v>
      </c>
      <c r="H46" s="559">
        <f t="shared" si="45"/>
        <v>-0.4</v>
      </c>
      <c r="I46" s="560">
        <f t="shared" si="8"/>
        <v>-28004900</v>
      </c>
      <c r="J46" s="561">
        <f t="shared" si="9"/>
        <v>28124250</v>
      </c>
      <c r="K46" s="562">
        <v>3850</v>
      </c>
      <c r="L46" s="563">
        <v>44881</v>
      </c>
      <c r="M46" s="247"/>
      <c r="N46" s="247" t="s">
        <v>1573</v>
      </c>
      <c r="O46" s="247" t="s">
        <v>296</v>
      </c>
      <c r="P46" s="247" t="s">
        <v>1605</v>
      </c>
      <c r="Q46" s="247">
        <v>145</v>
      </c>
      <c r="R46" s="247" t="s">
        <v>1548</v>
      </c>
      <c r="S46" s="247" t="s">
        <v>1806</v>
      </c>
      <c r="T46" s="564" t="s">
        <v>1807</v>
      </c>
      <c r="U46" s="565" t="s">
        <v>1808</v>
      </c>
      <c r="V46" s="566" t="s">
        <v>1809</v>
      </c>
      <c r="W46" s="564" t="s">
        <v>1810</v>
      </c>
      <c r="X46" s="565" t="s">
        <v>1719</v>
      </c>
      <c r="Y46" s="247">
        <f t="shared" si="10"/>
        <v>18264</v>
      </c>
      <c r="Z46" s="247">
        <f t="shared" si="11"/>
        <v>23743</v>
      </c>
      <c r="AA46" s="567">
        <f t="shared" si="12"/>
        <v>0.3</v>
      </c>
      <c r="AB46" s="567">
        <f t="shared" si="13"/>
        <v>0.23100000000000001</v>
      </c>
      <c r="AC46" s="247">
        <f t="shared" si="14"/>
        <v>29221</v>
      </c>
      <c r="AD46" s="247">
        <f t="shared" si="15"/>
        <v>10990</v>
      </c>
      <c r="AE46" s="567" t="str">
        <f t="shared" si="16"/>
        <v>Tgt Hit</v>
      </c>
      <c r="AF46" s="247">
        <f t="shared" si="17"/>
        <v>45200</v>
      </c>
      <c r="AG46" s="247">
        <f t="shared" si="18"/>
        <v>10959</v>
      </c>
      <c r="AH46" s="557">
        <f t="shared" si="19"/>
        <v>3.1240000000000001</v>
      </c>
    </row>
    <row r="47" spans="1:34">
      <c r="A47" s="555">
        <f t="shared" si="0"/>
        <v>1</v>
      </c>
      <c r="B47" s="556">
        <f>IF(AF47&lt;=AG47,1,IF(AH47&lt;=0.005,2,IF(AND(AH47&gt;0.005,AH47&lt;=0.02, L183),4,IF(AND(AH47&gt;0.02,AH47&lt;=0.05),5,IF(AND(AH47&gt;0.05,AH47&lt;=0.1),7,IF(AND(AH47&gt;0.1,AH47&lt;=0.2),8,IF(AH47&gt;0.2,10)))))))</f>
        <v>10</v>
      </c>
      <c r="C47" s="555">
        <f>IF(AA47&lt;=0.005,10,IF(AND(AA47&gt;0.005,AA47&lt;=0.01, C168),9,IF(AND(AA47&gt;0.01,AA47&lt;=0.02),8,IF(AND(AA47&gt;0.02,AA47&lt;=0.05),7,IF(AND(AA47&gt;0.05,AA47&lt;=0.1),6,IF(AND(AA47&gt;0.1,AA47&lt;=0.2),5,IF(AND(AA47&gt;0.2,AA47&lt;=0.3),4,IF(AND(AA47&gt;0.3,AA47&lt;=0.4),3,IF(AND(AA47&gt;0.4,AA47&lt;=0.5),2,IF(AA47&gt;0.5,1))))))))))</f>
        <v>1</v>
      </c>
      <c r="D47" s="555">
        <f t="shared" si="3"/>
        <v>10</v>
      </c>
      <c r="E47" s="556">
        <f t="shared" si="4"/>
        <v>2.4</v>
      </c>
      <c r="F47" s="557" t="str">
        <f t="shared" si="5"/>
        <v xml:space="preserve">     -</v>
      </c>
      <c r="G47" s="558" t="str">
        <f t="shared" si="22"/>
        <v/>
      </c>
      <c r="H47" s="559">
        <f t="shared" si="45"/>
        <v>0.59</v>
      </c>
      <c r="I47" s="560" t="e">
        <f t="shared" si="8"/>
        <v>#VALUE!</v>
      </c>
      <c r="J47" s="561">
        <f t="shared" si="9"/>
        <v>-16299000</v>
      </c>
      <c r="K47" s="562">
        <v>1500</v>
      </c>
      <c r="L47" s="563">
        <v>44881</v>
      </c>
      <c r="M47" s="247"/>
      <c r="N47" s="247" t="s">
        <v>1671</v>
      </c>
      <c r="O47" s="247" t="s">
        <v>1811</v>
      </c>
      <c r="P47" s="247" t="s">
        <v>1605</v>
      </c>
      <c r="Q47" s="247">
        <v>290</v>
      </c>
      <c r="R47" s="247" t="s">
        <v>1540</v>
      </c>
      <c r="S47" s="247" t="s">
        <v>1812</v>
      </c>
      <c r="T47" s="564" t="s">
        <v>1813</v>
      </c>
      <c r="U47" s="565" t="s">
        <v>1814</v>
      </c>
      <c r="V47" s="566" t="s">
        <v>1815</v>
      </c>
      <c r="W47" s="564" t="s">
        <v>1816</v>
      </c>
      <c r="X47" s="565" t="s">
        <v>1817</v>
      </c>
      <c r="Y47" s="247">
        <f t="shared" si="10"/>
        <v>18415</v>
      </c>
      <c r="Z47" s="247" t="str">
        <f t="shared" si="11"/>
        <v/>
      </c>
      <c r="AA47" s="567" t="str">
        <f t="shared" si="12"/>
        <v/>
      </c>
      <c r="AB47" s="567" t="str">
        <f t="shared" si="13"/>
        <v/>
      </c>
      <c r="AC47" s="247">
        <f t="shared" si="14"/>
        <v>18507</v>
      </c>
      <c r="AD47" s="247" t="str">
        <f t="shared" si="15"/>
        <v/>
      </c>
      <c r="AE47" s="567" t="str">
        <f t="shared" si="16"/>
        <v/>
      </c>
      <c r="AF47" s="247" t="str">
        <f t="shared" si="17"/>
        <v/>
      </c>
      <c r="AG47" s="247">
        <f t="shared" si="18"/>
        <v>29281</v>
      </c>
      <c r="AH47" s="557" t="str">
        <f t="shared" si="19"/>
        <v/>
      </c>
    </row>
    <row r="48" spans="1:34">
      <c r="A48" s="555">
        <f t="shared" si="0"/>
        <v>2</v>
      </c>
      <c r="B48" s="556">
        <f t="shared" ref="B48:B49" si="54">IF(AF48&lt;=AG48,1,IF(AH48&lt;=0.005,2,IF(AND(AH48&gt;0.005,AH48&lt;=0.02, L182),4,IF(AND(AH48&gt;0.02,AH48&lt;=0.05),5,IF(AND(AH48&gt;0.05,AH48&lt;=0.1),7,IF(AND(AH48&gt;0.1,AH48&lt;=0.2),8,IF(AH48&gt;0.2,10)))))))</f>
        <v>1</v>
      </c>
      <c r="C48" s="555">
        <f t="shared" ref="C48:C49" si="55">IF(AA48&lt;=0.005,10,IF(AND(AA48&gt;0.005,AA48&lt;=0.01, C167),9,IF(AND(AA48&gt;0.01,AA48&lt;=0.02),8,IF(AND(AA48&gt;0.02,AA48&lt;=0.05),7,IF(AND(AA48&gt;0.05,AA48&lt;=0.1),6,IF(AND(AA48&gt;0.1,AA48&lt;=0.2),5,IF(AND(AA48&gt;0.2,AA48&lt;=0.3),4,IF(AND(AA48&gt;0.3,AA48&lt;=0.4),3,IF(AND(AA48&gt;0.4,AA48&lt;=0.5),2,IF(AA48&gt;0.5,1))))))))))</f>
        <v>10</v>
      </c>
      <c r="D48" s="555">
        <f t="shared" si="3"/>
        <v>5</v>
      </c>
      <c r="E48" s="556">
        <f t="shared" si="4"/>
        <v>8.3000000000000007</v>
      </c>
      <c r="F48" s="557">
        <f t="shared" si="5"/>
        <v>0.56247219465452925</v>
      </c>
      <c r="G48" s="558">
        <f t="shared" si="22"/>
        <v>4.2299999999999997E-2</v>
      </c>
      <c r="H48" s="559">
        <f t="shared" si="45"/>
        <v>-0.33400000000000002</v>
      </c>
      <c r="I48" s="560">
        <f t="shared" si="8"/>
        <v>9275000</v>
      </c>
      <c r="J48" s="561">
        <f t="shared" si="9"/>
        <v>73205000</v>
      </c>
      <c r="K48" s="562">
        <v>5000</v>
      </c>
      <c r="L48" s="563">
        <v>44882</v>
      </c>
      <c r="M48" s="247"/>
      <c r="N48" s="247" t="s">
        <v>1537</v>
      </c>
      <c r="O48" s="247" t="s">
        <v>587</v>
      </c>
      <c r="P48" s="247" t="s">
        <v>1605</v>
      </c>
      <c r="Q48" s="247">
        <v>133</v>
      </c>
      <c r="R48" s="247" t="s">
        <v>1540</v>
      </c>
      <c r="S48" s="247" t="s">
        <v>1818</v>
      </c>
      <c r="T48" s="564" t="s">
        <v>1819</v>
      </c>
      <c r="U48" s="565" t="s">
        <v>1820</v>
      </c>
      <c r="V48" s="566" t="s">
        <v>1711</v>
      </c>
      <c r="W48" s="564" t="s">
        <v>1821</v>
      </c>
      <c r="X48" s="565" t="s">
        <v>1822</v>
      </c>
      <c r="Y48" s="247">
        <f t="shared" si="10"/>
        <v>43862</v>
      </c>
      <c r="Z48" s="247">
        <f t="shared" si="11"/>
        <v>27426</v>
      </c>
      <c r="AA48" s="567">
        <f t="shared" si="12"/>
        <v>-0.375</v>
      </c>
      <c r="AB48" s="567">
        <f t="shared" si="13"/>
        <v>6.7000000000000004E-2</v>
      </c>
      <c r="AC48" s="247">
        <f t="shared" si="14"/>
        <v>29252</v>
      </c>
      <c r="AD48" s="247">
        <f t="shared" si="15"/>
        <v>45717</v>
      </c>
      <c r="AE48" s="567">
        <f t="shared" si="16"/>
        <v>0.36</v>
      </c>
      <c r="AF48" s="247">
        <f t="shared" si="17"/>
        <v>12785</v>
      </c>
      <c r="AG48" s="247">
        <f t="shared" si="18"/>
        <v>29221</v>
      </c>
      <c r="AH48" s="557" t="str">
        <f t="shared" si="19"/>
        <v>SL Hit</v>
      </c>
    </row>
    <row r="49" spans="1:34">
      <c r="A49" s="555">
        <f t="shared" si="0"/>
        <v>1</v>
      </c>
      <c r="B49" s="556">
        <f t="shared" si="54"/>
        <v>10</v>
      </c>
      <c r="C49" s="555">
        <f t="shared" si="55"/>
        <v>1</v>
      </c>
      <c r="D49" s="555">
        <f t="shared" si="3"/>
        <v>1</v>
      </c>
      <c r="E49" s="556">
        <f t="shared" si="4"/>
        <v>1.7</v>
      </c>
      <c r="F49" s="557" t="str">
        <f t="shared" si="5"/>
        <v xml:space="preserve">     -</v>
      </c>
      <c r="G49" s="558" t="str">
        <f t="shared" si="22"/>
        <v/>
      </c>
      <c r="H49" s="559">
        <f t="shared" si="45"/>
        <v>0.65500000000000003</v>
      </c>
      <c r="I49" s="560" t="e">
        <f t="shared" si="8"/>
        <v>#VALUE!</v>
      </c>
      <c r="J49" s="561">
        <f t="shared" si="9"/>
        <v>-10365450</v>
      </c>
      <c r="K49" s="562">
        <v>1425</v>
      </c>
      <c r="L49" s="563">
        <v>44882</v>
      </c>
      <c r="M49" s="247"/>
      <c r="N49" s="247" t="s">
        <v>1573</v>
      </c>
      <c r="O49" s="247" t="s">
        <v>504</v>
      </c>
      <c r="P49" s="247" t="s">
        <v>1605</v>
      </c>
      <c r="Q49" s="247">
        <v>430</v>
      </c>
      <c r="R49" s="247" t="s">
        <v>1540</v>
      </c>
      <c r="S49" s="247" t="s">
        <v>1823</v>
      </c>
      <c r="T49" s="564" t="s">
        <v>1824</v>
      </c>
      <c r="U49" s="565" t="s">
        <v>1825</v>
      </c>
      <c r="V49" s="566" t="s">
        <v>1826</v>
      </c>
      <c r="W49" s="564" t="s">
        <v>1827</v>
      </c>
      <c r="X49" s="565" t="s">
        <v>1828</v>
      </c>
      <c r="Y49" s="247">
        <f t="shared" si="10"/>
        <v>11110</v>
      </c>
      <c r="Z49" s="247">
        <f t="shared" si="11"/>
        <v>33147</v>
      </c>
      <c r="AA49" s="567">
        <f t="shared" si="12"/>
        <v>1.984</v>
      </c>
      <c r="AB49" s="567">
        <f t="shared" si="13"/>
        <v>-1</v>
      </c>
      <c r="AC49" s="247">
        <f t="shared" si="14"/>
        <v>0</v>
      </c>
      <c r="AD49" s="247" t="str">
        <f t="shared" si="15"/>
        <v/>
      </c>
      <c r="AE49" s="567" t="str">
        <f t="shared" si="16"/>
        <v/>
      </c>
      <c r="AF49" s="247">
        <f t="shared" si="17"/>
        <v>33025</v>
      </c>
      <c r="AG49" s="247">
        <f t="shared" si="18"/>
        <v>18384</v>
      </c>
      <c r="AH49" s="557">
        <f t="shared" si="19"/>
        <v>0.79600000000000004</v>
      </c>
    </row>
    <row r="50" spans="1:34">
      <c r="A50" s="555">
        <f t="shared" si="0"/>
        <v>1</v>
      </c>
      <c r="B50" s="556">
        <f t="shared" ref="B50:B51" si="56">IF(AF50&lt;=AG50,1,IF(AH50&lt;=0.005,2,IF(AND(AH50&gt;0.005,AH50&lt;=0.02, L182),4,IF(AND(AH50&gt;0.02,AH50&lt;=0.05),5,IF(AND(AH50&gt;0.05,AH50&lt;=0.1),7,IF(AND(AH50&gt;0.1,AH50&lt;=0.2),8,IF(AH50&gt;0.2,10)))))))</f>
        <v>10</v>
      </c>
      <c r="C50" s="555">
        <f t="shared" ref="C50:C51" si="57">IF(AA50&lt;=0.005,10,IF(AND(AA50&gt;0.005,AA50&lt;=0.01, C167),9,IF(AND(AA50&gt;0.01,AA50&lt;=0.02),8,IF(AND(AA50&gt;0.02,AA50&lt;=0.05),7,IF(AND(AA50&gt;0.05,AA50&lt;=0.1),6,IF(AND(AA50&gt;0.1,AA50&lt;=0.2),5,IF(AND(AA50&gt;0.2,AA50&lt;=0.3),4,IF(AND(AA50&gt;0.3,AA50&lt;=0.4),3,IF(AND(AA50&gt;0.4,AA50&lt;=0.5),2,IF(AA50&gt;0.5,1))))))))))</f>
        <v>1</v>
      </c>
      <c r="D50" s="555">
        <f t="shared" si="3"/>
        <v>10</v>
      </c>
      <c r="E50" s="556">
        <f t="shared" si="4"/>
        <v>2.4</v>
      </c>
      <c r="F50" s="557" t="str">
        <f t="shared" si="5"/>
        <v xml:space="preserve">     -</v>
      </c>
      <c r="G50" s="558" t="str">
        <f t="shared" si="22"/>
        <v/>
      </c>
      <c r="H50" s="559" t="str">
        <f t="shared" si="45"/>
        <v/>
      </c>
      <c r="I50" s="560" t="e">
        <f t="shared" si="8"/>
        <v>#VALUE!</v>
      </c>
      <c r="J50" s="561" t="e">
        <f t="shared" si="9"/>
        <v>#VALUE!</v>
      </c>
      <c r="K50" s="562">
        <v>200</v>
      </c>
      <c r="L50" s="563">
        <v>44883</v>
      </c>
      <c r="M50" s="247"/>
      <c r="N50" s="247" t="s">
        <v>1573</v>
      </c>
      <c r="O50" s="247" t="s">
        <v>691</v>
      </c>
      <c r="P50" s="247" t="s">
        <v>1605</v>
      </c>
      <c r="Q50" s="247">
        <v>3100</v>
      </c>
      <c r="R50" s="247" t="s">
        <v>1548</v>
      </c>
      <c r="S50" s="247" t="s">
        <v>1829</v>
      </c>
      <c r="T50" s="564" t="s">
        <v>1830</v>
      </c>
      <c r="U50" s="565" t="s">
        <v>1831</v>
      </c>
      <c r="V50" s="566" t="s">
        <v>1832</v>
      </c>
      <c r="W50" s="564" t="s">
        <v>1833</v>
      </c>
      <c r="X50" s="565" t="s">
        <v>1834</v>
      </c>
      <c r="Y50" s="247" t="str">
        <f t="shared" si="10"/>
        <v/>
      </c>
      <c r="Z50" s="247" t="str">
        <f t="shared" si="11"/>
        <v/>
      </c>
      <c r="AA50" s="567" t="str">
        <f t="shared" si="12"/>
        <v/>
      </c>
      <c r="AB50" s="567" t="str">
        <f t="shared" si="13"/>
        <v/>
      </c>
      <c r="AC50" s="247">
        <f t="shared" si="14"/>
        <v>0</v>
      </c>
      <c r="AD50" s="247" t="str">
        <f t="shared" si="15"/>
        <v/>
      </c>
      <c r="AE50" s="567" t="str">
        <f t="shared" si="16"/>
        <v/>
      </c>
      <c r="AF50" s="247" t="str">
        <f t="shared" si="17"/>
        <v/>
      </c>
      <c r="AG50" s="247">
        <f t="shared" si="18"/>
        <v>0</v>
      </c>
      <c r="AH50" s="557" t="str">
        <f t="shared" si="19"/>
        <v/>
      </c>
    </row>
    <row r="51" spans="1:34">
      <c r="A51" s="555">
        <f t="shared" si="0"/>
        <v>10</v>
      </c>
      <c r="B51" s="556">
        <f t="shared" si="56"/>
        <v>10</v>
      </c>
      <c r="C51" s="555">
        <f t="shared" si="57"/>
        <v>1</v>
      </c>
      <c r="D51" s="555">
        <f t="shared" si="3"/>
        <v>10</v>
      </c>
      <c r="E51" s="556">
        <f t="shared" si="4"/>
        <v>3.1</v>
      </c>
      <c r="F51" s="557" t="str">
        <f t="shared" si="5"/>
        <v xml:space="preserve">     -</v>
      </c>
      <c r="G51" s="558" t="str">
        <f t="shared" si="22"/>
        <v/>
      </c>
      <c r="H51" s="559" t="str">
        <f t="shared" si="45"/>
        <v/>
      </c>
      <c r="I51" s="560" t="e">
        <f t="shared" si="8"/>
        <v>#VALUE!</v>
      </c>
      <c r="J51" s="561" t="e">
        <f t="shared" si="9"/>
        <v>#VALUE!</v>
      </c>
      <c r="K51" s="562">
        <v>15000</v>
      </c>
      <c r="L51" s="563">
        <v>44883</v>
      </c>
      <c r="M51" s="247"/>
      <c r="N51" s="247" t="s">
        <v>1537</v>
      </c>
      <c r="O51" s="247" t="s">
        <v>636</v>
      </c>
      <c r="P51" s="247" t="s">
        <v>1605</v>
      </c>
      <c r="Q51" s="247">
        <v>56</v>
      </c>
      <c r="R51" s="247" t="s">
        <v>1540</v>
      </c>
      <c r="S51" s="247" t="s">
        <v>1835</v>
      </c>
      <c r="T51" s="564" t="s">
        <v>1836</v>
      </c>
      <c r="U51" s="565" t="s">
        <v>1733</v>
      </c>
      <c r="V51" s="566" t="s">
        <v>1837</v>
      </c>
      <c r="W51" s="564" t="s">
        <v>1838</v>
      </c>
      <c r="X51" s="565" t="s">
        <v>1839</v>
      </c>
      <c r="Y51" s="247" t="str">
        <f t="shared" si="10"/>
        <v/>
      </c>
      <c r="Z51" s="247" t="str">
        <f t="shared" si="11"/>
        <v/>
      </c>
      <c r="AA51" s="567" t="str">
        <f t="shared" si="12"/>
        <v/>
      </c>
      <c r="AB51" s="567" t="str">
        <f t="shared" si="13"/>
        <v/>
      </c>
      <c r="AC51" s="247">
        <f t="shared" si="14"/>
        <v>45658</v>
      </c>
      <c r="AD51" s="247">
        <f t="shared" si="15"/>
        <v>21916</v>
      </c>
      <c r="AE51" s="567" t="str">
        <f t="shared" si="16"/>
        <v>Tgt Hit</v>
      </c>
      <c r="AF51" s="247" t="str">
        <f t="shared" si="17"/>
        <v/>
      </c>
      <c r="AG51" s="247">
        <f t="shared" si="18"/>
        <v>0</v>
      </c>
      <c r="AH51" s="557" t="str">
        <f t="shared" si="19"/>
        <v/>
      </c>
    </row>
    <row r="52" spans="1:34">
      <c r="A52" s="555">
        <f t="shared" si="0"/>
        <v>1</v>
      </c>
      <c r="B52" s="556">
        <f>IF(AF52&lt;=AG52,1,IF(AH52&lt;=0.005,2,IF(AND(AH52&gt;0.005,AH52&lt;=0.02, L183),4,IF(AND(AH52&gt;0.02,AH52&lt;=0.05),5,IF(AND(AH52&gt;0.05,AH52&lt;=0.1),7,IF(AND(AH52&gt;0.1,AH52&lt;=0.2),8,IF(AH52&gt;0.2,10)))))))</f>
        <v>10</v>
      </c>
      <c r="C52" s="555">
        <f>IF(AA52&lt;=0.005,10,IF(AND(AA52&gt;0.005,AA52&lt;=0.01, C168),9,IF(AND(AA52&gt;0.01,AA52&lt;=0.02),8,IF(AND(AA52&gt;0.02,AA52&lt;=0.05),7,IF(AND(AA52&gt;0.05,AA52&lt;=0.1),6,IF(AND(AA52&gt;0.1,AA52&lt;=0.2),5,IF(AND(AA52&gt;0.2,AA52&lt;=0.3),4,IF(AND(AA52&gt;0.3,AA52&lt;=0.4),3,IF(AND(AA52&gt;0.4,AA52&lt;=0.5),2,IF(AA52&gt;0.5,1))))))))))</f>
        <v>1</v>
      </c>
      <c r="D52" s="555">
        <f t="shared" si="3"/>
        <v>10</v>
      </c>
      <c r="E52" s="556">
        <f t="shared" si="4"/>
        <v>2.4</v>
      </c>
      <c r="F52" s="557" t="str">
        <f t="shared" si="5"/>
        <v xml:space="preserve">     -</v>
      </c>
      <c r="G52" s="558" t="str">
        <f t="shared" si="22"/>
        <v/>
      </c>
      <c r="H52" s="559" t="str">
        <f t="shared" si="45"/>
        <v/>
      </c>
      <c r="I52" s="560" t="e">
        <f t="shared" si="8"/>
        <v>#VALUE!</v>
      </c>
      <c r="J52" s="561" t="e">
        <f t="shared" si="9"/>
        <v>#VALUE!</v>
      </c>
      <c r="K52" s="562">
        <v>1650</v>
      </c>
      <c r="L52" s="563">
        <v>44883</v>
      </c>
      <c r="M52" s="247"/>
      <c r="N52" s="247" t="s">
        <v>1671</v>
      </c>
      <c r="O52" s="247" t="s">
        <v>686</v>
      </c>
      <c r="P52" s="247" t="s">
        <v>1605</v>
      </c>
      <c r="Q52" s="247">
        <v>400</v>
      </c>
      <c r="R52" s="247" t="s">
        <v>1540</v>
      </c>
      <c r="S52" s="247" t="s">
        <v>1840</v>
      </c>
      <c r="T52" s="564" t="s">
        <v>1841</v>
      </c>
      <c r="U52" s="565" t="s">
        <v>1814</v>
      </c>
      <c r="V52" s="566" t="s">
        <v>1842</v>
      </c>
      <c r="W52" s="564" t="s">
        <v>1843</v>
      </c>
      <c r="X52" s="565" t="s">
        <v>1844</v>
      </c>
      <c r="Y52" s="247" t="str">
        <f t="shared" si="10"/>
        <v/>
      </c>
      <c r="Z52" s="247" t="str">
        <f t="shared" si="11"/>
        <v/>
      </c>
      <c r="AA52" s="567" t="str">
        <f t="shared" si="12"/>
        <v/>
      </c>
      <c r="AB52" s="567" t="str">
        <f t="shared" si="13"/>
        <v/>
      </c>
      <c r="AC52" s="247">
        <f t="shared" si="14"/>
        <v>33025</v>
      </c>
      <c r="AD52" s="247" t="str">
        <f t="shared" si="15"/>
        <v/>
      </c>
      <c r="AE52" s="567" t="str">
        <f t="shared" si="16"/>
        <v/>
      </c>
      <c r="AF52" s="247">
        <f t="shared" si="17"/>
        <v>43922</v>
      </c>
      <c r="AG52" s="247">
        <f t="shared" si="18"/>
        <v>29281</v>
      </c>
      <c r="AH52" s="557">
        <f t="shared" si="19"/>
        <v>0.5</v>
      </c>
    </row>
    <row r="53" spans="1:34">
      <c r="A53" s="555">
        <f t="shared" si="0"/>
        <v>1</v>
      </c>
      <c r="B53" s="556">
        <f t="shared" ref="B53:B54" si="58">IF(AF53&lt;=AG53,1,IF(AH53&lt;=0.005,2,IF(AND(AH53&gt;0.005,AH53&lt;=0.02, L181),4,IF(AND(AH53&gt;0.02,AH53&lt;=0.05),5,IF(AND(AH53&gt;0.05,AH53&lt;=0.1),7,IF(AND(AH53&gt;0.1,AH53&lt;=0.2),8,IF(AH53&gt;0.2,10)))))))</f>
        <v>10</v>
      </c>
      <c r="C53" s="555">
        <f t="shared" ref="C53:C54" si="59">IF(AA53&lt;=0.005,10,IF(AND(AA53&gt;0.005,AA53&lt;=0.01, C166),9,IF(AND(AA53&gt;0.01,AA53&lt;=0.02),8,IF(AND(AA53&gt;0.02,AA53&lt;=0.05),7,IF(AND(AA53&gt;0.05,AA53&lt;=0.1),6,IF(AND(AA53&gt;0.1,AA53&lt;=0.2),5,IF(AND(AA53&gt;0.2,AA53&lt;=0.3),4,IF(AND(AA53&gt;0.3,AA53&lt;=0.4),3,IF(AND(AA53&gt;0.4,AA53&lt;=0.5),2,IF(AA53&gt;0.5,1))))))))))</f>
        <v>1</v>
      </c>
      <c r="D53" s="555">
        <f t="shared" si="3"/>
        <v>10</v>
      </c>
      <c r="E53" s="556">
        <f t="shared" si="4"/>
        <v>2.4</v>
      </c>
      <c r="F53" s="557" t="str">
        <f t="shared" si="5"/>
        <v xml:space="preserve">     -</v>
      </c>
      <c r="G53" s="558" t="str">
        <f t="shared" si="22"/>
        <v/>
      </c>
      <c r="H53" s="559" t="str">
        <f t="shared" si="45"/>
        <v/>
      </c>
      <c r="I53" s="560" t="e">
        <f t="shared" si="8"/>
        <v>#VALUE!</v>
      </c>
      <c r="J53" s="561" t="e">
        <f t="shared" si="9"/>
        <v>#VALUE!</v>
      </c>
      <c r="K53" s="562">
        <v>700</v>
      </c>
      <c r="L53" s="563">
        <v>44886</v>
      </c>
      <c r="M53" s="247"/>
      <c r="N53" s="247" t="s">
        <v>1845</v>
      </c>
      <c r="O53" s="247" t="s">
        <v>1846</v>
      </c>
      <c r="P53" s="247" t="s">
        <v>1605</v>
      </c>
      <c r="Q53" s="247">
        <v>1100</v>
      </c>
      <c r="R53" s="247" t="s">
        <v>1548</v>
      </c>
      <c r="S53" s="247" t="s">
        <v>1847</v>
      </c>
      <c r="T53" s="564" t="s">
        <v>1698</v>
      </c>
      <c r="U53" s="565" t="s">
        <v>1848</v>
      </c>
      <c r="V53" s="566" t="s">
        <v>1849</v>
      </c>
      <c r="W53" s="564" t="s">
        <v>1850</v>
      </c>
      <c r="X53" s="565" t="s">
        <v>1851</v>
      </c>
      <c r="Y53" s="247" t="str">
        <f t="shared" si="10"/>
        <v/>
      </c>
      <c r="Z53" s="247" t="str">
        <f t="shared" si="11"/>
        <v/>
      </c>
      <c r="AA53" s="567" t="str">
        <f t="shared" si="12"/>
        <v/>
      </c>
      <c r="AB53" s="567" t="str">
        <f t="shared" si="13"/>
        <v/>
      </c>
      <c r="AC53" s="247">
        <f t="shared" si="14"/>
        <v>0</v>
      </c>
      <c r="AD53" s="247" t="str">
        <f t="shared" si="15"/>
        <v/>
      </c>
      <c r="AE53" s="567" t="str">
        <f t="shared" si="16"/>
        <v/>
      </c>
      <c r="AF53" s="247">
        <f t="shared" si="17"/>
        <v>45778</v>
      </c>
      <c r="AG53" s="247">
        <f t="shared" si="18"/>
        <v>0</v>
      </c>
      <c r="AH53" s="557" t="str">
        <f t="shared" si="19"/>
        <v/>
      </c>
    </row>
    <row r="54" spans="1:34">
      <c r="A54" s="555">
        <f t="shared" si="0"/>
        <v>1</v>
      </c>
      <c r="B54" s="556">
        <f t="shared" si="58"/>
        <v>10</v>
      </c>
      <c r="C54" s="555">
        <f t="shared" si="59"/>
        <v>1</v>
      </c>
      <c r="D54" s="555">
        <f t="shared" si="3"/>
        <v>10</v>
      </c>
      <c r="E54" s="556">
        <f t="shared" si="4"/>
        <v>2.4</v>
      </c>
      <c r="F54" s="557" t="str">
        <f t="shared" si="5"/>
        <v xml:space="preserve">     -</v>
      </c>
      <c r="G54" s="558" t="str">
        <f t="shared" si="22"/>
        <v/>
      </c>
      <c r="H54" s="559" t="str">
        <f t="shared" si="45"/>
        <v/>
      </c>
      <c r="I54" s="560" t="e">
        <f t="shared" si="8"/>
        <v>#VALUE!</v>
      </c>
      <c r="J54" s="561" t="e">
        <f t="shared" si="9"/>
        <v>#VALUE!</v>
      </c>
      <c r="K54" s="562">
        <v>500</v>
      </c>
      <c r="L54" s="563">
        <v>44886</v>
      </c>
      <c r="M54" s="247"/>
      <c r="N54" s="247" t="s">
        <v>1537</v>
      </c>
      <c r="O54" s="247" t="s">
        <v>692</v>
      </c>
      <c r="P54" s="247" t="s">
        <v>1605</v>
      </c>
      <c r="Q54" s="247">
        <v>1660</v>
      </c>
      <c r="R54" s="247" t="s">
        <v>1540</v>
      </c>
      <c r="S54" s="247" t="s">
        <v>1852</v>
      </c>
      <c r="T54" s="564" t="s">
        <v>1853</v>
      </c>
      <c r="U54" s="565" t="s">
        <v>1848</v>
      </c>
      <c r="V54" s="566" t="s">
        <v>1854</v>
      </c>
      <c r="W54" s="564" t="s">
        <v>1855</v>
      </c>
      <c r="X54" s="565" t="s">
        <v>1856</v>
      </c>
      <c r="Y54" s="247" t="str">
        <f t="shared" si="10"/>
        <v/>
      </c>
      <c r="Z54" s="247" t="str">
        <f t="shared" si="11"/>
        <v/>
      </c>
      <c r="AA54" s="567" t="str">
        <f t="shared" si="12"/>
        <v/>
      </c>
      <c r="AB54" s="567" t="str">
        <f t="shared" si="13"/>
        <v/>
      </c>
      <c r="AC54" s="247">
        <f t="shared" si="14"/>
        <v>0</v>
      </c>
      <c r="AD54" s="247" t="str">
        <f t="shared" si="15"/>
        <v/>
      </c>
      <c r="AE54" s="567" t="str">
        <f t="shared" si="16"/>
        <v/>
      </c>
      <c r="AF54" s="247" t="str">
        <f t="shared" si="17"/>
        <v/>
      </c>
      <c r="AG54" s="247">
        <f t="shared" si="18"/>
        <v>0</v>
      </c>
      <c r="AH54" s="557" t="str">
        <f t="shared" si="19"/>
        <v/>
      </c>
    </row>
    <row r="55" spans="1:34">
      <c r="A55" s="555">
        <f t="shared" si="0"/>
        <v>1</v>
      </c>
      <c r="B55" s="556">
        <f>IF(AF55&lt;=AG55,1,IF(AH55&lt;=0.005,2,IF(AND(AH55&gt;0.005,AH55&lt;=0.02, L182),4,IF(AND(AH55&gt;0.02,AH55&lt;=0.05),5,IF(AND(AH55&gt;0.05,AH55&lt;=0.1),7,IF(AND(AH55&gt;0.1,AH55&lt;=0.2),8,IF(AH55&gt;0.2,10)))))))</f>
        <v>10</v>
      </c>
      <c r="C55" s="555">
        <f>IF(AA55&lt;=0.005,10,IF(AND(AA55&gt;0.005,AA55&lt;=0.01, C167),9,IF(AND(AA55&gt;0.01,AA55&lt;=0.02),8,IF(AND(AA55&gt;0.02,AA55&lt;=0.05),7,IF(AND(AA55&gt;0.05,AA55&lt;=0.1),6,IF(AND(AA55&gt;0.1,AA55&lt;=0.2),5,IF(AND(AA55&gt;0.2,AA55&lt;=0.3),4,IF(AND(AA55&gt;0.3,AA55&lt;=0.4),3,IF(AND(AA55&gt;0.4,AA55&lt;=0.5),2,IF(AA55&gt;0.5,1))))))))))</f>
        <v>1</v>
      </c>
      <c r="D55" s="555">
        <f t="shared" si="3"/>
        <v>1</v>
      </c>
      <c r="E55" s="556">
        <f t="shared" si="4"/>
        <v>1.7</v>
      </c>
      <c r="F55" s="557" t="str">
        <f t="shared" si="5"/>
        <v xml:space="preserve">     -</v>
      </c>
      <c r="G55" s="558" t="str">
        <f t="shared" si="22"/>
        <v/>
      </c>
      <c r="H55" s="559" t="str">
        <f t="shared" si="45"/>
        <v/>
      </c>
      <c r="I55" s="560" t="e">
        <f t="shared" si="8"/>
        <v>#VALUE!</v>
      </c>
      <c r="J55" s="561" t="e">
        <f t="shared" si="9"/>
        <v>#VALUE!</v>
      </c>
      <c r="K55" s="562">
        <v>1425</v>
      </c>
      <c r="L55" s="563">
        <v>44887</v>
      </c>
      <c r="M55" s="247"/>
      <c r="N55" s="247" t="s">
        <v>1845</v>
      </c>
      <c r="O55" s="247" t="s">
        <v>504</v>
      </c>
      <c r="P55" s="247" t="s">
        <v>1605</v>
      </c>
      <c r="Q55" s="247">
        <v>420</v>
      </c>
      <c r="R55" s="247" t="s">
        <v>1540</v>
      </c>
      <c r="S55" s="247" t="s">
        <v>1857</v>
      </c>
      <c r="T55" s="564" t="s">
        <v>1698</v>
      </c>
      <c r="U55" s="565" t="s">
        <v>1681</v>
      </c>
      <c r="V55" s="566" t="s">
        <v>1858</v>
      </c>
      <c r="W55" s="564" t="s">
        <v>1859</v>
      </c>
      <c r="X55" s="565" t="s">
        <v>1736</v>
      </c>
      <c r="Y55" s="247" t="str">
        <f t="shared" si="10"/>
        <v/>
      </c>
      <c r="Z55" s="247">
        <f t="shared" si="11"/>
        <v>45049</v>
      </c>
      <c r="AA55" s="567" t="str">
        <f t="shared" si="12"/>
        <v/>
      </c>
      <c r="AB55" s="567">
        <f t="shared" si="13"/>
        <v>0</v>
      </c>
      <c r="AC55" s="247">
        <f t="shared" si="14"/>
        <v>45049</v>
      </c>
      <c r="AD55" s="247" t="str">
        <f t="shared" si="15"/>
        <v/>
      </c>
      <c r="AE55" s="567" t="str">
        <f t="shared" si="16"/>
        <v/>
      </c>
      <c r="AF55" s="247" t="str">
        <f t="shared" si="17"/>
        <v/>
      </c>
      <c r="AG55" s="247">
        <f t="shared" si="18"/>
        <v>0</v>
      </c>
      <c r="AH55" s="557" t="str">
        <f t="shared" si="19"/>
        <v/>
      </c>
    </row>
    <row r="56" spans="1:34">
      <c r="A56" s="555">
        <f t="shared" si="0"/>
        <v>1</v>
      </c>
      <c r="B56" s="556">
        <f t="shared" ref="B56:B58" si="60">IF(AF56&lt;=AG56,1,IF(AH56&lt;=0.005,2,IF(AND(AH56&gt;0.005,AH56&lt;=0.02, L181),4,IF(AND(AH56&gt;0.02,AH56&lt;=0.05),5,IF(AND(AH56&gt;0.05,AH56&lt;=0.1),7,IF(AND(AH56&gt;0.1,AH56&lt;=0.2),8,IF(AH56&gt;0.2,10)))))))</f>
        <v>10</v>
      </c>
      <c r="C56" s="555">
        <f t="shared" ref="C56:C58" si="61">IF(AA56&lt;=0.005,10,IF(AND(AA56&gt;0.005,AA56&lt;=0.01, C166),9,IF(AND(AA56&gt;0.01,AA56&lt;=0.02),8,IF(AND(AA56&gt;0.02,AA56&lt;=0.05),7,IF(AND(AA56&gt;0.05,AA56&lt;=0.1),6,IF(AND(AA56&gt;0.1,AA56&lt;=0.2),5,IF(AND(AA56&gt;0.2,AA56&lt;=0.3),4,IF(AND(AA56&gt;0.3,AA56&lt;=0.4),3,IF(AND(AA56&gt;0.4,AA56&lt;=0.5),2,IF(AA56&gt;0.5,1))))))))))</f>
        <v>1</v>
      </c>
      <c r="D56" s="555">
        <f t="shared" si="3"/>
        <v>1</v>
      </c>
      <c r="E56" s="556">
        <f t="shared" si="4"/>
        <v>1.7</v>
      </c>
      <c r="F56" s="557" t="str">
        <f t="shared" si="5"/>
        <v xml:space="preserve">     -</v>
      </c>
      <c r="G56" s="558" t="str">
        <f t="shared" si="22"/>
        <v/>
      </c>
      <c r="H56" s="559" t="str">
        <f t="shared" si="45"/>
        <v/>
      </c>
      <c r="I56" s="560" t="e">
        <f t="shared" si="8"/>
        <v>#VALUE!</v>
      </c>
      <c r="J56" s="561" t="e">
        <f t="shared" si="9"/>
        <v>#VALUE!</v>
      </c>
      <c r="K56" s="562">
        <v>175</v>
      </c>
      <c r="L56" s="563">
        <v>44887</v>
      </c>
      <c r="M56" s="247"/>
      <c r="N56" s="247" t="s">
        <v>1537</v>
      </c>
      <c r="O56" s="247" t="s">
        <v>687</v>
      </c>
      <c r="P56" s="247" t="s">
        <v>1860</v>
      </c>
      <c r="Q56" s="247">
        <v>1900</v>
      </c>
      <c r="R56" s="247" t="s">
        <v>1540</v>
      </c>
      <c r="S56" s="247" t="s">
        <v>1861</v>
      </c>
      <c r="T56" s="564" t="s">
        <v>1862</v>
      </c>
      <c r="U56" s="565" t="s">
        <v>1863</v>
      </c>
      <c r="V56" s="566" t="s">
        <v>1864</v>
      </c>
      <c r="W56" s="564" t="s">
        <v>1865</v>
      </c>
      <c r="X56" s="565" t="s">
        <v>1866</v>
      </c>
      <c r="Y56" s="247" t="str">
        <f t="shared" si="10"/>
        <v/>
      </c>
      <c r="Z56" s="247">
        <f t="shared" si="11"/>
        <v>61</v>
      </c>
      <c r="AA56" s="567" t="str">
        <f t="shared" si="12"/>
        <v/>
      </c>
      <c r="AB56" s="567">
        <f t="shared" si="13"/>
        <v>-1</v>
      </c>
      <c r="AC56" s="247">
        <f t="shared" si="14"/>
        <v>0</v>
      </c>
      <c r="AD56" s="247" t="str">
        <f t="shared" si="15"/>
        <v/>
      </c>
      <c r="AE56" s="567" t="str">
        <f t="shared" si="16"/>
        <v/>
      </c>
      <c r="AF56" s="247">
        <f t="shared" si="17"/>
        <v>43</v>
      </c>
      <c r="AG56" s="247">
        <f t="shared" si="18"/>
        <v>0</v>
      </c>
      <c r="AH56" s="557" t="str">
        <f t="shared" si="19"/>
        <v/>
      </c>
    </row>
    <row r="57" spans="1:34">
      <c r="A57" s="555">
        <f t="shared" si="0"/>
        <v>1</v>
      </c>
      <c r="B57" s="556">
        <f t="shared" si="60"/>
        <v>10</v>
      </c>
      <c r="C57" s="555">
        <f t="shared" si="61"/>
        <v>8</v>
      </c>
      <c r="D57" s="555">
        <f t="shared" si="3"/>
        <v>1</v>
      </c>
      <c r="E57" s="556">
        <f t="shared" si="4"/>
        <v>7.1</v>
      </c>
      <c r="F57" s="557" t="str">
        <f t="shared" si="5"/>
        <v xml:space="preserve">     -</v>
      </c>
      <c r="G57" s="558">
        <f t="shared" si="22"/>
        <v>0.2</v>
      </c>
      <c r="H57" s="559">
        <f t="shared" si="45"/>
        <v>-0.91300000000000003</v>
      </c>
      <c r="I57" s="560">
        <f t="shared" si="8"/>
        <v>4500</v>
      </c>
      <c r="J57" s="561">
        <f t="shared" si="9"/>
        <v>20550</v>
      </c>
      <c r="K57" s="562">
        <v>150</v>
      </c>
      <c r="L57" s="563">
        <v>44888</v>
      </c>
      <c r="M57" s="247"/>
      <c r="N57" s="247" t="s">
        <v>1845</v>
      </c>
      <c r="O57" s="247" t="s">
        <v>1867</v>
      </c>
      <c r="P57" s="247" t="s">
        <v>1860</v>
      </c>
      <c r="Q57" s="247">
        <v>3800</v>
      </c>
      <c r="R57" s="247" t="s">
        <v>1548</v>
      </c>
      <c r="S57" s="247" t="s">
        <v>1868</v>
      </c>
      <c r="T57" s="564" t="s">
        <v>1869</v>
      </c>
      <c r="U57" s="565" t="s">
        <v>1870</v>
      </c>
      <c r="V57" s="566" t="s">
        <v>1871</v>
      </c>
      <c r="W57" s="564" t="s">
        <v>1872</v>
      </c>
      <c r="X57" s="565" t="s">
        <v>1873</v>
      </c>
      <c r="Y57" s="247">
        <f t="shared" si="10"/>
        <v>150</v>
      </c>
      <c r="Z57" s="247">
        <f t="shared" si="11"/>
        <v>152</v>
      </c>
      <c r="AA57" s="567">
        <f t="shared" si="12"/>
        <v>1.2999999999999999E-2</v>
      </c>
      <c r="AB57" s="567">
        <f t="shared" si="13"/>
        <v>-1</v>
      </c>
      <c r="AC57" s="247">
        <f t="shared" si="14"/>
        <v>0</v>
      </c>
      <c r="AD57" s="247">
        <f t="shared" si="15"/>
        <v>180</v>
      </c>
      <c r="AE57" s="567">
        <f t="shared" si="16"/>
        <v>1</v>
      </c>
      <c r="AF57" s="247">
        <f t="shared" si="17"/>
        <v>138</v>
      </c>
      <c r="AG57" s="247">
        <f t="shared" si="18"/>
        <v>13</v>
      </c>
      <c r="AH57" s="557">
        <f t="shared" si="19"/>
        <v>9.6150000000000002</v>
      </c>
    </row>
    <row r="58" spans="1:34">
      <c r="A58" s="555">
        <f t="shared" si="0"/>
        <v>1</v>
      </c>
      <c r="B58" s="556">
        <f t="shared" si="60"/>
        <v>10</v>
      </c>
      <c r="C58" s="555">
        <f t="shared" si="61"/>
        <v>1</v>
      </c>
      <c r="D58" s="555">
        <f t="shared" si="3"/>
        <v>5</v>
      </c>
      <c r="E58" s="556">
        <f t="shared" si="4"/>
        <v>2</v>
      </c>
      <c r="F58" s="557" t="str">
        <f t="shared" si="5"/>
        <v xml:space="preserve">     -</v>
      </c>
      <c r="G58" s="558" t="str">
        <f t="shared" si="22"/>
        <v/>
      </c>
      <c r="H58" s="559" t="str">
        <f t="shared" si="45"/>
        <v/>
      </c>
      <c r="I58" s="560" t="e">
        <f t="shared" si="8"/>
        <v>#VALUE!</v>
      </c>
      <c r="J58" s="561" t="e">
        <f t="shared" si="9"/>
        <v>#VALUE!</v>
      </c>
      <c r="K58" s="562">
        <v>200</v>
      </c>
      <c r="L58" s="563">
        <v>44888</v>
      </c>
      <c r="M58" s="247"/>
      <c r="N58" s="247" t="s">
        <v>1537</v>
      </c>
      <c r="O58" s="247" t="s">
        <v>1874</v>
      </c>
      <c r="P58" s="247" t="s">
        <v>1860</v>
      </c>
      <c r="Q58" s="247">
        <v>3900</v>
      </c>
      <c r="R58" s="247" t="s">
        <v>1548</v>
      </c>
      <c r="S58" s="247" t="s">
        <v>1875</v>
      </c>
      <c r="T58" s="564" t="s">
        <v>1876</v>
      </c>
      <c r="U58" s="565" t="s">
        <v>1877</v>
      </c>
      <c r="V58" s="566" t="s">
        <v>1878</v>
      </c>
      <c r="W58" s="564" t="s">
        <v>1879</v>
      </c>
      <c r="X58" s="565" t="s">
        <v>1880</v>
      </c>
      <c r="Y58" s="247" t="str">
        <f t="shared" si="10"/>
        <v/>
      </c>
      <c r="Z58" s="247">
        <f t="shared" si="11"/>
        <v>98</v>
      </c>
      <c r="AA58" s="567" t="str">
        <f t="shared" si="12"/>
        <v/>
      </c>
      <c r="AB58" s="567">
        <f t="shared" si="13"/>
        <v>7.0999999999999994E-2</v>
      </c>
      <c r="AC58" s="247">
        <f t="shared" si="14"/>
        <v>105</v>
      </c>
      <c r="AD58" s="247" t="str">
        <f t="shared" si="15"/>
        <v/>
      </c>
      <c r="AE58" s="567" t="str">
        <f t="shared" si="16"/>
        <v/>
      </c>
      <c r="AF58" s="247" t="str">
        <f t="shared" si="17"/>
        <v/>
      </c>
      <c r="AG58" s="247">
        <f t="shared" si="18"/>
        <v>80</v>
      </c>
      <c r="AH58" s="557" t="str">
        <f t="shared" si="19"/>
        <v/>
      </c>
    </row>
    <row r="59" spans="1:34">
      <c r="A59" s="555">
        <f t="shared" si="0"/>
        <v>1</v>
      </c>
      <c r="B59" s="556">
        <f t="shared" ref="B59:B60" si="62">IF(AF59&lt;=AG59,1,IF(AH59&lt;=0.005,2,IF(AND(AH59&gt;0.005,AH59&lt;=0.02, L182),4,IF(AND(AH59&gt;0.02,AH59&lt;=0.05),5,IF(AND(AH59&gt;0.05,AH59&lt;=0.1),7,IF(AND(AH59&gt;0.1,AH59&lt;=0.2),8,IF(AH59&gt;0.2,10)))))))</f>
        <v>10</v>
      </c>
      <c r="C59" s="555">
        <f t="shared" ref="C59:C60" si="63">IF(AA59&lt;=0.005,10,IF(AND(AA59&gt;0.005,AA59&lt;=0.01, C167),9,IF(AND(AA59&gt;0.01,AA59&lt;=0.02),8,IF(AND(AA59&gt;0.02,AA59&lt;=0.05),7,IF(AND(AA59&gt;0.05,AA59&lt;=0.1),6,IF(AND(AA59&gt;0.1,AA59&lt;=0.2),5,IF(AND(AA59&gt;0.2,AA59&lt;=0.3),4,IF(AND(AA59&gt;0.3,AA59&lt;=0.4),3,IF(AND(AA59&gt;0.4,AA59&lt;=0.5),2,IF(AA59&gt;0.5,1))))))))))</f>
        <v>1</v>
      </c>
      <c r="D59" s="555">
        <f t="shared" si="3"/>
        <v>10</v>
      </c>
      <c r="E59" s="556">
        <f t="shared" si="4"/>
        <v>2.4</v>
      </c>
      <c r="F59" s="557" t="str">
        <f t="shared" si="5"/>
        <v xml:space="preserve">     -</v>
      </c>
      <c r="G59" s="558" t="str">
        <f t="shared" si="22"/>
        <v/>
      </c>
      <c r="H59" s="559" t="str">
        <f t="shared" si="45"/>
        <v/>
      </c>
      <c r="I59" s="560" t="e">
        <f t="shared" si="8"/>
        <v>#VALUE!</v>
      </c>
      <c r="J59" s="561" t="e">
        <f t="shared" si="9"/>
        <v>#VALUE!</v>
      </c>
      <c r="K59" s="562">
        <v>1350</v>
      </c>
      <c r="L59" s="563">
        <v>44889</v>
      </c>
      <c r="M59" s="247"/>
      <c r="N59" s="247" t="s">
        <v>1537</v>
      </c>
      <c r="O59" s="247" t="s">
        <v>659</v>
      </c>
      <c r="P59" s="247" t="s">
        <v>1860</v>
      </c>
      <c r="Q59" s="247">
        <v>720</v>
      </c>
      <c r="R59" s="247" t="s">
        <v>1548</v>
      </c>
      <c r="S59" s="247" t="s">
        <v>1881</v>
      </c>
      <c r="T59" s="564" t="s">
        <v>1882</v>
      </c>
      <c r="U59" s="565" t="s">
        <v>1883</v>
      </c>
      <c r="V59" s="566" t="s">
        <v>1884</v>
      </c>
      <c r="W59" s="564" t="s">
        <v>1885</v>
      </c>
      <c r="X59" s="565" t="s">
        <v>1886</v>
      </c>
      <c r="Y59" s="247" t="str">
        <f t="shared" si="10"/>
        <v/>
      </c>
      <c r="Z59" s="247" t="str">
        <f t="shared" si="11"/>
        <v/>
      </c>
      <c r="AA59" s="567" t="str">
        <f t="shared" si="12"/>
        <v/>
      </c>
      <c r="AB59" s="567" t="str">
        <f t="shared" si="13"/>
        <v/>
      </c>
      <c r="AC59" s="247">
        <f t="shared" si="14"/>
        <v>0</v>
      </c>
      <c r="AD59" s="247" t="str">
        <f t="shared" si="15"/>
        <v/>
      </c>
      <c r="AE59" s="567" t="str">
        <f t="shared" si="16"/>
        <v/>
      </c>
      <c r="AF59" s="247" t="str">
        <f t="shared" si="17"/>
        <v/>
      </c>
      <c r="AG59" s="247">
        <f t="shared" si="18"/>
        <v>0</v>
      </c>
      <c r="AH59" s="557" t="str">
        <f t="shared" si="19"/>
        <v/>
      </c>
    </row>
    <row r="60" spans="1:34">
      <c r="A60" s="555">
        <f t="shared" si="0"/>
        <v>1</v>
      </c>
      <c r="B60" s="556">
        <f t="shared" si="62"/>
        <v>10</v>
      </c>
      <c r="C60" s="555">
        <f t="shared" si="63"/>
        <v>1</v>
      </c>
      <c r="D60" s="555">
        <f t="shared" si="3"/>
        <v>10</v>
      </c>
      <c r="E60" s="556">
        <f t="shared" si="4"/>
        <v>2.4</v>
      </c>
      <c r="F60" s="557" t="str">
        <f t="shared" si="5"/>
        <v xml:space="preserve">     -</v>
      </c>
      <c r="G60" s="558" t="str">
        <f t="shared" si="22"/>
        <v/>
      </c>
      <c r="H60" s="559" t="str">
        <f t="shared" si="45"/>
        <v/>
      </c>
      <c r="I60" s="560" t="e">
        <f t="shared" si="8"/>
        <v>#VALUE!</v>
      </c>
      <c r="J60" s="561" t="e">
        <f t="shared" si="9"/>
        <v>#VALUE!</v>
      </c>
      <c r="K60" s="562">
        <v>1600</v>
      </c>
      <c r="L60" s="563">
        <v>44889</v>
      </c>
      <c r="M60" s="247"/>
      <c r="N60" s="247" t="s">
        <v>1845</v>
      </c>
      <c r="O60" s="247" t="s">
        <v>1887</v>
      </c>
      <c r="P60" s="247" t="s">
        <v>1860</v>
      </c>
      <c r="Q60" s="247">
        <v>350</v>
      </c>
      <c r="R60" s="247" t="s">
        <v>1548</v>
      </c>
      <c r="S60" s="247" t="s">
        <v>1888</v>
      </c>
      <c r="T60" s="564" t="s">
        <v>1703</v>
      </c>
      <c r="U60" s="565" t="s">
        <v>1870</v>
      </c>
      <c r="V60" s="566" t="s">
        <v>1889</v>
      </c>
      <c r="W60" s="564" t="s">
        <v>1890</v>
      </c>
      <c r="X60" s="565" t="s">
        <v>1891</v>
      </c>
      <c r="Y60" s="247" t="str">
        <f t="shared" si="10"/>
        <v/>
      </c>
      <c r="Z60" s="247" t="str">
        <f t="shared" si="11"/>
        <v/>
      </c>
      <c r="AA60" s="567" t="str">
        <f t="shared" si="12"/>
        <v/>
      </c>
      <c r="AB60" s="567" t="str">
        <f t="shared" si="13"/>
        <v/>
      </c>
      <c r="AC60" s="247">
        <f t="shared" si="14"/>
        <v>0</v>
      </c>
      <c r="AD60" s="247">
        <f t="shared" si="15"/>
        <v>30</v>
      </c>
      <c r="AE60" s="567">
        <f t="shared" si="16"/>
        <v>1</v>
      </c>
      <c r="AF60" s="247" t="str">
        <f t="shared" si="17"/>
        <v/>
      </c>
      <c r="AG60" s="247">
        <f t="shared" si="18"/>
        <v>13</v>
      </c>
      <c r="AH60" s="557" t="str">
        <f t="shared" si="19"/>
        <v/>
      </c>
    </row>
    <row r="61" spans="1:34">
      <c r="A61" s="555">
        <f t="shared" si="0"/>
        <v>1</v>
      </c>
      <c r="B61" s="556">
        <f>IF(AF61&lt;=AG61,1,IF(AH61&lt;=0.005,2,IF(AND(AH61&gt;0.005,AH61&lt;=0.02, L183),4,IF(AND(AH61&gt;0.02,AH61&lt;=0.05),5,IF(AND(AH61&gt;0.05,AH61&lt;=0.1),7,IF(AND(AH61&gt;0.1,AH61&lt;=0.2),8,IF(AH61&gt;0.2,10)))))))</f>
        <v>10</v>
      </c>
      <c r="C61" s="555">
        <f>IF(AA61&lt;=0.005,10,IF(AND(AA61&gt;0.005,AA61&lt;=0.01, C168),9,IF(AND(AA61&gt;0.01,AA61&lt;=0.02),8,IF(AND(AA61&gt;0.02,AA61&lt;=0.05),7,IF(AND(AA61&gt;0.05,AA61&lt;=0.1),6,IF(AND(AA61&gt;0.1,AA61&lt;=0.2),5,IF(AND(AA61&gt;0.2,AA61&lt;=0.3),4,IF(AND(AA61&gt;0.3,AA61&lt;=0.4),3,IF(AND(AA61&gt;0.4,AA61&lt;=0.5),2,IF(AA61&gt;0.5,1))))))))))</f>
        <v>1</v>
      </c>
      <c r="D61" s="555">
        <f t="shared" si="3"/>
        <v>10</v>
      </c>
      <c r="E61" s="556">
        <f t="shared" si="4"/>
        <v>2.4</v>
      </c>
      <c r="F61" s="557" t="str">
        <f t="shared" si="5"/>
        <v xml:space="preserve">     -</v>
      </c>
      <c r="G61" s="558" t="str">
        <f t="shared" si="22"/>
        <v/>
      </c>
      <c r="H61" s="559" t="str">
        <f t="shared" si="45"/>
        <v/>
      </c>
      <c r="I61" s="560" t="e">
        <f t="shared" si="8"/>
        <v>#VALUE!</v>
      </c>
      <c r="J61" s="561" t="e">
        <f t="shared" si="9"/>
        <v>#VALUE!</v>
      </c>
      <c r="K61" s="562">
        <v>400</v>
      </c>
      <c r="L61" s="563">
        <v>44889</v>
      </c>
      <c r="M61" s="247"/>
      <c r="N61" s="247" t="s">
        <v>1671</v>
      </c>
      <c r="O61" s="247" t="s">
        <v>589</v>
      </c>
      <c r="P61" s="247" t="s">
        <v>1860</v>
      </c>
      <c r="Q61" s="247">
        <v>1600</v>
      </c>
      <c r="R61" s="247" t="s">
        <v>1548</v>
      </c>
      <c r="S61" s="247" t="s">
        <v>1892</v>
      </c>
      <c r="T61" s="564" t="s">
        <v>1743</v>
      </c>
      <c r="U61" s="565" t="s">
        <v>1893</v>
      </c>
      <c r="V61" s="566" t="s">
        <v>1894</v>
      </c>
      <c r="W61" s="564" t="s">
        <v>1895</v>
      </c>
      <c r="X61" s="565" t="s">
        <v>1896</v>
      </c>
      <c r="Y61" s="247" t="str">
        <f t="shared" si="10"/>
        <v/>
      </c>
      <c r="Z61" s="247" t="str">
        <f t="shared" si="11"/>
        <v/>
      </c>
      <c r="AA61" s="567" t="str">
        <f t="shared" si="12"/>
        <v/>
      </c>
      <c r="AB61" s="567" t="str">
        <f t="shared" si="13"/>
        <v/>
      </c>
      <c r="AC61" s="247">
        <f t="shared" si="14"/>
        <v>0</v>
      </c>
      <c r="AD61" s="247" t="str">
        <f t="shared" si="15"/>
        <v/>
      </c>
      <c r="AE61" s="567" t="str">
        <f t="shared" si="16"/>
        <v/>
      </c>
      <c r="AF61" s="247" t="str">
        <f t="shared" si="17"/>
        <v/>
      </c>
      <c r="AG61" s="247">
        <f t="shared" si="18"/>
        <v>0</v>
      </c>
      <c r="AH61" s="557" t="str">
        <f t="shared" si="19"/>
        <v/>
      </c>
    </row>
    <row r="62" spans="1:34">
      <c r="A62" s="555">
        <f t="shared" si="0"/>
        <v>1</v>
      </c>
      <c r="B62" s="556">
        <f t="shared" ref="B62:B63" si="64">IF(AF62&lt;=AG62,1,IF(AH62&lt;=0.005,2,IF(AND(AH62&gt;0.005,AH62&lt;=0.02, L182),4,IF(AND(AH62&gt;0.02,AH62&lt;=0.05),5,IF(AND(AH62&gt;0.05,AH62&lt;=0.1),7,IF(AND(AH62&gt;0.1,AH62&lt;=0.2),8,IF(AH62&gt;0.2,10)))))))</f>
        <v>10</v>
      </c>
      <c r="C62" s="555">
        <f t="shared" ref="C62:C63" si="65">IF(AA62&lt;=0.005,10,IF(AND(AA62&gt;0.005,AA62&lt;=0.01, C167),9,IF(AND(AA62&gt;0.01,AA62&lt;=0.02),8,IF(AND(AA62&gt;0.02,AA62&lt;=0.05),7,IF(AND(AA62&gt;0.05,AA62&lt;=0.1),6,IF(AND(AA62&gt;0.1,AA62&lt;=0.2),5,IF(AND(AA62&gt;0.2,AA62&lt;=0.3),4,IF(AND(AA62&gt;0.3,AA62&lt;=0.4),3,IF(AND(AA62&gt;0.4,AA62&lt;=0.5),2,IF(AA62&gt;0.5,1))))))))))</f>
        <v>1</v>
      </c>
      <c r="D62" s="555">
        <f t="shared" si="3"/>
        <v>10</v>
      </c>
      <c r="E62" s="556">
        <f t="shared" si="4"/>
        <v>2.4</v>
      </c>
      <c r="F62" s="557" t="str">
        <f t="shared" si="5"/>
        <v xml:space="preserve">     -</v>
      </c>
      <c r="G62" s="558" t="str">
        <f t="shared" si="22"/>
        <v/>
      </c>
      <c r="H62" s="559" t="str">
        <f t="shared" si="45"/>
        <v/>
      </c>
      <c r="I62" s="560" t="e">
        <f t="shared" si="8"/>
        <v>#VALUE!</v>
      </c>
      <c r="J62" s="561" t="e">
        <f t="shared" si="9"/>
        <v>#VALUE!</v>
      </c>
      <c r="K62" s="562">
        <v>200</v>
      </c>
      <c r="L62" s="563">
        <v>44890</v>
      </c>
      <c r="M62" s="247"/>
      <c r="N62" s="247" t="s">
        <v>1845</v>
      </c>
      <c r="O62" s="247" t="s">
        <v>1897</v>
      </c>
      <c r="P62" s="247" t="s">
        <v>1860</v>
      </c>
      <c r="Q62" s="247">
        <v>4200</v>
      </c>
      <c r="R62" s="247" t="s">
        <v>1548</v>
      </c>
      <c r="S62" s="247" t="s">
        <v>1898</v>
      </c>
      <c r="T62" s="564" t="s">
        <v>1899</v>
      </c>
      <c r="U62" s="565" t="s">
        <v>1900</v>
      </c>
      <c r="V62" s="566" t="s">
        <v>1901</v>
      </c>
      <c r="W62" s="564" t="s">
        <v>1902</v>
      </c>
      <c r="X62" s="565" t="s">
        <v>1903</v>
      </c>
      <c r="Y62" s="247" t="str">
        <f t="shared" si="10"/>
        <v/>
      </c>
      <c r="Z62" s="247" t="str">
        <f t="shared" si="11"/>
        <v/>
      </c>
      <c r="AA62" s="567" t="str">
        <f t="shared" si="12"/>
        <v/>
      </c>
      <c r="AB62" s="567" t="str">
        <f t="shared" si="13"/>
        <v/>
      </c>
      <c r="AC62" s="247">
        <f t="shared" si="14"/>
        <v>0</v>
      </c>
      <c r="AD62" s="247" t="str">
        <f t="shared" si="15"/>
        <v/>
      </c>
      <c r="AE62" s="567" t="str">
        <f t="shared" si="16"/>
        <v/>
      </c>
      <c r="AF62" s="247" t="str">
        <f t="shared" si="17"/>
        <v/>
      </c>
      <c r="AG62" s="247">
        <f t="shared" si="18"/>
        <v>0</v>
      </c>
      <c r="AH62" s="557" t="str">
        <f t="shared" si="19"/>
        <v/>
      </c>
    </row>
    <row r="63" spans="1:34">
      <c r="A63" s="555">
        <f t="shared" si="0"/>
        <v>1</v>
      </c>
      <c r="B63" s="556">
        <f t="shared" si="64"/>
        <v>10</v>
      </c>
      <c r="C63" s="555">
        <f t="shared" si="65"/>
        <v>1</v>
      </c>
      <c r="D63" s="555">
        <f t="shared" si="3"/>
        <v>10</v>
      </c>
      <c r="E63" s="556">
        <f t="shared" si="4"/>
        <v>2.4</v>
      </c>
      <c r="F63" s="557" t="str">
        <f t="shared" si="5"/>
        <v xml:space="preserve">     -</v>
      </c>
      <c r="G63" s="558" t="str">
        <f t="shared" si="22"/>
        <v/>
      </c>
      <c r="H63" s="559" t="str">
        <f t="shared" si="45"/>
        <v/>
      </c>
      <c r="I63" s="560" t="e">
        <f t="shared" si="8"/>
        <v>#VALUE!</v>
      </c>
      <c r="J63" s="561" t="e">
        <f t="shared" si="9"/>
        <v>#VALUE!</v>
      </c>
      <c r="K63" s="562">
        <v>300</v>
      </c>
      <c r="L63" s="563">
        <v>44890</v>
      </c>
      <c r="M63" s="247"/>
      <c r="N63" s="247" t="s">
        <v>1537</v>
      </c>
      <c r="O63" s="247" t="s">
        <v>458</v>
      </c>
      <c r="P63" s="247" t="s">
        <v>1860</v>
      </c>
      <c r="Q63" s="247">
        <v>1640</v>
      </c>
      <c r="R63" s="247" t="s">
        <v>1548</v>
      </c>
      <c r="S63" s="247" t="s">
        <v>1904</v>
      </c>
      <c r="T63" s="564" t="s">
        <v>1905</v>
      </c>
      <c r="U63" s="565" t="s">
        <v>1893</v>
      </c>
      <c r="V63" s="566" t="s">
        <v>1906</v>
      </c>
      <c r="W63" s="564" t="s">
        <v>1907</v>
      </c>
      <c r="X63" s="565" t="s">
        <v>1908</v>
      </c>
      <c r="Y63" s="247" t="str">
        <f t="shared" si="10"/>
        <v/>
      </c>
      <c r="Z63" s="247" t="str">
        <f t="shared" si="11"/>
        <v/>
      </c>
      <c r="AA63" s="567" t="str">
        <f t="shared" si="12"/>
        <v/>
      </c>
      <c r="AB63" s="567" t="str">
        <f t="shared" si="13"/>
        <v/>
      </c>
      <c r="AC63" s="247">
        <f t="shared" si="14"/>
        <v>0</v>
      </c>
      <c r="AD63" s="247" t="str">
        <f t="shared" si="15"/>
        <v/>
      </c>
      <c r="AE63" s="567" t="str">
        <f t="shared" si="16"/>
        <v/>
      </c>
      <c r="AF63" s="247" t="str">
        <f t="shared" si="17"/>
        <v/>
      </c>
      <c r="AG63" s="247">
        <f t="shared" si="18"/>
        <v>0</v>
      </c>
      <c r="AH63" s="557" t="str">
        <f t="shared" si="19"/>
        <v/>
      </c>
    </row>
    <row r="64" spans="1:34">
      <c r="A64" s="555">
        <f t="shared" si="0"/>
        <v>1</v>
      </c>
      <c r="B64" s="556">
        <f t="shared" ref="B64:B65" si="66">IF(AF64&lt;=AG64,1,IF(AH64&lt;=0.005,2,IF(AND(AH64&gt;0.005,AH64&lt;=0.02, L181),4,IF(AND(AH64&gt;0.02,AH64&lt;=0.05),5,IF(AND(AH64&gt;0.05,AH64&lt;=0.1),7,IF(AND(AH64&gt;0.1,AH64&lt;=0.2),8,IF(AH64&gt;0.2,10)))))))</f>
        <v>10</v>
      </c>
      <c r="C64" s="555">
        <f t="shared" ref="C64:C65" si="67">IF(AA64&lt;=0.005,10,IF(AND(AA64&gt;0.005,AA64&lt;=0.01, C166),9,IF(AND(AA64&gt;0.01,AA64&lt;=0.02),8,IF(AND(AA64&gt;0.02,AA64&lt;=0.05),7,IF(AND(AA64&gt;0.05,AA64&lt;=0.1),6,IF(AND(AA64&gt;0.1,AA64&lt;=0.2),5,IF(AND(AA64&gt;0.2,AA64&lt;=0.3),4,IF(AND(AA64&gt;0.3,AA64&lt;=0.4),3,IF(AND(AA64&gt;0.4,AA64&lt;=0.5),2,IF(AA64&gt;0.5,1))))))))))</f>
        <v>1</v>
      </c>
      <c r="D64" s="555">
        <f t="shared" si="3"/>
        <v>10</v>
      </c>
      <c r="E64" s="556">
        <f t="shared" si="4"/>
        <v>2.4</v>
      </c>
      <c r="F64" s="557" t="str">
        <f t="shared" si="5"/>
        <v xml:space="preserve">     -</v>
      </c>
      <c r="G64" s="558" t="str">
        <f t="shared" si="22"/>
        <v/>
      </c>
      <c r="H64" s="559" t="str">
        <f t="shared" si="45"/>
        <v/>
      </c>
      <c r="I64" s="560" t="e">
        <f t="shared" si="8"/>
        <v>#VALUE!</v>
      </c>
      <c r="J64" s="561" t="e">
        <f t="shared" si="9"/>
        <v>#VALUE!</v>
      </c>
      <c r="K64" s="562">
        <v>1425</v>
      </c>
      <c r="L64" s="563">
        <v>44893</v>
      </c>
      <c r="M64" s="247"/>
      <c r="N64" s="247" t="s">
        <v>1547</v>
      </c>
      <c r="O64" s="247" t="s">
        <v>504</v>
      </c>
      <c r="P64" s="247" t="s">
        <v>1860</v>
      </c>
      <c r="Q64" s="247">
        <v>435</v>
      </c>
      <c r="R64" s="247" t="s">
        <v>1548</v>
      </c>
      <c r="S64" s="247" t="s">
        <v>1909</v>
      </c>
      <c r="T64" s="564" t="s">
        <v>1698</v>
      </c>
      <c r="U64" s="565" t="s">
        <v>1910</v>
      </c>
      <c r="V64" s="566" t="s">
        <v>1911</v>
      </c>
      <c r="W64" s="564" t="s">
        <v>1912</v>
      </c>
      <c r="X64" s="565" t="s">
        <v>1913</v>
      </c>
      <c r="Y64" s="247" t="str">
        <f t="shared" si="10"/>
        <v/>
      </c>
      <c r="Z64" s="247" t="str">
        <f t="shared" si="11"/>
        <v/>
      </c>
      <c r="AA64" s="567" t="str">
        <f t="shared" si="12"/>
        <v/>
      </c>
      <c r="AB64" s="567" t="str">
        <f t="shared" si="13"/>
        <v/>
      </c>
      <c r="AC64" s="247">
        <f t="shared" si="14"/>
        <v>0</v>
      </c>
      <c r="AD64" s="247" t="str">
        <f t="shared" si="15"/>
        <v/>
      </c>
      <c r="AE64" s="567" t="str">
        <f t="shared" si="16"/>
        <v/>
      </c>
      <c r="AF64" s="247" t="str">
        <f t="shared" si="17"/>
        <v/>
      </c>
      <c r="AG64" s="247">
        <f t="shared" si="18"/>
        <v>0</v>
      </c>
      <c r="AH64" s="557" t="str">
        <f t="shared" si="19"/>
        <v/>
      </c>
    </row>
    <row r="65" spans="1:37">
      <c r="A65" s="555">
        <f t="shared" si="0"/>
        <v>1</v>
      </c>
      <c r="B65" s="556">
        <f t="shared" si="66"/>
        <v>1</v>
      </c>
      <c r="C65" s="555">
        <f t="shared" si="67"/>
        <v>6</v>
      </c>
      <c r="D65" s="555">
        <f t="shared" si="3"/>
        <v>5</v>
      </c>
      <c r="E65" s="556">
        <f t="shared" si="4"/>
        <v>5.2</v>
      </c>
      <c r="F65" s="557">
        <f t="shared" si="5"/>
        <v>0.19831658973662775</v>
      </c>
      <c r="G65" s="558" t="str">
        <f t="shared" si="22"/>
        <v/>
      </c>
      <c r="H65" s="559">
        <f t="shared" si="45"/>
        <v>-0.28499999999999998</v>
      </c>
      <c r="I65" s="560" t="e">
        <f t="shared" si="8"/>
        <v>#VALUE!</v>
      </c>
      <c r="J65" s="561">
        <f t="shared" si="9"/>
        <v>26406000</v>
      </c>
      <c r="K65" s="562">
        <v>3600</v>
      </c>
      <c r="L65" s="563">
        <v>44893</v>
      </c>
      <c r="M65" s="247"/>
      <c r="N65" s="247" t="s">
        <v>1537</v>
      </c>
      <c r="O65" s="247" t="s">
        <v>1914</v>
      </c>
      <c r="P65" s="247" t="s">
        <v>1860</v>
      </c>
      <c r="Q65" s="247">
        <v>185</v>
      </c>
      <c r="R65" s="247" t="s">
        <v>1548</v>
      </c>
      <c r="S65" s="247" t="s">
        <v>1915</v>
      </c>
      <c r="T65" s="564" t="s">
        <v>1749</v>
      </c>
      <c r="U65" s="565" t="s">
        <v>1916</v>
      </c>
      <c r="V65" s="566" t="s">
        <v>1917</v>
      </c>
      <c r="W65" s="564" t="s">
        <v>1918</v>
      </c>
      <c r="X65" s="565" t="s">
        <v>1919</v>
      </c>
      <c r="Y65" s="247">
        <f t="shared" si="10"/>
        <v>25750</v>
      </c>
      <c r="Z65" s="247">
        <f t="shared" si="11"/>
        <v>27576</v>
      </c>
      <c r="AA65" s="567">
        <f t="shared" si="12"/>
        <v>7.0999999999999994E-2</v>
      </c>
      <c r="AB65" s="567">
        <f t="shared" si="13"/>
        <v>6.7000000000000004E-2</v>
      </c>
      <c r="AC65" s="247">
        <f t="shared" si="14"/>
        <v>29434</v>
      </c>
      <c r="AD65" s="247" t="str">
        <f t="shared" si="15"/>
        <v/>
      </c>
      <c r="AE65" s="567" t="str">
        <f t="shared" si="16"/>
        <v/>
      </c>
      <c r="AF65" s="247">
        <f t="shared" si="17"/>
        <v>14763</v>
      </c>
      <c r="AG65" s="247">
        <f t="shared" si="18"/>
        <v>18415</v>
      </c>
      <c r="AH65" s="557" t="str">
        <f t="shared" si="19"/>
        <v>SL Hit</v>
      </c>
    </row>
    <row r="66" spans="1:37">
      <c r="A66" s="555">
        <f t="shared" si="0"/>
        <v>1</v>
      </c>
      <c r="B66" s="556">
        <f t="shared" ref="B66:B68" si="68">IF(AF66&lt;=AG66,1,IF(AH66&lt;=0.005,2,IF(AND(AH66&gt;0.005,AH66&lt;=0.02, L181),4,IF(AND(AH66&gt;0.02,AH66&lt;=0.05),5,IF(AND(AH66&gt;0.05,AH66&lt;=0.1),7,IF(AND(AH66&gt;0.1,AH66&lt;=0.2),8,IF(AH66&gt;0.2,10)))))))</f>
        <v>10</v>
      </c>
      <c r="C66" s="555">
        <f t="shared" ref="C66:C68" si="69">IF(AA66&lt;=0.005,10,IF(AND(AA66&gt;0.005,AA66&lt;=0.01, C166),9,IF(AND(AA66&gt;0.01,AA66&lt;=0.02),8,IF(AND(AA66&gt;0.02,AA66&lt;=0.05),7,IF(AND(AA66&gt;0.05,AA66&lt;=0.1),6,IF(AND(AA66&gt;0.1,AA66&lt;=0.2),5,IF(AND(AA66&gt;0.2,AA66&lt;=0.3),4,IF(AND(AA66&gt;0.3,AA66&lt;=0.4),3,IF(AND(AA66&gt;0.4,AA66&lt;=0.5),2,IF(AA66&gt;0.5,1))))))))))</f>
        <v>1</v>
      </c>
      <c r="D66" s="555">
        <f t="shared" si="3"/>
        <v>10</v>
      </c>
      <c r="E66" s="556">
        <f t="shared" si="4"/>
        <v>2.4</v>
      </c>
      <c r="F66" s="557" t="str">
        <f t="shared" si="5"/>
        <v xml:space="preserve">     -</v>
      </c>
      <c r="G66" s="558" t="str">
        <f t="shared" si="22"/>
        <v/>
      </c>
      <c r="H66" s="559" t="str">
        <f t="shared" si="45"/>
        <v/>
      </c>
      <c r="I66" s="560" t="e">
        <f t="shared" si="8"/>
        <v>#VALUE!</v>
      </c>
      <c r="J66" s="561" t="e">
        <f t="shared" si="9"/>
        <v>#VALUE!</v>
      </c>
      <c r="K66" s="562">
        <v>1425</v>
      </c>
      <c r="L66" s="563">
        <v>44894</v>
      </c>
      <c r="M66" s="247"/>
      <c r="N66" s="247" t="s">
        <v>1845</v>
      </c>
      <c r="O66" s="247" t="s">
        <v>504</v>
      </c>
      <c r="P66" s="247" t="s">
        <v>1860</v>
      </c>
      <c r="Q66" s="247">
        <v>435</v>
      </c>
      <c r="R66" s="247" t="s">
        <v>1540</v>
      </c>
      <c r="S66" s="247" t="s">
        <v>1920</v>
      </c>
      <c r="T66" s="564" t="s">
        <v>1921</v>
      </c>
      <c r="U66" s="565" t="s">
        <v>1681</v>
      </c>
      <c r="V66" s="566" t="s">
        <v>1922</v>
      </c>
      <c r="W66" s="564" t="s">
        <v>1923</v>
      </c>
      <c r="X66" s="565" t="s">
        <v>1924</v>
      </c>
      <c r="Y66" s="247" t="str">
        <f t="shared" si="10"/>
        <v/>
      </c>
      <c r="Z66" s="247" t="str">
        <f t="shared" si="11"/>
        <v/>
      </c>
      <c r="AA66" s="567" t="str">
        <f t="shared" si="12"/>
        <v/>
      </c>
      <c r="AB66" s="567" t="str">
        <f t="shared" si="13"/>
        <v/>
      </c>
      <c r="AC66" s="247">
        <f t="shared" si="14"/>
        <v>0</v>
      </c>
      <c r="AD66" s="247" t="str">
        <f t="shared" si="15"/>
        <v/>
      </c>
      <c r="AE66" s="567" t="str">
        <f t="shared" si="16"/>
        <v/>
      </c>
      <c r="AF66" s="247">
        <f t="shared" si="17"/>
        <v>42309</v>
      </c>
      <c r="AG66" s="247">
        <f t="shared" si="18"/>
        <v>0</v>
      </c>
      <c r="AH66" s="557" t="str">
        <f t="shared" si="19"/>
        <v/>
      </c>
    </row>
    <row r="67" spans="1:37">
      <c r="A67" s="555">
        <f t="shared" si="0"/>
        <v>1</v>
      </c>
      <c r="B67" s="556">
        <f t="shared" si="68"/>
        <v>10</v>
      </c>
      <c r="C67" s="555">
        <f t="shared" si="69"/>
        <v>1</v>
      </c>
      <c r="D67" s="555">
        <f t="shared" si="3"/>
        <v>1</v>
      </c>
      <c r="E67" s="556">
        <f t="shared" si="4"/>
        <v>1.7</v>
      </c>
      <c r="F67" s="557" t="str">
        <f t="shared" si="5"/>
        <v xml:space="preserve">     -</v>
      </c>
      <c r="G67" s="558" t="str">
        <f t="shared" si="22"/>
        <v/>
      </c>
      <c r="H67" s="559" t="str">
        <f t="shared" si="45"/>
        <v/>
      </c>
      <c r="I67" s="560" t="e">
        <f t="shared" si="8"/>
        <v>#VALUE!</v>
      </c>
      <c r="J67" s="561" t="e">
        <f t="shared" si="9"/>
        <v>#VALUE!</v>
      </c>
      <c r="K67" s="562">
        <v>1150</v>
      </c>
      <c r="L67" s="563">
        <v>44894</v>
      </c>
      <c r="M67" s="247"/>
      <c r="N67" s="247" t="s">
        <v>1537</v>
      </c>
      <c r="O67" s="247" t="s">
        <v>1773</v>
      </c>
      <c r="P67" s="247" t="s">
        <v>1860</v>
      </c>
      <c r="Q67" s="247">
        <v>430</v>
      </c>
      <c r="R67" s="247" t="s">
        <v>1548</v>
      </c>
      <c r="S67" s="247" t="s">
        <v>1925</v>
      </c>
      <c r="T67" s="564" t="s">
        <v>1926</v>
      </c>
      <c r="U67" s="565" t="s">
        <v>1927</v>
      </c>
      <c r="V67" s="566" t="s">
        <v>1928</v>
      </c>
      <c r="W67" s="564" t="s">
        <v>1929</v>
      </c>
      <c r="X67" s="565" t="s">
        <v>1930</v>
      </c>
      <c r="Y67" s="247" t="str">
        <f t="shared" si="10"/>
        <v/>
      </c>
      <c r="Z67" s="247">
        <f t="shared" si="11"/>
        <v>45063</v>
      </c>
      <c r="AA67" s="567" t="str">
        <f t="shared" si="12"/>
        <v/>
      </c>
      <c r="AB67" s="567">
        <f t="shared" si="13"/>
        <v>-1</v>
      </c>
      <c r="AC67" s="247">
        <f t="shared" si="14"/>
        <v>0</v>
      </c>
      <c r="AD67" s="247" t="str">
        <f t="shared" si="15"/>
        <v/>
      </c>
      <c r="AE67" s="567" t="str">
        <f t="shared" si="16"/>
        <v/>
      </c>
      <c r="AF67" s="247" t="str">
        <f t="shared" si="17"/>
        <v/>
      </c>
      <c r="AG67" s="247">
        <f t="shared" si="18"/>
        <v>0</v>
      </c>
      <c r="AH67" s="557" t="str">
        <f t="shared" si="19"/>
        <v/>
      </c>
    </row>
    <row r="68" spans="1:37">
      <c r="A68" s="555">
        <f t="shared" si="0"/>
        <v>1</v>
      </c>
      <c r="B68" s="556">
        <f t="shared" si="68"/>
        <v>10</v>
      </c>
      <c r="C68" s="555">
        <f t="shared" si="69"/>
        <v>2</v>
      </c>
      <c r="D68" s="555">
        <f t="shared" si="3"/>
        <v>7</v>
      </c>
      <c r="E68" s="556">
        <f t="shared" si="4"/>
        <v>2.9</v>
      </c>
      <c r="F68" s="557" t="str">
        <f t="shared" si="5"/>
        <v xml:space="preserve">     -</v>
      </c>
      <c r="G68" s="558" t="str">
        <f t="shared" si="22"/>
        <v/>
      </c>
      <c r="H68" s="559">
        <f t="shared" si="45"/>
        <v>0.32800000000000001</v>
      </c>
      <c r="I68" s="560" t="e">
        <f t="shared" si="8"/>
        <v>#VALUE!</v>
      </c>
      <c r="J68" s="561">
        <f t="shared" si="9"/>
        <v>-13039200</v>
      </c>
      <c r="K68" s="562">
        <v>1800</v>
      </c>
      <c r="L68" s="563">
        <v>44894</v>
      </c>
      <c r="M68" s="247"/>
      <c r="N68" s="247" t="s">
        <v>1671</v>
      </c>
      <c r="O68" s="247" t="s">
        <v>1931</v>
      </c>
      <c r="P68" s="247" t="s">
        <v>1860</v>
      </c>
      <c r="Q68" s="247">
        <v>240</v>
      </c>
      <c r="R68" s="247" t="s">
        <v>1548</v>
      </c>
      <c r="S68" s="247" t="s">
        <v>1932</v>
      </c>
      <c r="T68" s="564" t="s">
        <v>1933</v>
      </c>
      <c r="U68" s="565" t="s">
        <v>1934</v>
      </c>
      <c r="V68" s="566" t="s">
        <v>1935</v>
      </c>
      <c r="W68" s="564" t="s">
        <v>1936</v>
      </c>
      <c r="X68" s="565" t="s">
        <v>1937</v>
      </c>
      <c r="Y68" s="247">
        <f t="shared" si="10"/>
        <v>22068</v>
      </c>
      <c r="Z68" s="247">
        <f t="shared" si="11"/>
        <v>33025</v>
      </c>
      <c r="AA68" s="567">
        <f t="shared" si="12"/>
        <v>0.497</v>
      </c>
      <c r="AB68" s="567">
        <f t="shared" si="13"/>
        <v>0.28000000000000003</v>
      </c>
      <c r="AC68" s="247">
        <f t="shared" si="14"/>
        <v>42278</v>
      </c>
      <c r="AD68" s="247" t="str">
        <f t="shared" si="15"/>
        <v/>
      </c>
      <c r="AE68" s="567" t="str">
        <f t="shared" si="16"/>
        <v/>
      </c>
      <c r="AF68" s="247">
        <f t="shared" si="17"/>
        <v>45809</v>
      </c>
      <c r="AG68" s="247">
        <f t="shared" si="18"/>
        <v>29312</v>
      </c>
      <c r="AH68" s="557">
        <f t="shared" si="19"/>
        <v>0.56299999999999994</v>
      </c>
    </row>
    <row r="69" spans="1:37">
      <c r="A69" s="555">
        <f t="shared" si="0"/>
        <v>1</v>
      </c>
      <c r="B69" s="556">
        <f t="shared" ref="B69:B70" si="70">IF(AF69&lt;=AG69,1,IF(AH69&lt;=0.005,2,IF(AND(AH69&gt;0.005,AH69&lt;=0.02, L181),4,IF(AND(AH69&gt;0.02,AH69&lt;=0.05),5,IF(AND(AH69&gt;0.05,AH69&lt;=0.1),7,IF(AND(AH69&gt;0.1,AH69&lt;=0.2),8,IF(AH69&gt;0.2,10)))))))</f>
        <v>10</v>
      </c>
      <c r="C69" s="555">
        <f t="shared" ref="C69:C70" si="71">IF(AA69&lt;=0.005,10,IF(AND(AA69&gt;0.005,AA69&lt;=0.01, C166),9,IF(AND(AA69&gt;0.01,AA69&lt;=0.02),8,IF(AND(AA69&gt;0.02,AA69&lt;=0.05),7,IF(AND(AA69&gt;0.05,AA69&lt;=0.1),6,IF(AND(AA69&gt;0.1,AA69&lt;=0.2),5,IF(AND(AA69&gt;0.2,AA69&lt;=0.3),4,IF(AND(AA69&gt;0.3,AA69&lt;=0.4),3,IF(AND(AA69&gt;0.4,AA69&lt;=0.5),2,IF(AA69&gt;0.5,1))))))))))</f>
        <v>10</v>
      </c>
      <c r="D69" s="555">
        <f t="shared" si="3"/>
        <v>1</v>
      </c>
      <c r="E69" s="556">
        <f t="shared" si="4"/>
        <v>8.6</v>
      </c>
      <c r="F69" s="557" t="str">
        <f t="shared" si="5"/>
        <v xml:space="preserve">     -</v>
      </c>
      <c r="G69" s="558" t="str">
        <f t="shared" si="22"/>
        <v/>
      </c>
      <c r="H69" s="559">
        <f t="shared" si="45"/>
        <v>-1</v>
      </c>
      <c r="I69" s="560" t="e">
        <f t="shared" si="8"/>
        <v>#VALUE!</v>
      </c>
      <c r="J69" s="561">
        <f t="shared" si="9"/>
        <v>62177500</v>
      </c>
      <c r="K69" s="562">
        <v>1375</v>
      </c>
      <c r="L69" s="563">
        <v>44895</v>
      </c>
      <c r="M69" s="569">
        <f t="shared" ref="M69:M153" si="72">L69</f>
        <v>44895</v>
      </c>
      <c r="N69" s="247" t="s">
        <v>1573</v>
      </c>
      <c r="O69" s="247" t="s">
        <v>487</v>
      </c>
      <c r="P69" s="247" t="s">
        <v>1860</v>
      </c>
      <c r="Q69" s="247">
        <v>950</v>
      </c>
      <c r="R69" s="247" t="s">
        <v>1548</v>
      </c>
      <c r="S69" s="247" t="s">
        <v>1938</v>
      </c>
      <c r="T69" s="564" t="s">
        <v>1698</v>
      </c>
      <c r="U69" s="565" t="s">
        <v>1939</v>
      </c>
      <c r="V69" s="566" t="s">
        <v>1940</v>
      </c>
      <c r="W69" s="564" t="s">
        <v>1941</v>
      </c>
      <c r="X69" s="565" t="s">
        <v>1942</v>
      </c>
      <c r="Y69" s="247">
        <f t="shared" si="10"/>
        <v>45220</v>
      </c>
      <c r="Z69" s="247">
        <f t="shared" si="11"/>
        <v>45068</v>
      </c>
      <c r="AA69" s="567">
        <f t="shared" si="12"/>
        <v>-3.0000000000000001E-3</v>
      </c>
      <c r="AB69" s="567">
        <f t="shared" si="13"/>
        <v>-1</v>
      </c>
      <c r="AC69" s="247">
        <f t="shared" si="14"/>
        <v>0</v>
      </c>
      <c r="AD69" s="247" t="str">
        <f t="shared" si="15"/>
        <v/>
      </c>
      <c r="AE69" s="567" t="str">
        <f t="shared" si="16"/>
        <v/>
      </c>
      <c r="AF69" s="247">
        <f t="shared" si="17"/>
        <v>45065</v>
      </c>
      <c r="AG69" s="247">
        <f t="shared" si="18"/>
        <v>0</v>
      </c>
      <c r="AH69" s="557" t="str">
        <f t="shared" si="19"/>
        <v/>
      </c>
    </row>
    <row r="70" spans="1:37">
      <c r="A70" s="555">
        <f t="shared" si="0"/>
        <v>1</v>
      </c>
      <c r="B70" s="556">
        <f t="shared" si="70"/>
        <v>10</v>
      </c>
      <c r="C70" s="555">
        <f t="shared" si="71"/>
        <v>1</v>
      </c>
      <c r="D70" s="555">
        <f t="shared" si="3"/>
        <v>10</v>
      </c>
      <c r="E70" s="556">
        <f t="shared" si="4"/>
        <v>2.4</v>
      </c>
      <c r="F70" s="557" t="str">
        <f t="shared" si="5"/>
        <v xml:space="preserve">     -</v>
      </c>
      <c r="G70" s="558" t="str">
        <f t="shared" si="22"/>
        <v/>
      </c>
      <c r="H70" s="559" t="str">
        <f t="shared" si="45"/>
        <v/>
      </c>
      <c r="I70" s="560" t="e">
        <f t="shared" si="8"/>
        <v>#VALUE!</v>
      </c>
      <c r="J70" s="561" t="e">
        <f t="shared" si="9"/>
        <v>#VALUE!</v>
      </c>
      <c r="K70" s="562">
        <v>1000</v>
      </c>
      <c r="L70" s="563">
        <v>44895</v>
      </c>
      <c r="M70" s="569">
        <f t="shared" si="72"/>
        <v>44895</v>
      </c>
      <c r="N70" s="247" t="s">
        <v>1547</v>
      </c>
      <c r="O70" s="247" t="s">
        <v>1574</v>
      </c>
      <c r="P70" s="247" t="s">
        <v>1860</v>
      </c>
      <c r="Q70" s="247">
        <v>405</v>
      </c>
      <c r="R70" s="247" t="s">
        <v>1548</v>
      </c>
      <c r="S70" s="247" t="s">
        <v>1943</v>
      </c>
      <c r="T70" s="564" t="s">
        <v>1944</v>
      </c>
      <c r="U70" s="565" t="s">
        <v>1848</v>
      </c>
      <c r="V70" s="566" t="s">
        <v>1945</v>
      </c>
      <c r="W70" s="564" t="s">
        <v>1946</v>
      </c>
      <c r="X70" s="565" t="s">
        <v>1947</v>
      </c>
      <c r="Y70" s="247" t="str">
        <f t="shared" si="10"/>
        <v/>
      </c>
      <c r="Z70" s="247" t="str">
        <f t="shared" si="11"/>
        <v/>
      </c>
      <c r="AA70" s="567" t="str">
        <f t="shared" si="12"/>
        <v/>
      </c>
      <c r="AB70" s="567" t="str">
        <f t="shared" si="13"/>
        <v/>
      </c>
      <c r="AC70" s="247">
        <f t="shared" si="14"/>
        <v>0</v>
      </c>
      <c r="AD70" s="247" t="str">
        <f t="shared" si="15"/>
        <v/>
      </c>
      <c r="AE70" s="567" t="str">
        <f t="shared" si="16"/>
        <v/>
      </c>
      <c r="AF70" s="247">
        <f t="shared" si="17"/>
        <v>45210</v>
      </c>
      <c r="AG70" s="247">
        <f t="shared" si="18"/>
        <v>0</v>
      </c>
      <c r="AH70" s="557" t="str">
        <f t="shared" si="19"/>
        <v/>
      </c>
    </row>
    <row r="71" spans="1:37">
      <c r="A71" s="555">
        <f t="shared" si="0"/>
        <v>1</v>
      </c>
      <c r="B71" s="556">
        <f t="shared" ref="B71:B72" si="73">IF(AF71&lt;=AG71,1,IF(AH71&lt;=0.005,2,IF(AND(AH71&gt;0.005,AH71&lt;=0.02, L182),4,IF(AND(AH71&gt;0.02,AH71&lt;=0.05),5,IF(AND(AH71&gt;0.05,AH71&lt;=0.1),7,IF(AND(AH71&gt;0.1,AH71&lt;=0.2),8,IF(AH71&gt;0.2,10)))))))</f>
        <v>1</v>
      </c>
      <c r="C71" s="555">
        <f t="shared" ref="C71:C72" si="74">IF(AA71&lt;=0.005,10,IF(AND(AA71&gt;0.005,AA71&lt;=0.01, C167),9,IF(AND(AA71&gt;0.01,AA71&lt;=0.02),8,IF(AND(AA71&gt;0.02,AA71&lt;=0.05),7,IF(AND(AA71&gt;0.05,AA71&lt;=0.1),6,IF(AND(AA71&gt;0.1,AA71&lt;=0.2),5,IF(AND(AA71&gt;0.2,AA71&lt;=0.3),4,IF(AND(AA71&gt;0.3,AA71&lt;=0.4),3,IF(AND(AA71&gt;0.4,AA71&lt;=0.5),2,IF(AA71&gt;0.5,1))))))))))</f>
        <v>1</v>
      </c>
      <c r="D71" s="555">
        <f t="shared" si="3"/>
        <v>1</v>
      </c>
      <c r="E71" s="556">
        <f t="shared" si="4"/>
        <v>1</v>
      </c>
      <c r="F71" s="557">
        <f t="shared" si="5"/>
        <v>0.39324351231167454</v>
      </c>
      <c r="G71" s="558" t="str">
        <f t="shared" si="22"/>
        <v/>
      </c>
      <c r="H71" s="559">
        <f t="shared" si="45"/>
        <v>2.5270000000000001</v>
      </c>
      <c r="I71" s="560" t="e">
        <f t="shared" si="8"/>
        <v>#VALUE!</v>
      </c>
      <c r="J71" s="561">
        <f t="shared" si="9"/>
        <v>-137636250</v>
      </c>
      <c r="K71" s="562">
        <v>4250</v>
      </c>
      <c r="L71" s="563">
        <v>44896</v>
      </c>
      <c r="M71" s="569">
        <f t="shared" si="72"/>
        <v>44896</v>
      </c>
      <c r="N71" s="247" t="s">
        <v>1573</v>
      </c>
      <c r="O71" s="247" t="s">
        <v>482</v>
      </c>
      <c r="P71" s="247" t="s">
        <v>1860</v>
      </c>
      <c r="Q71" s="247">
        <v>78</v>
      </c>
      <c r="R71" s="247" t="s">
        <v>1548</v>
      </c>
      <c r="S71" s="247" t="s">
        <v>1948</v>
      </c>
      <c r="T71" s="564" t="s">
        <v>1715</v>
      </c>
      <c r="U71" s="565" t="s">
        <v>1949</v>
      </c>
      <c r="V71" s="566" t="s">
        <v>1950</v>
      </c>
      <c r="W71" s="564" t="s">
        <v>1951</v>
      </c>
      <c r="X71" s="565" t="s">
        <v>1952</v>
      </c>
      <c r="Y71" s="247">
        <f t="shared" si="10"/>
        <v>12816</v>
      </c>
      <c r="Z71" s="247">
        <f t="shared" si="11"/>
        <v>29252</v>
      </c>
      <c r="AA71" s="567">
        <f t="shared" si="12"/>
        <v>1.282</v>
      </c>
      <c r="AB71" s="567">
        <f t="shared" si="13"/>
        <v>-0.498</v>
      </c>
      <c r="AC71" s="247">
        <f t="shared" si="14"/>
        <v>14671</v>
      </c>
      <c r="AD71" s="247" t="str">
        <f t="shared" si="15"/>
        <v/>
      </c>
      <c r="AE71" s="567" t="str">
        <f t="shared" si="16"/>
        <v/>
      </c>
      <c r="AF71" s="247">
        <f t="shared" si="17"/>
        <v>27426</v>
      </c>
      <c r="AG71" s="247">
        <f t="shared" si="18"/>
        <v>45201</v>
      </c>
      <c r="AH71" s="557" t="str">
        <f t="shared" si="19"/>
        <v>SL Hit</v>
      </c>
    </row>
    <row r="72" spans="1:37">
      <c r="A72" s="555">
        <f t="shared" si="0"/>
        <v>1</v>
      </c>
      <c r="B72" s="556">
        <f t="shared" si="73"/>
        <v>10</v>
      </c>
      <c r="C72" s="555">
        <f t="shared" si="74"/>
        <v>1</v>
      </c>
      <c r="D72" s="555">
        <f t="shared" si="3"/>
        <v>10</v>
      </c>
      <c r="E72" s="556">
        <f t="shared" si="4"/>
        <v>2.4</v>
      </c>
      <c r="F72" s="557" t="str">
        <f t="shared" si="5"/>
        <v xml:space="preserve">     -</v>
      </c>
      <c r="G72" s="558" t="str">
        <f t="shared" si="22"/>
        <v/>
      </c>
      <c r="H72" s="559" t="str">
        <f t="shared" si="45"/>
        <v/>
      </c>
      <c r="I72" s="560" t="e">
        <f t="shared" si="8"/>
        <v>#VALUE!</v>
      </c>
      <c r="J72" s="561" t="e">
        <f t="shared" si="9"/>
        <v>#VALUE!</v>
      </c>
      <c r="K72" s="562">
        <v>150</v>
      </c>
      <c r="L72" s="563">
        <v>44896</v>
      </c>
      <c r="M72" s="569">
        <f t="shared" si="72"/>
        <v>44896</v>
      </c>
      <c r="N72" s="247" t="s">
        <v>1547</v>
      </c>
      <c r="O72" s="247" t="s">
        <v>574</v>
      </c>
      <c r="P72" s="247" t="s">
        <v>1860</v>
      </c>
      <c r="Q72" s="247">
        <v>3400</v>
      </c>
      <c r="R72" s="247" t="s">
        <v>1548</v>
      </c>
      <c r="S72" s="247" t="s">
        <v>1953</v>
      </c>
      <c r="T72" s="564" t="s">
        <v>1954</v>
      </c>
      <c r="U72" s="565" t="s">
        <v>1955</v>
      </c>
      <c r="V72" s="566" t="s">
        <v>1956</v>
      </c>
      <c r="W72" s="564" t="s">
        <v>1957</v>
      </c>
      <c r="X72" s="565" t="s">
        <v>1958</v>
      </c>
      <c r="Y72" s="247" t="str">
        <f t="shared" si="10"/>
        <v/>
      </c>
      <c r="Z72" s="247" t="str">
        <f t="shared" si="11"/>
        <v/>
      </c>
      <c r="AA72" s="567" t="str">
        <f t="shared" si="12"/>
        <v/>
      </c>
      <c r="AB72" s="567" t="str">
        <f t="shared" si="13"/>
        <v/>
      </c>
      <c r="AC72" s="247">
        <f t="shared" si="14"/>
        <v>0</v>
      </c>
      <c r="AD72" s="247" t="str">
        <f t="shared" si="15"/>
        <v/>
      </c>
      <c r="AE72" s="567" t="str">
        <f t="shared" si="16"/>
        <v/>
      </c>
      <c r="AF72" s="247">
        <f t="shared" si="17"/>
        <v>80</v>
      </c>
      <c r="AG72" s="247">
        <f t="shared" si="18"/>
        <v>0</v>
      </c>
      <c r="AH72" s="557" t="str">
        <f t="shared" si="19"/>
        <v/>
      </c>
    </row>
    <row r="73" spans="1:37">
      <c r="A73" s="555">
        <f t="shared" si="0"/>
        <v>1</v>
      </c>
      <c r="B73" s="556">
        <f>IF(AF73&lt;=AG73,1,IF(AH73&lt;=0.005,2,IF(AND(AH73&gt;0.005,AH73&lt;=0.02, L183),4,IF(AND(AH73&gt;0.02,AH73&lt;=0.05),5,IF(AND(AH73&gt;0.05,AH73&lt;=0.1),7,IF(AND(AH73&gt;0.1,AH73&lt;=0.2),8,IF(AH73&gt;0.2,10)))))))</f>
        <v>10</v>
      </c>
      <c r="C73" s="555">
        <f>IF(AA73&lt;=0.005,10,IF(AND(AA73&gt;0.005,AA73&lt;=0.01, C168),9,IF(AND(AA73&gt;0.01,AA73&lt;=0.02),8,IF(AND(AA73&gt;0.02,AA73&lt;=0.05),7,IF(AND(AA73&gt;0.05,AA73&lt;=0.1),6,IF(AND(AA73&gt;0.1,AA73&lt;=0.2),5,IF(AND(AA73&gt;0.2,AA73&lt;=0.3),4,IF(AND(AA73&gt;0.3,AA73&lt;=0.4),3,IF(AND(AA73&gt;0.4,AA73&lt;=0.5),2,IF(AA73&gt;0.5,1))))))))))</f>
        <v>10</v>
      </c>
      <c r="D73" s="555">
        <f t="shared" si="3"/>
        <v>1</v>
      </c>
      <c r="E73" s="556">
        <f t="shared" si="4"/>
        <v>8.6</v>
      </c>
      <c r="F73" s="557" t="str">
        <f t="shared" si="5"/>
        <v xml:space="preserve">     -</v>
      </c>
      <c r="G73" s="558" t="str">
        <f t="shared" si="22"/>
        <v/>
      </c>
      <c r="H73" s="559">
        <f t="shared" si="45"/>
        <v>-1</v>
      </c>
      <c r="I73" s="560" t="e">
        <f t="shared" si="8"/>
        <v>#VALUE!</v>
      </c>
      <c r="J73" s="561">
        <f t="shared" si="9"/>
        <v>85268700</v>
      </c>
      <c r="K73" s="562">
        <v>2900</v>
      </c>
      <c r="L73" s="563">
        <v>44896</v>
      </c>
      <c r="M73" s="569">
        <f t="shared" si="72"/>
        <v>44896</v>
      </c>
      <c r="N73" s="247" t="s">
        <v>1671</v>
      </c>
      <c r="O73" s="247" t="s">
        <v>462</v>
      </c>
      <c r="P73" s="247" t="s">
        <v>1860</v>
      </c>
      <c r="Q73" s="247">
        <v>255</v>
      </c>
      <c r="R73" s="247" t="s">
        <v>1548</v>
      </c>
      <c r="S73" s="247" t="s">
        <v>1959</v>
      </c>
      <c r="T73" s="564" t="s">
        <v>1841</v>
      </c>
      <c r="U73" s="565" t="s">
        <v>1750</v>
      </c>
      <c r="V73" s="566" t="s">
        <v>1960</v>
      </c>
      <c r="W73" s="564" t="s">
        <v>1961</v>
      </c>
      <c r="X73" s="565" t="s">
        <v>1962</v>
      </c>
      <c r="Y73" s="247">
        <f t="shared" si="10"/>
        <v>29403</v>
      </c>
      <c r="Z73" s="247">
        <f t="shared" si="11"/>
        <v>22129</v>
      </c>
      <c r="AA73" s="567">
        <f t="shared" si="12"/>
        <v>-0.247</v>
      </c>
      <c r="AB73" s="567">
        <f t="shared" si="13"/>
        <v>-1</v>
      </c>
      <c r="AC73" s="247">
        <f t="shared" si="14"/>
        <v>0</v>
      </c>
      <c r="AD73" s="247" t="str">
        <f t="shared" si="15"/>
        <v/>
      </c>
      <c r="AE73" s="567" t="str">
        <f t="shared" si="16"/>
        <v/>
      </c>
      <c r="AF73" s="247">
        <f t="shared" si="17"/>
        <v>20271</v>
      </c>
      <c r="AG73" s="247">
        <f t="shared" si="18"/>
        <v>0</v>
      </c>
      <c r="AH73" s="557" t="str">
        <f t="shared" si="19"/>
        <v/>
      </c>
      <c r="AI73" s="564" t="s">
        <v>1963</v>
      </c>
      <c r="AJ73" s="564" t="s">
        <v>1964</v>
      </c>
      <c r="AK73" s="564" t="s">
        <v>1965</v>
      </c>
    </row>
    <row r="74" spans="1:37">
      <c r="A74" s="555">
        <f t="shared" si="0"/>
        <v>1</v>
      </c>
      <c r="B74" s="556">
        <f t="shared" ref="B74:B75" si="75">IF(AF74&lt;=AG74,1,IF(AH74&lt;=0.005,2,IF(AND(AH74&gt;0.005,AH74&lt;=0.02, L182),4,IF(AND(AH74&gt;0.02,AH74&lt;=0.05),5,IF(AND(AH74&gt;0.05,AH74&lt;=0.1),7,IF(AND(AH74&gt;0.1,AH74&lt;=0.2),8,IF(AH74&gt;0.2,10)))))))</f>
        <v>10</v>
      </c>
      <c r="C74" s="555">
        <f t="shared" ref="C74:C75" si="76">IF(AA74&lt;=0.005,10,IF(AND(AA74&gt;0.005,AA74&lt;=0.01, C167),9,IF(AND(AA74&gt;0.01,AA74&lt;=0.02),8,IF(AND(AA74&gt;0.02,AA74&lt;=0.05),7,IF(AND(AA74&gt;0.05,AA74&lt;=0.1),6,IF(AND(AA74&gt;0.1,AA74&lt;=0.2),5,IF(AND(AA74&gt;0.2,AA74&lt;=0.3),4,IF(AND(AA74&gt;0.3,AA74&lt;=0.4),3,IF(AND(AA74&gt;0.4,AA74&lt;=0.5),2,IF(AA74&gt;0.5,1))))))))))</f>
        <v>1</v>
      </c>
      <c r="D74" s="555">
        <f t="shared" si="3"/>
        <v>10</v>
      </c>
      <c r="E74" s="556">
        <f t="shared" si="4"/>
        <v>2.4</v>
      </c>
      <c r="F74" s="557" t="str">
        <f t="shared" si="5"/>
        <v xml:space="preserve">     -</v>
      </c>
      <c r="G74" s="558" t="str">
        <f t="shared" si="22"/>
        <v/>
      </c>
      <c r="H74" s="559" t="str">
        <f t="shared" si="45"/>
        <v/>
      </c>
      <c r="I74" s="560" t="e">
        <f t="shared" si="8"/>
        <v>#VALUE!</v>
      </c>
      <c r="J74" s="561" t="e">
        <f t="shared" si="9"/>
        <v>#VALUE!</v>
      </c>
      <c r="K74" s="562">
        <v>150</v>
      </c>
      <c r="L74" s="563">
        <v>44897</v>
      </c>
      <c r="M74" s="569">
        <f t="shared" si="72"/>
        <v>44897</v>
      </c>
      <c r="N74" s="247" t="s">
        <v>1845</v>
      </c>
      <c r="O74" s="247" t="s">
        <v>1966</v>
      </c>
      <c r="P74" s="247" t="s">
        <v>1860</v>
      </c>
      <c r="Q74" s="247">
        <v>3400</v>
      </c>
      <c r="R74" s="247" t="s">
        <v>1540</v>
      </c>
      <c r="S74" s="247" t="s">
        <v>1967</v>
      </c>
      <c r="T74" s="564" t="s">
        <v>1968</v>
      </c>
      <c r="U74" s="565" t="s">
        <v>1969</v>
      </c>
      <c r="V74" s="566" t="s">
        <v>1956</v>
      </c>
      <c r="W74" s="564" t="s">
        <v>1970</v>
      </c>
      <c r="X74" s="565" t="s">
        <v>1971</v>
      </c>
      <c r="Y74" s="247" t="str">
        <f t="shared" si="10"/>
        <v/>
      </c>
      <c r="Z74" s="247" t="str">
        <f t="shared" si="11"/>
        <v/>
      </c>
      <c r="AA74" s="567" t="str">
        <f t="shared" si="12"/>
        <v/>
      </c>
      <c r="AB74" s="567" t="str">
        <f t="shared" si="13"/>
        <v/>
      </c>
      <c r="AC74" s="247">
        <f t="shared" si="14"/>
        <v>0</v>
      </c>
      <c r="AD74" s="247" t="str">
        <f t="shared" si="15"/>
        <v/>
      </c>
      <c r="AE74" s="567" t="str">
        <f t="shared" si="16"/>
        <v/>
      </c>
      <c r="AF74" s="247" t="str">
        <f t="shared" si="17"/>
        <v/>
      </c>
      <c r="AG74" s="247">
        <f t="shared" si="18"/>
        <v>66</v>
      </c>
      <c r="AH74" s="557" t="str">
        <f t="shared" si="19"/>
        <v/>
      </c>
    </row>
    <row r="75" spans="1:37">
      <c r="A75" s="555">
        <f t="shared" si="0"/>
        <v>1</v>
      </c>
      <c r="B75" s="556">
        <f t="shared" si="75"/>
        <v>10</v>
      </c>
      <c r="C75" s="555">
        <f t="shared" si="76"/>
        <v>1</v>
      </c>
      <c r="D75" s="555">
        <f t="shared" si="3"/>
        <v>1</v>
      </c>
      <c r="E75" s="556">
        <f t="shared" si="4"/>
        <v>1.7</v>
      </c>
      <c r="F75" s="557" t="str">
        <f t="shared" si="5"/>
        <v xml:space="preserve">     -</v>
      </c>
      <c r="G75" s="558" t="str">
        <f t="shared" si="22"/>
        <v/>
      </c>
      <c r="H75" s="559">
        <f t="shared" si="45"/>
        <v>-1</v>
      </c>
      <c r="I75" s="560" t="e">
        <f t="shared" si="8"/>
        <v>#VALUE!</v>
      </c>
      <c r="J75" s="561">
        <f t="shared" si="9"/>
        <v>42538650</v>
      </c>
      <c r="K75" s="562">
        <v>3850</v>
      </c>
      <c r="L75" s="563">
        <v>44897</v>
      </c>
      <c r="M75" s="569">
        <f t="shared" si="72"/>
        <v>44897</v>
      </c>
      <c r="N75" s="247" t="s">
        <v>1573</v>
      </c>
      <c r="O75" s="247" t="s">
        <v>296</v>
      </c>
      <c r="P75" s="247" t="s">
        <v>1860</v>
      </c>
      <c r="Q75" s="247">
        <v>140</v>
      </c>
      <c r="R75" s="247" t="s">
        <v>1548</v>
      </c>
      <c r="S75" s="247" t="s">
        <v>1972</v>
      </c>
      <c r="T75" s="564" t="s">
        <v>1686</v>
      </c>
      <c r="U75" s="565" t="s">
        <v>1973</v>
      </c>
      <c r="V75" s="566" t="s">
        <v>1638</v>
      </c>
      <c r="W75" s="564" t="s">
        <v>1974</v>
      </c>
      <c r="X75" s="565" t="s">
        <v>1975</v>
      </c>
      <c r="Y75" s="247">
        <f t="shared" si="10"/>
        <v>11049</v>
      </c>
      <c r="Z75" s="247">
        <f t="shared" si="11"/>
        <v>45051</v>
      </c>
      <c r="AA75" s="567">
        <f t="shared" si="12"/>
        <v>3.077</v>
      </c>
      <c r="AB75" s="567">
        <f t="shared" si="13"/>
        <v>-0.26600000000000001</v>
      </c>
      <c r="AC75" s="247">
        <f t="shared" si="14"/>
        <v>33055</v>
      </c>
      <c r="AD75" s="247" t="str">
        <f t="shared" si="15"/>
        <v/>
      </c>
      <c r="AE75" s="567" t="str">
        <f t="shared" si="16"/>
        <v/>
      </c>
      <c r="AF75" s="247">
        <f t="shared" si="17"/>
        <v>32964</v>
      </c>
      <c r="AG75" s="247">
        <f t="shared" si="18"/>
        <v>0</v>
      </c>
      <c r="AH75" s="557" t="str">
        <f t="shared" si="19"/>
        <v/>
      </c>
    </row>
    <row r="76" spans="1:37">
      <c r="A76" s="555">
        <f t="shared" si="0"/>
        <v>1</v>
      </c>
      <c r="B76" s="556">
        <f>IF(AF76&lt;=AG76,1,IF(AH76&lt;=0.005,2,IF(AND(AH76&gt;0.005,AH76&lt;=0.02, L183),4,IF(AND(AH76&gt;0.02,AH76&lt;=0.05),5,IF(AND(AH76&gt;0.05,AH76&lt;=0.1),7,IF(AND(AH76&gt;0.1,AH76&lt;=0.2),8,IF(AH76&gt;0.2,10)))))))</f>
        <v>1</v>
      </c>
      <c r="C76" s="555">
        <f>IF(AA76&lt;=0.005,10,IF(AND(AA76&gt;0.005,AA76&lt;=0.01, C168),9,IF(AND(AA76&gt;0.01,AA76&lt;=0.02),8,IF(AND(AA76&gt;0.02,AA76&lt;=0.05),7,IF(AND(AA76&gt;0.05,AA76&lt;=0.1),6,IF(AND(AA76&gt;0.1,AA76&lt;=0.2),5,IF(AND(AA76&gt;0.2,AA76&lt;=0.3),4,IF(AND(AA76&gt;0.3,AA76&lt;=0.4),3,IF(AND(AA76&gt;0.4,AA76&lt;=0.5),2,IF(AA76&gt;0.5,1))))))))))</f>
        <v>1</v>
      </c>
      <c r="D76" s="555">
        <f t="shared" si="3"/>
        <v>8</v>
      </c>
      <c r="E76" s="556">
        <f t="shared" si="4"/>
        <v>1.5</v>
      </c>
      <c r="F76" s="557">
        <f t="shared" si="5"/>
        <v>0.55646341878595984</v>
      </c>
      <c r="G76" s="558" t="str">
        <f t="shared" si="22"/>
        <v/>
      </c>
      <c r="H76" s="559" t="str">
        <f t="shared" si="45"/>
        <v/>
      </c>
      <c r="I76" s="560" t="e">
        <f t="shared" si="8"/>
        <v>#VALUE!</v>
      </c>
      <c r="J76" s="561" t="e">
        <f t="shared" si="9"/>
        <v>#VALUE!</v>
      </c>
      <c r="K76" s="562">
        <v>1300</v>
      </c>
      <c r="L76" s="563">
        <v>44897</v>
      </c>
      <c r="M76" s="569">
        <f t="shared" si="72"/>
        <v>44897</v>
      </c>
      <c r="N76" s="247" t="s">
        <v>1671</v>
      </c>
      <c r="O76" s="247" t="s">
        <v>485</v>
      </c>
      <c r="P76" s="247" t="s">
        <v>1860</v>
      </c>
      <c r="Q76" s="247">
        <v>335</v>
      </c>
      <c r="R76" s="247" t="s">
        <v>1548</v>
      </c>
      <c r="S76" s="247" t="s">
        <v>1976</v>
      </c>
      <c r="T76" s="564" t="s">
        <v>1977</v>
      </c>
      <c r="U76" s="565" t="s">
        <v>1978</v>
      </c>
      <c r="V76" s="566" t="s">
        <v>1979</v>
      </c>
      <c r="W76" s="564" t="s">
        <v>1980</v>
      </c>
      <c r="X76" s="565" t="s">
        <v>1981</v>
      </c>
      <c r="Y76" s="247" t="str">
        <f t="shared" si="10"/>
        <v/>
      </c>
      <c r="Z76" s="247">
        <f t="shared" si="11"/>
        <v>22190</v>
      </c>
      <c r="AA76" s="567" t="str">
        <f t="shared" si="12"/>
        <v/>
      </c>
      <c r="AB76" s="567">
        <f t="shared" si="13"/>
        <v>0.33200000000000002</v>
      </c>
      <c r="AC76" s="247">
        <f t="shared" si="14"/>
        <v>29556</v>
      </c>
      <c r="AD76" s="247" t="str">
        <f t="shared" si="15"/>
        <v/>
      </c>
      <c r="AE76" s="567" t="str">
        <f t="shared" si="16"/>
        <v/>
      </c>
      <c r="AF76" s="247">
        <f t="shared" si="17"/>
        <v>13028</v>
      </c>
      <c r="AG76" s="247">
        <f t="shared" si="18"/>
        <v>29373</v>
      </c>
      <c r="AH76" s="557" t="str">
        <f t="shared" si="19"/>
        <v>SL Hit</v>
      </c>
      <c r="AI76" s="564" t="s">
        <v>1982</v>
      </c>
      <c r="AJ76" s="564" t="s">
        <v>1983</v>
      </c>
      <c r="AK76" s="564" t="s">
        <v>1984</v>
      </c>
    </row>
    <row r="77" spans="1:37">
      <c r="A77" s="555">
        <f t="shared" si="0"/>
        <v>1</v>
      </c>
      <c r="B77" s="556">
        <f t="shared" ref="B77:B78" si="77">IF(AF77&lt;=AG77,1,IF(AH77&lt;=0.005,2,IF(AND(AH77&gt;0.005,AH77&lt;=0.02, L182),4,IF(AND(AH77&gt;0.02,AH77&lt;=0.05),5,IF(AND(AH77&gt;0.05,AH77&lt;=0.1),7,IF(AND(AH77&gt;0.1,AH77&lt;=0.2),8,IF(AH77&gt;0.2,10)))))))</f>
        <v>10</v>
      </c>
      <c r="C77" s="555">
        <f t="shared" ref="C77:C78" si="78">IF(AA77&lt;=0.005,10,IF(AND(AA77&gt;0.005,AA77&lt;=0.01, C167),9,IF(AND(AA77&gt;0.01,AA77&lt;=0.02),8,IF(AND(AA77&gt;0.02,AA77&lt;=0.05),7,IF(AND(AA77&gt;0.05,AA77&lt;=0.1),6,IF(AND(AA77&gt;0.1,AA77&lt;=0.2),5,IF(AND(AA77&gt;0.2,AA77&lt;=0.3),4,IF(AND(AA77&gt;0.3,AA77&lt;=0.4),3,IF(AND(AA77&gt;0.4,AA77&lt;=0.5),2,IF(AA77&gt;0.5,1))))))))))</f>
        <v>1</v>
      </c>
      <c r="D77" s="555">
        <f t="shared" si="3"/>
        <v>10</v>
      </c>
      <c r="E77" s="556">
        <f t="shared" si="4"/>
        <v>2.4</v>
      </c>
      <c r="F77" s="557" t="str">
        <f t="shared" si="5"/>
        <v xml:space="preserve">     -</v>
      </c>
      <c r="G77" s="558" t="str">
        <f t="shared" si="22"/>
        <v/>
      </c>
      <c r="H77" s="559">
        <f t="shared" si="45"/>
        <v>-1</v>
      </c>
      <c r="I77" s="560" t="e">
        <f t="shared" si="8"/>
        <v>#VALUE!</v>
      </c>
      <c r="J77" s="561">
        <f t="shared" si="9"/>
        <v>23919825</v>
      </c>
      <c r="K77" s="562">
        <v>1075</v>
      </c>
      <c r="L77" s="563">
        <v>44900</v>
      </c>
      <c r="M77" s="569">
        <f t="shared" si="72"/>
        <v>44900</v>
      </c>
      <c r="N77" s="247" t="s">
        <v>1573</v>
      </c>
      <c r="O77" s="247" t="s">
        <v>467</v>
      </c>
      <c r="P77" s="247" t="s">
        <v>1860</v>
      </c>
      <c r="Q77" s="247">
        <v>470</v>
      </c>
      <c r="R77" s="247" t="s">
        <v>1548</v>
      </c>
      <c r="S77" s="247" t="s">
        <v>1985</v>
      </c>
      <c r="T77" s="564" t="s">
        <v>1986</v>
      </c>
      <c r="U77" s="565" t="s">
        <v>1910</v>
      </c>
      <c r="V77" s="566" t="s">
        <v>1987</v>
      </c>
      <c r="W77" s="564" t="s">
        <v>1988</v>
      </c>
      <c r="X77" s="565" t="s">
        <v>1989</v>
      </c>
      <c r="Y77" s="247">
        <f t="shared" si="10"/>
        <v>22251</v>
      </c>
      <c r="Z77" s="247" t="str">
        <f t="shared" si="11"/>
        <v/>
      </c>
      <c r="AA77" s="567" t="str">
        <f t="shared" si="12"/>
        <v/>
      </c>
      <c r="AB77" s="567" t="str">
        <f t="shared" si="13"/>
        <v/>
      </c>
      <c r="AC77" s="247">
        <f t="shared" si="14"/>
        <v>0</v>
      </c>
      <c r="AD77" s="247" t="str">
        <f t="shared" si="15"/>
        <v/>
      </c>
      <c r="AE77" s="567" t="str">
        <f t="shared" si="16"/>
        <v/>
      </c>
      <c r="AF77" s="247">
        <f t="shared" si="17"/>
        <v>45061</v>
      </c>
      <c r="AG77" s="247">
        <f t="shared" si="18"/>
        <v>0</v>
      </c>
      <c r="AH77" s="557" t="str">
        <f t="shared" si="19"/>
        <v/>
      </c>
    </row>
    <row r="78" spans="1:37">
      <c r="A78" s="555">
        <f t="shared" si="0"/>
        <v>1</v>
      </c>
      <c r="B78" s="556">
        <f t="shared" si="77"/>
        <v>10</v>
      </c>
      <c r="C78" s="555">
        <f t="shared" si="78"/>
        <v>1</v>
      </c>
      <c r="D78" s="555">
        <f t="shared" si="3"/>
        <v>10</v>
      </c>
      <c r="E78" s="556">
        <f t="shared" si="4"/>
        <v>2.4</v>
      </c>
      <c r="F78" s="557" t="str">
        <f t="shared" si="5"/>
        <v xml:space="preserve">     -</v>
      </c>
      <c r="G78" s="558" t="str">
        <f t="shared" si="22"/>
        <v/>
      </c>
      <c r="H78" s="559" t="str">
        <f t="shared" si="45"/>
        <v/>
      </c>
      <c r="I78" s="560" t="e">
        <f t="shared" si="8"/>
        <v>#VALUE!</v>
      </c>
      <c r="J78" s="561" t="e">
        <f t="shared" si="9"/>
        <v>#VALUE!</v>
      </c>
      <c r="K78" s="562">
        <v>500</v>
      </c>
      <c r="L78" s="563">
        <v>44900</v>
      </c>
      <c r="M78" s="569">
        <f t="shared" si="72"/>
        <v>44900</v>
      </c>
      <c r="N78" s="247" t="s">
        <v>1845</v>
      </c>
      <c r="O78" s="247" t="s">
        <v>1990</v>
      </c>
      <c r="P78" s="247" t="s">
        <v>1860</v>
      </c>
      <c r="Q78" s="247">
        <v>860</v>
      </c>
      <c r="R78" s="247" t="s">
        <v>1548</v>
      </c>
      <c r="S78" s="247" t="s">
        <v>1991</v>
      </c>
      <c r="T78" s="564" t="s">
        <v>1992</v>
      </c>
      <c r="U78" s="565" t="s">
        <v>1738</v>
      </c>
      <c r="V78" s="566" t="s">
        <v>1993</v>
      </c>
      <c r="W78" s="564" t="s">
        <v>1994</v>
      </c>
      <c r="X78" s="565" t="s">
        <v>1995</v>
      </c>
      <c r="Y78" s="247" t="str">
        <f t="shared" si="10"/>
        <v/>
      </c>
      <c r="Z78" s="247" t="str">
        <f t="shared" si="11"/>
        <v/>
      </c>
      <c r="AA78" s="567" t="str">
        <f t="shared" si="12"/>
        <v/>
      </c>
      <c r="AB78" s="567" t="str">
        <f t="shared" si="13"/>
        <v/>
      </c>
      <c r="AC78" s="247">
        <f t="shared" si="14"/>
        <v>45075</v>
      </c>
      <c r="AD78" s="247" t="str">
        <f t="shared" si="15"/>
        <v/>
      </c>
      <c r="AE78" s="567" t="str">
        <f t="shared" si="16"/>
        <v/>
      </c>
      <c r="AF78" s="247" t="str">
        <f t="shared" si="17"/>
        <v/>
      </c>
      <c r="AG78" s="247">
        <f t="shared" si="18"/>
        <v>0</v>
      </c>
      <c r="AH78" s="557" t="str">
        <f t="shared" si="19"/>
        <v/>
      </c>
    </row>
    <row r="79" spans="1:37">
      <c r="A79" s="555">
        <f t="shared" si="0"/>
        <v>1</v>
      </c>
      <c r="B79" s="556">
        <f>IF(AF79&lt;=AG79,1,IF(AH79&lt;=0.005,2,IF(AND(AH79&gt;0.005,AH79&lt;=0.02, L183),4,IF(AND(AH79&gt;0.02,AH79&lt;=0.05),5,IF(AND(AH79&gt;0.05,AH79&lt;=0.1),7,IF(AND(AH79&gt;0.1,AH79&lt;=0.2),8,IF(AH79&gt;0.2,10)))))))</f>
        <v>10</v>
      </c>
      <c r="C79" s="555">
        <f>IF(AA79&lt;=0.005,10,IF(AND(AA79&gt;0.005,AA79&lt;=0.01, C168),9,IF(AND(AA79&gt;0.01,AA79&lt;=0.02),8,IF(AND(AA79&gt;0.02,AA79&lt;=0.05),7,IF(AND(AA79&gt;0.05,AA79&lt;=0.1),6,IF(AND(AA79&gt;0.1,AA79&lt;=0.2),5,IF(AND(AA79&gt;0.2,AA79&lt;=0.3),4,IF(AND(AA79&gt;0.3,AA79&lt;=0.4),3,IF(AND(AA79&gt;0.4,AA79&lt;=0.5),2,IF(AA79&gt;0.5,1))))))))))</f>
        <v>10</v>
      </c>
      <c r="D79" s="555">
        <f t="shared" si="3"/>
        <v>10</v>
      </c>
      <c r="E79" s="556">
        <f t="shared" si="4"/>
        <v>9.3000000000000007</v>
      </c>
      <c r="F79" s="557" t="str">
        <f t="shared" si="5"/>
        <v xml:space="preserve">     -</v>
      </c>
      <c r="G79" s="558" t="str">
        <f t="shared" si="22"/>
        <v/>
      </c>
      <c r="H79" s="559">
        <f t="shared" si="45"/>
        <v>-5.0000000000000001E-3</v>
      </c>
      <c r="I79" s="560" t="e">
        <f t="shared" si="8"/>
        <v>#VALUE!</v>
      </c>
      <c r="J79" s="561">
        <f t="shared" si="9"/>
        <v>165600</v>
      </c>
      <c r="K79" s="562">
        <v>1800</v>
      </c>
      <c r="L79" s="563">
        <v>44900</v>
      </c>
      <c r="M79" s="569">
        <f t="shared" si="72"/>
        <v>44900</v>
      </c>
      <c r="N79" s="247" t="s">
        <v>1671</v>
      </c>
      <c r="O79" s="247" t="s">
        <v>1931</v>
      </c>
      <c r="P79" s="247" t="s">
        <v>1860</v>
      </c>
      <c r="Q79" s="247">
        <v>250</v>
      </c>
      <c r="R79" s="247" t="s">
        <v>1548</v>
      </c>
      <c r="S79" s="247" t="s">
        <v>1812</v>
      </c>
      <c r="T79" s="564" t="s">
        <v>1996</v>
      </c>
      <c r="U79" s="565" t="s">
        <v>1637</v>
      </c>
      <c r="V79" s="566" t="s">
        <v>1997</v>
      </c>
      <c r="W79" s="564" t="s">
        <v>1998</v>
      </c>
      <c r="X79" s="565" t="s">
        <v>1999</v>
      </c>
      <c r="Y79" s="247">
        <f t="shared" si="10"/>
        <v>18415</v>
      </c>
      <c r="Z79" s="247">
        <f t="shared" si="11"/>
        <v>12966</v>
      </c>
      <c r="AA79" s="567">
        <f t="shared" si="12"/>
        <v>-0.29599999999999999</v>
      </c>
      <c r="AB79" s="567">
        <f t="shared" si="13"/>
        <v>0.98599999999999999</v>
      </c>
      <c r="AC79" s="247">
        <f t="shared" si="14"/>
        <v>25750</v>
      </c>
      <c r="AD79" s="247" t="str">
        <f t="shared" si="15"/>
        <v/>
      </c>
      <c r="AE79" s="567" t="str">
        <f t="shared" si="16"/>
        <v/>
      </c>
      <c r="AF79" s="247">
        <f t="shared" si="17"/>
        <v>42156</v>
      </c>
      <c r="AG79" s="247">
        <f t="shared" si="18"/>
        <v>18323</v>
      </c>
      <c r="AH79" s="557">
        <f t="shared" si="19"/>
        <v>1.3009999999999999</v>
      </c>
      <c r="AI79" s="564" t="s">
        <v>2000</v>
      </c>
      <c r="AJ79" s="564" t="s">
        <v>1961</v>
      </c>
      <c r="AK79" s="564" t="s">
        <v>2001</v>
      </c>
    </row>
    <row r="80" spans="1:37">
      <c r="A80" s="555">
        <f t="shared" si="0"/>
        <v>1</v>
      </c>
      <c r="B80" s="556">
        <f t="shared" ref="B80:B81" si="79">IF(AF80&lt;=AG80,1,IF(AH80&lt;=0.005,2,IF(AND(AH80&gt;0.005,AH80&lt;=0.02, L181),4,IF(AND(AH80&gt;0.02,AH80&lt;=0.05),5,IF(AND(AH80&gt;0.05,AH80&lt;=0.1),7,IF(AND(AH80&gt;0.1,AH80&lt;=0.2),8,IF(AH80&gt;0.2,10)))))))</f>
        <v>10</v>
      </c>
      <c r="C80" s="555">
        <f t="shared" ref="C80:C81" si="80">IF(AA80&lt;=0.005,10,IF(AND(AA80&gt;0.005,AA80&lt;=0.01, C166),9,IF(AND(AA80&gt;0.01,AA80&lt;=0.02),8,IF(AND(AA80&gt;0.02,AA80&lt;=0.05),7,IF(AND(AA80&gt;0.05,AA80&lt;=0.1),6,IF(AND(AA80&gt;0.1,AA80&lt;=0.2),5,IF(AND(AA80&gt;0.2,AA80&lt;=0.3),4,IF(AND(AA80&gt;0.3,AA80&lt;=0.4),3,IF(AND(AA80&gt;0.4,AA80&lt;=0.5),2,IF(AA80&gt;0.5,1))))))))))</f>
        <v>1</v>
      </c>
      <c r="D80" s="555">
        <f t="shared" si="3"/>
        <v>10</v>
      </c>
      <c r="E80" s="556">
        <f t="shared" si="4"/>
        <v>2.4</v>
      </c>
      <c r="F80" s="557" t="str">
        <f t="shared" si="5"/>
        <v xml:space="preserve">     -</v>
      </c>
      <c r="G80" s="558" t="str">
        <f t="shared" si="22"/>
        <v/>
      </c>
      <c r="H80" s="559" t="str">
        <f t="shared" si="45"/>
        <v/>
      </c>
      <c r="I80" s="560" t="e">
        <f t="shared" si="8"/>
        <v>#VALUE!</v>
      </c>
      <c r="J80" s="561" t="e">
        <f t="shared" si="9"/>
        <v>#VALUE!</v>
      </c>
      <c r="K80" s="562">
        <v>1375</v>
      </c>
      <c r="L80" s="563">
        <v>44901</v>
      </c>
      <c r="M80" s="569">
        <f t="shared" si="72"/>
        <v>44901</v>
      </c>
      <c r="N80" s="247" t="s">
        <v>1547</v>
      </c>
      <c r="O80" s="247" t="s">
        <v>487</v>
      </c>
      <c r="P80" s="247" t="s">
        <v>1860</v>
      </c>
      <c r="Q80" s="247">
        <v>930</v>
      </c>
      <c r="R80" s="247" t="s">
        <v>1540</v>
      </c>
      <c r="S80" s="247" t="s">
        <v>2002</v>
      </c>
      <c r="T80" s="564" t="s">
        <v>1698</v>
      </c>
      <c r="U80" s="565" t="s">
        <v>1681</v>
      </c>
      <c r="V80" s="566" t="s">
        <v>2003</v>
      </c>
      <c r="W80" s="564" t="s">
        <v>2004</v>
      </c>
      <c r="X80" s="565" t="s">
        <v>2005</v>
      </c>
      <c r="Y80" s="247" t="str">
        <f t="shared" si="10"/>
        <v/>
      </c>
      <c r="Z80" s="247" t="str">
        <f t="shared" si="11"/>
        <v/>
      </c>
      <c r="AA80" s="567" t="str">
        <f t="shared" si="12"/>
        <v/>
      </c>
      <c r="AB80" s="567" t="str">
        <f t="shared" si="13"/>
        <v/>
      </c>
      <c r="AC80" s="247">
        <f t="shared" si="14"/>
        <v>0</v>
      </c>
      <c r="AD80" s="247" t="str">
        <f t="shared" si="15"/>
        <v/>
      </c>
      <c r="AE80" s="567" t="str">
        <f t="shared" si="16"/>
        <v/>
      </c>
      <c r="AF80" s="247" t="str">
        <f t="shared" si="17"/>
        <v/>
      </c>
      <c r="AG80" s="247">
        <f t="shared" si="18"/>
        <v>0</v>
      </c>
      <c r="AH80" s="557" t="str">
        <f t="shared" si="19"/>
        <v/>
      </c>
    </row>
    <row r="81" spans="1:35">
      <c r="A81" s="555">
        <f t="shared" si="0"/>
        <v>1</v>
      </c>
      <c r="B81" s="556">
        <f t="shared" si="79"/>
        <v>10</v>
      </c>
      <c r="C81" s="555">
        <f t="shared" si="80"/>
        <v>1</v>
      </c>
      <c r="D81" s="555">
        <f t="shared" si="3"/>
        <v>10</v>
      </c>
      <c r="E81" s="556">
        <f t="shared" si="4"/>
        <v>2.4</v>
      </c>
      <c r="F81" s="557" t="str">
        <f t="shared" si="5"/>
        <v xml:space="preserve">     -</v>
      </c>
      <c r="G81" s="558" t="str">
        <f t="shared" si="22"/>
        <v/>
      </c>
      <c r="H81" s="559" t="str">
        <f t="shared" si="45"/>
        <v/>
      </c>
      <c r="I81" s="560" t="e">
        <f t="shared" si="8"/>
        <v>#VALUE!</v>
      </c>
      <c r="J81" s="561" t="e">
        <f t="shared" si="9"/>
        <v>#VALUE!</v>
      </c>
      <c r="K81" s="562">
        <v>300</v>
      </c>
      <c r="L81" s="563">
        <v>44901</v>
      </c>
      <c r="M81" s="569">
        <f t="shared" si="72"/>
        <v>44901</v>
      </c>
      <c r="N81" s="247" t="s">
        <v>1845</v>
      </c>
      <c r="O81" s="247" t="s">
        <v>458</v>
      </c>
      <c r="P81" s="247" t="s">
        <v>1860</v>
      </c>
      <c r="Q81" s="247">
        <v>1640</v>
      </c>
      <c r="R81" s="247" t="s">
        <v>1540</v>
      </c>
      <c r="S81" s="247" t="s">
        <v>2006</v>
      </c>
      <c r="T81" s="564" t="s">
        <v>2007</v>
      </c>
      <c r="U81" s="565" t="s">
        <v>2008</v>
      </c>
      <c r="V81" s="566" t="s">
        <v>2009</v>
      </c>
      <c r="W81" s="564" t="s">
        <v>2010</v>
      </c>
      <c r="X81" s="565" t="s">
        <v>2011</v>
      </c>
      <c r="Y81" s="247" t="str">
        <f t="shared" si="10"/>
        <v/>
      </c>
      <c r="Z81" s="247" t="str">
        <f t="shared" si="11"/>
        <v/>
      </c>
      <c r="AA81" s="567" t="str">
        <f t="shared" si="12"/>
        <v/>
      </c>
      <c r="AB81" s="567" t="str">
        <f t="shared" si="13"/>
        <v/>
      </c>
      <c r="AC81" s="247">
        <f t="shared" si="14"/>
        <v>0</v>
      </c>
      <c r="AD81" s="247" t="str">
        <f t="shared" si="15"/>
        <v/>
      </c>
      <c r="AE81" s="567" t="str">
        <f t="shared" si="16"/>
        <v/>
      </c>
      <c r="AF81" s="247" t="str">
        <f t="shared" si="17"/>
        <v/>
      </c>
      <c r="AG81" s="247">
        <f t="shared" si="18"/>
        <v>0</v>
      </c>
      <c r="AH81" s="557" t="str">
        <f t="shared" si="19"/>
        <v/>
      </c>
    </row>
    <row r="82" spans="1:35">
      <c r="A82" s="555">
        <f t="shared" si="0"/>
        <v>1</v>
      </c>
      <c r="B82" s="556">
        <f t="shared" ref="B82:B83" si="81">IF(AF82&lt;=AG82,1,IF(AH82&lt;=0.005,2,IF(AND(AH82&gt;0.005,AH82&lt;=0.02, L182),4,IF(AND(AH82&gt;0.02,AH82&lt;=0.05),5,IF(AND(AH82&gt;0.05,AH82&lt;=0.1),7,IF(AND(AH82&gt;0.1,AH82&lt;=0.2),8,IF(AH82&gt;0.2,10)))))))</f>
        <v>10</v>
      </c>
      <c r="C82" s="555">
        <f t="shared" ref="C82:C83" si="82">IF(AA82&lt;=0.005,10,IF(AND(AA82&gt;0.005,AA82&lt;=0.01, C167),9,IF(AND(AA82&gt;0.01,AA82&lt;=0.02),8,IF(AND(AA82&gt;0.02,AA82&lt;=0.05),7,IF(AND(AA82&gt;0.05,AA82&lt;=0.1),6,IF(AND(AA82&gt;0.1,AA82&lt;=0.2),5,IF(AND(AA82&gt;0.2,AA82&lt;=0.3),4,IF(AND(AA82&gt;0.3,AA82&lt;=0.4),3,IF(AND(AA82&gt;0.4,AA82&lt;=0.5),2,IF(AA82&gt;0.5,1))))))))))</f>
        <v>10</v>
      </c>
      <c r="D82" s="555">
        <f t="shared" si="3"/>
        <v>10</v>
      </c>
      <c r="E82" s="556">
        <f t="shared" si="4"/>
        <v>9.3000000000000007</v>
      </c>
      <c r="F82" s="557" t="str">
        <f t="shared" si="5"/>
        <v xml:space="preserve">     -</v>
      </c>
      <c r="G82" s="558" t="str">
        <f t="shared" si="22"/>
        <v/>
      </c>
      <c r="H82" s="559">
        <f t="shared" si="45"/>
        <v>-9.5000000000000001E-2</v>
      </c>
      <c r="I82" s="560" t="e">
        <f t="shared" si="8"/>
        <v>#VALUE!</v>
      </c>
      <c r="J82" s="561">
        <f t="shared" si="9"/>
        <v>1917000</v>
      </c>
      <c r="K82" s="562">
        <v>1000</v>
      </c>
      <c r="L82" s="563">
        <v>44902</v>
      </c>
      <c r="M82" s="569">
        <f t="shared" si="72"/>
        <v>44902</v>
      </c>
      <c r="N82" s="247" t="s">
        <v>1547</v>
      </c>
      <c r="O82" s="247" t="s">
        <v>1574</v>
      </c>
      <c r="P82" s="247" t="s">
        <v>1860</v>
      </c>
      <c r="Q82" s="247">
        <v>410</v>
      </c>
      <c r="R82" s="247" t="s">
        <v>1540</v>
      </c>
      <c r="S82" s="247" t="s">
        <v>2012</v>
      </c>
      <c r="T82" s="564" t="s">
        <v>1680</v>
      </c>
      <c r="U82" s="565" t="s">
        <v>1693</v>
      </c>
      <c r="V82" s="566" t="s">
        <v>1751</v>
      </c>
      <c r="W82" s="564" t="s">
        <v>1964</v>
      </c>
      <c r="X82" s="565" t="s">
        <v>2013</v>
      </c>
      <c r="Y82" s="247">
        <f t="shared" si="10"/>
        <v>20271</v>
      </c>
      <c r="Z82" s="247">
        <f t="shared" si="11"/>
        <v>18476</v>
      </c>
      <c r="AA82" s="567">
        <f t="shared" si="12"/>
        <v>-8.8999999999999996E-2</v>
      </c>
      <c r="AB82" s="567">
        <f t="shared" si="13"/>
        <v>0.79200000000000004</v>
      </c>
      <c r="AC82" s="247">
        <f t="shared" si="14"/>
        <v>33117</v>
      </c>
      <c r="AD82" s="247" t="str">
        <f t="shared" si="15"/>
        <v/>
      </c>
      <c r="AE82" s="567" t="str">
        <f t="shared" si="16"/>
        <v/>
      </c>
      <c r="AF82" s="247">
        <f t="shared" si="17"/>
        <v>42217</v>
      </c>
      <c r="AG82" s="247">
        <f t="shared" si="18"/>
        <v>18354</v>
      </c>
      <c r="AH82" s="557">
        <f t="shared" si="19"/>
        <v>1.3</v>
      </c>
    </row>
    <row r="83" spans="1:35">
      <c r="A83" s="555">
        <f t="shared" si="0"/>
        <v>1</v>
      </c>
      <c r="B83" s="556">
        <f t="shared" si="81"/>
        <v>10</v>
      </c>
      <c r="C83" s="555">
        <f t="shared" si="82"/>
        <v>1</v>
      </c>
      <c r="D83" s="555">
        <f t="shared" si="3"/>
        <v>10</v>
      </c>
      <c r="E83" s="556">
        <f t="shared" si="4"/>
        <v>2.4</v>
      </c>
      <c r="F83" s="557" t="str">
        <f t="shared" si="5"/>
        <v xml:space="preserve">     -</v>
      </c>
      <c r="G83" s="558" t="str">
        <f t="shared" si="22"/>
        <v/>
      </c>
      <c r="H83" s="559" t="str">
        <f t="shared" si="45"/>
        <v/>
      </c>
      <c r="I83" s="560" t="e">
        <f t="shared" si="8"/>
        <v>#VALUE!</v>
      </c>
      <c r="J83" s="561" t="e">
        <f t="shared" si="9"/>
        <v>#VALUE!</v>
      </c>
      <c r="K83" s="562">
        <v>200</v>
      </c>
      <c r="L83" s="563">
        <v>44902</v>
      </c>
      <c r="M83" s="569">
        <f t="shared" si="72"/>
        <v>44902</v>
      </c>
      <c r="N83" s="247" t="s">
        <v>1573</v>
      </c>
      <c r="O83" s="247" t="s">
        <v>691</v>
      </c>
      <c r="P83" s="247" t="s">
        <v>1860</v>
      </c>
      <c r="Q83" s="247">
        <v>3200</v>
      </c>
      <c r="R83" s="247" t="s">
        <v>1548</v>
      </c>
      <c r="S83" s="247" t="s">
        <v>2014</v>
      </c>
      <c r="T83" s="564" t="s">
        <v>1743</v>
      </c>
      <c r="U83" s="565" t="s">
        <v>1631</v>
      </c>
      <c r="V83" s="566" t="s">
        <v>2015</v>
      </c>
      <c r="W83" s="564" t="s">
        <v>2016</v>
      </c>
      <c r="X83" s="565" t="s">
        <v>2017</v>
      </c>
      <c r="Y83" s="247" t="str">
        <f t="shared" si="10"/>
        <v/>
      </c>
      <c r="Z83" s="247" t="str">
        <f t="shared" si="11"/>
        <v/>
      </c>
      <c r="AA83" s="567" t="str">
        <f t="shared" si="12"/>
        <v/>
      </c>
      <c r="AB83" s="567" t="str">
        <f t="shared" si="13"/>
        <v/>
      </c>
      <c r="AC83" s="247">
        <f t="shared" si="14"/>
        <v>0</v>
      </c>
      <c r="AD83" s="247" t="str">
        <f t="shared" si="15"/>
        <v/>
      </c>
      <c r="AE83" s="567" t="str">
        <f t="shared" si="16"/>
        <v/>
      </c>
      <c r="AF83" s="247" t="str">
        <f t="shared" si="17"/>
        <v/>
      </c>
      <c r="AG83" s="247">
        <f t="shared" si="18"/>
        <v>60</v>
      </c>
      <c r="AH83" s="557" t="str">
        <f t="shared" si="19"/>
        <v/>
      </c>
    </row>
    <row r="84" spans="1:35">
      <c r="A84" s="555">
        <f t="shared" si="0"/>
        <v>1</v>
      </c>
      <c r="B84" s="556">
        <f t="shared" ref="B84:B85" si="83">IF(AF84&lt;=AG84,1,IF(AH84&lt;=0.005,2,IF(AND(AH84&gt;0.005,AH84&lt;=0.02, L182),4,IF(AND(AH84&gt;0.02,AH84&lt;=0.05),5,IF(AND(AH84&gt;0.05,AH84&lt;=0.1),7,IF(AND(AH84&gt;0.1,AH84&lt;=0.2),8,IF(AH84&gt;0.2,10)))))))</f>
        <v>10</v>
      </c>
      <c r="C84" s="555">
        <f t="shared" ref="C84:C85" si="84">IF(AA84&lt;=0.005,10,IF(AND(AA84&gt;0.005,AA84&lt;=0.01, C167),9,IF(AND(AA84&gt;0.01,AA84&lt;=0.02),8,IF(AND(AA84&gt;0.02,AA84&lt;=0.05),7,IF(AND(AA84&gt;0.05,AA84&lt;=0.1),6,IF(AND(AA84&gt;0.1,AA84&lt;=0.2),5,IF(AND(AA84&gt;0.2,AA84&lt;=0.3),4,IF(AND(AA84&gt;0.3,AA84&lt;=0.4),3,IF(AND(AA84&gt;0.4,AA84&lt;=0.5),2,IF(AA84&gt;0.5,1))))))))))</f>
        <v>1</v>
      </c>
      <c r="D84" s="555">
        <f t="shared" si="3"/>
        <v>10</v>
      </c>
      <c r="E84" s="556">
        <f t="shared" si="4"/>
        <v>2.4</v>
      </c>
      <c r="F84" s="557" t="str">
        <f t="shared" si="5"/>
        <v xml:space="preserve">     -</v>
      </c>
      <c r="G84" s="558" t="str">
        <f t="shared" si="22"/>
        <v/>
      </c>
      <c r="H84" s="559" t="str">
        <f t="shared" si="45"/>
        <v/>
      </c>
      <c r="I84" s="560" t="e">
        <f t="shared" si="8"/>
        <v>#VALUE!</v>
      </c>
      <c r="J84" s="561" t="e">
        <f t="shared" si="9"/>
        <v>#VALUE!</v>
      </c>
      <c r="K84" s="562">
        <v>1375</v>
      </c>
      <c r="L84" s="563">
        <v>44903</v>
      </c>
      <c r="M84" s="569">
        <f t="shared" si="72"/>
        <v>44903</v>
      </c>
      <c r="N84" s="247" t="s">
        <v>1573</v>
      </c>
      <c r="O84" s="247" t="s">
        <v>487</v>
      </c>
      <c r="P84" s="247" t="s">
        <v>1860</v>
      </c>
      <c r="Q84" s="247">
        <v>930</v>
      </c>
      <c r="R84" s="247" t="s">
        <v>1548</v>
      </c>
      <c r="S84" s="247" t="s">
        <v>2018</v>
      </c>
      <c r="T84" s="564" t="s">
        <v>1698</v>
      </c>
      <c r="U84" s="565" t="s">
        <v>2019</v>
      </c>
      <c r="V84" s="566" t="s">
        <v>2020</v>
      </c>
      <c r="W84" s="564" t="s">
        <v>2021</v>
      </c>
      <c r="X84" s="565" t="s">
        <v>2022</v>
      </c>
      <c r="Y84" s="247" t="str">
        <f t="shared" si="10"/>
        <v/>
      </c>
      <c r="Z84" s="247" t="str">
        <f t="shared" si="11"/>
        <v/>
      </c>
      <c r="AA84" s="567" t="str">
        <f t="shared" si="12"/>
        <v/>
      </c>
      <c r="AB84" s="567" t="str">
        <f t="shared" si="13"/>
        <v/>
      </c>
      <c r="AC84" s="247">
        <f t="shared" si="14"/>
        <v>0</v>
      </c>
      <c r="AD84" s="247" t="str">
        <f t="shared" si="15"/>
        <v/>
      </c>
      <c r="AE84" s="567" t="str">
        <f t="shared" si="16"/>
        <v/>
      </c>
      <c r="AF84" s="247" t="str">
        <f t="shared" si="17"/>
        <v/>
      </c>
      <c r="AG84" s="247">
        <f t="shared" si="18"/>
        <v>0</v>
      </c>
      <c r="AH84" s="557" t="str">
        <f t="shared" si="19"/>
        <v/>
      </c>
    </row>
    <row r="85" spans="1:35">
      <c r="A85" s="555">
        <f t="shared" si="0"/>
        <v>1</v>
      </c>
      <c r="B85" s="556">
        <f t="shared" si="83"/>
        <v>10</v>
      </c>
      <c r="C85" s="555">
        <f t="shared" si="84"/>
        <v>1</v>
      </c>
      <c r="D85" s="555">
        <f t="shared" si="3"/>
        <v>10</v>
      </c>
      <c r="E85" s="556">
        <f t="shared" si="4"/>
        <v>2.4</v>
      </c>
      <c r="F85" s="557" t="str">
        <f t="shared" si="5"/>
        <v xml:space="preserve">     -</v>
      </c>
      <c r="G85" s="558" t="str">
        <f t="shared" si="22"/>
        <v/>
      </c>
      <c r="H85" s="559" t="str">
        <f t="shared" si="45"/>
        <v/>
      </c>
      <c r="I85" s="560" t="e">
        <f t="shared" si="8"/>
        <v>#VALUE!</v>
      </c>
      <c r="J85" s="561" t="e">
        <f t="shared" si="9"/>
        <v>#VALUE!</v>
      </c>
      <c r="K85" s="562">
        <v>175</v>
      </c>
      <c r="L85" s="563">
        <v>44903</v>
      </c>
      <c r="M85" s="569">
        <f t="shared" si="72"/>
        <v>44903</v>
      </c>
      <c r="N85" s="247" t="s">
        <v>1547</v>
      </c>
      <c r="O85" s="247" t="s">
        <v>2023</v>
      </c>
      <c r="P85" s="247" t="s">
        <v>1860</v>
      </c>
      <c r="Q85" s="247">
        <v>3250</v>
      </c>
      <c r="R85" s="247" t="s">
        <v>1548</v>
      </c>
      <c r="S85" s="247" t="s">
        <v>2024</v>
      </c>
      <c r="T85" s="564" t="s">
        <v>2025</v>
      </c>
      <c r="U85" s="565" t="s">
        <v>2026</v>
      </c>
      <c r="V85" s="566" t="s">
        <v>2027</v>
      </c>
      <c r="W85" s="564" t="s">
        <v>2028</v>
      </c>
      <c r="X85" s="565" t="s">
        <v>2029</v>
      </c>
      <c r="Y85" s="247" t="str">
        <f t="shared" si="10"/>
        <v/>
      </c>
      <c r="Z85" s="247" t="str">
        <f t="shared" si="11"/>
        <v/>
      </c>
      <c r="AA85" s="567" t="str">
        <f t="shared" si="12"/>
        <v/>
      </c>
      <c r="AB85" s="567" t="str">
        <f t="shared" si="13"/>
        <v/>
      </c>
      <c r="AC85" s="247">
        <f t="shared" si="14"/>
        <v>0</v>
      </c>
      <c r="AD85" s="247" t="str">
        <f t="shared" si="15"/>
        <v/>
      </c>
      <c r="AE85" s="567" t="str">
        <f t="shared" si="16"/>
        <v/>
      </c>
      <c r="AF85" s="247" t="str">
        <f t="shared" si="17"/>
        <v/>
      </c>
      <c r="AG85" s="247">
        <f t="shared" si="18"/>
        <v>0</v>
      </c>
      <c r="AH85" s="557" t="str">
        <f t="shared" si="19"/>
        <v/>
      </c>
    </row>
    <row r="86" spans="1:35">
      <c r="A86" s="555">
        <f t="shared" si="0"/>
        <v>1</v>
      </c>
      <c r="B86" s="556">
        <f>IF(AF86&lt;=AG86,1,IF(AH86&lt;=0.005,2,IF(AND(AH86&gt;0.005,AH86&lt;=0.02, L183),4,IF(AND(AH86&gt;0.02,AH86&lt;=0.05),5,IF(AND(AH86&gt;0.05,AH86&lt;=0.1),7,IF(AND(AH86&gt;0.1,AH86&lt;=0.2),8,IF(AH86&gt;0.2,10)))))))</f>
        <v>10</v>
      </c>
      <c r="C86" s="555">
        <f>IF(AA86&lt;=0.005,10,IF(AND(AA86&gt;0.005,AA86&lt;=0.01, C168),9,IF(AND(AA86&gt;0.01,AA86&lt;=0.02),8,IF(AND(AA86&gt;0.02,AA86&lt;=0.05),7,IF(AND(AA86&gt;0.05,AA86&lt;=0.1),6,IF(AND(AA86&gt;0.1,AA86&lt;=0.2),5,IF(AND(AA86&gt;0.2,AA86&lt;=0.3),4,IF(AND(AA86&gt;0.3,AA86&lt;=0.4),3,IF(AND(AA86&gt;0.4,AA86&lt;=0.5),2,IF(AA86&gt;0.5,1))))))))))</f>
        <v>9</v>
      </c>
      <c r="D86" s="555">
        <f t="shared" si="3"/>
        <v>1</v>
      </c>
      <c r="E86" s="556">
        <f t="shared" si="4"/>
        <v>7.8</v>
      </c>
      <c r="F86" s="557" t="str">
        <f t="shared" si="5"/>
        <v xml:space="preserve">     -</v>
      </c>
      <c r="G86" s="558">
        <f t="shared" si="22"/>
        <v>-0.3528</v>
      </c>
      <c r="H86" s="559">
        <f t="shared" si="45"/>
        <v>-1</v>
      </c>
      <c r="I86" s="560">
        <f t="shared" si="8"/>
        <v>-358830000</v>
      </c>
      <c r="J86" s="561">
        <f t="shared" si="9"/>
        <v>1017000000</v>
      </c>
      <c r="K86" s="562">
        <v>22500</v>
      </c>
      <c r="L86" s="563">
        <v>44903</v>
      </c>
      <c r="M86" s="569">
        <f t="shared" si="72"/>
        <v>44903</v>
      </c>
      <c r="N86" s="247" t="s">
        <v>1671</v>
      </c>
      <c r="O86" s="247" t="s">
        <v>2030</v>
      </c>
      <c r="P86" s="247" t="s">
        <v>1860</v>
      </c>
      <c r="Q86" s="247">
        <v>45</v>
      </c>
      <c r="R86" s="247" t="s">
        <v>1548</v>
      </c>
      <c r="S86" s="247" t="s">
        <v>2031</v>
      </c>
      <c r="T86" s="564" t="s">
        <v>2032</v>
      </c>
      <c r="U86" s="565" t="s">
        <v>1716</v>
      </c>
      <c r="V86" s="566" t="s">
        <v>2033</v>
      </c>
      <c r="W86" s="564" t="s">
        <v>2034</v>
      </c>
      <c r="X86" s="565" t="s">
        <v>2035</v>
      </c>
      <c r="Y86" s="247">
        <f t="shared" si="10"/>
        <v>45200</v>
      </c>
      <c r="Z86" s="247">
        <f t="shared" si="11"/>
        <v>45658</v>
      </c>
      <c r="AA86" s="567">
        <f t="shared" si="12"/>
        <v>0.01</v>
      </c>
      <c r="AB86" s="567">
        <f t="shared" si="13"/>
        <v>-0.68</v>
      </c>
      <c r="AC86" s="247">
        <f t="shared" si="14"/>
        <v>14611</v>
      </c>
      <c r="AD86" s="247">
        <f t="shared" si="15"/>
        <v>29252</v>
      </c>
      <c r="AE86" s="567">
        <f t="shared" si="16"/>
        <v>0.501</v>
      </c>
      <c r="AF86" s="247">
        <f t="shared" si="17"/>
        <v>45658</v>
      </c>
      <c r="AG86" s="247">
        <f t="shared" si="18"/>
        <v>0</v>
      </c>
      <c r="AH86" s="557" t="str">
        <f t="shared" si="19"/>
        <v/>
      </c>
      <c r="AI86" s="564" t="s">
        <v>2036</v>
      </c>
    </row>
    <row r="87" spans="1:35">
      <c r="A87" s="555">
        <f t="shared" si="0"/>
        <v>1</v>
      </c>
      <c r="B87" s="556">
        <f t="shared" ref="B87:B88" si="85">IF(AF87&lt;=AG87,1,IF(AH87&lt;=0.005,2,IF(AND(AH87&gt;0.005,AH87&lt;=0.02, L182),4,IF(AND(AH87&gt;0.02,AH87&lt;=0.05),5,IF(AND(AH87&gt;0.05,AH87&lt;=0.1),7,IF(AND(AH87&gt;0.1,AH87&lt;=0.2),8,IF(AH87&gt;0.2,10)))))))</f>
        <v>10</v>
      </c>
      <c r="C87" s="555">
        <f t="shared" ref="C87:C88" si="86">IF(AA87&lt;=0.005,10,IF(AND(AA87&gt;0.005,AA87&lt;=0.01, C167),9,IF(AND(AA87&gt;0.01,AA87&lt;=0.02),8,IF(AND(AA87&gt;0.02,AA87&lt;=0.05),7,IF(AND(AA87&gt;0.05,AA87&lt;=0.1),6,IF(AND(AA87&gt;0.1,AA87&lt;=0.2),5,IF(AND(AA87&gt;0.2,AA87&lt;=0.3),4,IF(AND(AA87&gt;0.3,AA87&lt;=0.4),3,IF(AND(AA87&gt;0.4,AA87&lt;=0.5),2,IF(AA87&gt;0.5,1))))))))))</f>
        <v>1</v>
      </c>
      <c r="D87" s="555">
        <f t="shared" si="3"/>
        <v>10</v>
      </c>
      <c r="E87" s="556">
        <f t="shared" si="4"/>
        <v>2.4</v>
      </c>
      <c r="F87" s="557" t="str">
        <f t="shared" si="5"/>
        <v xml:space="preserve">     -</v>
      </c>
      <c r="G87" s="558" t="str">
        <f t="shared" si="22"/>
        <v/>
      </c>
      <c r="H87" s="559" t="str">
        <f t="shared" si="45"/>
        <v/>
      </c>
      <c r="I87" s="560" t="e">
        <f t="shared" si="8"/>
        <v>#VALUE!</v>
      </c>
      <c r="J87" s="561" t="e">
        <f t="shared" si="9"/>
        <v>#VALUE!</v>
      </c>
      <c r="K87" s="562">
        <v>300</v>
      </c>
      <c r="L87" s="563">
        <v>44904</v>
      </c>
      <c r="M87" s="569">
        <f t="shared" si="72"/>
        <v>44904</v>
      </c>
      <c r="N87" s="247" t="s">
        <v>1547</v>
      </c>
      <c r="O87" s="247" t="s">
        <v>458</v>
      </c>
      <c r="P87" s="247" t="s">
        <v>1860</v>
      </c>
      <c r="Q87" s="247">
        <v>1620</v>
      </c>
      <c r="R87" s="247" t="s">
        <v>1548</v>
      </c>
      <c r="S87" s="247" t="s">
        <v>2037</v>
      </c>
      <c r="T87" s="564" t="s">
        <v>1830</v>
      </c>
      <c r="U87" s="565" t="s">
        <v>2038</v>
      </c>
      <c r="V87" s="566" t="s">
        <v>2039</v>
      </c>
      <c r="W87" s="564" t="s">
        <v>2040</v>
      </c>
      <c r="X87" s="565" t="s">
        <v>2041</v>
      </c>
      <c r="Y87" s="247" t="str">
        <f t="shared" si="10"/>
        <v/>
      </c>
      <c r="Z87" s="247" t="str">
        <f t="shared" si="11"/>
        <v/>
      </c>
      <c r="AA87" s="567" t="str">
        <f t="shared" si="12"/>
        <v/>
      </c>
      <c r="AB87" s="567" t="str">
        <f t="shared" si="13"/>
        <v/>
      </c>
      <c r="AC87" s="247">
        <f t="shared" si="14"/>
        <v>0</v>
      </c>
      <c r="AD87" s="247" t="str">
        <f t="shared" si="15"/>
        <v/>
      </c>
      <c r="AE87" s="567" t="str">
        <f t="shared" si="16"/>
        <v/>
      </c>
      <c r="AF87" s="247" t="str">
        <f t="shared" si="17"/>
        <v/>
      </c>
      <c r="AG87" s="247">
        <f t="shared" si="18"/>
        <v>0</v>
      </c>
      <c r="AH87" s="557" t="str">
        <f t="shared" si="19"/>
        <v/>
      </c>
    </row>
    <row r="88" spans="1:35">
      <c r="A88" s="555">
        <f t="shared" si="0"/>
        <v>1</v>
      </c>
      <c r="B88" s="556">
        <f t="shared" si="85"/>
        <v>1</v>
      </c>
      <c r="C88" s="555">
        <f t="shared" si="86"/>
        <v>1</v>
      </c>
      <c r="D88" s="555">
        <f t="shared" si="3"/>
        <v>1</v>
      </c>
      <c r="E88" s="556">
        <f t="shared" si="4"/>
        <v>1</v>
      </c>
      <c r="F88" s="557">
        <f t="shared" si="5"/>
        <v>0.20331251696986152</v>
      </c>
      <c r="G88" s="558" t="str">
        <f t="shared" si="22"/>
        <v/>
      </c>
      <c r="H88" s="559">
        <f t="shared" si="45"/>
        <v>0.245</v>
      </c>
      <c r="I88" s="560" t="e">
        <f t="shared" si="8"/>
        <v>#VALUE!</v>
      </c>
      <c r="J88" s="561">
        <f t="shared" si="9"/>
        <v>-3622000</v>
      </c>
      <c r="K88" s="562">
        <v>1000</v>
      </c>
      <c r="L88" s="563">
        <v>44904</v>
      </c>
      <c r="M88" s="569">
        <f t="shared" si="72"/>
        <v>44904</v>
      </c>
      <c r="N88" s="247" t="s">
        <v>1573</v>
      </c>
      <c r="O88" s="247" t="s">
        <v>1574</v>
      </c>
      <c r="P88" s="247" t="s">
        <v>1860</v>
      </c>
      <c r="Q88" s="247">
        <v>410</v>
      </c>
      <c r="R88" s="247" t="s">
        <v>1548</v>
      </c>
      <c r="S88" s="247" t="s">
        <v>1786</v>
      </c>
      <c r="T88" s="564" t="s">
        <v>1749</v>
      </c>
      <c r="U88" s="565" t="s">
        <v>1916</v>
      </c>
      <c r="V88" s="566" t="s">
        <v>2042</v>
      </c>
      <c r="W88" s="564" t="s">
        <v>2043</v>
      </c>
      <c r="X88" s="565" t="s">
        <v>2044</v>
      </c>
      <c r="Y88" s="247">
        <f t="shared" si="10"/>
        <v>14793</v>
      </c>
      <c r="Z88" s="247">
        <f t="shared" si="11"/>
        <v>45207</v>
      </c>
      <c r="AA88" s="567">
        <f t="shared" si="12"/>
        <v>2.056</v>
      </c>
      <c r="AB88" s="567">
        <f t="shared" si="13"/>
        <v>0</v>
      </c>
      <c r="AC88" s="247">
        <f t="shared" si="14"/>
        <v>45207</v>
      </c>
      <c r="AD88" s="247" t="str">
        <f t="shared" si="15"/>
        <v/>
      </c>
      <c r="AE88" s="567" t="str">
        <f t="shared" si="16"/>
        <v/>
      </c>
      <c r="AF88" s="247">
        <f t="shared" si="17"/>
        <v>14671</v>
      </c>
      <c r="AG88" s="247">
        <f t="shared" si="18"/>
        <v>18415</v>
      </c>
      <c r="AH88" s="557" t="str">
        <f t="shared" si="19"/>
        <v>SL Hit</v>
      </c>
    </row>
    <row r="89" spans="1:35">
      <c r="A89" s="555">
        <f t="shared" si="0"/>
        <v>1</v>
      </c>
      <c r="B89" s="556">
        <f t="shared" ref="B89:B90" si="87">IF(AF89&lt;=AG89,1,IF(AH89&lt;=0.005,2,IF(AND(AH89&gt;0.005,AH89&lt;=0.02, L182),4,IF(AND(AH89&gt;0.02,AH89&lt;=0.05),5,IF(AND(AH89&gt;0.05,AH89&lt;=0.1),7,IF(AND(AH89&gt;0.1,AH89&lt;=0.2),8,IF(AH89&gt;0.2,10)))))))</f>
        <v>10</v>
      </c>
      <c r="C89" s="555">
        <f t="shared" ref="C89:C90" si="88">IF(AA89&lt;=0.005,10,IF(AND(AA89&gt;0.005,AA89&lt;=0.01, C167),9,IF(AND(AA89&gt;0.01,AA89&lt;=0.02),8,IF(AND(AA89&gt;0.02,AA89&lt;=0.05),7,IF(AND(AA89&gt;0.05,AA89&lt;=0.1),6,IF(AND(AA89&gt;0.1,AA89&lt;=0.2),5,IF(AND(AA89&gt;0.2,AA89&lt;=0.3),4,IF(AND(AA89&gt;0.3,AA89&lt;=0.4),3,IF(AND(AA89&gt;0.4,AA89&lt;=0.5),2,IF(AA89&gt;0.5,1))))))))))</f>
        <v>1</v>
      </c>
      <c r="D89" s="555">
        <f t="shared" si="3"/>
        <v>1</v>
      </c>
      <c r="E89" s="556">
        <f t="shared" si="4"/>
        <v>1.7</v>
      </c>
      <c r="F89" s="557" t="str">
        <f t="shared" si="5"/>
        <v xml:space="preserve">     -</v>
      </c>
      <c r="G89" s="558" t="str">
        <f t="shared" si="22"/>
        <v/>
      </c>
      <c r="H89" s="559" t="str">
        <f t="shared" si="45"/>
        <v/>
      </c>
      <c r="I89" s="560" t="e">
        <f t="shared" si="8"/>
        <v>#VALUE!</v>
      </c>
      <c r="J89" s="561" t="e">
        <f t="shared" si="9"/>
        <v>#VALUE!</v>
      </c>
      <c r="K89" s="562">
        <v>1000</v>
      </c>
      <c r="L89" s="563">
        <v>44907</v>
      </c>
      <c r="M89" s="569">
        <f t="shared" si="72"/>
        <v>44907</v>
      </c>
      <c r="N89" s="247" t="s">
        <v>1573</v>
      </c>
      <c r="O89" s="247" t="s">
        <v>1574</v>
      </c>
      <c r="P89" s="247" t="s">
        <v>1860</v>
      </c>
      <c r="Q89" s="247">
        <v>390</v>
      </c>
      <c r="R89" s="247" t="s">
        <v>1540</v>
      </c>
      <c r="S89" s="247" t="s">
        <v>1748</v>
      </c>
      <c r="T89" s="564" t="s">
        <v>2045</v>
      </c>
      <c r="U89" s="565" t="s">
        <v>2046</v>
      </c>
      <c r="V89" s="566" t="s">
        <v>2047</v>
      </c>
      <c r="W89" s="564" t="s">
        <v>2048</v>
      </c>
      <c r="X89" s="565" t="s">
        <v>2049</v>
      </c>
      <c r="Y89" s="247" t="str">
        <f t="shared" si="10"/>
        <v/>
      </c>
      <c r="Z89" s="247">
        <f t="shared" si="11"/>
        <v>14763</v>
      </c>
      <c r="AA89" s="567" t="str">
        <f t="shared" si="12"/>
        <v/>
      </c>
      <c r="AB89" s="567">
        <f t="shared" si="13"/>
        <v>-0.24099999999999999</v>
      </c>
      <c r="AC89" s="247">
        <f t="shared" si="14"/>
        <v>11202</v>
      </c>
      <c r="AD89" s="247" t="str">
        <f t="shared" si="15"/>
        <v/>
      </c>
      <c r="AE89" s="567" t="str">
        <f t="shared" si="16"/>
        <v/>
      </c>
      <c r="AF89" s="247">
        <f t="shared" si="17"/>
        <v>23833</v>
      </c>
      <c r="AG89" s="247">
        <f t="shared" si="18"/>
        <v>0</v>
      </c>
      <c r="AH89" s="557" t="str">
        <f t="shared" si="19"/>
        <v/>
      </c>
    </row>
    <row r="90" spans="1:35">
      <c r="A90" s="555">
        <f t="shared" si="0"/>
        <v>1</v>
      </c>
      <c r="B90" s="556">
        <f t="shared" si="87"/>
        <v>10</v>
      </c>
      <c r="C90" s="555">
        <f t="shared" si="88"/>
        <v>1</v>
      </c>
      <c r="D90" s="555">
        <f t="shared" si="3"/>
        <v>1</v>
      </c>
      <c r="E90" s="556">
        <f t="shared" si="4"/>
        <v>1.7</v>
      </c>
      <c r="F90" s="557" t="str">
        <f t="shared" si="5"/>
        <v xml:space="preserve">     -</v>
      </c>
      <c r="G90" s="558" t="str">
        <f t="shared" si="22"/>
        <v/>
      </c>
      <c r="H90" s="559" t="str">
        <f t="shared" si="45"/>
        <v/>
      </c>
      <c r="I90" s="560" t="e">
        <f t="shared" si="8"/>
        <v>#VALUE!</v>
      </c>
      <c r="J90" s="561" t="e">
        <f t="shared" si="9"/>
        <v>#VALUE!</v>
      </c>
      <c r="K90" s="562">
        <v>1250</v>
      </c>
      <c r="L90" s="563">
        <v>44907</v>
      </c>
      <c r="M90" s="569">
        <f t="shared" si="72"/>
        <v>44907</v>
      </c>
      <c r="N90" s="247" t="s">
        <v>1547</v>
      </c>
      <c r="O90" s="247" t="s">
        <v>690</v>
      </c>
      <c r="P90" s="247" t="s">
        <v>1860</v>
      </c>
      <c r="Q90" s="247">
        <v>550</v>
      </c>
      <c r="R90" s="247" t="s">
        <v>1540</v>
      </c>
      <c r="S90" s="247" t="s">
        <v>2050</v>
      </c>
      <c r="T90" s="564" t="s">
        <v>1698</v>
      </c>
      <c r="U90" s="565" t="s">
        <v>1927</v>
      </c>
      <c r="V90" s="566" t="s">
        <v>2051</v>
      </c>
      <c r="W90" s="564" t="s">
        <v>2052</v>
      </c>
      <c r="X90" s="565" t="s">
        <v>2053</v>
      </c>
      <c r="Y90" s="247" t="str">
        <f t="shared" si="10"/>
        <v/>
      </c>
      <c r="Z90" s="247">
        <f t="shared" si="11"/>
        <v>45065</v>
      </c>
      <c r="AA90" s="567" t="str">
        <f t="shared" si="12"/>
        <v/>
      </c>
      <c r="AB90" s="567">
        <f t="shared" si="13"/>
        <v>-1</v>
      </c>
      <c r="AC90" s="247">
        <f t="shared" si="14"/>
        <v>0</v>
      </c>
      <c r="AD90" s="247" t="str">
        <f t="shared" si="15"/>
        <v/>
      </c>
      <c r="AE90" s="567" t="str">
        <f t="shared" si="16"/>
        <v/>
      </c>
      <c r="AF90" s="247">
        <f t="shared" si="17"/>
        <v>14885</v>
      </c>
      <c r="AG90" s="247">
        <f t="shared" si="18"/>
        <v>0</v>
      </c>
      <c r="AH90" s="557" t="str">
        <f t="shared" si="19"/>
        <v/>
      </c>
    </row>
    <row r="91" spans="1:35">
      <c r="A91" s="555">
        <f t="shared" si="0"/>
        <v>1</v>
      </c>
      <c r="B91" s="556">
        <f>IF(AF91&lt;=AG91,1,IF(AH91&lt;=0.005,2,IF(AND(AH91&gt;0.005,AH91&lt;=0.02, L183),4,IF(AND(AH91&gt;0.02,AH91&lt;=0.05),5,IF(AND(AH91&gt;0.05,AH91&lt;=0.1),7,IF(AND(AH91&gt;0.1,AH91&lt;=0.2),8,IF(AH91&gt;0.2,10)))))))</f>
        <v>1</v>
      </c>
      <c r="C91" s="555">
        <f>IF(AA91&lt;=0.005,10,IF(AND(AA91&gt;0.005,AA91&lt;=0.01, C168),9,IF(AND(AA91&gt;0.01,AA91&lt;=0.02),8,IF(AND(AA91&gt;0.02,AA91&lt;=0.05),7,IF(AND(AA91&gt;0.05,AA91&lt;=0.1),6,IF(AND(AA91&gt;0.1,AA91&lt;=0.2),5,IF(AND(AA91&gt;0.2,AA91&lt;=0.3),4,IF(AND(AA91&gt;0.3,AA91&lt;=0.4),3,IF(AND(AA91&gt;0.4,AA91&lt;=0.5),2,IF(AA91&gt;0.5,1))))))))))</f>
        <v>1</v>
      </c>
      <c r="D91" s="555">
        <f t="shared" si="3"/>
        <v>10</v>
      </c>
      <c r="E91" s="556">
        <f t="shared" si="4"/>
        <v>1.7</v>
      </c>
      <c r="F91" s="557">
        <f t="shared" si="5"/>
        <v>0.36967794759825329</v>
      </c>
      <c r="G91" s="558" t="str">
        <f t="shared" si="22"/>
        <v/>
      </c>
      <c r="H91" s="559" t="str">
        <f t="shared" si="45"/>
        <v/>
      </c>
      <c r="I91" s="560" t="e">
        <f t="shared" si="8"/>
        <v>#VALUE!</v>
      </c>
      <c r="J91" s="561" t="e">
        <f t="shared" si="9"/>
        <v>#VALUE!</v>
      </c>
      <c r="K91" s="562">
        <v>1650</v>
      </c>
      <c r="L91" s="563">
        <v>44907</v>
      </c>
      <c r="M91" s="569">
        <f t="shared" si="72"/>
        <v>44907</v>
      </c>
      <c r="N91" s="247" t="s">
        <v>1671</v>
      </c>
      <c r="O91" s="247" t="s">
        <v>686</v>
      </c>
      <c r="P91" s="247" t="s">
        <v>1860</v>
      </c>
      <c r="Q91" s="247">
        <v>410</v>
      </c>
      <c r="R91" s="247" t="s">
        <v>1548</v>
      </c>
      <c r="S91" s="247" t="s">
        <v>1798</v>
      </c>
      <c r="T91" s="564" t="s">
        <v>1996</v>
      </c>
      <c r="U91" s="565" t="s">
        <v>1934</v>
      </c>
      <c r="V91" s="566" t="s">
        <v>2054</v>
      </c>
      <c r="W91" s="564" t="s">
        <v>2055</v>
      </c>
      <c r="X91" s="565" t="s">
        <v>2056</v>
      </c>
      <c r="Y91" s="247" t="str">
        <f t="shared" si="10"/>
        <v/>
      </c>
      <c r="Z91" s="247" t="str">
        <f t="shared" si="11"/>
        <v/>
      </c>
      <c r="AA91" s="567" t="str">
        <f t="shared" si="12"/>
        <v/>
      </c>
      <c r="AB91" s="567" t="str">
        <f t="shared" si="13"/>
        <v/>
      </c>
      <c r="AC91" s="247">
        <f t="shared" si="14"/>
        <v>45056</v>
      </c>
      <c r="AD91" s="247" t="str">
        <f t="shared" si="15"/>
        <v/>
      </c>
      <c r="AE91" s="567" t="str">
        <f t="shared" si="16"/>
        <v/>
      </c>
      <c r="AF91" s="247">
        <f t="shared" si="17"/>
        <v>18476</v>
      </c>
      <c r="AG91" s="247">
        <f t="shared" si="18"/>
        <v>29312</v>
      </c>
      <c r="AH91" s="557" t="str">
        <f t="shared" si="19"/>
        <v>SL Hit</v>
      </c>
    </row>
    <row r="92" spans="1:35">
      <c r="A92" s="555">
        <f t="shared" si="0"/>
        <v>1</v>
      </c>
      <c r="B92" s="556">
        <f t="shared" ref="B92:B93" si="89">IF(AF92&lt;=AG92,1,IF(AH92&lt;=0.005,2,IF(AND(AH92&gt;0.005,AH92&lt;=0.02, L182),4,IF(AND(AH92&gt;0.02,AH92&lt;=0.05),5,IF(AND(AH92&gt;0.05,AH92&lt;=0.1),7,IF(AND(AH92&gt;0.1,AH92&lt;=0.2),8,IF(AH92&gt;0.2,10)))))))</f>
        <v>10</v>
      </c>
      <c r="C92" s="555">
        <f t="shared" ref="C92:C93" si="90">IF(AA92&lt;=0.005,10,IF(AND(AA92&gt;0.005,AA92&lt;=0.01, C167),9,IF(AND(AA92&gt;0.01,AA92&lt;=0.02),8,IF(AND(AA92&gt;0.02,AA92&lt;=0.05),7,IF(AND(AA92&gt;0.05,AA92&lt;=0.1),6,IF(AND(AA92&gt;0.1,AA92&lt;=0.2),5,IF(AND(AA92&gt;0.2,AA92&lt;=0.3),4,IF(AND(AA92&gt;0.3,AA92&lt;=0.4),3,IF(AND(AA92&gt;0.4,AA92&lt;=0.5),2,IF(AA92&gt;0.5,1))))))))))</f>
        <v>1</v>
      </c>
      <c r="D92" s="555">
        <f t="shared" si="3"/>
        <v>10</v>
      </c>
      <c r="E92" s="556">
        <f t="shared" si="4"/>
        <v>2.4</v>
      </c>
      <c r="F92" s="557" t="str">
        <f t="shared" si="5"/>
        <v xml:space="preserve">     -</v>
      </c>
      <c r="G92" s="558">
        <f t="shared" si="22"/>
        <v>0.19439999999999999</v>
      </c>
      <c r="H92" s="559">
        <f t="shared" si="45"/>
        <v>-7.3999999999999996E-2</v>
      </c>
      <c r="I92" s="560">
        <f t="shared" si="8"/>
        <v>4200</v>
      </c>
      <c r="J92" s="561">
        <f t="shared" si="9"/>
        <v>1600</v>
      </c>
      <c r="K92" s="562">
        <v>200</v>
      </c>
      <c r="L92" s="563">
        <v>44908</v>
      </c>
      <c r="M92" s="569">
        <f t="shared" si="72"/>
        <v>44908</v>
      </c>
      <c r="N92" s="247" t="s">
        <v>1537</v>
      </c>
      <c r="O92" s="247" t="s">
        <v>1874</v>
      </c>
      <c r="P92" s="247" t="s">
        <v>1860</v>
      </c>
      <c r="Q92" s="247">
        <v>3900</v>
      </c>
      <c r="R92" s="247" t="s">
        <v>1548</v>
      </c>
      <c r="S92" s="247" t="s">
        <v>2057</v>
      </c>
      <c r="T92" s="564" t="s">
        <v>2058</v>
      </c>
      <c r="U92" s="565" t="s">
        <v>2059</v>
      </c>
      <c r="V92" s="566" t="s">
        <v>2060</v>
      </c>
      <c r="W92" s="564" t="s">
        <v>2061</v>
      </c>
      <c r="X92" s="565" t="s">
        <v>2062</v>
      </c>
      <c r="Y92" s="247">
        <f t="shared" si="10"/>
        <v>108</v>
      </c>
      <c r="Z92" s="247" t="str">
        <f t="shared" si="11"/>
        <v/>
      </c>
      <c r="AA92" s="567" t="str">
        <f t="shared" si="12"/>
        <v/>
      </c>
      <c r="AB92" s="567" t="str">
        <f t="shared" si="13"/>
        <v/>
      </c>
      <c r="AC92" s="247">
        <f t="shared" si="14"/>
        <v>0</v>
      </c>
      <c r="AD92" s="247">
        <f t="shared" si="15"/>
        <v>129</v>
      </c>
      <c r="AE92" s="567">
        <f t="shared" si="16"/>
        <v>1</v>
      </c>
      <c r="AF92" s="247" t="str">
        <f t="shared" si="17"/>
        <v/>
      </c>
      <c r="AG92" s="247">
        <f t="shared" si="18"/>
        <v>100</v>
      </c>
      <c r="AH92" s="557" t="str">
        <f t="shared" si="19"/>
        <v/>
      </c>
    </row>
    <row r="93" spans="1:35">
      <c r="A93" s="555">
        <f t="shared" si="0"/>
        <v>1</v>
      </c>
      <c r="B93" s="556">
        <f t="shared" si="89"/>
        <v>10</v>
      </c>
      <c r="C93" s="555">
        <f t="shared" si="90"/>
        <v>1</v>
      </c>
      <c r="D93" s="555">
        <f t="shared" si="3"/>
        <v>10</v>
      </c>
      <c r="E93" s="556">
        <f t="shared" si="4"/>
        <v>2.4</v>
      </c>
      <c r="F93" s="557" t="str">
        <f t="shared" si="5"/>
        <v xml:space="preserve">     -</v>
      </c>
      <c r="G93" s="558" t="str">
        <f t="shared" si="22"/>
        <v/>
      </c>
      <c r="H93" s="559" t="str">
        <f t="shared" si="45"/>
        <v/>
      </c>
      <c r="I93" s="560" t="e">
        <f t="shared" si="8"/>
        <v>#VALUE!</v>
      </c>
      <c r="J93" s="561" t="e">
        <f t="shared" si="9"/>
        <v>#VALUE!</v>
      </c>
      <c r="K93" s="562">
        <v>300</v>
      </c>
      <c r="L93" s="563">
        <v>44908</v>
      </c>
      <c r="M93" s="569">
        <f t="shared" si="72"/>
        <v>44908</v>
      </c>
      <c r="N93" s="247" t="s">
        <v>1547</v>
      </c>
      <c r="O93" s="247" t="s">
        <v>618</v>
      </c>
      <c r="P93" s="247" t="s">
        <v>1860</v>
      </c>
      <c r="Q93" s="247">
        <v>2160</v>
      </c>
      <c r="R93" s="247" t="s">
        <v>1548</v>
      </c>
      <c r="S93" s="247" t="s">
        <v>2063</v>
      </c>
      <c r="T93" s="564" t="s">
        <v>2064</v>
      </c>
      <c r="U93" s="565" t="s">
        <v>2065</v>
      </c>
      <c r="V93" s="566" t="s">
        <v>2066</v>
      </c>
      <c r="W93" s="564" t="s">
        <v>2067</v>
      </c>
      <c r="X93" s="565" t="s">
        <v>2068</v>
      </c>
      <c r="Y93" s="247" t="str">
        <f t="shared" si="10"/>
        <v/>
      </c>
      <c r="Z93" s="247" t="str">
        <f t="shared" si="11"/>
        <v/>
      </c>
      <c r="AA93" s="567" t="str">
        <f t="shared" si="12"/>
        <v/>
      </c>
      <c r="AB93" s="567" t="str">
        <f t="shared" si="13"/>
        <v/>
      </c>
      <c r="AC93" s="247">
        <f t="shared" si="14"/>
        <v>0</v>
      </c>
      <c r="AD93" s="247">
        <f t="shared" si="15"/>
        <v>50</v>
      </c>
      <c r="AE93" s="567">
        <f t="shared" si="16"/>
        <v>1</v>
      </c>
      <c r="AF93" s="247" t="str">
        <f t="shared" si="17"/>
        <v/>
      </c>
      <c r="AG93" s="247">
        <f t="shared" si="18"/>
        <v>30</v>
      </c>
      <c r="AH93" s="557" t="str">
        <f t="shared" si="19"/>
        <v/>
      </c>
    </row>
    <row r="94" spans="1:35">
      <c r="A94" s="555">
        <f t="shared" si="0"/>
        <v>10</v>
      </c>
      <c r="B94" s="556">
        <f t="shared" ref="B94:B95" si="91">IF(AF94&lt;=AG94,1,IF(AH94&lt;=0.005,2,IF(AND(AH94&gt;0.005,AH94&lt;=0.02, L182),4,IF(AND(AH94&gt;0.02,AH94&lt;=0.05),5,IF(AND(AH94&gt;0.05,AH94&lt;=0.1),7,IF(AND(AH94&gt;0.1,AH94&lt;=0.2),8,IF(AH94&gt;0.2,10)))))))</f>
        <v>10</v>
      </c>
      <c r="C94" s="555">
        <f t="shared" ref="C94:C95" si="92">IF(AA94&lt;=0.005,10,IF(AND(AA94&gt;0.005,AA94&lt;=0.01, C167),9,IF(AND(AA94&gt;0.01,AA94&lt;=0.02),8,IF(AND(AA94&gt;0.02,AA94&lt;=0.05),7,IF(AND(AA94&gt;0.05,AA94&lt;=0.1),6,IF(AND(AA94&gt;0.1,AA94&lt;=0.2),5,IF(AND(AA94&gt;0.2,AA94&lt;=0.3),4,IF(AND(AA94&gt;0.3,AA94&lt;=0.4),3,IF(AND(AA94&gt;0.4,AA94&lt;=0.5),2,IF(AA94&gt;0.5,1))))))))))</f>
        <v>5</v>
      </c>
      <c r="D94" s="555">
        <f t="shared" si="3"/>
        <v>10</v>
      </c>
      <c r="E94" s="556">
        <f t="shared" si="4"/>
        <v>6.2</v>
      </c>
      <c r="F94" s="557" t="str">
        <f t="shared" si="5"/>
        <v xml:space="preserve">     -</v>
      </c>
      <c r="G94" s="558">
        <f t="shared" si="22"/>
        <v>1</v>
      </c>
      <c r="H94" s="559">
        <f t="shared" si="45"/>
        <v>-0.375</v>
      </c>
      <c r="I94" s="560">
        <f t="shared" si="8"/>
        <v>8000</v>
      </c>
      <c r="J94" s="561">
        <f t="shared" si="9"/>
        <v>3000</v>
      </c>
      <c r="K94" s="562">
        <v>1000</v>
      </c>
      <c r="L94" s="563">
        <v>44909</v>
      </c>
      <c r="M94" s="569">
        <f t="shared" si="72"/>
        <v>44909</v>
      </c>
      <c r="N94" s="247" t="s">
        <v>1547</v>
      </c>
      <c r="O94" s="247" t="s">
        <v>1574</v>
      </c>
      <c r="P94" s="247" t="s">
        <v>1860</v>
      </c>
      <c r="Q94" s="247">
        <v>400</v>
      </c>
      <c r="R94" s="247" t="s">
        <v>1548</v>
      </c>
      <c r="S94" s="247" t="s">
        <v>2069</v>
      </c>
      <c r="T94" s="564" t="s">
        <v>2070</v>
      </c>
      <c r="U94" s="565" t="s">
        <v>2071</v>
      </c>
      <c r="V94" s="566" t="s">
        <v>2072</v>
      </c>
      <c r="W94" s="564" t="s">
        <v>2073</v>
      </c>
      <c r="X94" s="565" t="s">
        <v>2074</v>
      </c>
      <c r="Y94" s="247">
        <f t="shared" si="10"/>
        <v>8</v>
      </c>
      <c r="Z94" s="247">
        <f t="shared" si="11"/>
        <v>9</v>
      </c>
      <c r="AA94" s="567">
        <f t="shared" si="12"/>
        <v>0.125</v>
      </c>
      <c r="AB94" s="567">
        <f t="shared" si="13"/>
        <v>1859.222</v>
      </c>
      <c r="AC94" s="247">
        <f t="shared" si="14"/>
        <v>16742</v>
      </c>
      <c r="AD94" s="247">
        <f t="shared" si="15"/>
        <v>16</v>
      </c>
      <c r="AE94" s="567" t="str">
        <f t="shared" si="16"/>
        <v>Tgt Hit</v>
      </c>
      <c r="AF94" s="247">
        <f t="shared" si="17"/>
        <v>31260</v>
      </c>
      <c r="AG94" s="247">
        <f t="shared" si="18"/>
        <v>5</v>
      </c>
      <c r="AH94" s="557">
        <f t="shared" si="19"/>
        <v>6251</v>
      </c>
    </row>
    <row r="95" spans="1:35">
      <c r="A95" s="555">
        <f t="shared" si="0"/>
        <v>1</v>
      </c>
      <c r="B95" s="556">
        <f t="shared" si="91"/>
        <v>8</v>
      </c>
      <c r="C95" s="555">
        <f t="shared" si="92"/>
        <v>6</v>
      </c>
      <c r="D95" s="555">
        <f t="shared" si="3"/>
        <v>1</v>
      </c>
      <c r="E95" s="556">
        <f t="shared" si="4"/>
        <v>5.4</v>
      </c>
      <c r="F95" s="557" t="str">
        <f t="shared" si="5"/>
        <v xml:space="preserve">     -</v>
      </c>
      <c r="G95" s="558">
        <f t="shared" si="22"/>
        <v>0.15179999999999999</v>
      </c>
      <c r="H95" s="559">
        <f t="shared" si="45"/>
        <v>-0.107</v>
      </c>
      <c r="I95" s="560">
        <f t="shared" si="8"/>
        <v>3400</v>
      </c>
      <c r="J95" s="561">
        <f t="shared" si="9"/>
        <v>2400</v>
      </c>
      <c r="K95" s="562">
        <v>200</v>
      </c>
      <c r="L95" s="563">
        <v>44909</v>
      </c>
      <c r="M95" s="569">
        <f t="shared" si="72"/>
        <v>44909</v>
      </c>
      <c r="N95" s="247" t="s">
        <v>1537</v>
      </c>
      <c r="O95" s="247" t="s">
        <v>1874</v>
      </c>
      <c r="P95" s="247" t="s">
        <v>1860</v>
      </c>
      <c r="Q95" s="247">
        <v>3900</v>
      </c>
      <c r="R95" s="247" t="s">
        <v>1548</v>
      </c>
      <c r="S95" s="247" t="s">
        <v>2075</v>
      </c>
      <c r="T95" s="564" t="s">
        <v>2058</v>
      </c>
      <c r="U95" s="565" t="s">
        <v>2059</v>
      </c>
      <c r="V95" s="566" t="s">
        <v>2076</v>
      </c>
      <c r="W95" s="564" t="s">
        <v>2077</v>
      </c>
      <c r="X95" s="565" t="s">
        <v>2078</v>
      </c>
      <c r="Y95" s="247">
        <f t="shared" si="10"/>
        <v>112</v>
      </c>
      <c r="Z95" s="247">
        <f t="shared" si="11"/>
        <v>120</v>
      </c>
      <c r="AA95" s="567">
        <f t="shared" si="12"/>
        <v>7.0999999999999994E-2</v>
      </c>
      <c r="AB95" s="567">
        <f t="shared" si="13"/>
        <v>-1</v>
      </c>
      <c r="AC95" s="247">
        <f t="shared" si="14"/>
        <v>0</v>
      </c>
      <c r="AD95" s="247">
        <f t="shared" si="15"/>
        <v>129</v>
      </c>
      <c r="AE95" s="567">
        <f t="shared" si="16"/>
        <v>1</v>
      </c>
      <c r="AF95" s="247">
        <f t="shared" si="17"/>
        <v>120</v>
      </c>
      <c r="AG95" s="247">
        <f t="shared" si="18"/>
        <v>100</v>
      </c>
      <c r="AH95" s="557">
        <f t="shared" si="19"/>
        <v>0.2</v>
      </c>
    </row>
    <row r="96" spans="1:35">
      <c r="A96" s="555">
        <f t="shared" si="0"/>
        <v>1</v>
      </c>
      <c r="B96" s="556">
        <f t="shared" ref="B96:B97" si="93">IF(AF96&lt;=AG96,1,IF(AH96&lt;=0.005,2,IF(AND(AH96&gt;0.005,AH96&lt;=0.02, L182),4,IF(AND(AH96&gt;0.02,AH96&lt;=0.05),5,IF(AND(AH96&gt;0.05,AH96&lt;=0.1),7,IF(AND(AH96&gt;0.1,AH96&lt;=0.2),8,IF(AH96&gt;0.2,10)))))))</f>
        <v>10</v>
      </c>
      <c r="C96" s="555">
        <f t="shared" ref="C96:C97" si="94">IF(AA96&lt;=0.005,10,IF(AND(AA96&gt;0.005,AA96&lt;=0.01, C167),9,IF(AND(AA96&gt;0.01,AA96&lt;=0.02),8,IF(AND(AA96&gt;0.02,AA96&lt;=0.05),7,IF(AND(AA96&gt;0.05,AA96&lt;=0.1),6,IF(AND(AA96&gt;0.1,AA96&lt;=0.2),5,IF(AND(AA96&gt;0.2,AA96&lt;=0.3),4,IF(AND(AA96&gt;0.3,AA96&lt;=0.4),3,IF(AND(AA96&gt;0.4,AA96&lt;=0.5),2,IF(AA96&gt;0.5,1))))))))))</f>
        <v>1</v>
      </c>
      <c r="D96" s="555">
        <f t="shared" si="3"/>
        <v>1</v>
      </c>
      <c r="E96" s="556">
        <f t="shared" si="4"/>
        <v>1.7</v>
      </c>
      <c r="F96" s="557" t="str">
        <f t="shared" si="5"/>
        <v xml:space="preserve">     -</v>
      </c>
      <c r="G96" s="558" t="str">
        <f t="shared" si="22"/>
        <v/>
      </c>
      <c r="H96" s="559" t="str">
        <f t="shared" si="45"/>
        <v/>
      </c>
      <c r="I96" s="560" t="e">
        <f t="shared" si="8"/>
        <v>#VALUE!</v>
      </c>
      <c r="J96" s="561" t="e">
        <f t="shared" si="9"/>
        <v>#VALUE!</v>
      </c>
      <c r="K96" s="562">
        <v>1600</v>
      </c>
      <c r="L96" s="563">
        <v>44910</v>
      </c>
      <c r="M96" s="569">
        <f t="shared" si="72"/>
        <v>44910</v>
      </c>
      <c r="N96" s="247" t="s">
        <v>1537</v>
      </c>
      <c r="O96" s="247" t="s">
        <v>1887</v>
      </c>
      <c r="P96" s="247" t="s">
        <v>1860</v>
      </c>
      <c r="Q96" s="247">
        <v>380</v>
      </c>
      <c r="R96" s="247" t="s">
        <v>1548</v>
      </c>
      <c r="S96" s="247" t="s">
        <v>2079</v>
      </c>
      <c r="T96" s="564" t="s">
        <v>2080</v>
      </c>
      <c r="U96" s="565" t="s">
        <v>2081</v>
      </c>
      <c r="V96" s="566" t="s">
        <v>2082</v>
      </c>
      <c r="W96" s="564" t="s">
        <v>2083</v>
      </c>
      <c r="X96" s="565" t="s">
        <v>2084</v>
      </c>
      <c r="Y96" s="247" t="str">
        <f t="shared" si="10"/>
        <v/>
      </c>
      <c r="Z96" s="247">
        <f t="shared" si="11"/>
        <v>45060</v>
      </c>
      <c r="AA96" s="567" t="str">
        <f t="shared" si="12"/>
        <v/>
      </c>
      <c r="AB96" s="567">
        <f t="shared" si="13"/>
        <v>3.0000000000000001E-3</v>
      </c>
      <c r="AC96" s="247">
        <f t="shared" si="14"/>
        <v>45214</v>
      </c>
      <c r="AD96" s="247" t="str">
        <f t="shared" si="15"/>
        <v/>
      </c>
      <c r="AE96" s="567" t="str">
        <f t="shared" si="16"/>
        <v/>
      </c>
      <c r="AF96" s="247">
        <f t="shared" si="17"/>
        <v>44166</v>
      </c>
      <c r="AG96" s="247">
        <f t="shared" si="18"/>
        <v>29495</v>
      </c>
      <c r="AH96" s="557">
        <f t="shared" si="19"/>
        <v>0.497</v>
      </c>
    </row>
    <row r="97" spans="1:34">
      <c r="A97" s="555">
        <f t="shared" si="0"/>
        <v>1</v>
      </c>
      <c r="B97" s="556">
        <f t="shared" si="93"/>
        <v>10</v>
      </c>
      <c r="C97" s="555">
        <f t="shared" si="94"/>
        <v>1</v>
      </c>
      <c r="D97" s="555">
        <f t="shared" si="3"/>
        <v>10</v>
      </c>
      <c r="E97" s="556">
        <f t="shared" si="4"/>
        <v>2.4</v>
      </c>
      <c r="F97" s="557" t="str">
        <f t="shared" si="5"/>
        <v xml:space="preserve">     -</v>
      </c>
      <c r="G97" s="558">
        <f t="shared" si="22"/>
        <v>-0.99929999999999997</v>
      </c>
      <c r="H97" s="559">
        <f t="shared" si="45"/>
        <v>-1</v>
      </c>
      <c r="I97" s="560">
        <f t="shared" si="8"/>
        <v>-40609250</v>
      </c>
      <c r="J97" s="561">
        <f t="shared" si="9"/>
        <v>40627125</v>
      </c>
      <c r="K97" s="562">
        <v>1375</v>
      </c>
      <c r="L97" s="563">
        <v>44910</v>
      </c>
      <c r="M97" s="569">
        <f t="shared" si="72"/>
        <v>44910</v>
      </c>
      <c r="N97" s="247" t="s">
        <v>1547</v>
      </c>
      <c r="O97" s="247" t="s">
        <v>487</v>
      </c>
      <c r="P97" s="247" t="s">
        <v>1860</v>
      </c>
      <c r="Q97" s="247">
        <v>920</v>
      </c>
      <c r="R97" s="247" t="s">
        <v>1540</v>
      </c>
      <c r="S97" s="247" t="s">
        <v>2085</v>
      </c>
      <c r="T97" s="564" t="s">
        <v>1595</v>
      </c>
      <c r="U97" s="565" t="s">
        <v>2086</v>
      </c>
      <c r="V97" s="566" t="s">
        <v>2087</v>
      </c>
      <c r="W97" s="564" t="s">
        <v>2088</v>
      </c>
      <c r="X97" s="565" t="s">
        <v>2089</v>
      </c>
      <c r="Y97" s="247">
        <f t="shared" si="10"/>
        <v>29556</v>
      </c>
      <c r="Z97" s="247" t="str">
        <f t="shared" si="11"/>
        <v/>
      </c>
      <c r="AA97" s="567" t="str">
        <f t="shared" si="12"/>
        <v/>
      </c>
      <c r="AB97" s="567" t="str">
        <f t="shared" si="13"/>
        <v/>
      </c>
      <c r="AC97" s="247">
        <f t="shared" si="14"/>
        <v>0</v>
      </c>
      <c r="AD97" s="247">
        <f t="shared" si="15"/>
        <v>22</v>
      </c>
      <c r="AE97" s="567">
        <f t="shared" si="16"/>
        <v>1</v>
      </c>
      <c r="AF97" s="247">
        <f t="shared" si="17"/>
        <v>22221</v>
      </c>
      <c r="AG97" s="247">
        <f t="shared" si="18"/>
        <v>9</v>
      </c>
      <c r="AH97" s="557">
        <f t="shared" si="19"/>
        <v>2468</v>
      </c>
    </row>
    <row r="98" spans="1:34">
      <c r="A98" s="555">
        <f t="shared" si="0"/>
        <v>1</v>
      </c>
      <c r="B98" s="556">
        <f t="shared" ref="B98:B99" si="95">IF(AF98&lt;=AG98,1,IF(AH98&lt;=0.005,2,IF(AND(AH98&gt;0.005,AH98&lt;=0.02, L182),4,IF(AND(AH98&gt;0.02,AH98&lt;=0.05),5,IF(AND(AH98&gt;0.05,AH98&lt;=0.1),7,IF(AND(AH98&gt;0.1,AH98&lt;=0.2),8,IF(AH98&gt;0.2,10)))))))</f>
        <v>10</v>
      </c>
      <c r="C98" s="555">
        <f t="shared" ref="C98:C99" si="96">IF(AA98&lt;=0.005,10,IF(AND(AA98&gt;0.005,AA98&lt;=0.01, C167),9,IF(AND(AA98&gt;0.01,AA98&lt;=0.02),8,IF(AND(AA98&gt;0.02,AA98&lt;=0.05),7,IF(AND(AA98&gt;0.05,AA98&lt;=0.1),6,IF(AND(AA98&gt;0.1,AA98&lt;=0.2),5,IF(AND(AA98&gt;0.2,AA98&lt;=0.3),4,IF(AND(AA98&gt;0.3,AA98&lt;=0.4),3,IF(AND(AA98&gt;0.4,AA98&lt;=0.5),2,IF(AA98&gt;0.5,1))))))))))</f>
        <v>1</v>
      </c>
      <c r="D98" s="555">
        <f t="shared" si="3"/>
        <v>10</v>
      </c>
      <c r="E98" s="556">
        <f t="shared" si="4"/>
        <v>2.4</v>
      </c>
      <c r="F98" s="557" t="str">
        <f t="shared" si="5"/>
        <v xml:space="preserve">     -</v>
      </c>
      <c r="G98" s="558" t="str">
        <f t="shared" si="22"/>
        <v/>
      </c>
      <c r="H98" s="559" t="str">
        <f t="shared" si="45"/>
        <v/>
      </c>
      <c r="I98" s="560" t="e">
        <f t="shared" si="8"/>
        <v>#VALUE!</v>
      </c>
      <c r="J98" s="561" t="e">
        <f t="shared" si="9"/>
        <v>#VALUE!</v>
      </c>
      <c r="K98" s="562">
        <v>225</v>
      </c>
      <c r="L98" s="563">
        <v>44911</v>
      </c>
      <c r="M98" s="569">
        <f t="shared" si="72"/>
        <v>44911</v>
      </c>
      <c r="N98" s="247" t="s">
        <v>1537</v>
      </c>
      <c r="O98" s="247" t="s">
        <v>2090</v>
      </c>
      <c r="P98" s="247" t="s">
        <v>1860</v>
      </c>
      <c r="Q98" s="247">
        <v>4300</v>
      </c>
      <c r="R98" s="247" t="s">
        <v>1540</v>
      </c>
      <c r="S98" s="247" t="s">
        <v>2091</v>
      </c>
      <c r="T98" s="564" t="s">
        <v>2092</v>
      </c>
      <c r="U98" s="565" t="s">
        <v>2093</v>
      </c>
      <c r="V98" s="566" t="s">
        <v>2094</v>
      </c>
      <c r="W98" s="564" t="s">
        <v>2095</v>
      </c>
      <c r="X98" s="565" t="s">
        <v>2096</v>
      </c>
      <c r="Y98" s="247" t="str">
        <f t="shared" si="10"/>
        <v/>
      </c>
      <c r="Z98" s="247" t="str">
        <f t="shared" si="11"/>
        <v/>
      </c>
      <c r="AA98" s="567" t="str">
        <f t="shared" si="12"/>
        <v/>
      </c>
      <c r="AB98" s="567" t="str">
        <f t="shared" si="13"/>
        <v/>
      </c>
      <c r="AC98" s="247">
        <f t="shared" si="14"/>
        <v>0</v>
      </c>
      <c r="AD98" s="247">
        <f t="shared" si="15"/>
        <v>138</v>
      </c>
      <c r="AE98" s="567">
        <f t="shared" si="16"/>
        <v>1</v>
      </c>
      <c r="AF98" s="247" t="str">
        <f t="shared" si="17"/>
        <v/>
      </c>
      <c r="AG98" s="247">
        <f t="shared" si="18"/>
        <v>98</v>
      </c>
      <c r="AH98" s="557" t="str">
        <f t="shared" si="19"/>
        <v/>
      </c>
    </row>
    <row r="99" spans="1:34">
      <c r="A99" s="555">
        <f t="shared" si="0"/>
        <v>1</v>
      </c>
      <c r="B99" s="556">
        <f t="shared" si="95"/>
        <v>10</v>
      </c>
      <c r="C99" s="555">
        <f t="shared" si="96"/>
        <v>5</v>
      </c>
      <c r="D99" s="555">
        <f t="shared" si="3"/>
        <v>1</v>
      </c>
      <c r="E99" s="556">
        <f t="shared" si="4"/>
        <v>4.8</v>
      </c>
      <c r="F99" s="557" t="str">
        <f t="shared" si="5"/>
        <v xml:space="preserve">     -</v>
      </c>
      <c r="G99" s="558">
        <f t="shared" si="22"/>
        <v>-0.99870000000000003</v>
      </c>
      <c r="H99" s="559">
        <f t="shared" si="45"/>
        <v>-1</v>
      </c>
      <c r="I99" s="560">
        <f t="shared" si="8"/>
        <v>-20861250</v>
      </c>
      <c r="J99" s="561">
        <f t="shared" si="9"/>
        <v>20880000</v>
      </c>
      <c r="K99" s="562">
        <v>1250</v>
      </c>
      <c r="L99" s="563">
        <v>44911</v>
      </c>
      <c r="M99" s="569">
        <f t="shared" si="72"/>
        <v>44911</v>
      </c>
      <c r="N99" s="247" t="s">
        <v>1547</v>
      </c>
      <c r="O99" s="247" t="s">
        <v>690</v>
      </c>
      <c r="P99" s="247" t="s">
        <v>1860</v>
      </c>
      <c r="Q99" s="247">
        <v>540</v>
      </c>
      <c r="R99" s="247" t="s">
        <v>1540</v>
      </c>
      <c r="S99" s="247" t="s">
        <v>2097</v>
      </c>
      <c r="T99" s="564" t="s">
        <v>1595</v>
      </c>
      <c r="U99" s="565" t="s">
        <v>2098</v>
      </c>
      <c r="V99" s="566" t="s">
        <v>2099</v>
      </c>
      <c r="W99" s="564" t="s">
        <v>2100</v>
      </c>
      <c r="X99" s="565" t="s">
        <v>2074</v>
      </c>
      <c r="Y99" s="247">
        <f t="shared" si="10"/>
        <v>16711</v>
      </c>
      <c r="Z99" s="247">
        <f t="shared" si="11"/>
        <v>18568</v>
      </c>
      <c r="AA99" s="567">
        <f t="shared" si="12"/>
        <v>0.111</v>
      </c>
      <c r="AB99" s="567">
        <f t="shared" si="13"/>
        <v>-1</v>
      </c>
      <c r="AC99" s="247">
        <f t="shared" si="14"/>
        <v>0</v>
      </c>
      <c r="AD99" s="247">
        <f t="shared" si="15"/>
        <v>22</v>
      </c>
      <c r="AE99" s="567">
        <f t="shared" si="16"/>
        <v>1</v>
      </c>
      <c r="AF99" s="247">
        <f t="shared" si="17"/>
        <v>31260</v>
      </c>
      <c r="AG99" s="247">
        <f t="shared" si="18"/>
        <v>7</v>
      </c>
      <c r="AH99" s="557">
        <f t="shared" si="19"/>
        <v>4464.7139999999999</v>
      </c>
    </row>
    <row r="100" spans="1:34">
      <c r="A100" s="555">
        <f t="shared" si="0"/>
        <v>10</v>
      </c>
      <c r="B100" s="556">
        <f t="shared" ref="B100:B101" si="97">IF(AF100&lt;=AG100,1,IF(AH100&lt;=0.005,2,IF(AND(AH100&gt;0.005,AH100&lt;=0.02, L182),4,IF(AND(AH100&gt;0.02,AH100&lt;=0.05),5,IF(AND(AH100&gt;0.05,AH100&lt;=0.1),7,IF(AND(AH100&gt;0.1,AH100&lt;=0.2),8,IF(AH100&gt;0.2,10)))))))</f>
        <v>1</v>
      </c>
      <c r="C100" s="555">
        <f t="shared" ref="C100:C101" si="98">IF(AA100&lt;=0.005,10,IF(AND(AA100&gt;0.005,AA100&lt;=0.01, C167),9,IF(AND(AA100&gt;0.01,AA100&lt;=0.02),8,IF(AND(AA100&gt;0.02,AA100&lt;=0.05),7,IF(AND(AA100&gt;0.05,AA100&lt;=0.1),6,IF(AND(AA100&gt;0.1,AA100&lt;=0.2),5,IF(AND(AA100&gt;0.2,AA100&lt;=0.3),4,IF(AND(AA100&gt;0.3,AA100&lt;=0.4),3,IF(AND(AA100&gt;0.4,AA100&lt;=0.5),2,IF(AA100&gt;0.5,1))))))))))</f>
        <v>6</v>
      </c>
      <c r="D100" s="555">
        <f t="shared" si="3"/>
        <v>9</v>
      </c>
      <c r="E100" s="556">
        <f t="shared" ref="E100:E160" si="99">IFERROR(IF(O100="","",ROUND((A100*1+B100*1+C100*1+D100*1)/4,1)),"")</f>
        <v>6.5</v>
      </c>
      <c r="F100" s="557">
        <f t="shared" si="5"/>
        <v>0.40168341026337223</v>
      </c>
      <c r="G100" s="558">
        <f t="shared" si="22"/>
        <v>-0.99950000000000006</v>
      </c>
      <c r="H100" s="559">
        <f t="shared" si="45"/>
        <v>-2E-3</v>
      </c>
      <c r="I100" s="560">
        <f t="shared" si="8"/>
        <v>-53461500</v>
      </c>
      <c r="J100" s="561">
        <f t="shared" si="9"/>
        <v>87000</v>
      </c>
      <c r="K100" s="562">
        <v>2900</v>
      </c>
      <c r="L100" s="563">
        <v>44914</v>
      </c>
      <c r="M100" s="569">
        <f t="shared" si="72"/>
        <v>44914</v>
      </c>
      <c r="N100" s="247" t="s">
        <v>1537</v>
      </c>
      <c r="O100" s="247" t="s">
        <v>462</v>
      </c>
      <c r="P100" s="247" t="s">
        <v>1860</v>
      </c>
      <c r="Q100" s="247">
        <v>230</v>
      </c>
      <c r="R100" s="247" t="s">
        <v>1540</v>
      </c>
      <c r="S100" s="247" t="s">
        <v>2101</v>
      </c>
      <c r="T100" s="564" t="s">
        <v>1576</v>
      </c>
      <c r="U100" s="565" t="s">
        <v>1916</v>
      </c>
      <c r="V100" s="566" t="s">
        <v>2102</v>
      </c>
      <c r="W100" s="564" t="s">
        <v>2103</v>
      </c>
      <c r="X100" s="565" t="s">
        <v>2104</v>
      </c>
      <c r="Y100" s="247">
        <f t="shared" si="10"/>
        <v>18445</v>
      </c>
      <c r="Z100" s="247">
        <f t="shared" si="11"/>
        <v>20271</v>
      </c>
      <c r="AA100" s="567">
        <f t="shared" si="12"/>
        <v>9.9000000000000005E-2</v>
      </c>
      <c r="AB100" s="567">
        <f t="shared" si="13"/>
        <v>0.45</v>
      </c>
      <c r="AC100" s="247">
        <f t="shared" si="14"/>
        <v>29403</v>
      </c>
      <c r="AD100" s="247">
        <f t="shared" si="15"/>
        <v>10</v>
      </c>
      <c r="AE100" s="567" t="str">
        <f t="shared" si="16"/>
        <v>Tgt Hit</v>
      </c>
      <c r="AF100" s="247">
        <f t="shared" si="17"/>
        <v>11018</v>
      </c>
      <c r="AG100" s="247">
        <f t="shared" si="18"/>
        <v>18415</v>
      </c>
      <c r="AH100" s="557" t="str">
        <f t="shared" si="19"/>
        <v>SL Hit</v>
      </c>
    </row>
    <row r="101" spans="1:34">
      <c r="A101" s="555">
        <f t="shared" si="0"/>
        <v>10</v>
      </c>
      <c r="B101" s="556">
        <f t="shared" si="97"/>
        <v>10</v>
      </c>
      <c r="C101" s="555">
        <f t="shared" si="98"/>
        <v>1</v>
      </c>
      <c r="D101" s="555">
        <f t="shared" si="3"/>
        <v>1</v>
      </c>
      <c r="E101" s="556">
        <f t="shared" si="99"/>
        <v>5.5</v>
      </c>
      <c r="F101" s="557" t="str">
        <f t="shared" si="5"/>
        <v xml:space="preserve">     -</v>
      </c>
      <c r="G101" s="558" t="str">
        <f t="shared" si="22"/>
        <v/>
      </c>
      <c r="H101" s="559" t="str">
        <f t="shared" si="45"/>
        <v/>
      </c>
      <c r="I101" s="560" t="e">
        <f t="shared" si="8"/>
        <v>#VALUE!</v>
      </c>
      <c r="J101" s="561" t="e">
        <f t="shared" si="9"/>
        <v>#VALUE!</v>
      </c>
      <c r="K101" s="562">
        <v>300</v>
      </c>
      <c r="L101" s="563">
        <v>44914</v>
      </c>
      <c r="M101" s="569">
        <f t="shared" si="72"/>
        <v>44914</v>
      </c>
      <c r="N101" s="247" t="s">
        <v>1573</v>
      </c>
      <c r="O101" s="247" t="s">
        <v>458</v>
      </c>
      <c r="P101" s="247" t="s">
        <v>1860</v>
      </c>
      <c r="Q101" s="247">
        <v>1520</v>
      </c>
      <c r="R101" s="247" t="s">
        <v>1540</v>
      </c>
      <c r="S101" s="247" t="s">
        <v>2105</v>
      </c>
      <c r="T101" s="564" t="s">
        <v>2106</v>
      </c>
      <c r="U101" s="565" t="s">
        <v>2107</v>
      </c>
      <c r="V101" s="566" t="s">
        <v>2108</v>
      </c>
      <c r="W101" s="564" t="s">
        <v>2109</v>
      </c>
      <c r="X101" s="565" t="s">
        <v>2110</v>
      </c>
      <c r="Y101" s="247" t="str">
        <f t="shared" si="10"/>
        <v/>
      </c>
      <c r="Z101" s="247">
        <f t="shared" si="11"/>
        <v>45075</v>
      </c>
      <c r="AA101" s="567" t="str">
        <f t="shared" si="12"/>
        <v/>
      </c>
      <c r="AB101" s="567">
        <f t="shared" si="13"/>
        <v>-0.999</v>
      </c>
      <c r="AC101" s="247">
        <f t="shared" si="14"/>
        <v>39</v>
      </c>
      <c r="AD101" s="247">
        <f t="shared" si="15"/>
        <v>33</v>
      </c>
      <c r="AE101" s="567" t="str">
        <f t="shared" si="16"/>
        <v>Tgt Hit</v>
      </c>
      <c r="AF101" s="247" t="str">
        <f t="shared" si="17"/>
        <v/>
      </c>
      <c r="AG101" s="247">
        <f t="shared" si="18"/>
        <v>22</v>
      </c>
      <c r="AH101" s="557" t="str">
        <f t="shared" si="19"/>
        <v/>
      </c>
    </row>
    <row r="102" spans="1:34">
      <c r="A102" s="555">
        <f t="shared" si="0"/>
        <v>1</v>
      </c>
      <c r="B102" s="556">
        <f t="shared" ref="B102:B103" si="100">IF(AF102&lt;=AG102,1,IF(AH102&lt;=0.005,2,IF(AND(AH102&gt;0.005,AH102&lt;=0.02, L182),4,IF(AND(AH102&gt;0.02,AH102&lt;=0.05),5,IF(AND(AH102&gt;0.05,AH102&lt;=0.1),7,IF(AND(AH102&gt;0.1,AH102&lt;=0.2),8,IF(AH102&gt;0.2,10)))))))</f>
        <v>10</v>
      </c>
      <c r="C102" s="555">
        <f t="shared" ref="C102:C103" si="101">IF(AA102&lt;=0.005,10,IF(AND(AA102&gt;0.005,AA102&lt;=0.01, C167),9,IF(AND(AA102&gt;0.01,AA102&lt;=0.02),8,IF(AND(AA102&gt;0.02,AA102&lt;=0.05),7,IF(AND(AA102&gt;0.05,AA102&lt;=0.1),6,IF(AND(AA102&gt;0.1,AA102&lt;=0.2),5,IF(AND(AA102&gt;0.2,AA102&lt;=0.3),4,IF(AND(AA102&gt;0.3,AA102&lt;=0.4),3,IF(AND(AA102&gt;0.4,AA102&lt;=0.5),2,IF(AA102&gt;0.5,1))))))))))</f>
        <v>10</v>
      </c>
      <c r="D102" s="555">
        <f t="shared" si="3"/>
        <v>1</v>
      </c>
      <c r="E102" s="556">
        <f t="shared" si="99"/>
        <v>5.5</v>
      </c>
      <c r="F102" s="557" t="str">
        <f t="shared" si="5"/>
        <v xml:space="preserve">     -</v>
      </c>
      <c r="G102" s="558">
        <f t="shared" si="22"/>
        <v>-0.99950000000000006</v>
      </c>
      <c r="H102" s="559">
        <f t="shared" si="45"/>
        <v>-1</v>
      </c>
      <c r="I102" s="560">
        <f t="shared" si="8"/>
        <v>-25773125</v>
      </c>
      <c r="J102" s="561">
        <f t="shared" si="9"/>
        <v>25777425</v>
      </c>
      <c r="K102" s="562">
        <v>1075</v>
      </c>
      <c r="L102" s="563">
        <v>44915</v>
      </c>
      <c r="M102" s="569">
        <f t="shared" si="72"/>
        <v>44915</v>
      </c>
      <c r="N102" s="247" t="s">
        <v>1573</v>
      </c>
      <c r="O102" s="247" t="s">
        <v>467</v>
      </c>
      <c r="P102" s="247" t="s">
        <v>1860</v>
      </c>
      <c r="Q102" s="247">
        <v>460</v>
      </c>
      <c r="R102" s="247" t="s">
        <v>1540</v>
      </c>
      <c r="S102" s="247" t="s">
        <v>2111</v>
      </c>
      <c r="T102" s="564" t="s">
        <v>2112</v>
      </c>
      <c r="U102" s="565" t="s">
        <v>2098</v>
      </c>
      <c r="V102" s="566" t="s">
        <v>2072</v>
      </c>
      <c r="W102" s="564" t="s">
        <v>2113</v>
      </c>
      <c r="X102" s="565" t="s">
        <v>2114</v>
      </c>
      <c r="Y102" s="247">
        <f t="shared" si="10"/>
        <v>23986</v>
      </c>
      <c r="Z102" s="247">
        <f t="shared" si="11"/>
        <v>9</v>
      </c>
      <c r="AA102" s="567">
        <f t="shared" si="12"/>
        <v>-1</v>
      </c>
      <c r="AB102" s="567">
        <f t="shared" si="13"/>
        <v>-1</v>
      </c>
      <c r="AC102" s="247">
        <f t="shared" si="14"/>
        <v>0</v>
      </c>
      <c r="AD102" s="247">
        <f t="shared" si="15"/>
        <v>11</v>
      </c>
      <c r="AE102" s="567">
        <f t="shared" si="16"/>
        <v>1</v>
      </c>
      <c r="AF102" s="247">
        <f t="shared" si="17"/>
        <v>34912</v>
      </c>
      <c r="AG102" s="247">
        <f t="shared" si="18"/>
        <v>7</v>
      </c>
      <c r="AH102" s="557">
        <f t="shared" si="19"/>
        <v>4986.4290000000001</v>
      </c>
    </row>
    <row r="103" spans="1:34">
      <c r="A103" s="555">
        <f t="shared" si="0"/>
        <v>10</v>
      </c>
      <c r="B103" s="556">
        <f t="shared" si="100"/>
        <v>10</v>
      </c>
      <c r="C103" s="555">
        <f t="shared" si="101"/>
        <v>4</v>
      </c>
      <c r="D103" s="555">
        <f t="shared" si="3"/>
        <v>8</v>
      </c>
      <c r="E103" s="556">
        <f t="shared" si="99"/>
        <v>8</v>
      </c>
      <c r="F103" s="557" t="str">
        <f t="shared" si="5"/>
        <v xml:space="preserve">     -</v>
      </c>
      <c r="G103" s="558">
        <f t="shared" si="22"/>
        <v>0.71540000000000004</v>
      </c>
      <c r="H103" s="559">
        <f t="shared" si="45"/>
        <v>-0.28599999999999998</v>
      </c>
      <c r="I103" s="560">
        <f t="shared" si="8"/>
        <v>77745250</v>
      </c>
      <c r="J103" s="561">
        <f t="shared" si="9"/>
        <v>31046250</v>
      </c>
      <c r="K103" s="562">
        <v>4250</v>
      </c>
      <c r="L103" s="563">
        <v>44915</v>
      </c>
      <c r="M103" s="569">
        <f t="shared" si="72"/>
        <v>44915</v>
      </c>
      <c r="N103" s="247" t="s">
        <v>1537</v>
      </c>
      <c r="O103" s="247" t="s">
        <v>482</v>
      </c>
      <c r="P103" s="247" t="s">
        <v>1860</v>
      </c>
      <c r="Q103" s="247">
        <v>78</v>
      </c>
      <c r="R103" s="247" t="s">
        <v>1548</v>
      </c>
      <c r="S103" s="247" t="s">
        <v>2115</v>
      </c>
      <c r="T103" s="564" t="s">
        <v>2116</v>
      </c>
      <c r="U103" s="565" t="s">
        <v>2117</v>
      </c>
      <c r="V103" s="566" t="s">
        <v>2118</v>
      </c>
      <c r="W103" s="564" t="s">
        <v>2119</v>
      </c>
      <c r="X103" s="565" t="s">
        <v>2120</v>
      </c>
      <c r="Y103" s="247">
        <f t="shared" si="10"/>
        <v>25569</v>
      </c>
      <c r="Z103" s="247">
        <f t="shared" si="11"/>
        <v>32874</v>
      </c>
      <c r="AA103" s="567">
        <f t="shared" si="12"/>
        <v>0.28599999999999998</v>
      </c>
      <c r="AB103" s="567">
        <f t="shared" si="13"/>
        <v>0.37</v>
      </c>
      <c r="AC103" s="247">
        <f t="shared" si="14"/>
        <v>45048</v>
      </c>
      <c r="AD103" s="247">
        <f t="shared" si="15"/>
        <v>43862</v>
      </c>
      <c r="AE103" s="567" t="str">
        <f t="shared" si="16"/>
        <v>Tgt Hit</v>
      </c>
      <c r="AF103" s="247">
        <f t="shared" si="17"/>
        <v>45047</v>
      </c>
      <c r="AG103" s="247">
        <f t="shared" si="18"/>
        <v>18264</v>
      </c>
      <c r="AH103" s="557">
        <f t="shared" si="19"/>
        <v>1.466</v>
      </c>
    </row>
    <row r="104" spans="1:34">
      <c r="A104" s="555">
        <f t="shared" si="0"/>
        <v>1</v>
      </c>
      <c r="B104" s="556">
        <f t="shared" ref="B104:B105" si="102">IF(AF104&lt;=AG104,1,IF(AH104&lt;=0.005,2,IF(AND(AH104&gt;0.005,AH104&lt;=0.02, L182),4,IF(AND(AH104&gt;0.02,AH104&lt;=0.05),5,IF(AND(AH104&gt;0.05,AH104&lt;=0.1),7,IF(AND(AH104&gt;0.1,AH104&lt;=0.2),8,IF(AH104&gt;0.2,10)))))))</f>
        <v>1</v>
      </c>
      <c r="C104" s="555">
        <f t="shared" ref="C104:C105" si="103">IF(AA104&lt;=0.005,10,IF(AND(AA104&gt;0.005,AA104&lt;=0.01, C167),9,IF(AND(AA104&gt;0.01,AA104&lt;=0.02),8,IF(AND(AA104&gt;0.02,AA104&lt;=0.05),7,IF(AND(AA104&gt;0.05,AA104&lt;=0.1),6,IF(AND(AA104&gt;0.1,AA104&lt;=0.2),5,IF(AND(AA104&gt;0.2,AA104&lt;=0.3),4,IF(AND(AA104&gt;0.3,AA104&lt;=0.4),3,IF(AND(AA104&gt;0.4,AA104&lt;=0.5),2,IF(AA104&gt;0.5,1))))))))))</f>
        <v>1</v>
      </c>
      <c r="D104" s="555">
        <f t="shared" si="3"/>
        <v>10</v>
      </c>
      <c r="E104" s="556">
        <f t="shared" si="99"/>
        <v>3.3</v>
      </c>
      <c r="F104" s="557">
        <f t="shared" si="5"/>
        <v>0.3</v>
      </c>
      <c r="G104" s="558">
        <f t="shared" si="22"/>
        <v>0.3387</v>
      </c>
      <c r="H104" s="559">
        <f t="shared" si="45"/>
        <v>-0.19400000000000001</v>
      </c>
      <c r="I104" s="560">
        <f t="shared" si="8"/>
        <v>2625</v>
      </c>
      <c r="J104" s="561">
        <f t="shared" si="9"/>
        <v>1500</v>
      </c>
      <c r="K104" s="562">
        <v>125</v>
      </c>
      <c r="L104" s="563">
        <v>44916</v>
      </c>
      <c r="M104" s="569">
        <f t="shared" si="72"/>
        <v>44916</v>
      </c>
      <c r="N104" s="247" t="s">
        <v>1537</v>
      </c>
      <c r="O104" s="247" t="s">
        <v>2121</v>
      </c>
      <c r="P104" s="247" t="s">
        <v>1860</v>
      </c>
      <c r="Q104" s="247">
        <v>4300</v>
      </c>
      <c r="R104" s="247" t="s">
        <v>1548</v>
      </c>
      <c r="S104" s="247" t="s">
        <v>2122</v>
      </c>
      <c r="T104" s="564" t="s">
        <v>2123</v>
      </c>
      <c r="U104" s="565" t="s">
        <v>1583</v>
      </c>
      <c r="V104" s="566" t="s">
        <v>2124</v>
      </c>
      <c r="W104" s="564" t="s">
        <v>2125</v>
      </c>
      <c r="X104" s="565" t="s">
        <v>2126</v>
      </c>
      <c r="Y104" s="247">
        <f t="shared" si="10"/>
        <v>62</v>
      </c>
      <c r="Z104" s="247" t="str">
        <f t="shared" si="11"/>
        <v/>
      </c>
      <c r="AA104" s="567" t="str">
        <f t="shared" si="12"/>
        <v/>
      </c>
      <c r="AB104" s="567" t="str">
        <f t="shared" si="13"/>
        <v/>
      </c>
      <c r="AC104" s="247">
        <f t="shared" si="14"/>
        <v>0</v>
      </c>
      <c r="AD104" s="247">
        <f t="shared" si="15"/>
        <v>83</v>
      </c>
      <c r="AE104" s="567">
        <f t="shared" si="16"/>
        <v>1</v>
      </c>
      <c r="AF104" s="247">
        <f t="shared" si="17"/>
        <v>35</v>
      </c>
      <c r="AG104" s="247">
        <f t="shared" si="18"/>
        <v>50</v>
      </c>
      <c r="AH104" s="557" t="str">
        <f t="shared" si="19"/>
        <v>SL Hit</v>
      </c>
    </row>
    <row r="105" spans="1:34">
      <c r="A105" s="555">
        <f t="shared" si="0"/>
        <v>1</v>
      </c>
      <c r="B105" s="556">
        <f t="shared" si="102"/>
        <v>10</v>
      </c>
      <c r="C105" s="555">
        <f t="shared" si="103"/>
        <v>1</v>
      </c>
      <c r="D105" s="555">
        <f t="shared" si="3"/>
        <v>1</v>
      </c>
      <c r="E105" s="556">
        <f t="shared" si="99"/>
        <v>3.3</v>
      </c>
      <c r="F105" s="557" t="str">
        <f t="shared" si="5"/>
        <v xml:space="preserve">     -</v>
      </c>
      <c r="G105" s="558" t="str">
        <f t="shared" si="22"/>
        <v/>
      </c>
      <c r="H105" s="559" t="str">
        <f t="shared" si="45"/>
        <v/>
      </c>
      <c r="I105" s="560" t="e">
        <f t="shared" si="8"/>
        <v>#VALUE!</v>
      </c>
      <c r="J105" s="561" t="e">
        <f t="shared" si="9"/>
        <v>#VALUE!</v>
      </c>
      <c r="K105" s="562">
        <v>550</v>
      </c>
      <c r="L105" s="563">
        <v>44916</v>
      </c>
      <c r="M105" s="569">
        <f t="shared" si="72"/>
        <v>44916</v>
      </c>
      <c r="N105" s="247" t="s">
        <v>1573</v>
      </c>
      <c r="O105" s="247" t="s">
        <v>499</v>
      </c>
      <c r="P105" s="247" t="s">
        <v>1860</v>
      </c>
      <c r="Q105" s="247">
        <v>1640</v>
      </c>
      <c r="R105" s="247" t="s">
        <v>1548</v>
      </c>
      <c r="S105" s="247" t="s">
        <v>2127</v>
      </c>
      <c r="T105" s="564" t="s">
        <v>1595</v>
      </c>
      <c r="U105" s="565" t="s">
        <v>2128</v>
      </c>
      <c r="V105" s="566" t="s">
        <v>2129</v>
      </c>
      <c r="W105" s="564" t="s">
        <v>2130</v>
      </c>
      <c r="X105" s="565" t="s">
        <v>2131</v>
      </c>
      <c r="Y105" s="247" t="str">
        <f t="shared" si="10"/>
        <v/>
      </c>
      <c r="Z105" s="247">
        <f t="shared" si="11"/>
        <v>17</v>
      </c>
      <c r="AA105" s="567" t="str">
        <f t="shared" si="12"/>
        <v/>
      </c>
      <c r="AB105" s="567">
        <f t="shared" si="13"/>
        <v>-1</v>
      </c>
      <c r="AC105" s="247">
        <f t="shared" si="14"/>
        <v>0</v>
      </c>
      <c r="AD105" s="247">
        <f t="shared" si="15"/>
        <v>22</v>
      </c>
      <c r="AE105" s="567">
        <f t="shared" si="16"/>
        <v>1</v>
      </c>
      <c r="AF105" s="247">
        <f t="shared" si="17"/>
        <v>31229</v>
      </c>
      <c r="AG105" s="247">
        <f t="shared" si="18"/>
        <v>15</v>
      </c>
      <c r="AH105" s="557">
        <f t="shared" si="19"/>
        <v>2080.933</v>
      </c>
    </row>
    <row r="106" spans="1:34">
      <c r="A106" s="555">
        <f t="shared" si="0"/>
        <v>1</v>
      </c>
      <c r="B106" s="556">
        <f t="shared" ref="B106:B107" si="104">IF(AF106&lt;=AG106,1,IF(AH106&lt;=0.005,2,IF(AND(AH106&gt;0.005,AH106&lt;=0.02, L182),4,IF(AND(AH106&gt;0.02,AH106&lt;=0.05),5,IF(AND(AH106&gt;0.05,AH106&lt;=0.1),7,IF(AND(AH106&gt;0.1,AH106&lt;=0.2),8,IF(AH106&gt;0.2,10)))))))</f>
        <v>10</v>
      </c>
      <c r="C106" s="555">
        <f t="shared" ref="C106:C107" si="105">IF(AA106&lt;=0.005,10,IF(AND(AA106&gt;0.005,AA106&lt;=0.01, C167),9,IF(AND(AA106&gt;0.01,AA106&lt;=0.02),8,IF(AND(AA106&gt;0.02,AA106&lt;=0.05),7,IF(AND(AA106&gt;0.05,AA106&lt;=0.1),6,IF(AND(AA106&gt;0.1,AA106&lt;=0.2),5,IF(AND(AA106&gt;0.2,AA106&lt;=0.3),4,IF(AND(AA106&gt;0.3,AA106&lt;=0.4),3,IF(AND(AA106&gt;0.4,AA106&lt;=0.5),2,IF(AA106&gt;0.5,1))))))))))</f>
        <v>1</v>
      </c>
      <c r="D106" s="555">
        <f t="shared" si="3"/>
        <v>10</v>
      </c>
      <c r="E106" s="556">
        <f t="shared" si="99"/>
        <v>5.5</v>
      </c>
      <c r="F106" s="557" t="str">
        <f t="shared" si="5"/>
        <v xml:space="preserve">     -</v>
      </c>
      <c r="G106" s="558" t="str">
        <f t="shared" si="22"/>
        <v/>
      </c>
      <c r="H106" s="559" t="str">
        <f t="shared" si="45"/>
        <v/>
      </c>
      <c r="I106" s="560" t="e">
        <f t="shared" si="8"/>
        <v>#VALUE!</v>
      </c>
      <c r="J106" s="561" t="e">
        <f t="shared" si="9"/>
        <v>#VALUE!</v>
      </c>
      <c r="K106" s="562">
        <v>150</v>
      </c>
      <c r="L106" s="563">
        <v>44917</v>
      </c>
      <c r="M106" s="569">
        <f t="shared" si="72"/>
        <v>44917</v>
      </c>
      <c r="N106" s="247" t="s">
        <v>1537</v>
      </c>
      <c r="O106" s="247" t="s">
        <v>574</v>
      </c>
      <c r="P106" s="247" t="s">
        <v>1860</v>
      </c>
      <c r="Q106" s="247">
        <v>3280</v>
      </c>
      <c r="R106" s="247" t="s">
        <v>1548</v>
      </c>
      <c r="S106" s="247" t="s">
        <v>2132</v>
      </c>
      <c r="T106" s="564" t="s">
        <v>2133</v>
      </c>
      <c r="U106" s="565" t="s">
        <v>2134</v>
      </c>
      <c r="V106" s="566" t="s">
        <v>2135</v>
      </c>
      <c r="W106" s="564" t="s">
        <v>2136</v>
      </c>
      <c r="X106" s="565" t="s">
        <v>2137</v>
      </c>
      <c r="Y106" s="247" t="str">
        <f t="shared" si="10"/>
        <v/>
      </c>
      <c r="Z106" s="247" t="str">
        <f t="shared" si="11"/>
        <v/>
      </c>
      <c r="AA106" s="567" t="str">
        <f t="shared" si="12"/>
        <v/>
      </c>
      <c r="AB106" s="567" t="str">
        <f t="shared" si="13"/>
        <v/>
      </c>
      <c r="AC106" s="247">
        <f t="shared" si="14"/>
        <v>0</v>
      </c>
      <c r="AD106" s="247">
        <f t="shared" si="15"/>
        <v>51</v>
      </c>
      <c r="AE106" s="567">
        <f t="shared" si="16"/>
        <v>1</v>
      </c>
      <c r="AF106" s="247" t="str">
        <f t="shared" si="17"/>
        <v/>
      </c>
      <c r="AG106" s="247">
        <f t="shared" si="18"/>
        <v>26</v>
      </c>
      <c r="AH106" s="557" t="str">
        <f t="shared" si="19"/>
        <v/>
      </c>
    </row>
    <row r="107" spans="1:34">
      <c r="A107" s="555">
        <f t="shared" si="0"/>
        <v>10</v>
      </c>
      <c r="B107" s="556">
        <f t="shared" si="104"/>
        <v>10</v>
      </c>
      <c r="C107" s="555">
        <f t="shared" si="105"/>
        <v>10</v>
      </c>
      <c r="D107" s="555">
        <f t="shared" si="3"/>
        <v>10</v>
      </c>
      <c r="E107" s="556">
        <f t="shared" si="99"/>
        <v>10</v>
      </c>
      <c r="F107" s="557" t="str">
        <f t="shared" si="5"/>
        <v xml:space="preserve">     -</v>
      </c>
      <c r="G107" s="558">
        <f t="shared" si="22"/>
        <v>-0.99939999999999996</v>
      </c>
      <c r="H107" s="559">
        <f t="shared" si="45"/>
        <v>-1</v>
      </c>
      <c r="I107" s="560">
        <f t="shared" si="8"/>
        <v>-19180200</v>
      </c>
      <c r="J107" s="561">
        <f t="shared" si="9"/>
        <v>19185400</v>
      </c>
      <c r="K107" s="562">
        <v>1300</v>
      </c>
      <c r="L107" s="563">
        <v>44917</v>
      </c>
      <c r="M107" s="569">
        <f t="shared" si="72"/>
        <v>44917</v>
      </c>
      <c r="N107" s="247" t="s">
        <v>1573</v>
      </c>
      <c r="O107" s="247" t="s">
        <v>485</v>
      </c>
      <c r="P107" s="247" t="s">
        <v>1860</v>
      </c>
      <c r="Q107" s="247">
        <v>300</v>
      </c>
      <c r="R107" s="247" t="s">
        <v>1548</v>
      </c>
      <c r="S107" s="247" t="s">
        <v>2138</v>
      </c>
      <c r="T107" s="564" t="s">
        <v>2139</v>
      </c>
      <c r="U107" s="565" t="s">
        <v>2071</v>
      </c>
      <c r="V107" s="566" t="s">
        <v>2140</v>
      </c>
      <c r="W107" s="564" t="s">
        <v>2141</v>
      </c>
      <c r="X107" s="565" t="s">
        <v>1640</v>
      </c>
      <c r="Y107" s="247">
        <f t="shared" si="10"/>
        <v>14763</v>
      </c>
      <c r="Z107" s="247">
        <f t="shared" si="11"/>
        <v>8</v>
      </c>
      <c r="AA107" s="567">
        <f t="shared" si="12"/>
        <v>-0.999</v>
      </c>
      <c r="AB107" s="567">
        <f t="shared" si="13"/>
        <v>4366.875</v>
      </c>
      <c r="AC107" s="247">
        <f t="shared" si="14"/>
        <v>34943</v>
      </c>
      <c r="AD107" s="247">
        <f t="shared" si="15"/>
        <v>9</v>
      </c>
      <c r="AE107" s="567" t="str">
        <f t="shared" si="16"/>
        <v>Tgt Hit</v>
      </c>
      <c r="AF107" s="247">
        <f t="shared" si="17"/>
        <v>21976</v>
      </c>
      <c r="AG107" s="247">
        <f t="shared" si="18"/>
        <v>5</v>
      </c>
      <c r="AH107" s="557">
        <f t="shared" si="19"/>
        <v>4394.2</v>
      </c>
    </row>
    <row r="108" spans="1:34">
      <c r="A108" s="555">
        <f t="shared" si="0"/>
        <v>10</v>
      </c>
      <c r="B108" s="556">
        <f t="shared" ref="B108:B109" si="106">IF(AF108&lt;=AG108,1,IF(AH108&lt;=0.005,2,IF(AND(AH108&gt;0.005,AH108&lt;=0.02, L182),4,IF(AND(AH108&gt;0.02,AH108&lt;=0.05),5,IF(AND(AH108&gt;0.05,AH108&lt;=0.1),7,IF(AND(AH108&gt;0.1,AH108&lt;=0.2),8,IF(AH108&gt;0.2,10)))))))</f>
        <v>10</v>
      </c>
      <c r="C108" s="555">
        <f t="shared" ref="C108:C109" si="107">IF(AA108&lt;=0.005,10,IF(AND(AA108&gt;0.005,AA108&lt;=0.01, C167),9,IF(AND(AA108&gt;0.01,AA108&lt;=0.02),8,IF(AND(AA108&gt;0.02,AA108&lt;=0.05),7,IF(AND(AA108&gt;0.05,AA108&lt;=0.1),6,IF(AND(AA108&gt;0.1,AA108&lt;=0.2),5,IF(AND(AA108&gt;0.2,AA108&lt;=0.3),4,IF(AND(AA108&gt;0.3,AA108&lt;=0.4),3,IF(AND(AA108&gt;0.4,AA108&lt;=0.5),2,IF(AA108&gt;0.5,1))))))))))</f>
        <v>1</v>
      </c>
      <c r="D108" s="555">
        <f t="shared" si="3"/>
        <v>1</v>
      </c>
      <c r="E108" s="556">
        <f t="shared" si="99"/>
        <v>5.5</v>
      </c>
      <c r="F108" s="557" t="str">
        <f t="shared" si="5"/>
        <v xml:space="preserve">     -</v>
      </c>
      <c r="G108" s="558">
        <f t="shared" si="22"/>
        <v>-0.99970000000000003</v>
      </c>
      <c r="H108" s="559">
        <f t="shared" si="45"/>
        <v>-1</v>
      </c>
      <c r="I108" s="560">
        <f t="shared" si="8"/>
        <v>-27478000</v>
      </c>
      <c r="J108" s="561">
        <f t="shared" si="9"/>
        <v>27481000</v>
      </c>
      <c r="K108" s="562">
        <v>1000</v>
      </c>
      <c r="L108" s="563">
        <v>44918</v>
      </c>
      <c r="M108" s="569">
        <f t="shared" si="72"/>
        <v>44918</v>
      </c>
      <c r="N108" s="247" t="s">
        <v>1573</v>
      </c>
      <c r="O108" s="247" t="s">
        <v>1574</v>
      </c>
      <c r="P108" s="247" t="s">
        <v>1860</v>
      </c>
      <c r="Q108" s="247">
        <v>390</v>
      </c>
      <c r="R108" s="247" t="s">
        <v>1540</v>
      </c>
      <c r="S108" s="247" t="s">
        <v>2142</v>
      </c>
      <c r="T108" s="564" t="s">
        <v>2143</v>
      </c>
      <c r="U108" s="565" t="s">
        <v>2144</v>
      </c>
      <c r="V108" s="566" t="s">
        <v>2145</v>
      </c>
      <c r="W108" s="564" t="s">
        <v>2146</v>
      </c>
      <c r="X108" s="565" t="s">
        <v>1696</v>
      </c>
      <c r="Y108" s="247">
        <f t="shared" si="10"/>
        <v>27485</v>
      </c>
      <c r="Z108" s="247">
        <f t="shared" si="11"/>
        <v>45205</v>
      </c>
      <c r="AA108" s="567">
        <f t="shared" si="12"/>
        <v>0.64500000000000002</v>
      </c>
      <c r="AB108" s="567">
        <f t="shared" si="13"/>
        <v>-0.22500000000000001</v>
      </c>
      <c r="AC108" s="247">
        <f t="shared" si="14"/>
        <v>35034</v>
      </c>
      <c r="AD108" s="247">
        <f t="shared" si="15"/>
        <v>7</v>
      </c>
      <c r="AE108" s="567" t="str">
        <f t="shared" si="16"/>
        <v>Tgt Hit</v>
      </c>
      <c r="AF108" s="247">
        <f t="shared" si="17"/>
        <v>32994</v>
      </c>
      <c r="AG108" s="247">
        <f t="shared" si="18"/>
        <v>4</v>
      </c>
      <c r="AH108" s="557">
        <f t="shared" si="19"/>
        <v>8247.5</v>
      </c>
    </row>
    <row r="109" spans="1:34">
      <c r="A109" s="555">
        <f t="shared" si="0"/>
        <v>1</v>
      </c>
      <c r="B109" s="556">
        <f t="shared" si="106"/>
        <v>10</v>
      </c>
      <c r="C109" s="555">
        <f t="shared" si="107"/>
        <v>4</v>
      </c>
      <c r="D109" s="555">
        <f t="shared" si="3"/>
        <v>1</v>
      </c>
      <c r="E109" s="556">
        <f t="shared" si="99"/>
        <v>4</v>
      </c>
      <c r="F109" s="557" t="str">
        <f t="shared" si="5"/>
        <v xml:space="preserve">     -</v>
      </c>
      <c r="G109" s="558">
        <f t="shared" si="22"/>
        <v>1.2958000000000001</v>
      </c>
      <c r="H109" s="559">
        <f t="shared" si="45"/>
        <v>-1</v>
      </c>
      <c r="I109" s="560">
        <f t="shared" si="8"/>
        <v>34004775</v>
      </c>
      <c r="J109" s="561">
        <f t="shared" si="9"/>
        <v>26235675</v>
      </c>
      <c r="K109" s="562">
        <v>1425</v>
      </c>
      <c r="L109" s="563">
        <v>44918</v>
      </c>
      <c r="M109" s="569">
        <f t="shared" si="72"/>
        <v>44918</v>
      </c>
      <c r="N109" s="247" t="s">
        <v>1537</v>
      </c>
      <c r="O109" s="247" t="s">
        <v>504</v>
      </c>
      <c r="P109" s="247" t="s">
        <v>1860</v>
      </c>
      <c r="Q109" s="247">
        <v>395</v>
      </c>
      <c r="R109" s="247" t="s">
        <v>1540</v>
      </c>
      <c r="S109" s="247" t="s">
        <v>1812</v>
      </c>
      <c r="T109" s="564" t="s">
        <v>2147</v>
      </c>
      <c r="U109" s="565" t="s">
        <v>2144</v>
      </c>
      <c r="V109" s="566" t="s">
        <v>2148</v>
      </c>
      <c r="W109" s="564" t="s">
        <v>2149</v>
      </c>
      <c r="X109" s="565" t="s">
        <v>2150</v>
      </c>
      <c r="Y109" s="247">
        <f t="shared" si="10"/>
        <v>18415</v>
      </c>
      <c r="Z109" s="247">
        <f t="shared" si="11"/>
        <v>23924</v>
      </c>
      <c r="AA109" s="567">
        <f t="shared" si="12"/>
        <v>0.29899999999999999</v>
      </c>
      <c r="AB109" s="567">
        <f t="shared" si="13"/>
        <v>-1</v>
      </c>
      <c r="AC109" s="247">
        <f t="shared" si="14"/>
        <v>0</v>
      </c>
      <c r="AD109" s="247">
        <f t="shared" si="15"/>
        <v>42278</v>
      </c>
      <c r="AE109" s="567">
        <f t="shared" si="16"/>
        <v>1</v>
      </c>
      <c r="AF109" s="247">
        <f t="shared" si="17"/>
        <v>23924</v>
      </c>
      <c r="AG109" s="247">
        <f t="shared" si="18"/>
        <v>4</v>
      </c>
      <c r="AH109" s="557">
        <f t="shared" si="19"/>
        <v>5980</v>
      </c>
    </row>
    <row r="110" spans="1:34">
      <c r="A110" s="555">
        <f t="shared" si="0"/>
        <v>1</v>
      </c>
      <c r="B110" s="556">
        <f t="shared" ref="B110:B111" si="108">IF(AF110&lt;=AG110,1,IF(AH110&lt;=0.005,2,IF(AND(AH110&gt;0.005,AH110&lt;=0.02, L182),4,IF(AND(AH110&gt;0.02,AH110&lt;=0.05),5,IF(AND(AH110&gt;0.05,AH110&lt;=0.1),7,IF(AND(AH110&gt;0.1,AH110&lt;=0.2),8,IF(AH110&gt;0.2,10)))))))</f>
        <v>10</v>
      </c>
      <c r="C110" s="555">
        <f t="shared" ref="C110:C111" si="109">IF(AA110&lt;=0.005,10,IF(AND(AA110&gt;0.005,AA110&lt;=0.01, C167),9,IF(AND(AA110&gt;0.01,AA110&lt;=0.02),8,IF(AND(AA110&gt;0.02,AA110&lt;=0.05),7,IF(AND(AA110&gt;0.05,AA110&lt;=0.1),6,IF(AND(AA110&gt;0.1,AA110&lt;=0.2),5,IF(AND(AA110&gt;0.2,AA110&lt;=0.3),4,IF(AND(AA110&gt;0.3,AA110&lt;=0.4),3,IF(AND(AA110&gt;0.4,AA110&lt;=0.5),2,IF(AA110&gt;0.5,1))))))))))</f>
        <v>10</v>
      </c>
      <c r="D110" s="555">
        <f t="shared" si="3"/>
        <v>10</v>
      </c>
      <c r="E110" s="556">
        <f t="shared" si="99"/>
        <v>7.8</v>
      </c>
      <c r="F110" s="557" t="str">
        <f t="shared" si="5"/>
        <v xml:space="preserve">     -</v>
      </c>
      <c r="G110" s="558">
        <f t="shared" si="22"/>
        <v>0.56640000000000001</v>
      </c>
      <c r="H110" s="559">
        <f t="shared" si="45"/>
        <v>-0.56299999999999994</v>
      </c>
      <c r="I110" s="560">
        <f t="shared" si="8"/>
        <v>23683500</v>
      </c>
      <c r="J110" s="561">
        <f t="shared" si="9"/>
        <v>23549550</v>
      </c>
      <c r="K110" s="562">
        <v>1425</v>
      </c>
      <c r="L110" s="563">
        <v>44920</v>
      </c>
      <c r="M110" s="569">
        <f t="shared" si="72"/>
        <v>44920</v>
      </c>
      <c r="N110" s="247" t="s">
        <v>1537</v>
      </c>
      <c r="O110" s="247" t="s">
        <v>504</v>
      </c>
      <c r="P110" s="247" t="s">
        <v>1860</v>
      </c>
      <c r="Q110" s="247">
        <v>380</v>
      </c>
      <c r="R110" s="247" t="s">
        <v>1548</v>
      </c>
      <c r="S110" s="247" t="s">
        <v>2151</v>
      </c>
      <c r="T110" s="564" t="s">
        <v>2152</v>
      </c>
      <c r="U110" s="565" t="s">
        <v>2153</v>
      </c>
      <c r="V110" s="566" t="s">
        <v>2154</v>
      </c>
      <c r="W110" s="564" t="s">
        <v>2155</v>
      </c>
      <c r="X110" s="565" t="s">
        <v>2156</v>
      </c>
      <c r="Y110" s="247">
        <f t="shared" si="10"/>
        <v>29342</v>
      </c>
      <c r="Z110" s="247">
        <f t="shared" si="11"/>
        <v>7</v>
      </c>
      <c r="AA110" s="567">
        <f t="shared" si="12"/>
        <v>-1</v>
      </c>
      <c r="AB110" s="567">
        <f t="shared" si="13"/>
        <v>2655.857</v>
      </c>
      <c r="AC110" s="247">
        <f t="shared" si="14"/>
        <v>18598</v>
      </c>
      <c r="AD110" s="247">
        <f t="shared" si="15"/>
        <v>45962</v>
      </c>
      <c r="AE110" s="567">
        <f t="shared" si="16"/>
        <v>0.59499999999999997</v>
      </c>
      <c r="AF110" s="247">
        <f t="shared" si="17"/>
        <v>25689</v>
      </c>
      <c r="AG110" s="247">
        <f t="shared" si="18"/>
        <v>12816</v>
      </c>
      <c r="AH110" s="557">
        <f t="shared" si="19"/>
        <v>1.004</v>
      </c>
    </row>
    <row r="111" spans="1:34">
      <c r="A111" s="555">
        <f t="shared" si="0"/>
        <v>1</v>
      </c>
      <c r="B111" s="556">
        <f t="shared" si="108"/>
        <v>10</v>
      </c>
      <c r="C111" s="555">
        <f t="shared" si="109"/>
        <v>1</v>
      </c>
      <c r="D111" s="555">
        <f t="shared" si="3"/>
        <v>1</v>
      </c>
      <c r="E111" s="556">
        <f t="shared" si="99"/>
        <v>3.3</v>
      </c>
      <c r="F111" s="557" t="str">
        <f t="shared" si="5"/>
        <v xml:space="preserve">     -</v>
      </c>
      <c r="G111" s="558" t="str">
        <f t="shared" si="22"/>
        <v/>
      </c>
      <c r="H111" s="559" t="str">
        <f t="shared" si="45"/>
        <v/>
      </c>
      <c r="I111" s="560" t="e">
        <f t="shared" si="8"/>
        <v>#VALUE!</v>
      </c>
      <c r="J111" s="561" t="e">
        <f t="shared" si="9"/>
        <v>#VALUE!</v>
      </c>
      <c r="K111" s="562">
        <v>275</v>
      </c>
      <c r="L111" s="563">
        <v>44920</v>
      </c>
      <c r="M111" s="569">
        <f t="shared" si="72"/>
        <v>44920</v>
      </c>
      <c r="N111" s="247" t="s">
        <v>1547</v>
      </c>
      <c r="O111" s="247" t="s">
        <v>2157</v>
      </c>
      <c r="P111" s="247" t="s">
        <v>1860</v>
      </c>
      <c r="Q111" s="247">
        <v>2800</v>
      </c>
      <c r="R111" s="247" t="s">
        <v>1548</v>
      </c>
      <c r="S111" s="247" t="s">
        <v>2158</v>
      </c>
      <c r="T111" s="564" t="s">
        <v>1568</v>
      </c>
      <c r="U111" s="565" t="s">
        <v>2159</v>
      </c>
      <c r="V111" s="566" t="s">
        <v>2160</v>
      </c>
      <c r="W111" s="564" t="s">
        <v>2161</v>
      </c>
      <c r="X111" s="565" t="s">
        <v>1546</v>
      </c>
      <c r="Y111" s="247" t="str">
        <f t="shared" si="10"/>
        <v/>
      </c>
      <c r="Z111" s="247">
        <f t="shared" si="11"/>
        <v>49</v>
      </c>
      <c r="AA111" s="567" t="str">
        <f t="shared" si="12"/>
        <v/>
      </c>
      <c r="AB111" s="567">
        <f t="shared" si="13"/>
        <v>-1</v>
      </c>
      <c r="AC111" s="247">
        <f t="shared" si="14"/>
        <v>0</v>
      </c>
      <c r="AD111" s="247">
        <f t="shared" si="15"/>
        <v>60</v>
      </c>
      <c r="AE111" s="567">
        <f t="shared" si="16"/>
        <v>1</v>
      </c>
      <c r="AF111" s="247">
        <f t="shared" si="17"/>
        <v>49</v>
      </c>
      <c r="AG111" s="247">
        <f t="shared" si="18"/>
        <v>32</v>
      </c>
      <c r="AH111" s="557">
        <f t="shared" si="19"/>
        <v>0.53100000000000003</v>
      </c>
    </row>
    <row r="112" spans="1:34">
      <c r="A112" s="555">
        <f t="shared" si="0"/>
        <v>10</v>
      </c>
      <c r="B112" s="556">
        <f t="shared" ref="B112:B113" si="110">IF(AF112&lt;=AG112,1,IF(AH112&lt;=0.005,2,IF(AND(AH112&gt;0.005,AH112&lt;=0.02, L182),4,IF(AND(AH112&gt;0.02,AH112&lt;=0.05),5,IF(AND(AH112&gt;0.05,AH112&lt;=0.1),7,IF(AND(AH112&gt;0.1,AH112&lt;=0.2),8,IF(AH112&gt;0.2,10)))))))</f>
        <v>10</v>
      </c>
      <c r="C112" s="555">
        <f t="shared" ref="C112:C113" si="111">IF(AA112&lt;=0.005,10,IF(AND(AA112&gt;0.005,AA112&lt;=0.01, C167),9,IF(AND(AA112&gt;0.01,AA112&lt;=0.02),8,IF(AND(AA112&gt;0.02,AA112&lt;=0.05),7,IF(AND(AA112&gt;0.05,AA112&lt;=0.1),6,IF(AND(AA112&gt;0.1,AA112&lt;=0.2),5,IF(AND(AA112&gt;0.2,AA112&lt;=0.3),4,IF(AND(AA112&gt;0.3,AA112&lt;=0.4),3,IF(AND(AA112&gt;0.4,AA112&lt;=0.5),2,IF(AA112&gt;0.5,1))))))))))</f>
        <v>10</v>
      </c>
      <c r="D112" s="555">
        <f t="shared" si="3"/>
        <v>10</v>
      </c>
      <c r="E112" s="556">
        <f t="shared" si="99"/>
        <v>10</v>
      </c>
      <c r="F112" s="557" t="str">
        <f t="shared" si="5"/>
        <v xml:space="preserve">     -</v>
      </c>
      <c r="G112" s="558">
        <f t="shared" si="22"/>
        <v>-0.99970000000000003</v>
      </c>
      <c r="H112" s="559">
        <f t="shared" si="45"/>
        <v>-1</v>
      </c>
      <c r="I112" s="560">
        <f t="shared" si="8"/>
        <v>-33287100</v>
      </c>
      <c r="J112" s="561">
        <f t="shared" si="9"/>
        <v>33290400</v>
      </c>
      <c r="K112" s="562">
        <v>1650</v>
      </c>
      <c r="L112" s="563">
        <v>44921</v>
      </c>
      <c r="M112" s="569">
        <f t="shared" si="72"/>
        <v>44921</v>
      </c>
      <c r="N112" s="247" t="s">
        <v>1573</v>
      </c>
      <c r="O112" s="247" t="s">
        <v>686</v>
      </c>
      <c r="P112" s="247" t="s">
        <v>1860</v>
      </c>
      <c r="Q112" s="247">
        <v>370</v>
      </c>
      <c r="R112" s="247" t="s">
        <v>1540</v>
      </c>
      <c r="S112" s="247" t="s">
        <v>2162</v>
      </c>
      <c r="T112" s="564" t="s">
        <v>2163</v>
      </c>
      <c r="U112" s="565" t="s">
        <v>2144</v>
      </c>
      <c r="V112" s="566" t="s">
        <v>2164</v>
      </c>
      <c r="W112" s="564" t="s">
        <v>2165</v>
      </c>
      <c r="X112" s="565" t="s">
        <v>2166</v>
      </c>
      <c r="Y112" s="247">
        <f t="shared" si="10"/>
        <v>20180</v>
      </c>
      <c r="Z112" s="247">
        <f t="shared" si="11"/>
        <v>14702</v>
      </c>
      <c r="AA112" s="567">
        <f t="shared" si="12"/>
        <v>-0.27100000000000002</v>
      </c>
      <c r="AB112" s="567">
        <f t="shared" si="13"/>
        <v>1.37</v>
      </c>
      <c r="AC112" s="247">
        <f t="shared" si="14"/>
        <v>34851</v>
      </c>
      <c r="AD112" s="247">
        <f t="shared" si="15"/>
        <v>6</v>
      </c>
      <c r="AE112" s="567" t="str">
        <f t="shared" si="16"/>
        <v>Tgt Hit</v>
      </c>
      <c r="AF112" s="247">
        <f t="shared" si="17"/>
        <v>42064</v>
      </c>
      <c r="AG112" s="247">
        <f t="shared" si="18"/>
        <v>4</v>
      </c>
      <c r="AH112" s="557">
        <f t="shared" si="19"/>
        <v>10515</v>
      </c>
    </row>
    <row r="113" spans="1:34">
      <c r="A113" s="555">
        <f t="shared" si="0"/>
        <v>10</v>
      </c>
      <c r="B113" s="556">
        <f t="shared" si="110"/>
        <v>10</v>
      </c>
      <c r="C113" s="555">
        <f t="shared" si="111"/>
        <v>5</v>
      </c>
      <c r="D113" s="555">
        <f t="shared" si="3"/>
        <v>7</v>
      </c>
      <c r="E113" s="556">
        <f t="shared" si="99"/>
        <v>8</v>
      </c>
      <c r="F113" s="557" t="str">
        <f t="shared" si="5"/>
        <v xml:space="preserve">     -</v>
      </c>
      <c r="G113" s="558">
        <f t="shared" si="22"/>
        <v>-0.99960000000000004</v>
      </c>
      <c r="H113" s="559">
        <f t="shared" si="45"/>
        <v>-1</v>
      </c>
      <c r="I113" s="560">
        <f t="shared" si="8"/>
        <v>-105357375</v>
      </c>
      <c r="J113" s="561">
        <f t="shared" si="9"/>
        <v>105377625</v>
      </c>
      <c r="K113" s="562">
        <v>3375</v>
      </c>
      <c r="L113" s="563">
        <v>44921</v>
      </c>
      <c r="M113" s="569">
        <f t="shared" si="72"/>
        <v>44921</v>
      </c>
      <c r="N113" s="247" t="s">
        <v>1547</v>
      </c>
      <c r="O113" s="247" t="s">
        <v>465</v>
      </c>
      <c r="P113" s="247" t="s">
        <v>2167</v>
      </c>
      <c r="Q113" s="247">
        <v>205</v>
      </c>
      <c r="R113" s="247" t="s">
        <v>1548</v>
      </c>
      <c r="S113" s="247" t="s">
        <v>2168</v>
      </c>
      <c r="T113" s="564" t="s">
        <v>1588</v>
      </c>
      <c r="U113" s="565" t="s">
        <v>1577</v>
      </c>
      <c r="V113" s="566" t="s">
        <v>2169</v>
      </c>
      <c r="W113" s="564" t="s">
        <v>2170</v>
      </c>
      <c r="X113" s="565" t="s">
        <v>2171</v>
      </c>
      <c r="Y113" s="247">
        <f t="shared" si="10"/>
        <v>31229</v>
      </c>
      <c r="Z113" s="247">
        <f t="shared" si="11"/>
        <v>34912</v>
      </c>
      <c r="AA113" s="567">
        <f t="shared" si="12"/>
        <v>0.11799999999999999</v>
      </c>
      <c r="AB113" s="567">
        <f t="shared" si="13"/>
        <v>0.29099999999999998</v>
      </c>
      <c r="AC113" s="247">
        <f t="shared" si="14"/>
        <v>45057</v>
      </c>
      <c r="AD113" s="247">
        <f t="shared" si="15"/>
        <v>12</v>
      </c>
      <c r="AE113" s="567" t="str">
        <f t="shared" si="16"/>
        <v>Tgt Hit</v>
      </c>
      <c r="AF113" s="247">
        <f t="shared" si="17"/>
        <v>14824</v>
      </c>
      <c r="AG113" s="247">
        <f t="shared" si="18"/>
        <v>6</v>
      </c>
      <c r="AH113" s="557">
        <f t="shared" si="19"/>
        <v>2469.6669999999999</v>
      </c>
    </row>
    <row r="114" spans="1:34">
      <c r="A114" s="555">
        <f t="shared" si="0"/>
        <v>1</v>
      </c>
      <c r="B114" s="556">
        <f t="shared" ref="B114:B115" si="112">IF(AF114&lt;=AG114,1,IF(AH114&lt;=0.005,2,IF(AND(AH114&gt;0.005,AH114&lt;=0.02, L182),4,IF(AND(AH114&gt;0.02,AH114&lt;=0.05),5,IF(AND(AH114&gt;0.05,AH114&lt;=0.1),7,IF(AND(AH114&gt;0.1,AH114&lt;=0.2),8,IF(AH114&gt;0.2,10)))))))</f>
        <v>10</v>
      </c>
      <c r="C114" s="555">
        <f t="shared" ref="C114:C115" si="113">IF(AA114&lt;=0.005,10,IF(AND(AA114&gt;0.005,AA114&lt;=0.01, C167),9,IF(AND(AA114&gt;0.01,AA114&lt;=0.02),8,IF(AND(AA114&gt;0.02,AA114&lt;=0.05),7,IF(AND(AA114&gt;0.05,AA114&lt;=0.1),6,IF(AND(AA114&gt;0.1,AA114&lt;=0.2),5,IF(AND(AA114&gt;0.2,AA114&lt;=0.3),4,IF(AND(AA114&gt;0.3,AA114&lt;=0.4),3,IF(AND(AA114&gt;0.4,AA114&lt;=0.5),2,IF(AA114&gt;0.5,1))))))))))</f>
        <v>10</v>
      </c>
      <c r="D114" s="555">
        <f t="shared" si="3"/>
        <v>1</v>
      </c>
      <c r="E114" s="556">
        <f t="shared" si="99"/>
        <v>5.5</v>
      </c>
      <c r="F114" s="557" t="str">
        <f t="shared" si="5"/>
        <v xml:space="preserve">     -</v>
      </c>
      <c r="G114" s="558">
        <f t="shared" si="22"/>
        <v>-0.99960000000000004</v>
      </c>
      <c r="H114" s="559">
        <f t="shared" si="45"/>
        <v>-0.373</v>
      </c>
      <c r="I114" s="560">
        <f t="shared" si="8"/>
        <v>-44178000</v>
      </c>
      <c r="J114" s="561">
        <f t="shared" si="9"/>
        <v>16483500</v>
      </c>
      <c r="K114" s="562">
        <v>1500</v>
      </c>
      <c r="L114" s="563">
        <v>44923</v>
      </c>
      <c r="M114" s="569">
        <f t="shared" si="72"/>
        <v>44923</v>
      </c>
      <c r="N114" s="247" t="s">
        <v>1573</v>
      </c>
      <c r="O114" s="247" t="s">
        <v>1574</v>
      </c>
      <c r="P114" s="247" t="s">
        <v>2167</v>
      </c>
      <c r="Q114" s="247">
        <v>385</v>
      </c>
      <c r="R114" s="247" t="s">
        <v>1540</v>
      </c>
      <c r="S114" s="247" t="s">
        <v>2172</v>
      </c>
      <c r="T114" s="564" t="s">
        <v>2173</v>
      </c>
      <c r="U114" s="565" t="s">
        <v>2174</v>
      </c>
      <c r="V114" s="566" t="s">
        <v>2175</v>
      </c>
      <c r="W114" s="564" t="s">
        <v>2176</v>
      </c>
      <c r="X114" s="565" t="s">
        <v>2177</v>
      </c>
      <c r="Y114" s="247">
        <f t="shared" si="10"/>
        <v>29465</v>
      </c>
      <c r="Z114" s="247">
        <f t="shared" si="11"/>
        <v>11</v>
      </c>
      <c r="AA114" s="567">
        <f t="shared" si="12"/>
        <v>-1</v>
      </c>
      <c r="AB114" s="567">
        <f t="shared" si="13"/>
        <v>-1</v>
      </c>
      <c r="AC114" s="247">
        <f t="shared" si="14"/>
        <v>0</v>
      </c>
      <c r="AD114" s="247">
        <f t="shared" si="15"/>
        <v>13</v>
      </c>
      <c r="AE114" s="567">
        <f t="shared" si="16"/>
        <v>1</v>
      </c>
      <c r="AF114" s="247">
        <f t="shared" si="17"/>
        <v>25781</v>
      </c>
      <c r="AG114" s="247">
        <f t="shared" si="18"/>
        <v>18476</v>
      </c>
      <c r="AH114" s="557">
        <f t="shared" si="19"/>
        <v>0.39500000000000002</v>
      </c>
    </row>
    <row r="115" spans="1:34">
      <c r="A115" s="555">
        <f t="shared" si="0"/>
        <v>10</v>
      </c>
      <c r="B115" s="556">
        <f t="shared" si="112"/>
        <v>8</v>
      </c>
      <c r="C115" s="555">
        <f t="shared" si="113"/>
        <v>5</v>
      </c>
      <c r="D115" s="555">
        <f t="shared" si="3"/>
        <v>6</v>
      </c>
      <c r="E115" s="556">
        <f t="shared" si="99"/>
        <v>7.3</v>
      </c>
      <c r="F115" s="557" t="str">
        <f t="shared" si="5"/>
        <v xml:space="preserve">     -</v>
      </c>
      <c r="G115" s="558">
        <f t="shared" si="22"/>
        <v>0.29499999999999998</v>
      </c>
      <c r="H115" s="559">
        <f t="shared" si="45"/>
        <v>-0.10100000000000001</v>
      </c>
      <c r="I115" s="560">
        <f t="shared" si="8"/>
        <v>6150</v>
      </c>
      <c r="J115" s="561">
        <f t="shared" si="9"/>
        <v>2100</v>
      </c>
      <c r="K115" s="562">
        <v>150</v>
      </c>
      <c r="L115" s="563">
        <v>44923</v>
      </c>
      <c r="M115" s="569">
        <f t="shared" si="72"/>
        <v>44923</v>
      </c>
      <c r="N115" s="247" t="s">
        <v>1547</v>
      </c>
      <c r="O115" s="247" t="s">
        <v>2178</v>
      </c>
      <c r="P115" s="247" t="s">
        <v>2167</v>
      </c>
      <c r="Q115" s="247">
        <v>4400</v>
      </c>
      <c r="R115" s="247" t="s">
        <v>1540</v>
      </c>
      <c r="S115" s="247" t="s">
        <v>2179</v>
      </c>
      <c r="T115" s="564" t="s">
        <v>1869</v>
      </c>
      <c r="U115" s="565" t="s">
        <v>2180</v>
      </c>
      <c r="V115" s="566" t="s">
        <v>2181</v>
      </c>
      <c r="W115" s="564" t="s">
        <v>2182</v>
      </c>
      <c r="X115" s="565" t="s">
        <v>2183</v>
      </c>
      <c r="Y115" s="247">
        <f t="shared" si="10"/>
        <v>139</v>
      </c>
      <c r="Z115" s="247">
        <f t="shared" si="11"/>
        <v>165</v>
      </c>
      <c r="AA115" s="567">
        <f t="shared" si="12"/>
        <v>0.187</v>
      </c>
      <c r="AB115" s="567">
        <f t="shared" si="13"/>
        <v>0.121</v>
      </c>
      <c r="AC115" s="247">
        <f t="shared" si="14"/>
        <v>185</v>
      </c>
      <c r="AD115" s="247">
        <f t="shared" si="15"/>
        <v>180</v>
      </c>
      <c r="AE115" s="567" t="str">
        <f t="shared" si="16"/>
        <v>Tgt Hit</v>
      </c>
      <c r="AF115" s="247">
        <f t="shared" si="17"/>
        <v>150</v>
      </c>
      <c r="AG115" s="247">
        <f t="shared" si="18"/>
        <v>125</v>
      </c>
      <c r="AH115" s="557">
        <f t="shared" si="19"/>
        <v>0.2</v>
      </c>
    </row>
    <row r="116" spans="1:34">
      <c r="A116" s="555">
        <f t="shared" si="0"/>
        <v>10</v>
      </c>
      <c r="B116" s="556">
        <f t="shared" ref="B116:B117" si="114">IF(AF116&lt;=AG116,1,IF(AH116&lt;=0.005,2,IF(AND(AH116&gt;0.005,AH116&lt;=0.02, L182),4,IF(AND(AH116&gt;0.02,AH116&lt;=0.05),5,IF(AND(AH116&gt;0.05,AH116&lt;=0.1),7,IF(AND(AH116&gt;0.1,AH116&lt;=0.2),8,IF(AH116&gt;0.2,10)))))))</f>
        <v>10</v>
      </c>
      <c r="C116" s="555">
        <f t="shared" ref="C116:C117" si="115">IF(AA116&lt;=0.005,10,IF(AND(AA116&gt;0.005,AA116&lt;=0.01, C167),9,IF(AND(AA116&gt;0.01,AA116&lt;=0.02),8,IF(AND(AA116&gt;0.02,AA116&lt;=0.05),7,IF(AND(AA116&gt;0.05,AA116&lt;=0.1),6,IF(AND(AA116&gt;0.1,AA116&lt;=0.2),5,IF(AND(AA116&gt;0.2,AA116&lt;=0.3),4,IF(AND(AA116&gt;0.3,AA116&lt;=0.4),3,IF(AND(AA116&gt;0.4,AA116&lt;=0.5),2,IF(AA116&gt;0.5,1))))))))))</f>
        <v>1</v>
      </c>
      <c r="D116" s="555">
        <f t="shared" si="3"/>
        <v>7</v>
      </c>
      <c r="E116" s="556">
        <f t="shared" si="99"/>
        <v>7</v>
      </c>
      <c r="F116" s="557" t="str">
        <f t="shared" si="5"/>
        <v xml:space="preserve">     -</v>
      </c>
      <c r="G116" s="558">
        <f t="shared" si="22"/>
        <v>-8.9399999999999993E-2</v>
      </c>
      <c r="H116" s="559">
        <f t="shared" si="45"/>
        <v>-0.45400000000000001</v>
      </c>
      <c r="I116" s="560">
        <f t="shared" si="8"/>
        <v>-13485000</v>
      </c>
      <c r="J116" s="561">
        <f t="shared" si="9"/>
        <v>68482500</v>
      </c>
      <c r="K116" s="562">
        <v>7500</v>
      </c>
      <c r="L116" s="563">
        <v>44924</v>
      </c>
      <c r="M116" s="569">
        <f t="shared" si="72"/>
        <v>44924</v>
      </c>
      <c r="N116" s="247" t="s">
        <v>1573</v>
      </c>
      <c r="O116" s="247" t="s">
        <v>482</v>
      </c>
      <c r="P116" s="247" t="s">
        <v>2167</v>
      </c>
      <c r="Q116" s="247">
        <v>78</v>
      </c>
      <c r="R116" s="247" t="s">
        <v>1540</v>
      </c>
      <c r="S116" s="247" t="s">
        <v>2184</v>
      </c>
      <c r="T116" s="564" t="s">
        <v>2185</v>
      </c>
      <c r="U116" s="565" t="s">
        <v>2186</v>
      </c>
      <c r="V116" s="566" t="s">
        <v>2187</v>
      </c>
      <c r="W116" s="564" t="s">
        <v>1735</v>
      </c>
      <c r="X116" s="565" t="s">
        <v>2188</v>
      </c>
      <c r="Y116" s="247">
        <f t="shared" si="10"/>
        <v>20121</v>
      </c>
      <c r="Z116" s="247">
        <f t="shared" si="11"/>
        <v>32905</v>
      </c>
      <c r="AA116" s="567">
        <f t="shared" si="12"/>
        <v>0.63500000000000001</v>
      </c>
      <c r="AB116" s="567">
        <f t="shared" si="13"/>
        <v>0.27800000000000002</v>
      </c>
      <c r="AC116" s="247">
        <f t="shared" si="14"/>
        <v>42064</v>
      </c>
      <c r="AD116" s="247">
        <f t="shared" si="15"/>
        <v>18323</v>
      </c>
      <c r="AE116" s="567" t="str">
        <f t="shared" si="16"/>
        <v>Tgt Hit</v>
      </c>
      <c r="AF116" s="247">
        <f t="shared" si="17"/>
        <v>45048</v>
      </c>
      <c r="AG116" s="247">
        <f t="shared" si="18"/>
        <v>10990</v>
      </c>
      <c r="AH116" s="557">
        <f t="shared" si="19"/>
        <v>3.0990000000000002</v>
      </c>
    </row>
    <row r="117" spans="1:34">
      <c r="A117" s="555">
        <f t="shared" si="0"/>
        <v>1</v>
      </c>
      <c r="B117" s="556">
        <f t="shared" si="114"/>
        <v>10</v>
      </c>
      <c r="C117" s="555">
        <f t="shared" si="115"/>
        <v>1</v>
      </c>
      <c r="D117" s="555">
        <f t="shared" si="3"/>
        <v>1</v>
      </c>
      <c r="E117" s="556">
        <f t="shared" si="99"/>
        <v>3.3</v>
      </c>
      <c r="F117" s="557" t="str">
        <f t="shared" si="5"/>
        <v xml:space="preserve">     -</v>
      </c>
      <c r="G117" s="558" t="str">
        <f t="shared" si="22"/>
        <v/>
      </c>
      <c r="H117" s="559" t="str">
        <f t="shared" si="45"/>
        <v/>
      </c>
      <c r="I117" s="560" t="e">
        <f t="shared" si="8"/>
        <v>#VALUE!</v>
      </c>
      <c r="J117" s="561" t="e">
        <f t="shared" si="9"/>
        <v>#VALUE!</v>
      </c>
      <c r="K117" s="562">
        <v>1400</v>
      </c>
      <c r="L117" s="563">
        <v>44924</v>
      </c>
      <c r="M117" s="569">
        <f t="shared" si="72"/>
        <v>44924</v>
      </c>
      <c r="N117" s="247" t="s">
        <v>1547</v>
      </c>
      <c r="O117" s="247" t="s">
        <v>467</v>
      </c>
      <c r="P117" s="247" t="s">
        <v>2167</v>
      </c>
      <c r="Q117" s="247">
        <v>470</v>
      </c>
      <c r="R117" s="247" t="s">
        <v>1540</v>
      </c>
      <c r="S117" s="247" t="s">
        <v>2018</v>
      </c>
      <c r="T117" s="564" t="s">
        <v>2189</v>
      </c>
      <c r="U117" s="565" t="s">
        <v>1870</v>
      </c>
      <c r="V117" s="566" t="s">
        <v>2190</v>
      </c>
      <c r="W117" s="564" t="s">
        <v>2191</v>
      </c>
      <c r="X117" s="565" t="s">
        <v>2192</v>
      </c>
      <c r="Y117" s="247" t="str">
        <f t="shared" si="10"/>
        <v/>
      </c>
      <c r="Z117" s="247">
        <f t="shared" si="11"/>
        <v>45066</v>
      </c>
      <c r="AA117" s="567" t="str">
        <f t="shared" si="12"/>
        <v/>
      </c>
      <c r="AB117" s="567">
        <f t="shared" si="13"/>
        <v>-1</v>
      </c>
      <c r="AC117" s="247">
        <f t="shared" si="14"/>
        <v>0</v>
      </c>
      <c r="AD117" s="247">
        <f t="shared" si="15"/>
        <v>28</v>
      </c>
      <c r="AE117" s="567">
        <f t="shared" si="16"/>
        <v>1</v>
      </c>
      <c r="AF117" s="247" t="str">
        <f t="shared" si="17"/>
        <v/>
      </c>
      <c r="AG117" s="247">
        <f t="shared" si="18"/>
        <v>13</v>
      </c>
      <c r="AH117" s="557" t="str">
        <f t="shared" si="19"/>
        <v/>
      </c>
    </row>
    <row r="118" spans="1:34">
      <c r="A118" s="555">
        <f t="shared" si="0"/>
        <v>1</v>
      </c>
      <c r="B118" s="556">
        <f t="shared" ref="B118:B119" si="116">IF(AF118&lt;=AG118,1,IF(AH118&lt;=0.005,2,IF(AND(AH118&gt;0.005,AH118&lt;=0.02, L182),4,IF(AND(AH118&gt;0.02,AH118&lt;=0.05),5,IF(AND(AH118&gt;0.05,AH118&lt;=0.1),7,IF(AND(AH118&gt;0.1,AH118&lt;=0.2),8,IF(AH118&gt;0.2,10)))))))</f>
        <v>10</v>
      </c>
      <c r="C118" s="555">
        <f t="shared" ref="C118:C119" si="117">IF(AA118&lt;=0.005,10,IF(AND(AA118&gt;0.005,AA118&lt;=0.01, C167),9,IF(AND(AA118&gt;0.01,AA118&lt;=0.02),8,IF(AND(AA118&gt;0.02,AA118&lt;=0.05),7,IF(AND(AA118&gt;0.05,AA118&lt;=0.1),6,IF(AND(AA118&gt;0.1,AA118&lt;=0.2),5,IF(AND(AA118&gt;0.2,AA118&lt;=0.3),4,IF(AND(AA118&gt;0.3,AA118&lt;=0.4),3,IF(AND(AA118&gt;0.4,AA118&lt;=0.5),2,IF(AA118&gt;0.5,1))))))))))</f>
        <v>10</v>
      </c>
      <c r="D118" s="555">
        <f t="shared" si="3"/>
        <v>1</v>
      </c>
      <c r="E118" s="556">
        <f t="shared" si="99"/>
        <v>5.5</v>
      </c>
      <c r="F118" s="557" t="str">
        <f t="shared" si="5"/>
        <v xml:space="preserve">     -</v>
      </c>
      <c r="G118" s="558">
        <f t="shared" si="22"/>
        <v>-0.99919999999999998</v>
      </c>
      <c r="H118" s="559">
        <f t="shared" si="45"/>
        <v>-0.999</v>
      </c>
      <c r="I118" s="560">
        <f t="shared" si="8"/>
        <v>-40756000</v>
      </c>
      <c r="J118" s="561">
        <f t="shared" si="9"/>
        <v>40766000</v>
      </c>
      <c r="K118" s="562">
        <v>2000</v>
      </c>
      <c r="L118" s="563">
        <v>44924</v>
      </c>
      <c r="M118" s="569">
        <f t="shared" si="72"/>
        <v>44924</v>
      </c>
      <c r="N118" s="247" t="s">
        <v>1573</v>
      </c>
      <c r="O118" s="247" t="s">
        <v>485</v>
      </c>
      <c r="P118" s="247" t="s">
        <v>2167</v>
      </c>
      <c r="Q118" s="247">
        <v>295</v>
      </c>
      <c r="R118" s="247" t="s">
        <v>1548</v>
      </c>
      <c r="S118" s="247" t="s">
        <v>2193</v>
      </c>
      <c r="T118" s="564" t="s">
        <v>2070</v>
      </c>
      <c r="U118" s="565" t="s">
        <v>2194</v>
      </c>
      <c r="V118" s="566" t="s">
        <v>2195</v>
      </c>
      <c r="W118" s="564" t="s">
        <v>2196</v>
      </c>
      <c r="X118" s="565" t="s">
        <v>2197</v>
      </c>
      <c r="Y118" s="247">
        <f t="shared" si="10"/>
        <v>20394</v>
      </c>
      <c r="Z118" s="247">
        <f t="shared" si="11"/>
        <v>15</v>
      </c>
      <c r="AA118" s="567">
        <f t="shared" si="12"/>
        <v>-0.999</v>
      </c>
      <c r="AB118" s="567">
        <f t="shared" si="13"/>
        <v>-1</v>
      </c>
      <c r="AC118" s="247">
        <f t="shared" si="14"/>
        <v>0</v>
      </c>
      <c r="AD118" s="247">
        <f t="shared" si="15"/>
        <v>16</v>
      </c>
      <c r="AE118" s="567">
        <f t="shared" si="16"/>
        <v>1</v>
      </c>
      <c r="AF118" s="247">
        <f t="shared" si="17"/>
        <v>14</v>
      </c>
      <c r="AG118" s="247">
        <f t="shared" si="18"/>
        <v>11</v>
      </c>
      <c r="AH118" s="557">
        <f t="shared" si="19"/>
        <v>0.27300000000000002</v>
      </c>
    </row>
    <row r="119" spans="1:34">
      <c r="A119" s="555">
        <f t="shared" si="0"/>
        <v>1</v>
      </c>
      <c r="B119" s="556">
        <f t="shared" si="116"/>
        <v>10</v>
      </c>
      <c r="C119" s="555">
        <f t="shared" si="117"/>
        <v>1</v>
      </c>
      <c r="D119" s="555">
        <f t="shared" si="3"/>
        <v>1</v>
      </c>
      <c r="E119" s="556">
        <f t="shared" si="99"/>
        <v>3.3</v>
      </c>
      <c r="F119" s="557" t="str">
        <f t="shared" si="5"/>
        <v xml:space="preserve">     -</v>
      </c>
      <c r="G119" s="558" t="str">
        <f t="shared" si="22"/>
        <v/>
      </c>
      <c r="H119" s="559" t="str">
        <f t="shared" si="45"/>
        <v/>
      </c>
      <c r="I119" s="560" t="e">
        <f t="shared" si="8"/>
        <v>#VALUE!</v>
      </c>
      <c r="J119" s="561" t="e">
        <f t="shared" si="9"/>
        <v>#VALUE!</v>
      </c>
      <c r="K119" s="562">
        <v>400</v>
      </c>
      <c r="L119" s="563">
        <v>44924</v>
      </c>
      <c r="M119" s="569">
        <f t="shared" si="72"/>
        <v>44924</v>
      </c>
      <c r="N119" s="247" t="s">
        <v>1547</v>
      </c>
      <c r="O119" s="247" t="s">
        <v>458</v>
      </c>
      <c r="P119" s="247" t="s">
        <v>2167</v>
      </c>
      <c r="Q119" s="247">
        <v>1520</v>
      </c>
      <c r="R119" s="247" t="s">
        <v>1548</v>
      </c>
      <c r="S119" s="247" t="s">
        <v>2198</v>
      </c>
      <c r="T119" s="564" t="s">
        <v>1568</v>
      </c>
      <c r="U119" s="565" t="s">
        <v>2199</v>
      </c>
      <c r="V119" s="566" t="s">
        <v>2200</v>
      </c>
      <c r="W119" s="564" t="s">
        <v>2201</v>
      </c>
      <c r="X119" s="565" t="s">
        <v>2202</v>
      </c>
      <c r="Y119" s="247" t="str">
        <f t="shared" si="10"/>
        <v/>
      </c>
      <c r="Z119" s="247">
        <f t="shared" si="11"/>
        <v>47</v>
      </c>
      <c r="AA119" s="567" t="str">
        <f t="shared" si="12"/>
        <v/>
      </c>
      <c r="AB119" s="567">
        <f t="shared" si="13"/>
        <v>-1</v>
      </c>
      <c r="AC119" s="247">
        <f t="shared" si="14"/>
        <v>0</v>
      </c>
      <c r="AD119" s="247">
        <f t="shared" si="15"/>
        <v>60</v>
      </c>
      <c r="AE119" s="567">
        <f t="shared" si="16"/>
        <v>1</v>
      </c>
      <c r="AF119" s="247" t="str">
        <f t="shared" si="17"/>
        <v/>
      </c>
      <c r="AG119" s="247">
        <f t="shared" si="18"/>
        <v>38</v>
      </c>
      <c r="AH119" s="557" t="str">
        <f t="shared" si="19"/>
        <v/>
      </c>
    </row>
    <row r="120" spans="1:34">
      <c r="A120" s="555">
        <f t="shared" si="0"/>
        <v>1</v>
      </c>
      <c r="B120" s="556">
        <f t="shared" ref="B120:B121" si="118">IF(AF120&lt;=AG120,1,IF(AH120&lt;=0.005,2,IF(AND(AH120&gt;0.005,AH120&lt;=0.02, L182),4,IF(AND(AH120&gt;0.02,AH120&lt;=0.05),5,IF(AND(AH120&gt;0.05,AH120&lt;=0.1),7,IF(AND(AH120&gt;0.1,AH120&lt;=0.2),8,IF(AH120&gt;0.2,10)))))))</f>
        <v>10</v>
      </c>
      <c r="C120" s="555">
        <f t="shared" ref="C120:C121" si="119">IF(AA120&lt;=0.005,10,IF(AND(AA120&gt;0.005,AA120&lt;=0.01, C167),9,IF(AND(AA120&gt;0.01,AA120&lt;=0.02),8,IF(AND(AA120&gt;0.02,AA120&lt;=0.05),7,IF(AND(AA120&gt;0.05,AA120&lt;=0.1),6,IF(AND(AA120&gt;0.1,AA120&lt;=0.2),5,IF(AND(AA120&gt;0.2,AA120&lt;=0.3),4,IF(AND(AA120&gt;0.3,AA120&lt;=0.4),3,IF(AND(AA120&gt;0.4,AA120&lt;=0.5),2,IF(AA120&gt;0.5,1))))))))))</f>
        <v>1</v>
      </c>
      <c r="D120" s="555">
        <f t="shared" si="3"/>
        <v>1</v>
      </c>
      <c r="E120" s="556">
        <f t="shared" si="99"/>
        <v>3.3</v>
      </c>
      <c r="F120" s="557" t="str">
        <f t="shared" si="5"/>
        <v xml:space="preserve">     -</v>
      </c>
      <c r="G120" s="558">
        <f t="shared" si="22"/>
        <v>0.21049999999999999</v>
      </c>
      <c r="H120" s="559">
        <f t="shared" si="45"/>
        <v>-0.21099999999999999</v>
      </c>
      <c r="I120" s="560">
        <f t="shared" si="8"/>
        <v>2600</v>
      </c>
      <c r="J120" s="561">
        <f t="shared" si="9"/>
        <v>2600</v>
      </c>
      <c r="K120" s="562">
        <v>650</v>
      </c>
      <c r="L120" s="563">
        <v>44928</v>
      </c>
      <c r="M120" s="569">
        <f t="shared" si="72"/>
        <v>44928</v>
      </c>
      <c r="N120" s="247" t="s">
        <v>1537</v>
      </c>
      <c r="O120" s="247" t="s">
        <v>2203</v>
      </c>
      <c r="P120" s="247" t="s">
        <v>2167</v>
      </c>
      <c r="Q120" s="247">
        <v>830</v>
      </c>
      <c r="R120" s="247" t="s">
        <v>1540</v>
      </c>
      <c r="S120" s="247" t="s">
        <v>2204</v>
      </c>
      <c r="T120" s="564" t="s">
        <v>1607</v>
      </c>
      <c r="U120" s="565" t="s">
        <v>2128</v>
      </c>
      <c r="V120" s="566" t="s">
        <v>2205</v>
      </c>
      <c r="W120" s="564" t="s">
        <v>2206</v>
      </c>
      <c r="X120" s="565" t="s">
        <v>2207</v>
      </c>
      <c r="Y120" s="247">
        <f t="shared" si="10"/>
        <v>19</v>
      </c>
      <c r="Z120" s="247">
        <f t="shared" si="11"/>
        <v>45067</v>
      </c>
      <c r="AA120" s="567">
        <f t="shared" si="12"/>
        <v>2370.9470000000001</v>
      </c>
      <c r="AB120" s="567">
        <f t="shared" si="13"/>
        <v>-1</v>
      </c>
      <c r="AC120" s="247">
        <f t="shared" si="14"/>
        <v>0</v>
      </c>
      <c r="AD120" s="247">
        <f t="shared" si="15"/>
        <v>23</v>
      </c>
      <c r="AE120" s="567">
        <f t="shared" si="16"/>
        <v>1</v>
      </c>
      <c r="AF120" s="247" t="str">
        <f t="shared" si="17"/>
        <v/>
      </c>
      <c r="AG120" s="247">
        <f t="shared" si="18"/>
        <v>15</v>
      </c>
      <c r="AH120" s="557" t="str">
        <f t="shared" si="19"/>
        <v/>
      </c>
    </row>
    <row r="121" spans="1:34">
      <c r="A121" s="555">
        <f t="shared" si="0"/>
        <v>1</v>
      </c>
      <c r="B121" s="556">
        <f t="shared" si="118"/>
        <v>10</v>
      </c>
      <c r="C121" s="555">
        <f t="shared" si="119"/>
        <v>1</v>
      </c>
      <c r="D121" s="555">
        <f t="shared" si="3"/>
        <v>1</v>
      </c>
      <c r="E121" s="556">
        <f t="shared" si="99"/>
        <v>3.3</v>
      </c>
      <c r="F121" s="557" t="str">
        <f t="shared" si="5"/>
        <v xml:space="preserve">     -</v>
      </c>
      <c r="G121" s="558" t="str">
        <f t="shared" si="22"/>
        <v/>
      </c>
      <c r="H121" s="559" t="str">
        <f t="shared" si="45"/>
        <v/>
      </c>
      <c r="I121" s="560" t="e">
        <f t="shared" si="8"/>
        <v>#VALUE!</v>
      </c>
      <c r="J121" s="561" t="e">
        <f t="shared" si="9"/>
        <v>#VALUE!</v>
      </c>
      <c r="K121" s="562">
        <v>275</v>
      </c>
      <c r="L121" s="563">
        <v>44928</v>
      </c>
      <c r="M121" s="569">
        <f t="shared" si="72"/>
        <v>44928</v>
      </c>
      <c r="N121" s="247" t="s">
        <v>1547</v>
      </c>
      <c r="O121" s="247" t="s">
        <v>670</v>
      </c>
      <c r="P121" s="247" t="s">
        <v>2167</v>
      </c>
      <c r="Q121" s="247">
        <v>2120</v>
      </c>
      <c r="R121" s="247" t="s">
        <v>1548</v>
      </c>
      <c r="S121" s="247" t="s">
        <v>2208</v>
      </c>
      <c r="T121" s="564" t="s">
        <v>2209</v>
      </c>
      <c r="U121" s="565" t="s">
        <v>2210</v>
      </c>
      <c r="V121" s="566" t="s">
        <v>2211</v>
      </c>
      <c r="W121" s="564" t="s">
        <v>2212</v>
      </c>
      <c r="X121" s="565" t="s">
        <v>2213</v>
      </c>
      <c r="Y121" s="247" t="str">
        <f t="shared" si="10"/>
        <v/>
      </c>
      <c r="Z121" s="247">
        <f t="shared" si="11"/>
        <v>113</v>
      </c>
      <c r="AA121" s="567" t="str">
        <f t="shared" si="12"/>
        <v/>
      </c>
      <c r="AB121" s="567">
        <f t="shared" si="13"/>
        <v>-1</v>
      </c>
      <c r="AC121" s="247">
        <f t="shared" si="14"/>
        <v>0</v>
      </c>
      <c r="AD121" s="247">
        <f t="shared" si="15"/>
        <v>104</v>
      </c>
      <c r="AE121" s="567">
        <f t="shared" si="16"/>
        <v>1</v>
      </c>
      <c r="AF121" s="247" t="str">
        <f t="shared" si="17"/>
        <v/>
      </c>
      <c r="AG121" s="247">
        <f t="shared" si="18"/>
        <v>74</v>
      </c>
      <c r="AH121" s="557" t="str">
        <f t="shared" si="19"/>
        <v/>
      </c>
    </row>
    <row r="122" spans="1:34">
      <c r="A122" s="555">
        <f t="shared" si="0"/>
        <v>1</v>
      </c>
      <c r="B122" s="556">
        <f t="shared" ref="B122:B123" si="120">IF(AF122&lt;=AG122,1,IF(AH122&lt;=0.005,2,IF(AND(AH122&gt;0.005,AH122&lt;=0.02, L182),4,IF(AND(AH122&gt;0.02,AH122&lt;=0.05),5,IF(AND(AH122&gt;0.05,AH122&lt;=0.1),7,IF(AND(AH122&gt;0.1,AH122&lt;=0.2),8,IF(AH122&gt;0.2,10)))))))</f>
        <v>10</v>
      </c>
      <c r="C122" s="555">
        <f t="shared" ref="C122:C123" si="121">IF(AA122&lt;=0.005,10,IF(AND(AA122&gt;0.005,AA122&lt;=0.01, C167),9,IF(AND(AA122&gt;0.01,AA122&lt;=0.02),8,IF(AND(AA122&gt;0.02,AA122&lt;=0.05),7,IF(AND(AA122&gt;0.05,AA122&lt;=0.1),6,IF(AND(AA122&gt;0.1,AA122&lt;=0.2),5,IF(AND(AA122&gt;0.2,AA122&lt;=0.3),4,IF(AND(AA122&gt;0.3,AA122&lt;=0.4),3,IF(AND(AA122&gt;0.4,AA122&lt;=0.5),2,IF(AA122&gt;0.5,1))))))))))</f>
        <v>10</v>
      </c>
      <c r="D122" s="555">
        <f t="shared" si="3"/>
        <v>1</v>
      </c>
      <c r="E122" s="556">
        <f t="shared" si="99"/>
        <v>5.5</v>
      </c>
      <c r="F122" s="557" t="str">
        <f t="shared" si="5"/>
        <v xml:space="preserve">     -</v>
      </c>
      <c r="G122" s="558" t="str">
        <f t="shared" si="22"/>
        <v/>
      </c>
      <c r="H122" s="559">
        <f t="shared" si="45"/>
        <v>-1</v>
      </c>
      <c r="I122" s="560" t="e">
        <f t="shared" si="8"/>
        <v>#VALUE!</v>
      </c>
      <c r="J122" s="561">
        <f t="shared" si="9"/>
        <v>154339500</v>
      </c>
      <c r="K122" s="562">
        <v>3500</v>
      </c>
      <c r="L122" s="563">
        <v>44929</v>
      </c>
      <c r="M122" s="569">
        <f t="shared" si="72"/>
        <v>44929</v>
      </c>
      <c r="N122" s="247" t="s">
        <v>1537</v>
      </c>
      <c r="O122" s="247" t="s">
        <v>666</v>
      </c>
      <c r="P122" s="247" t="s">
        <v>2167</v>
      </c>
      <c r="Q122" s="247">
        <v>330</v>
      </c>
      <c r="R122" s="247" t="s">
        <v>1548</v>
      </c>
      <c r="S122" s="247" t="s">
        <v>2214</v>
      </c>
      <c r="T122" s="564" t="s">
        <v>1841</v>
      </c>
      <c r="U122" s="565" t="s">
        <v>1589</v>
      </c>
      <c r="V122" s="566" t="s">
        <v>2215</v>
      </c>
      <c r="W122" s="564" t="s">
        <v>2216</v>
      </c>
      <c r="X122" s="565" t="s">
        <v>2217</v>
      </c>
      <c r="Y122" s="247">
        <f t="shared" si="10"/>
        <v>44105</v>
      </c>
      <c r="Z122" s="247">
        <f t="shared" si="11"/>
        <v>27668</v>
      </c>
      <c r="AA122" s="567">
        <f t="shared" si="12"/>
        <v>-0.373</v>
      </c>
      <c r="AB122" s="567">
        <f t="shared" si="13"/>
        <v>-0.32900000000000001</v>
      </c>
      <c r="AC122" s="247">
        <f t="shared" si="14"/>
        <v>18568</v>
      </c>
      <c r="AD122" s="247" t="str">
        <f t="shared" si="15"/>
        <v/>
      </c>
      <c r="AE122" s="567" t="str">
        <f t="shared" si="16"/>
        <v/>
      </c>
      <c r="AF122" s="247">
        <f t="shared" si="17"/>
        <v>45207</v>
      </c>
      <c r="AG122" s="247">
        <f t="shared" si="18"/>
        <v>8</v>
      </c>
      <c r="AH122" s="557">
        <f t="shared" si="19"/>
        <v>5649.875</v>
      </c>
    </row>
    <row r="123" spans="1:34">
      <c r="A123" s="555">
        <f t="shared" si="0"/>
        <v>1</v>
      </c>
      <c r="B123" s="556">
        <f t="shared" si="120"/>
        <v>10</v>
      </c>
      <c r="C123" s="555">
        <f t="shared" si="121"/>
        <v>10</v>
      </c>
      <c r="D123" s="555">
        <f t="shared" si="3"/>
        <v>1</v>
      </c>
      <c r="E123" s="556">
        <f t="shared" si="99"/>
        <v>5.5</v>
      </c>
      <c r="F123" s="557" t="str">
        <f t="shared" si="5"/>
        <v xml:space="preserve">     -</v>
      </c>
      <c r="G123" s="558">
        <f t="shared" si="22"/>
        <v>-0.99919999999999998</v>
      </c>
      <c r="H123" s="559">
        <f t="shared" si="45"/>
        <v>-1</v>
      </c>
      <c r="I123" s="560">
        <f t="shared" si="8"/>
        <v>-109746000</v>
      </c>
      <c r="J123" s="561">
        <f t="shared" si="9"/>
        <v>109809000</v>
      </c>
      <c r="K123" s="562">
        <v>3500</v>
      </c>
      <c r="L123" s="563">
        <v>44929</v>
      </c>
      <c r="M123" s="569">
        <f t="shared" si="72"/>
        <v>44929</v>
      </c>
      <c r="N123" s="247" t="s">
        <v>1547</v>
      </c>
      <c r="O123" s="247" t="s">
        <v>2218</v>
      </c>
      <c r="P123" s="247" t="s">
        <v>2167</v>
      </c>
      <c r="Q123" s="247">
        <v>170</v>
      </c>
      <c r="R123" s="247" t="s">
        <v>1548</v>
      </c>
      <c r="S123" s="247" t="s">
        <v>2219</v>
      </c>
      <c r="T123" s="564" t="s">
        <v>2220</v>
      </c>
      <c r="U123" s="565" t="s">
        <v>1589</v>
      </c>
      <c r="V123" s="566" t="s">
        <v>1682</v>
      </c>
      <c r="W123" s="564" t="s">
        <v>2221</v>
      </c>
      <c r="X123" s="565" t="s">
        <v>2222</v>
      </c>
      <c r="Y123" s="247">
        <f t="shared" si="10"/>
        <v>31382</v>
      </c>
      <c r="Z123" s="247">
        <f t="shared" si="11"/>
        <v>13</v>
      </c>
      <c r="AA123" s="567">
        <f t="shared" si="12"/>
        <v>-1</v>
      </c>
      <c r="AB123" s="567">
        <f t="shared" si="13"/>
        <v>-1</v>
      </c>
      <c r="AC123" s="247">
        <f t="shared" si="14"/>
        <v>0</v>
      </c>
      <c r="AD123" s="247">
        <f t="shared" si="15"/>
        <v>26</v>
      </c>
      <c r="AE123" s="567">
        <f t="shared" si="16"/>
        <v>1</v>
      </c>
      <c r="AF123" s="247">
        <f t="shared" si="17"/>
        <v>16742</v>
      </c>
      <c r="AG123" s="247">
        <f t="shared" si="18"/>
        <v>8</v>
      </c>
      <c r="AH123" s="557">
        <f t="shared" si="19"/>
        <v>2091.75</v>
      </c>
    </row>
    <row r="124" spans="1:34">
      <c r="A124" s="555">
        <f t="shared" si="0"/>
        <v>1</v>
      </c>
      <c r="B124" s="556">
        <f t="shared" ref="B124:B125" si="122">IF(AF124&lt;=AG124,1,IF(AH124&lt;=0.005,2,IF(AND(AH124&gt;0.005,AH124&lt;=0.02, L182),4,IF(AND(AH124&gt;0.02,AH124&lt;=0.05),5,IF(AND(AH124&gt;0.05,AH124&lt;=0.1),7,IF(AND(AH124&gt;0.1,AH124&lt;=0.2),8,IF(AH124&gt;0.2,10)))))))</f>
        <v>10</v>
      </c>
      <c r="C124" s="555">
        <f t="shared" ref="C124:C125" si="123">IF(AA124&lt;=0.005,10,IF(AND(AA124&gt;0.005,AA124&lt;=0.01, C167),9,IF(AND(AA124&gt;0.01,AA124&lt;=0.02),8,IF(AND(AA124&gt;0.02,AA124&lt;=0.05),7,IF(AND(AA124&gt;0.05,AA124&lt;=0.1),6,IF(AND(AA124&gt;0.1,AA124&lt;=0.2),5,IF(AND(AA124&gt;0.2,AA124&lt;=0.3),4,IF(AND(AA124&gt;0.3,AA124&lt;=0.4),3,IF(AND(AA124&gt;0.4,AA124&lt;=0.5),2,IF(AA124&gt;0.5,1))))))))))</f>
        <v>1</v>
      </c>
      <c r="D124" s="555">
        <f t="shared" si="3"/>
        <v>10</v>
      </c>
      <c r="E124" s="556">
        <f t="shared" si="99"/>
        <v>5.5</v>
      </c>
      <c r="F124" s="557" t="str">
        <f t="shared" si="5"/>
        <v xml:space="preserve">     -</v>
      </c>
      <c r="G124" s="558" t="str">
        <f t="shared" si="22"/>
        <v/>
      </c>
      <c r="H124" s="559" t="str">
        <f t="shared" si="45"/>
        <v/>
      </c>
      <c r="I124" s="560" t="e">
        <f t="shared" si="8"/>
        <v>#VALUE!</v>
      </c>
      <c r="J124" s="561" t="e">
        <f t="shared" si="9"/>
        <v>#VALUE!</v>
      </c>
      <c r="K124" s="562">
        <v>1200</v>
      </c>
      <c r="L124" s="563">
        <v>44930</v>
      </c>
      <c r="M124" s="569">
        <f t="shared" si="72"/>
        <v>44930</v>
      </c>
      <c r="N124" s="247" t="s">
        <v>1547</v>
      </c>
      <c r="O124" s="247" t="s">
        <v>663</v>
      </c>
      <c r="P124" s="247" t="s">
        <v>2167</v>
      </c>
      <c r="Q124" s="247">
        <v>960</v>
      </c>
      <c r="R124" s="247" t="s">
        <v>1548</v>
      </c>
      <c r="S124" s="247" t="s">
        <v>2223</v>
      </c>
      <c r="T124" s="564" t="s">
        <v>2224</v>
      </c>
      <c r="U124" s="565" t="s">
        <v>1704</v>
      </c>
      <c r="V124" s="566" t="s">
        <v>2225</v>
      </c>
      <c r="W124" s="564" t="s">
        <v>1885</v>
      </c>
      <c r="X124" s="565" t="s">
        <v>2226</v>
      </c>
      <c r="Y124" s="247" t="str">
        <f t="shared" si="10"/>
        <v/>
      </c>
      <c r="Z124" s="247" t="str">
        <f t="shared" si="11"/>
        <v/>
      </c>
      <c r="AA124" s="567" t="str">
        <f t="shared" si="12"/>
        <v/>
      </c>
      <c r="AB124" s="567" t="str">
        <f t="shared" si="13"/>
        <v/>
      </c>
      <c r="AC124" s="247">
        <f t="shared" si="14"/>
        <v>0</v>
      </c>
      <c r="AD124" s="247">
        <f t="shared" si="15"/>
        <v>40</v>
      </c>
      <c r="AE124" s="567">
        <f t="shared" si="16"/>
        <v>1</v>
      </c>
      <c r="AF124" s="247" t="str">
        <f t="shared" si="17"/>
        <v/>
      </c>
      <c r="AG124" s="247">
        <f t="shared" si="18"/>
        <v>20</v>
      </c>
      <c r="AH124" s="557" t="str">
        <f t="shared" si="19"/>
        <v/>
      </c>
    </row>
    <row r="125" spans="1:34">
      <c r="A125" s="555">
        <f t="shared" si="0"/>
        <v>1</v>
      </c>
      <c r="B125" s="556">
        <f t="shared" si="122"/>
        <v>10</v>
      </c>
      <c r="C125" s="555">
        <f t="shared" si="123"/>
        <v>1</v>
      </c>
      <c r="D125" s="555">
        <f t="shared" si="3"/>
        <v>1</v>
      </c>
      <c r="E125" s="556">
        <f t="shared" si="99"/>
        <v>3.3</v>
      </c>
      <c r="F125" s="557" t="str">
        <f t="shared" si="5"/>
        <v xml:space="preserve">     -</v>
      </c>
      <c r="G125" s="558" t="str">
        <f t="shared" si="22"/>
        <v/>
      </c>
      <c r="H125" s="559">
        <f t="shared" si="45"/>
        <v>-0.999</v>
      </c>
      <c r="I125" s="560" t="e">
        <f t="shared" si="8"/>
        <v>#VALUE!</v>
      </c>
      <c r="J125" s="561">
        <f t="shared" si="9"/>
        <v>9255625</v>
      </c>
      <c r="K125" s="562">
        <v>625</v>
      </c>
      <c r="L125" s="563">
        <v>44930</v>
      </c>
      <c r="M125" s="569">
        <f t="shared" si="72"/>
        <v>44930</v>
      </c>
      <c r="N125" s="247" t="s">
        <v>1537</v>
      </c>
      <c r="O125" s="247" t="s">
        <v>2227</v>
      </c>
      <c r="P125" s="247" t="s">
        <v>2167</v>
      </c>
      <c r="Q125" s="247">
        <v>830</v>
      </c>
      <c r="R125" s="247" t="s">
        <v>1540</v>
      </c>
      <c r="S125" s="247" t="s">
        <v>2228</v>
      </c>
      <c r="T125" s="564" t="s">
        <v>2229</v>
      </c>
      <c r="U125" s="565" t="s">
        <v>2128</v>
      </c>
      <c r="V125" s="566" t="s">
        <v>2230</v>
      </c>
      <c r="W125" s="564" t="s">
        <v>2231</v>
      </c>
      <c r="X125" s="565" t="s">
        <v>2177</v>
      </c>
      <c r="Y125" s="247">
        <f t="shared" si="10"/>
        <v>14824</v>
      </c>
      <c r="Z125" s="247">
        <f t="shared" si="11"/>
        <v>42248</v>
      </c>
      <c r="AA125" s="567">
        <f t="shared" si="12"/>
        <v>1.85</v>
      </c>
      <c r="AB125" s="567">
        <f t="shared" si="13"/>
        <v>-1</v>
      </c>
      <c r="AC125" s="247">
        <f t="shared" si="14"/>
        <v>0</v>
      </c>
      <c r="AD125" s="247" t="str">
        <f t="shared" si="15"/>
        <v/>
      </c>
      <c r="AE125" s="567" t="str">
        <f t="shared" si="16"/>
        <v/>
      </c>
      <c r="AF125" s="247">
        <f t="shared" si="17"/>
        <v>25781</v>
      </c>
      <c r="AG125" s="247">
        <f t="shared" si="18"/>
        <v>15</v>
      </c>
      <c r="AH125" s="557">
        <f t="shared" si="19"/>
        <v>1717.7329999999999</v>
      </c>
    </row>
    <row r="126" spans="1:34">
      <c r="A126" s="555">
        <f t="shared" si="0"/>
        <v>1</v>
      </c>
      <c r="B126" s="556">
        <f t="shared" ref="B126:B127" si="124">IF(AF126&lt;=AG126,1,IF(AH126&lt;=0.005,2,IF(AND(AH126&gt;0.005,AH126&lt;=0.02, L182),4,IF(AND(AH126&gt;0.02,AH126&lt;=0.05),5,IF(AND(AH126&gt;0.05,AH126&lt;=0.1),7,IF(AND(AH126&gt;0.1,AH126&lt;=0.2),8,IF(AH126&gt;0.2,10)))))))</f>
        <v>10</v>
      </c>
      <c r="C126" s="555">
        <f t="shared" ref="C126:C127" si="125">IF(AA126&lt;=0.005,10,IF(AND(AA126&gt;0.005,AA126&lt;=0.01, C167),9,IF(AND(AA126&gt;0.01,AA126&lt;=0.02),8,IF(AND(AA126&gt;0.02,AA126&lt;=0.05),7,IF(AND(AA126&gt;0.05,AA126&lt;=0.1),6,IF(AND(AA126&gt;0.1,AA126&lt;=0.2),5,IF(AND(AA126&gt;0.2,AA126&lt;=0.3),4,IF(AND(AA126&gt;0.3,AA126&lt;=0.4),3,IF(AND(AA126&gt;0.4,AA126&lt;=0.5),2,IF(AA126&gt;0.5,1))))))))))</f>
        <v>1</v>
      </c>
      <c r="D126" s="555">
        <f t="shared" si="3"/>
        <v>1</v>
      </c>
      <c r="E126" s="556">
        <f t="shared" si="99"/>
        <v>3.3</v>
      </c>
      <c r="F126" s="557" t="str">
        <f t="shared" si="5"/>
        <v xml:space="preserve">     -</v>
      </c>
      <c r="G126" s="558" t="str">
        <f t="shared" si="22"/>
        <v/>
      </c>
      <c r="H126" s="559" t="str">
        <f t="shared" si="45"/>
        <v/>
      </c>
      <c r="I126" s="560" t="e">
        <f t="shared" si="8"/>
        <v>#VALUE!</v>
      </c>
      <c r="J126" s="561" t="e">
        <f t="shared" si="9"/>
        <v>#VALUE!</v>
      </c>
      <c r="K126" s="562">
        <v>1250</v>
      </c>
      <c r="L126" s="563">
        <v>44931</v>
      </c>
      <c r="M126" s="569">
        <f t="shared" si="72"/>
        <v>44931</v>
      </c>
      <c r="N126" s="247" t="s">
        <v>1547</v>
      </c>
      <c r="O126" s="247" t="s">
        <v>690</v>
      </c>
      <c r="P126" s="247" t="s">
        <v>2167</v>
      </c>
      <c r="Q126" s="247">
        <v>580</v>
      </c>
      <c r="R126" s="247" t="s">
        <v>1548</v>
      </c>
      <c r="S126" s="247" t="s">
        <v>2232</v>
      </c>
      <c r="T126" s="564" t="s">
        <v>2233</v>
      </c>
      <c r="U126" s="565" t="s">
        <v>2234</v>
      </c>
      <c r="V126" s="566" t="s">
        <v>2235</v>
      </c>
      <c r="W126" s="564" t="s">
        <v>1885</v>
      </c>
      <c r="X126" s="565" t="s">
        <v>2236</v>
      </c>
      <c r="Y126" s="247" t="str">
        <f t="shared" si="10"/>
        <v/>
      </c>
      <c r="Z126" s="247">
        <f t="shared" si="11"/>
        <v>26</v>
      </c>
      <c r="AA126" s="567" t="str">
        <f t="shared" si="12"/>
        <v/>
      </c>
      <c r="AB126" s="567">
        <f t="shared" si="13"/>
        <v>-1</v>
      </c>
      <c r="AC126" s="247">
        <f t="shared" si="14"/>
        <v>0</v>
      </c>
      <c r="AD126" s="247">
        <f t="shared" si="15"/>
        <v>37</v>
      </c>
      <c r="AE126" s="567">
        <f t="shared" si="16"/>
        <v>1</v>
      </c>
      <c r="AF126" s="247" t="str">
        <f t="shared" si="17"/>
        <v/>
      </c>
      <c r="AG126" s="247">
        <f t="shared" si="18"/>
        <v>18</v>
      </c>
      <c r="AH126" s="557" t="str">
        <f t="shared" si="19"/>
        <v/>
      </c>
    </row>
    <row r="127" spans="1:34">
      <c r="A127" s="555">
        <f t="shared" si="0"/>
        <v>1</v>
      </c>
      <c r="B127" s="556">
        <f t="shared" si="124"/>
        <v>10</v>
      </c>
      <c r="C127" s="555">
        <f t="shared" si="125"/>
        <v>1</v>
      </c>
      <c r="D127" s="555">
        <f t="shared" si="3"/>
        <v>10</v>
      </c>
      <c r="E127" s="556">
        <f t="shared" si="99"/>
        <v>5.5</v>
      </c>
      <c r="F127" s="557" t="str">
        <f t="shared" si="5"/>
        <v xml:space="preserve">     -</v>
      </c>
      <c r="G127" s="558" t="str">
        <f t="shared" si="22"/>
        <v/>
      </c>
      <c r="H127" s="559" t="str">
        <f t="shared" si="45"/>
        <v/>
      </c>
      <c r="I127" s="560" t="e">
        <f t="shared" si="8"/>
        <v>#VALUE!</v>
      </c>
      <c r="J127" s="561" t="e">
        <f t="shared" si="9"/>
        <v>#VALUE!</v>
      </c>
      <c r="K127" s="562">
        <v>175</v>
      </c>
      <c r="L127" s="563">
        <v>44931</v>
      </c>
      <c r="M127" s="569">
        <f t="shared" si="72"/>
        <v>44931</v>
      </c>
      <c r="N127" s="247" t="s">
        <v>1537</v>
      </c>
      <c r="O127" s="247" t="s">
        <v>574</v>
      </c>
      <c r="P127" s="247" t="s">
        <v>2167</v>
      </c>
      <c r="Q127" s="247">
        <v>3320</v>
      </c>
      <c r="R127" s="247" t="s">
        <v>1548</v>
      </c>
      <c r="S127" s="247" t="s">
        <v>2237</v>
      </c>
      <c r="T127" s="564" t="s">
        <v>2238</v>
      </c>
      <c r="U127" s="565" t="s">
        <v>2239</v>
      </c>
      <c r="V127" s="566" t="s">
        <v>2240</v>
      </c>
      <c r="W127" s="564" t="s">
        <v>2241</v>
      </c>
      <c r="X127" s="565" t="s">
        <v>2242</v>
      </c>
      <c r="Y127" s="247" t="str">
        <f t="shared" si="10"/>
        <v/>
      </c>
      <c r="Z127" s="247" t="str">
        <f t="shared" si="11"/>
        <v/>
      </c>
      <c r="AA127" s="567" t="str">
        <f t="shared" si="12"/>
        <v/>
      </c>
      <c r="AB127" s="567" t="str">
        <f t="shared" si="13"/>
        <v/>
      </c>
      <c r="AC127" s="247">
        <f t="shared" si="14"/>
        <v>0</v>
      </c>
      <c r="AD127" s="247">
        <f t="shared" si="15"/>
        <v>93</v>
      </c>
      <c r="AE127" s="567">
        <f t="shared" si="16"/>
        <v>1</v>
      </c>
      <c r="AF127" s="247" t="str">
        <f t="shared" si="17"/>
        <v/>
      </c>
      <c r="AG127" s="247">
        <f t="shared" si="18"/>
        <v>57</v>
      </c>
      <c r="AH127" s="557" t="str">
        <f t="shared" si="19"/>
        <v/>
      </c>
    </row>
    <row r="128" spans="1:34">
      <c r="A128" s="555">
        <f t="shared" si="0"/>
        <v>1</v>
      </c>
      <c r="B128" s="556">
        <f t="shared" ref="B128:B129" si="126">IF(AF128&lt;=AG128,1,IF(AH128&lt;=0.005,2,IF(AND(AH128&gt;0.005,AH128&lt;=0.02, L182),4,IF(AND(AH128&gt;0.02,AH128&lt;=0.05),5,IF(AND(AH128&gt;0.05,AH128&lt;=0.1),7,IF(AND(AH128&gt;0.1,AH128&lt;=0.2),8,IF(AH128&gt;0.2,10)))))))</f>
        <v>10</v>
      </c>
      <c r="C128" s="555">
        <f t="shared" ref="C128:C129" si="127">IF(AA128&lt;=0.005,10,IF(AND(AA128&gt;0.005,AA128&lt;=0.01, C167),9,IF(AND(AA128&gt;0.01,AA128&lt;=0.02),8,IF(AND(AA128&gt;0.02,AA128&lt;=0.05),7,IF(AND(AA128&gt;0.05,AA128&lt;=0.1),6,IF(AND(AA128&gt;0.1,AA128&lt;=0.2),5,IF(AND(AA128&gt;0.2,AA128&lt;=0.3),4,IF(AND(AA128&gt;0.3,AA128&lt;=0.4),3,IF(AND(AA128&gt;0.4,AA128&lt;=0.5),2,IF(AA128&gt;0.5,1))))))))))</f>
        <v>1</v>
      </c>
      <c r="D128" s="555">
        <f t="shared" si="3"/>
        <v>10</v>
      </c>
      <c r="E128" s="556">
        <f t="shared" si="99"/>
        <v>5.5</v>
      </c>
      <c r="F128" s="557" t="str">
        <f t="shared" si="5"/>
        <v xml:space="preserve">     -</v>
      </c>
      <c r="G128" s="558" t="str">
        <f t="shared" si="22"/>
        <v/>
      </c>
      <c r="H128" s="559" t="str">
        <f t="shared" si="45"/>
        <v/>
      </c>
      <c r="I128" s="560" t="e">
        <f t="shared" si="8"/>
        <v>#VALUE!</v>
      </c>
      <c r="J128" s="561" t="e">
        <f t="shared" si="9"/>
        <v>#VALUE!</v>
      </c>
      <c r="K128" s="562">
        <v>1200</v>
      </c>
      <c r="L128" s="563">
        <v>44932</v>
      </c>
      <c r="M128" s="569">
        <f t="shared" si="72"/>
        <v>44932</v>
      </c>
      <c r="N128" s="247" t="s">
        <v>1547</v>
      </c>
      <c r="O128" s="247" t="s">
        <v>663</v>
      </c>
      <c r="P128" s="247" t="s">
        <v>2167</v>
      </c>
      <c r="Q128" s="247">
        <v>950</v>
      </c>
      <c r="R128" s="247" t="s">
        <v>1540</v>
      </c>
      <c r="S128" s="247" t="s">
        <v>2243</v>
      </c>
      <c r="T128" s="564" t="s">
        <v>2189</v>
      </c>
      <c r="U128" s="565" t="s">
        <v>2244</v>
      </c>
      <c r="V128" s="566" t="s">
        <v>2245</v>
      </c>
      <c r="W128" s="564" t="s">
        <v>2246</v>
      </c>
      <c r="X128" s="565" t="s">
        <v>2247</v>
      </c>
      <c r="Y128" s="247" t="str">
        <f t="shared" si="10"/>
        <v/>
      </c>
      <c r="Z128" s="247" t="str">
        <f t="shared" si="11"/>
        <v/>
      </c>
      <c r="AA128" s="567" t="str">
        <f t="shared" si="12"/>
        <v/>
      </c>
      <c r="AB128" s="567" t="str">
        <f t="shared" si="13"/>
        <v/>
      </c>
      <c r="AC128" s="247">
        <f t="shared" si="14"/>
        <v>0</v>
      </c>
      <c r="AD128" s="247">
        <f t="shared" si="15"/>
        <v>28</v>
      </c>
      <c r="AE128" s="567">
        <f t="shared" si="16"/>
        <v>1</v>
      </c>
      <c r="AF128" s="247" t="str">
        <f t="shared" si="17"/>
        <v/>
      </c>
      <c r="AG128" s="247">
        <f t="shared" si="18"/>
        <v>14</v>
      </c>
      <c r="AH128" s="557" t="str">
        <f t="shared" si="19"/>
        <v/>
      </c>
    </row>
    <row r="129" spans="1:34">
      <c r="A129" s="555">
        <f t="shared" si="0"/>
        <v>1</v>
      </c>
      <c r="B129" s="556">
        <f t="shared" si="126"/>
        <v>10</v>
      </c>
      <c r="C129" s="555">
        <f t="shared" si="127"/>
        <v>1</v>
      </c>
      <c r="D129" s="555">
        <f t="shared" si="3"/>
        <v>1</v>
      </c>
      <c r="E129" s="556">
        <f t="shared" si="99"/>
        <v>3.3</v>
      </c>
      <c r="F129" s="557" t="str">
        <f t="shared" si="5"/>
        <v xml:space="preserve">     -</v>
      </c>
      <c r="G129" s="558" t="str">
        <f t="shared" si="22"/>
        <v/>
      </c>
      <c r="H129" s="559" t="str">
        <f t="shared" si="45"/>
        <v/>
      </c>
      <c r="I129" s="560" t="e">
        <f t="shared" si="8"/>
        <v>#VALUE!</v>
      </c>
      <c r="J129" s="561" t="e">
        <f t="shared" si="9"/>
        <v>#VALUE!</v>
      </c>
      <c r="K129" s="562">
        <v>1000</v>
      </c>
      <c r="L129" s="563">
        <v>44932</v>
      </c>
      <c r="M129" s="569">
        <f t="shared" si="72"/>
        <v>44932</v>
      </c>
      <c r="N129" s="247" t="s">
        <v>1537</v>
      </c>
      <c r="O129" s="247" t="s">
        <v>2248</v>
      </c>
      <c r="P129" s="247" t="s">
        <v>2167</v>
      </c>
      <c r="Q129" s="247">
        <v>430</v>
      </c>
      <c r="R129" s="247" t="s">
        <v>1540</v>
      </c>
      <c r="S129" s="247" t="s">
        <v>2249</v>
      </c>
      <c r="T129" s="564" t="s">
        <v>2250</v>
      </c>
      <c r="U129" s="565" t="s">
        <v>1870</v>
      </c>
      <c r="V129" s="566" t="s">
        <v>2129</v>
      </c>
      <c r="W129" s="564" t="s">
        <v>1752</v>
      </c>
      <c r="X129" s="565" t="s">
        <v>2251</v>
      </c>
      <c r="Y129" s="247" t="str">
        <f t="shared" si="10"/>
        <v/>
      </c>
      <c r="Z129" s="247">
        <f t="shared" si="11"/>
        <v>17</v>
      </c>
      <c r="AA129" s="567" t="str">
        <f t="shared" si="12"/>
        <v/>
      </c>
      <c r="AB129" s="567">
        <f t="shared" si="13"/>
        <v>-1</v>
      </c>
      <c r="AC129" s="247">
        <f t="shared" si="14"/>
        <v>0</v>
      </c>
      <c r="AD129" s="247" t="str">
        <f t="shared" si="15"/>
        <v/>
      </c>
      <c r="AE129" s="567" t="str">
        <f t="shared" si="16"/>
        <v/>
      </c>
      <c r="AF129" s="247" t="str">
        <f t="shared" si="17"/>
        <v/>
      </c>
      <c r="AG129" s="247">
        <f t="shared" si="18"/>
        <v>13</v>
      </c>
      <c r="AH129" s="557" t="str">
        <f t="shared" si="19"/>
        <v/>
      </c>
    </row>
    <row r="130" spans="1:34">
      <c r="A130" s="555">
        <f t="shared" si="0"/>
        <v>10</v>
      </c>
      <c r="B130" s="556">
        <f>IF(AF130&lt;=AG130,1,IF(AH130&lt;=0.005,2,IF(AND(AH130&gt;0.005,AH130&lt;=0.02, L183),4,IF(AND(AH130&gt;0.02,AH130&lt;=0.05),5,IF(AND(AH130&gt;0.05,AH130&lt;=0.1),7,IF(AND(AH130&gt;0.1,AH130&lt;=0.2),8,IF(AH130&gt;0.2,10)))))))</f>
        <v>10</v>
      </c>
      <c r="C130" s="555">
        <f>IF(AA130&lt;=0.005,10,IF(AND(AA130&gt;0.005,AA130&lt;=0.01, C168),9,IF(AND(AA130&gt;0.01,AA130&lt;=0.02),8,IF(AND(AA130&gt;0.02,AA130&lt;=0.05),7,IF(AND(AA130&gt;0.05,AA130&lt;=0.1),6,IF(AND(AA130&gt;0.1,AA130&lt;=0.2),5,IF(AND(AA130&gt;0.2,AA130&lt;=0.3),4,IF(AND(AA130&gt;0.3,AA130&lt;=0.4),3,IF(AND(AA130&gt;0.4,AA130&lt;=0.5),2,IF(AA130&gt;0.5,1))))))))))</f>
        <v>1</v>
      </c>
      <c r="D130" s="555">
        <f t="shared" si="3"/>
        <v>1</v>
      </c>
      <c r="E130" s="556">
        <f t="shared" si="99"/>
        <v>5.5</v>
      </c>
      <c r="F130" s="557" t="str">
        <f t="shared" si="5"/>
        <v xml:space="preserve">     -</v>
      </c>
      <c r="G130" s="558">
        <f t="shared" si="22"/>
        <v>0.1547</v>
      </c>
      <c r="H130" s="559">
        <f t="shared" si="45"/>
        <v>-0.53700000000000003</v>
      </c>
      <c r="I130" s="560">
        <f t="shared" si="8"/>
        <v>16573500</v>
      </c>
      <c r="J130" s="561">
        <f t="shared" si="9"/>
        <v>57528000</v>
      </c>
      <c r="K130" s="562">
        <v>4500</v>
      </c>
      <c r="L130" s="563">
        <v>44935</v>
      </c>
      <c r="M130" s="569">
        <f t="shared" si="72"/>
        <v>44935</v>
      </c>
      <c r="N130" s="247" t="s">
        <v>1845</v>
      </c>
      <c r="O130" s="247" t="s">
        <v>539</v>
      </c>
      <c r="P130" s="247" t="s">
        <v>2167</v>
      </c>
      <c r="Q130" s="247">
        <v>122.5</v>
      </c>
      <c r="R130" s="247" t="s">
        <v>1548</v>
      </c>
      <c r="S130" s="247" t="s">
        <v>2252</v>
      </c>
      <c r="T130" s="564" t="s">
        <v>2253</v>
      </c>
      <c r="U130" s="565" t="s">
        <v>1687</v>
      </c>
      <c r="V130" s="566" t="s">
        <v>2254</v>
      </c>
      <c r="W130" s="564" t="s">
        <v>2255</v>
      </c>
      <c r="X130" s="565" t="s">
        <v>1690</v>
      </c>
      <c r="Y130" s="247">
        <f t="shared" si="10"/>
        <v>23802</v>
      </c>
      <c r="Z130" s="247">
        <f t="shared" si="11"/>
        <v>45203</v>
      </c>
      <c r="AA130" s="567">
        <f t="shared" si="12"/>
        <v>0.89900000000000002</v>
      </c>
      <c r="AB130" s="567">
        <f t="shared" si="13"/>
        <v>-0.311</v>
      </c>
      <c r="AC130" s="247">
        <f t="shared" si="14"/>
        <v>31138</v>
      </c>
      <c r="AD130" s="247">
        <f t="shared" si="15"/>
        <v>27485</v>
      </c>
      <c r="AE130" s="567" t="str">
        <f t="shared" si="16"/>
        <v>Tgt Hit</v>
      </c>
      <c r="AF130" s="247">
        <f t="shared" si="17"/>
        <v>25628</v>
      </c>
      <c r="AG130" s="247">
        <f t="shared" si="18"/>
        <v>11018</v>
      </c>
      <c r="AH130" s="557">
        <f t="shared" si="19"/>
        <v>1.3260000000000001</v>
      </c>
    </row>
    <row r="131" spans="1:34">
      <c r="A131" s="555">
        <f t="shared" si="0"/>
        <v>1</v>
      </c>
      <c r="B131" s="556">
        <f>IF(AF131&lt;=AG131,1,IF(AH131&lt;=0.005,2,IF(AND(AH131&gt;0.005,AH131&lt;=0.02, L183),4,IF(AND(AH131&gt;0.02,AH131&lt;=0.05),5,IF(AND(AH131&gt;0.05,AH131&lt;=0.1),7,IF(AND(AH131&gt;0.1,AH131&lt;=0.2),8,IF(AH131&gt;0.2,10)))))))</f>
        <v>10</v>
      </c>
      <c r="C131" s="555">
        <f>IF(AA131&lt;=0.005,10,IF(AND(AA131&gt;0.005,AA131&lt;=0.01, C168),9,IF(AND(AA131&gt;0.01,AA131&lt;=0.02),8,IF(AND(AA131&gt;0.02,AA131&lt;=0.05),7,IF(AND(AA131&gt;0.05,AA131&lt;=0.1),6,IF(AND(AA131&gt;0.1,AA131&lt;=0.2),5,IF(AND(AA131&gt;0.2,AA131&lt;=0.3),4,IF(AND(AA131&gt;0.3,AA131&lt;=0.4),3,IF(AND(AA131&gt;0.4,AA131&lt;=0.5),2,IF(AA131&gt;0.5,1))))))))))</f>
        <v>1</v>
      </c>
      <c r="D131" s="555">
        <f t="shared" si="3"/>
        <v>10</v>
      </c>
      <c r="E131" s="556">
        <f t="shared" si="99"/>
        <v>5.5</v>
      </c>
      <c r="F131" s="557" t="str">
        <f t="shared" si="5"/>
        <v xml:space="preserve">     -</v>
      </c>
      <c r="G131" s="558">
        <f t="shared" si="22"/>
        <v>0.64710000000000001</v>
      </c>
      <c r="H131" s="559">
        <f t="shared" si="45"/>
        <v>-0.29399999999999998</v>
      </c>
      <c r="I131" s="560">
        <f t="shared" si="8"/>
        <v>9350</v>
      </c>
      <c r="J131" s="561">
        <f t="shared" si="9"/>
        <v>4250</v>
      </c>
      <c r="K131" s="562">
        <v>850</v>
      </c>
      <c r="L131" s="563">
        <v>44935</v>
      </c>
      <c r="M131" s="569">
        <f t="shared" si="72"/>
        <v>44935</v>
      </c>
      <c r="N131" s="247" t="s">
        <v>1547</v>
      </c>
      <c r="O131" s="247" t="s">
        <v>1791</v>
      </c>
      <c r="P131" s="247" t="s">
        <v>2167</v>
      </c>
      <c r="Q131" s="247">
        <v>740</v>
      </c>
      <c r="R131" s="247" t="s">
        <v>1548</v>
      </c>
      <c r="S131" s="247" t="s">
        <v>2256</v>
      </c>
      <c r="T131" s="564" t="s">
        <v>2189</v>
      </c>
      <c r="U131" s="565" t="s">
        <v>2257</v>
      </c>
      <c r="V131" s="566" t="s">
        <v>2258</v>
      </c>
      <c r="W131" s="564" t="s">
        <v>2259</v>
      </c>
      <c r="X131" s="565" t="s">
        <v>2260</v>
      </c>
      <c r="Y131" s="247">
        <f t="shared" si="10"/>
        <v>17</v>
      </c>
      <c r="Z131" s="247" t="str">
        <f t="shared" si="11"/>
        <v/>
      </c>
      <c r="AA131" s="567" t="str">
        <f t="shared" si="12"/>
        <v/>
      </c>
      <c r="AB131" s="567" t="str">
        <f t="shared" si="13"/>
        <v/>
      </c>
      <c r="AC131" s="247">
        <f t="shared" si="14"/>
        <v>0</v>
      </c>
      <c r="AD131" s="247">
        <f t="shared" si="15"/>
        <v>28</v>
      </c>
      <c r="AE131" s="567">
        <f t="shared" si="16"/>
        <v>1</v>
      </c>
      <c r="AF131" s="247" t="str">
        <f t="shared" si="17"/>
        <v/>
      </c>
      <c r="AG131" s="247">
        <f t="shared" si="18"/>
        <v>12</v>
      </c>
      <c r="AH131" s="557" t="str">
        <f t="shared" si="19"/>
        <v/>
      </c>
    </row>
    <row r="132" spans="1:34">
      <c r="A132" s="555">
        <f t="shared" si="0"/>
        <v>7</v>
      </c>
      <c r="B132" s="556">
        <f t="shared" ref="B132:B133" si="128">IF(AF132&lt;=AG132,1,IF(AH132&lt;=0.005,2,IF(AND(AH132&gt;0.005,AH132&lt;=0.02, L182),4,IF(AND(AH132&gt;0.02,AH132&lt;=0.05),5,IF(AND(AH132&gt;0.05,AH132&lt;=0.1),7,IF(AND(AH132&gt;0.1,AH132&lt;=0.2),8,IF(AH132&gt;0.2,10)))))))</f>
        <v>10</v>
      </c>
      <c r="C132" s="555">
        <f t="shared" ref="C132:C133" si="129">IF(AA132&lt;=0.005,10,IF(AND(AA132&gt;0.005,AA132&lt;=0.01, C167),9,IF(AND(AA132&gt;0.01,AA132&lt;=0.02),8,IF(AND(AA132&gt;0.02,AA132&lt;=0.05),7,IF(AND(AA132&gt;0.05,AA132&lt;=0.1),6,IF(AND(AA132&gt;0.1,AA132&lt;=0.2),5,IF(AND(AA132&gt;0.2,AA132&lt;=0.3),4,IF(AND(AA132&gt;0.3,AA132&lt;=0.4),3,IF(AND(AA132&gt;0.4,AA132&lt;=0.5),2,IF(AA132&gt;0.5,1))))))))))</f>
        <v>1</v>
      </c>
      <c r="D132" s="555">
        <f t="shared" si="3"/>
        <v>1</v>
      </c>
      <c r="E132" s="556">
        <f t="shared" si="99"/>
        <v>4.8</v>
      </c>
      <c r="F132" s="557" t="str">
        <f t="shared" si="5"/>
        <v xml:space="preserve">     -</v>
      </c>
      <c r="G132" s="558" t="str">
        <f t="shared" si="22"/>
        <v/>
      </c>
      <c r="H132" s="559" t="str">
        <f t="shared" si="45"/>
        <v/>
      </c>
      <c r="I132" s="560" t="e">
        <f t="shared" si="8"/>
        <v>#VALUE!</v>
      </c>
      <c r="J132" s="561" t="e">
        <f t="shared" si="9"/>
        <v>#VALUE!</v>
      </c>
      <c r="K132" s="562">
        <v>1400</v>
      </c>
      <c r="L132" s="563">
        <v>44936</v>
      </c>
      <c r="M132" s="569">
        <f t="shared" si="72"/>
        <v>44936</v>
      </c>
      <c r="N132" s="247" t="s">
        <v>1547</v>
      </c>
      <c r="O132" s="247" t="s">
        <v>467</v>
      </c>
      <c r="P132" s="247" t="s">
        <v>2167</v>
      </c>
      <c r="Q132" s="247">
        <v>470</v>
      </c>
      <c r="R132" s="247" t="s">
        <v>1548</v>
      </c>
      <c r="S132" s="247" t="s">
        <v>2261</v>
      </c>
      <c r="T132" s="564" t="s">
        <v>2262</v>
      </c>
      <c r="U132" s="565" t="s">
        <v>1608</v>
      </c>
      <c r="V132" s="566" t="s">
        <v>2263</v>
      </c>
      <c r="W132" s="564" t="s">
        <v>2264</v>
      </c>
      <c r="X132" s="565" t="s">
        <v>2265</v>
      </c>
      <c r="Y132" s="247" t="str">
        <f t="shared" si="10"/>
        <v/>
      </c>
      <c r="Z132" s="247">
        <f t="shared" si="11"/>
        <v>22</v>
      </c>
      <c r="AA132" s="567" t="str">
        <f t="shared" si="12"/>
        <v/>
      </c>
      <c r="AB132" s="567">
        <f t="shared" si="13"/>
        <v>0</v>
      </c>
      <c r="AC132" s="247">
        <f t="shared" si="14"/>
        <v>22</v>
      </c>
      <c r="AD132" s="247">
        <f t="shared" si="15"/>
        <v>25</v>
      </c>
      <c r="AE132" s="567">
        <f t="shared" si="16"/>
        <v>0.12</v>
      </c>
      <c r="AF132" s="247" t="str">
        <f t="shared" si="17"/>
        <v/>
      </c>
      <c r="AG132" s="247">
        <f t="shared" si="18"/>
        <v>10</v>
      </c>
      <c r="AH132" s="557" t="str">
        <f t="shared" si="19"/>
        <v/>
      </c>
    </row>
    <row r="133" spans="1:34">
      <c r="A133" s="555">
        <f t="shared" si="0"/>
        <v>10</v>
      </c>
      <c r="B133" s="556">
        <f t="shared" si="128"/>
        <v>10</v>
      </c>
      <c r="C133" s="555">
        <f t="shared" si="129"/>
        <v>10</v>
      </c>
      <c r="D133" s="555">
        <f t="shared" si="3"/>
        <v>10</v>
      </c>
      <c r="E133" s="556">
        <f t="shared" si="99"/>
        <v>10</v>
      </c>
      <c r="F133" s="557" t="str">
        <f t="shared" si="5"/>
        <v xml:space="preserve">     -</v>
      </c>
      <c r="G133" s="558">
        <f t="shared" si="22"/>
        <v>0.1547</v>
      </c>
      <c r="H133" s="559">
        <f t="shared" si="45"/>
        <v>-0.53700000000000003</v>
      </c>
      <c r="I133" s="560">
        <f t="shared" si="8"/>
        <v>17678400</v>
      </c>
      <c r="J133" s="561">
        <f t="shared" si="9"/>
        <v>61363200</v>
      </c>
      <c r="K133" s="562">
        <v>4800</v>
      </c>
      <c r="L133" s="563">
        <v>44936</v>
      </c>
      <c r="M133" s="569">
        <f t="shared" si="72"/>
        <v>44936</v>
      </c>
      <c r="N133" s="247" t="s">
        <v>1845</v>
      </c>
      <c r="O133" s="247" t="s">
        <v>1779</v>
      </c>
      <c r="P133" s="247" t="s">
        <v>2167</v>
      </c>
      <c r="Q133" s="247">
        <v>120</v>
      </c>
      <c r="R133" s="247" t="s">
        <v>1548</v>
      </c>
      <c r="S133" s="247" t="s">
        <v>2252</v>
      </c>
      <c r="T133" s="564" t="s">
        <v>2253</v>
      </c>
      <c r="U133" s="565" t="s">
        <v>1687</v>
      </c>
      <c r="V133" s="566" t="s">
        <v>2266</v>
      </c>
      <c r="W133" s="564" t="s">
        <v>2103</v>
      </c>
      <c r="X133" s="565" t="s">
        <v>1690</v>
      </c>
      <c r="Y133" s="247">
        <f t="shared" si="10"/>
        <v>23802</v>
      </c>
      <c r="Z133" s="247">
        <f t="shared" si="11"/>
        <v>4</v>
      </c>
      <c r="AA133" s="567">
        <f t="shared" si="12"/>
        <v>-1</v>
      </c>
      <c r="AB133" s="567">
        <f t="shared" si="13"/>
        <v>7349.75</v>
      </c>
      <c r="AC133" s="247">
        <f t="shared" si="14"/>
        <v>29403</v>
      </c>
      <c r="AD133" s="247">
        <f t="shared" si="15"/>
        <v>27485</v>
      </c>
      <c r="AE133" s="567" t="str">
        <f t="shared" si="16"/>
        <v>Tgt Hit</v>
      </c>
      <c r="AF133" s="247">
        <f t="shared" si="17"/>
        <v>25628</v>
      </c>
      <c r="AG133" s="247">
        <f t="shared" si="18"/>
        <v>11018</v>
      </c>
      <c r="AH133" s="557">
        <f t="shared" si="19"/>
        <v>1.3260000000000001</v>
      </c>
    </row>
    <row r="134" spans="1:34">
      <c r="A134" s="555">
        <f t="shared" si="0"/>
        <v>10</v>
      </c>
      <c r="B134" s="556">
        <f t="shared" ref="B134:B135" si="130">IF(AF134&lt;=AG134,1,IF(AH134&lt;=0.005,2,IF(AND(AH134&gt;0.005,AH134&lt;=0.02, L182),4,IF(AND(AH134&gt;0.02,AH134&lt;=0.05),5,IF(AND(AH134&gt;0.05,AH134&lt;=0.1),7,IF(AND(AH134&gt;0.1,AH134&lt;=0.2),8,IF(AH134&gt;0.2,10)))))))</f>
        <v>1</v>
      </c>
      <c r="C134" s="555">
        <f t="shared" ref="C134:C135" si="131">IF(AA134&lt;=0.005,10,IF(AND(AA134&gt;0.005,AA134&lt;=0.01, C167),9,IF(AND(AA134&gt;0.01,AA134&lt;=0.02),8,IF(AND(AA134&gt;0.02,AA134&lt;=0.05),7,IF(AND(AA134&gt;0.05,AA134&lt;=0.1),6,IF(AND(AA134&gt;0.1,AA134&lt;=0.2),5,IF(AND(AA134&gt;0.2,AA134&lt;=0.3),4,IF(AND(AA134&gt;0.3,AA134&lt;=0.4),3,IF(AND(AA134&gt;0.4,AA134&lt;=0.5),2,IF(AA134&gt;0.5,1))))))))))</f>
        <v>10</v>
      </c>
      <c r="D134" s="555">
        <f t="shared" si="3"/>
        <v>10</v>
      </c>
      <c r="E134" s="556">
        <f t="shared" si="99"/>
        <v>7.8</v>
      </c>
      <c r="F134" s="557">
        <f t="shared" si="5"/>
        <v>0.99967309578293562</v>
      </c>
      <c r="G134" s="558">
        <f t="shared" si="22"/>
        <v>-0.99970000000000003</v>
      </c>
      <c r="H134" s="559">
        <f t="shared" si="45"/>
        <v>-0.56499999999999995</v>
      </c>
      <c r="I134" s="560">
        <f t="shared" si="8"/>
        <v>-210870000</v>
      </c>
      <c r="J134" s="561">
        <f t="shared" si="9"/>
        <v>119160000</v>
      </c>
      <c r="K134" s="562">
        <v>5000</v>
      </c>
      <c r="L134" s="563">
        <v>44937</v>
      </c>
      <c r="M134" s="569">
        <f t="shared" si="72"/>
        <v>44937</v>
      </c>
      <c r="N134" s="247" t="s">
        <v>1845</v>
      </c>
      <c r="O134" s="247" t="s">
        <v>2267</v>
      </c>
      <c r="P134" s="247" t="s">
        <v>2167</v>
      </c>
      <c r="Q134" s="247">
        <v>180</v>
      </c>
      <c r="R134" s="247" t="s">
        <v>1548</v>
      </c>
      <c r="S134" s="247" t="s">
        <v>2268</v>
      </c>
      <c r="T134" s="564" t="s">
        <v>1588</v>
      </c>
      <c r="U134" s="565" t="s">
        <v>1693</v>
      </c>
      <c r="V134" s="566" t="s">
        <v>2154</v>
      </c>
      <c r="W134" s="564" t="s">
        <v>1984</v>
      </c>
      <c r="X134" s="565" t="s">
        <v>2269</v>
      </c>
      <c r="Y134" s="247">
        <f t="shared" si="10"/>
        <v>42186</v>
      </c>
      <c r="Z134" s="247">
        <f t="shared" si="11"/>
        <v>7</v>
      </c>
      <c r="AA134" s="567">
        <f t="shared" si="12"/>
        <v>-1</v>
      </c>
      <c r="AB134" s="567">
        <f t="shared" si="13"/>
        <v>6435.2860000000001</v>
      </c>
      <c r="AC134" s="247">
        <f t="shared" si="14"/>
        <v>45054</v>
      </c>
      <c r="AD134" s="247">
        <f t="shared" si="15"/>
        <v>12</v>
      </c>
      <c r="AE134" s="567" t="str">
        <f t="shared" si="16"/>
        <v>Tgt Hit</v>
      </c>
      <c r="AF134" s="247">
        <f t="shared" si="17"/>
        <v>6</v>
      </c>
      <c r="AG134" s="247">
        <f t="shared" si="18"/>
        <v>18354</v>
      </c>
      <c r="AH134" s="557" t="str">
        <f t="shared" si="19"/>
        <v>SL Hit</v>
      </c>
    </row>
    <row r="135" spans="1:34">
      <c r="A135" s="555">
        <f t="shared" si="0"/>
        <v>1</v>
      </c>
      <c r="B135" s="556">
        <f t="shared" si="130"/>
        <v>10</v>
      </c>
      <c r="C135" s="555">
        <f t="shared" si="131"/>
        <v>1</v>
      </c>
      <c r="D135" s="555">
        <f t="shared" si="3"/>
        <v>10</v>
      </c>
      <c r="E135" s="556">
        <f t="shared" si="99"/>
        <v>5.5</v>
      </c>
      <c r="F135" s="557" t="str">
        <f t="shared" si="5"/>
        <v xml:space="preserve">     -</v>
      </c>
      <c r="G135" s="558" t="str">
        <f t="shared" si="22"/>
        <v/>
      </c>
      <c r="H135" s="559" t="str">
        <f t="shared" si="45"/>
        <v/>
      </c>
      <c r="I135" s="560" t="e">
        <f t="shared" si="8"/>
        <v>#VALUE!</v>
      </c>
      <c r="J135" s="561" t="e">
        <f t="shared" si="9"/>
        <v>#VALUE!</v>
      </c>
      <c r="K135" s="562">
        <v>1250</v>
      </c>
      <c r="L135" s="563">
        <v>44937</v>
      </c>
      <c r="M135" s="569">
        <f t="shared" si="72"/>
        <v>44937</v>
      </c>
      <c r="N135" s="247" t="s">
        <v>1547</v>
      </c>
      <c r="O135" s="247" t="s">
        <v>690</v>
      </c>
      <c r="P135" s="247" t="s">
        <v>2167</v>
      </c>
      <c r="Q135" s="247">
        <v>600</v>
      </c>
      <c r="R135" s="247" t="s">
        <v>1548</v>
      </c>
      <c r="S135" s="247" t="s">
        <v>2270</v>
      </c>
      <c r="T135" s="564" t="s">
        <v>2220</v>
      </c>
      <c r="U135" s="565" t="s">
        <v>2257</v>
      </c>
      <c r="V135" s="566" t="s">
        <v>2271</v>
      </c>
      <c r="W135" s="564" t="s">
        <v>2272</v>
      </c>
      <c r="X135" s="565" t="s">
        <v>2273</v>
      </c>
      <c r="Y135" s="247" t="str">
        <f t="shared" si="10"/>
        <v/>
      </c>
      <c r="Z135" s="247" t="str">
        <f t="shared" si="11"/>
        <v/>
      </c>
      <c r="AA135" s="567" t="str">
        <f t="shared" si="12"/>
        <v/>
      </c>
      <c r="AB135" s="567" t="str">
        <f t="shared" si="13"/>
        <v/>
      </c>
      <c r="AC135" s="247">
        <f t="shared" si="14"/>
        <v>0</v>
      </c>
      <c r="AD135" s="247">
        <f t="shared" si="15"/>
        <v>26</v>
      </c>
      <c r="AE135" s="567">
        <f t="shared" si="16"/>
        <v>1</v>
      </c>
      <c r="AF135" s="247">
        <f t="shared" si="17"/>
        <v>18</v>
      </c>
      <c r="AG135" s="247">
        <f t="shared" si="18"/>
        <v>12</v>
      </c>
      <c r="AH135" s="557">
        <f t="shared" si="19"/>
        <v>0.5</v>
      </c>
    </row>
    <row r="136" spans="1:34">
      <c r="A136" s="555">
        <f t="shared" si="0"/>
        <v>4</v>
      </c>
      <c r="B136" s="556">
        <f t="shared" ref="B136:B137" si="132">IF(AF136&lt;=AG136,1,IF(AH136&lt;=0.005,2,IF(AND(AH136&gt;0.005,AH136&lt;=0.02, L182),4,IF(AND(AH136&gt;0.02,AH136&lt;=0.05),5,IF(AND(AH136&gt;0.05,AH136&lt;=0.1),7,IF(AND(AH136&gt;0.1,AH136&lt;=0.2),8,IF(AH136&gt;0.2,10)))))))</f>
        <v>1</v>
      </c>
      <c r="C136" s="555">
        <f t="shared" ref="C136:C137" si="133">IF(AA136&lt;=0.005,10,IF(AND(AA136&gt;0.005,AA136&lt;=0.01, C167),9,IF(AND(AA136&gt;0.01,AA136&lt;=0.02),8,IF(AND(AA136&gt;0.02,AA136&lt;=0.05),7,IF(AND(AA136&gt;0.05,AA136&lt;=0.1),6,IF(AND(AA136&gt;0.1,AA136&lt;=0.2),5,IF(AND(AA136&gt;0.2,AA136&lt;=0.3),4,IF(AND(AA136&gt;0.3,AA136&lt;=0.4),3,IF(AND(AA136&gt;0.4,AA136&lt;=0.5),2,IF(AA136&gt;0.5,1))))))))))</f>
        <v>3</v>
      </c>
      <c r="D136" s="555">
        <f t="shared" si="3"/>
        <v>10</v>
      </c>
      <c r="E136" s="556">
        <f t="shared" si="99"/>
        <v>4.5</v>
      </c>
      <c r="F136" s="557">
        <f t="shared" si="5"/>
        <v>0.9997277182791795</v>
      </c>
      <c r="G136" s="558">
        <f t="shared" si="22"/>
        <v>2.9807000000000001</v>
      </c>
      <c r="H136" s="559">
        <f t="shared" si="45"/>
        <v>-3.0000000000000001E-3</v>
      </c>
      <c r="I136" s="560">
        <f t="shared" si="8"/>
        <v>148203000</v>
      </c>
      <c r="J136" s="561">
        <f t="shared" si="9"/>
        <v>139500</v>
      </c>
      <c r="K136" s="562">
        <v>4500</v>
      </c>
      <c r="L136" s="563">
        <v>44938</v>
      </c>
      <c r="M136" s="569">
        <f t="shared" si="72"/>
        <v>44938</v>
      </c>
      <c r="N136" s="247" t="s">
        <v>1845</v>
      </c>
      <c r="O136" s="247" t="s">
        <v>539</v>
      </c>
      <c r="P136" s="247" t="s">
        <v>2167</v>
      </c>
      <c r="Q136" s="247">
        <v>127.5</v>
      </c>
      <c r="R136" s="247" t="s">
        <v>1548</v>
      </c>
      <c r="S136" s="247" t="s">
        <v>1972</v>
      </c>
      <c r="T136" s="564" t="s">
        <v>2274</v>
      </c>
      <c r="U136" s="565" t="s">
        <v>1687</v>
      </c>
      <c r="V136" s="566" t="s">
        <v>2164</v>
      </c>
      <c r="W136" s="564" t="s">
        <v>2255</v>
      </c>
      <c r="X136" s="565" t="s">
        <v>2275</v>
      </c>
      <c r="Y136" s="247">
        <f t="shared" si="10"/>
        <v>11049</v>
      </c>
      <c r="Z136" s="247">
        <f t="shared" si="11"/>
        <v>14702</v>
      </c>
      <c r="AA136" s="567">
        <f t="shared" si="12"/>
        <v>0.33100000000000002</v>
      </c>
      <c r="AB136" s="567">
        <f t="shared" si="13"/>
        <v>1.1180000000000001</v>
      </c>
      <c r="AC136" s="247">
        <f t="shared" si="14"/>
        <v>31138</v>
      </c>
      <c r="AD136" s="247">
        <f t="shared" si="15"/>
        <v>43983</v>
      </c>
      <c r="AE136" s="567">
        <f t="shared" si="16"/>
        <v>0.29199999999999998</v>
      </c>
      <c r="AF136" s="247">
        <f t="shared" si="17"/>
        <v>3</v>
      </c>
      <c r="AG136" s="247">
        <f t="shared" si="18"/>
        <v>11018</v>
      </c>
      <c r="AH136" s="557" t="str">
        <f t="shared" si="19"/>
        <v>SL Hit</v>
      </c>
    </row>
    <row r="137" spans="1:34">
      <c r="A137" s="555">
        <f t="shared" si="0"/>
        <v>4</v>
      </c>
      <c r="B137" s="556">
        <f t="shared" si="132"/>
        <v>7</v>
      </c>
      <c r="C137" s="555">
        <f t="shared" si="133"/>
        <v>1</v>
      </c>
      <c r="D137" s="555">
        <f t="shared" si="3"/>
        <v>10</v>
      </c>
      <c r="E137" s="556">
        <f t="shared" si="99"/>
        <v>5.5</v>
      </c>
      <c r="F137" s="557" t="str">
        <f t="shared" si="5"/>
        <v xml:space="preserve">     -</v>
      </c>
      <c r="G137" s="558">
        <f t="shared" si="22"/>
        <v>0.5</v>
      </c>
      <c r="H137" s="559">
        <f t="shared" si="45"/>
        <v>-0.25</v>
      </c>
      <c r="I137" s="560">
        <f t="shared" si="8"/>
        <v>12500</v>
      </c>
      <c r="J137" s="561">
        <f t="shared" si="9"/>
        <v>6250</v>
      </c>
      <c r="K137" s="562">
        <v>1250</v>
      </c>
      <c r="L137" s="563">
        <v>44938</v>
      </c>
      <c r="M137" s="569">
        <f t="shared" si="72"/>
        <v>44938</v>
      </c>
      <c r="N137" s="247" t="s">
        <v>1547</v>
      </c>
      <c r="O137" s="247" t="s">
        <v>690</v>
      </c>
      <c r="P137" s="247" t="s">
        <v>2167</v>
      </c>
      <c r="Q137" s="247">
        <v>600</v>
      </c>
      <c r="R137" s="247" t="s">
        <v>1548</v>
      </c>
      <c r="S137" s="247" t="s">
        <v>2276</v>
      </c>
      <c r="T137" s="564" t="s">
        <v>1703</v>
      </c>
      <c r="U137" s="565" t="s">
        <v>2128</v>
      </c>
      <c r="V137" s="566" t="s">
        <v>2277</v>
      </c>
      <c r="W137" s="564" t="s">
        <v>2264</v>
      </c>
      <c r="X137" s="565" t="s">
        <v>2278</v>
      </c>
      <c r="Y137" s="247">
        <f t="shared" si="10"/>
        <v>20</v>
      </c>
      <c r="Z137" s="247" t="str">
        <f t="shared" si="11"/>
        <v/>
      </c>
      <c r="AA137" s="567" t="str">
        <f t="shared" si="12"/>
        <v/>
      </c>
      <c r="AB137" s="567" t="str">
        <f t="shared" si="13"/>
        <v/>
      </c>
      <c r="AC137" s="247">
        <f t="shared" si="14"/>
        <v>22</v>
      </c>
      <c r="AD137" s="247">
        <f t="shared" si="15"/>
        <v>30</v>
      </c>
      <c r="AE137" s="567">
        <f t="shared" si="16"/>
        <v>0.26700000000000002</v>
      </c>
      <c r="AF137" s="247">
        <f t="shared" si="17"/>
        <v>16</v>
      </c>
      <c r="AG137" s="247">
        <f t="shared" si="18"/>
        <v>15</v>
      </c>
      <c r="AH137" s="557">
        <f t="shared" si="19"/>
        <v>6.7000000000000004E-2</v>
      </c>
    </row>
    <row r="138" spans="1:34">
      <c r="A138" s="555">
        <f t="shared" si="0"/>
        <v>1</v>
      </c>
      <c r="B138" s="556">
        <f t="shared" ref="B138:B139" si="134">IF(AF138&lt;=AG138,1,IF(AH138&lt;=0.005,2,IF(AND(AH138&gt;0.005,AH138&lt;=0.02, L182),4,IF(AND(AH138&gt;0.02,AH138&lt;=0.05),5,IF(AND(AH138&gt;0.05,AH138&lt;=0.1),7,IF(AND(AH138&gt;0.1,AH138&lt;=0.2),8,IF(AH138&gt;0.2,10)))))))</f>
        <v>1</v>
      </c>
      <c r="C138" s="555">
        <f t="shared" ref="C138:C139" si="135">IF(AA138&lt;=0.005,10,IF(AND(AA138&gt;0.005,AA138&lt;=0.01, C167),9,IF(AND(AA138&gt;0.01,AA138&lt;=0.02),8,IF(AND(AA138&gt;0.02,AA138&lt;=0.05),7,IF(AND(AA138&gt;0.05,AA138&lt;=0.1),6,IF(AND(AA138&gt;0.1,AA138&lt;=0.2),5,IF(AND(AA138&gt;0.2,AA138&lt;=0.3),4,IF(AND(AA138&gt;0.3,AA138&lt;=0.4),3,IF(AND(AA138&gt;0.4,AA138&lt;=0.5),2,IF(AA138&gt;0.5,1))))))))))</f>
        <v>10</v>
      </c>
      <c r="D138" s="555">
        <f t="shared" si="3"/>
        <v>1</v>
      </c>
      <c r="E138" s="556">
        <f t="shared" si="99"/>
        <v>3.3</v>
      </c>
      <c r="F138" s="557">
        <f t="shared" si="5"/>
        <v>0.2906577541322784</v>
      </c>
      <c r="G138" s="558">
        <f t="shared" si="22"/>
        <v>-0.15959999999999999</v>
      </c>
      <c r="H138" s="559">
        <f t="shared" si="45"/>
        <v>0.98799999999999999</v>
      </c>
      <c r="I138" s="560">
        <f t="shared" si="8"/>
        <v>-7062000</v>
      </c>
      <c r="J138" s="561">
        <f t="shared" si="9"/>
        <v>-43708000</v>
      </c>
      <c r="K138" s="562">
        <v>2000</v>
      </c>
      <c r="L138" s="563">
        <v>44939</v>
      </c>
      <c r="M138" s="569">
        <f t="shared" si="72"/>
        <v>44939</v>
      </c>
      <c r="N138" s="247" t="s">
        <v>1845</v>
      </c>
      <c r="O138" s="247" t="s">
        <v>485</v>
      </c>
      <c r="P138" s="247" t="s">
        <v>2167</v>
      </c>
      <c r="Q138" s="247">
        <v>290</v>
      </c>
      <c r="R138" s="247" t="s">
        <v>1548</v>
      </c>
      <c r="S138" s="247" t="s">
        <v>2279</v>
      </c>
      <c r="T138" s="564" t="s">
        <v>2280</v>
      </c>
      <c r="U138" s="565" t="s">
        <v>2281</v>
      </c>
      <c r="V138" s="566" t="s">
        <v>2282</v>
      </c>
      <c r="W138" s="564" t="s">
        <v>2283</v>
      </c>
      <c r="X138" s="565" t="s">
        <v>2284</v>
      </c>
      <c r="Y138" s="247">
        <f t="shared" si="10"/>
        <v>22129</v>
      </c>
      <c r="Z138" s="247">
        <f t="shared" si="11"/>
        <v>10</v>
      </c>
      <c r="AA138" s="567">
        <f t="shared" si="12"/>
        <v>-1</v>
      </c>
      <c r="AB138" s="567">
        <f t="shared" si="13"/>
        <v>-1</v>
      </c>
      <c r="AC138" s="247">
        <f t="shared" si="14"/>
        <v>0</v>
      </c>
      <c r="AD138" s="247">
        <f t="shared" si="15"/>
        <v>18598</v>
      </c>
      <c r="AE138" s="567">
        <f t="shared" si="16"/>
        <v>1</v>
      </c>
      <c r="AF138" s="247">
        <f t="shared" si="17"/>
        <v>31199</v>
      </c>
      <c r="AG138" s="247">
        <f t="shared" si="18"/>
        <v>43983</v>
      </c>
      <c r="AH138" s="557" t="str">
        <f t="shared" si="19"/>
        <v>SL Hit</v>
      </c>
    </row>
    <row r="139" spans="1:34">
      <c r="A139" s="555">
        <f t="shared" si="0"/>
        <v>1</v>
      </c>
      <c r="B139" s="556">
        <f t="shared" si="134"/>
        <v>10</v>
      </c>
      <c r="C139" s="555">
        <f t="shared" si="135"/>
        <v>10</v>
      </c>
      <c r="D139" s="555">
        <f t="shared" si="3"/>
        <v>1</v>
      </c>
      <c r="E139" s="556">
        <f t="shared" si="99"/>
        <v>5.5</v>
      </c>
      <c r="F139" s="557" t="str">
        <f t="shared" si="5"/>
        <v xml:space="preserve">     -</v>
      </c>
      <c r="G139" s="558">
        <f t="shared" si="22"/>
        <v>-0.99960000000000004</v>
      </c>
      <c r="H139" s="559">
        <f t="shared" si="45"/>
        <v>-1</v>
      </c>
      <c r="I139" s="560">
        <f t="shared" si="8"/>
        <v>-67785000</v>
      </c>
      <c r="J139" s="561">
        <f t="shared" si="9"/>
        <v>67803000</v>
      </c>
      <c r="K139" s="562">
        <v>1500</v>
      </c>
      <c r="L139" s="563">
        <v>44939</v>
      </c>
      <c r="M139" s="569">
        <f t="shared" si="72"/>
        <v>44939</v>
      </c>
      <c r="N139" s="247" t="s">
        <v>1547</v>
      </c>
      <c r="O139" s="247" t="s">
        <v>1574</v>
      </c>
      <c r="P139" s="247" t="s">
        <v>2167</v>
      </c>
      <c r="Q139" s="247">
        <v>395</v>
      </c>
      <c r="R139" s="247" t="s">
        <v>1548</v>
      </c>
      <c r="S139" s="247" t="s">
        <v>2285</v>
      </c>
      <c r="T139" s="564" t="s">
        <v>2286</v>
      </c>
      <c r="U139" s="565" t="s">
        <v>1577</v>
      </c>
      <c r="V139" s="566" t="s">
        <v>2282</v>
      </c>
      <c r="W139" s="564" t="s">
        <v>2287</v>
      </c>
      <c r="X139" s="565" t="s">
        <v>1851</v>
      </c>
      <c r="Y139" s="247">
        <f t="shared" si="10"/>
        <v>45208</v>
      </c>
      <c r="Z139" s="247">
        <f t="shared" si="11"/>
        <v>10</v>
      </c>
      <c r="AA139" s="567">
        <f t="shared" si="12"/>
        <v>-1</v>
      </c>
      <c r="AB139" s="567">
        <f t="shared" si="13"/>
        <v>-1</v>
      </c>
      <c r="AC139" s="247">
        <f t="shared" si="14"/>
        <v>0</v>
      </c>
      <c r="AD139" s="247">
        <f t="shared" si="15"/>
        <v>18</v>
      </c>
      <c r="AE139" s="567">
        <f t="shared" si="16"/>
        <v>1</v>
      </c>
      <c r="AF139" s="247">
        <f t="shared" si="17"/>
        <v>45778</v>
      </c>
      <c r="AG139" s="247">
        <f t="shared" si="18"/>
        <v>6</v>
      </c>
      <c r="AH139" s="557">
        <f t="shared" si="19"/>
        <v>7628.6670000000004</v>
      </c>
    </row>
    <row r="140" spans="1:34">
      <c r="A140" s="555">
        <f t="shared" si="0"/>
        <v>1</v>
      </c>
      <c r="B140" s="556">
        <f t="shared" ref="B140:B141" si="136">IF(AF140&lt;=AG140,1,IF(AH140&lt;=0.005,2,IF(AND(AH140&gt;0.005,AH140&lt;=0.02, L182),4,IF(AND(AH140&gt;0.02,AH140&lt;=0.05),5,IF(AND(AH140&gt;0.05,AH140&lt;=0.1),7,IF(AND(AH140&gt;0.1,AH140&lt;=0.2),8,IF(AH140&gt;0.2,10)))))))</f>
        <v>10</v>
      </c>
      <c r="C140" s="555">
        <f t="shared" ref="C140:C141" si="137">IF(AA140&lt;=0.005,10,IF(AND(AA140&gt;0.005,AA140&lt;=0.01, C167),9,IF(AND(AA140&gt;0.01,AA140&lt;=0.02),8,IF(AND(AA140&gt;0.02,AA140&lt;=0.05),7,IF(AND(AA140&gt;0.05,AA140&lt;=0.1),6,IF(AND(AA140&gt;0.1,AA140&lt;=0.2),5,IF(AND(AA140&gt;0.2,AA140&lt;=0.3),4,IF(AND(AA140&gt;0.3,AA140&lt;=0.4),3,IF(AND(AA140&gt;0.4,AA140&lt;=0.5),2,IF(AA140&gt;0.5,1))))))))))</f>
        <v>1</v>
      </c>
      <c r="D140" s="555">
        <f t="shared" si="3"/>
        <v>10</v>
      </c>
      <c r="E140" s="556">
        <f t="shared" si="99"/>
        <v>5.5</v>
      </c>
      <c r="F140" s="557" t="str">
        <f t="shared" si="5"/>
        <v xml:space="preserve">     -</v>
      </c>
      <c r="G140" s="558" t="str">
        <f t="shared" si="22"/>
        <v/>
      </c>
      <c r="H140" s="559" t="str">
        <f t="shared" si="45"/>
        <v/>
      </c>
      <c r="I140" s="560" t="e">
        <f t="shared" si="8"/>
        <v>#VALUE!</v>
      </c>
      <c r="J140" s="561" t="e">
        <f t="shared" si="9"/>
        <v>#VALUE!</v>
      </c>
      <c r="K140" s="562">
        <v>700</v>
      </c>
      <c r="L140" s="563">
        <v>44942</v>
      </c>
      <c r="M140" s="569">
        <f t="shared" si="72"/>
        <v>44942</v>
      </c>
      <c r="N140" s="247" t="s">
        <v>1547</v>
      </c>
      <c r="O140" s="247" t="s">
        <v>487</v>
      </c>
      <c r="P140" s="247" t="s">
        <v>2167</v>
      </c>
      <c r="Q140" s="247">
        <v>870</v>
      </c>
      <c r="R140" s="247" t="s">
        <v>1548</v>
      </c>
      <c r="S140" s="247" t="s">
        <v>2288</v>
      </c>
      <c r="T140" s="564" t="s">
        <v>2220</v>
      </c>
      <c r="U140" s="565" t="s">
        <v>1608</v>
      </c>
      <c r="V140" s="566" t="s">
        <v>2289</v>
      </c>
      <c r="W140" s="564" t="s">
        <v>2290</v>
      </c>
      <c r="X140" s="565" t="s">
        <v>2291</v>
      </c>
      <c r="Y140" s="247" t="str">
        <f t="shared" si="10"/>
        <v/>
      </c>
      <c r="Z140" s="247" t="str">
        <f t="shared" si="11"/>
        <v/>
      </c>
      <c r="AA140" s="567" t="str">
        <f t="shared" si="12"/>
        <v/>
      </c>
      <c r="AB140" s="567" t="str">
        <f t="shared" si="13"/>
        <v/>
      </c>
      <c r="AC140" s="247">
        <f t="shared" si="14"/>
        <v>0</v>
      </c>
      <c r="AD140" s="247">
        <f t="shared" si="15"/>
        <v>26</v>
      </c>
      <c r="AE140" s="567">
        <f t="shared" si="16"/>
        <v>1</v>
      </c>
      <c r="AF140" s="247">
        <f t="shared" si="17"/>
        <v>45211</v>
      </c>
      <c r="AG140" s="247">
        <f t="shared" si="18"/>
        <v>10</v>
      </c>
      <c r="AH140" s="557">
        <f t="shared" si="19"/>
        <v>4520.1000000000004</v>
      </c>
    </row>
    <row r="141" spans="1:34">
      <c r="A141" s="555">
        <f t="shared" si="0"/>
        <v>10</v>
      </c>
      <c r="B141" s="556">
        <f t="shared" si="136"/>
        <v>10</v>
      </c>
      <c r="C141" s="555">
        <f t="shared" si="137"/>
        <v>6</v>
      </c>
      <c r="D141" s="555">
        <f t="shared" si="3"/>
        <v>10</v>
      </c>
      <c r="E141" s="556">
        <f t="shared" si="99"/>
        <v>9</v>
      </c>
      <c r="F141" s="557" t="str">
        <f t="shared" si="5"/>
        <v xml:space="preserve">     -</v>
      </c>
      <c r="G141" s="558">
        <f t="shared" si="22"/>
        <v>-0.99950000000000006</v>
      </c>
      <c r="H141" s="559">
        <f t="shared" si="45"/>
        <v>-1</v>
      </c>
      <c r="I141" s="560">
        <f t="shared" si="8"/>
        <v>-44176000</v>
      </c>
      <c r="J141" s="561">
        <f t="shared" si="9"/>
        <v>44182000</v>
      </c>
      <c r="K141" s="562">
        <v>2000</v>
      </c>
      <c r="L141" s="563">
        <v>44942</v>
      </c>
      <c r="M141" s="569">
        <f t="shared" si="72"/>
        <v>44942</v>
      </c>
      <c r="N141" s="247" t="s">
        <v>1573</v>
      </c>
      <c r="O141" s="247" t="s">
        <v>2292</v>
      </c>
      <c r="P141" s="247" t="s">
        <v>2167</v>
      </c>
      <c r="Q141" s="247">
        <v>320</v>
      </c>
      <c r="R141" s="247" t="s">
        <v>1540</v>
      </c>
      <c r="S141" s="247" t="s">
        <v>1575</v>
      </c>
      <c r="T141" s="564" t="s">
        <v>1576</v>
      </c>
      <c r="U141" s="565" t="s">
        <v>2098</v>
      </c>
      <c r="V141" s="566" t="s">
        <v>2293</v>
      </c>
      <c r="W141" s="564" t="s">
        <v>2170</v>
      </c>
      <c r="X141" s="565" t="s">
        <v>2056</v>
      </c>
      <c r="Y141" s="247">
        <f t="shared" si="10"/>
        <v>22098</v>
      </c>
      <c r="Z141" s="247">
        <f t="shared" si="11"/>
        <v>23955</v>
      </c>
      <c r="AA141" s="567">
        <f t="shared" si="12"/>
        <v>8.4000000000000005E-2</v>
      </c>
      <c r="AB141" s="567">
        <f t="shared" si="13"/>
        <v>0.88100000000000001</v>
      </c>
      <c r="AC141" s="247">
        <f t="shared" si="14"/>
        <v>45057</v>
      </c>
      <c r="AD141" s="247">
        <f t="shared" si="15"/>
        <v>10</v>
      </c>
      <c r="AE141" s="567" t="str">
        <f t="shared" si="16"/>
        <v>Tgt Hit</v>
      </c>
      <c r="AF141" s="247">
        <f t="shared" si="17"/>
        <v>18476</v>
      </c>
      <c r="AG141" s="247">
        <f t="shared" si="18"/>
        <v>7</v>
      </c>
      <c r="AH141" s="557">
        <f t="shared" si="19"/>
        <v>2638.4290000000001</v>
      </c>
    </row>
    <row r="142" spans="1:34">
      <c r="A142" s="555">
        <f t="shared" si="0"/>
        <v>1</v>
      </c>
      <c r="B142" s="556">
        <f t="shared" ref="B142:B143" si="138">IF(AF142&lt;=AG142,1,IF(AH142&lt;=0.005,2,IF(AND(AH142&gt;0.005,AH142&lt;=0.02, L182),4,IF(AND(AH142&gt;0.02,AH142&lt;=0.05),5,IF(AND(AH142&gt;0.05,AH142&lt;=0.1),7,IF(AND(AH142&gt;0.1,AH142&lt;=0.2),8,IF(AH142&gt;0.2,10)))))))</f>
        <v>10</v>
      </c>
      <c r="C142" s="555">
        <f t="shared" ref="C142:C143" si="139">IF(AA142&lt;=0.005,10,IF(AND(AA142&gt;0.005,AA142&lt;=0.01, C167),9,IF(AND(AA142&gt;0.01,AA142&lt;=0.02),8,IF(AND(AA142&gt;0.02,AA142&lt;=0.05),7,IF(AND(AA142&gt;0.05,AA142&lt;=0.1),6,IF(AND(AA142&gt;0.1,AA142&lt;=0.2),5,IF(AND(AA142&gt;0.2,AA142&lt;=0.3),4,IF(AND(AA142&gt;0.3,AA142&lt;=0.4),3,IF(AND(AA142&gt;0.4,AA142&lt;=0.5),2,IF(AA142&gt;0.5,1))))))))))</f>
        <v>1</v>
      </c>
      <c r="D142" s="555">
        <f t="shared" si="3"/>
        <v>10</v>
      </c>
      <c r="E142" s="556">
        <f t="shared" si="99"/>
        <v>5.5</v>
      </c>
      <c r="F142" s="557" t="str">
        <f t="shared" si="5"/>
        <v xml:space="preserve">     -</v>
      </c>
      <c r="G142" s="558">
        <f t="shared" si="22"/>
        <v>0.3</v>
      </c>
      <c r="H142" s="559">
        <f t="shared" si="45"/>
        <v>-0.2</v>
      </c>
      <c r="I142" s="560">
        <f t="shared" si="8"/>
        <v>1875</v>
      </c>
      <c r="J142" s="561">
        <f t="shared" si="9"/>
        <v>1250</v>
      </c>
      <c r="K142" s="562">
        <v>125</v>
      </c>
      <c r="L142" s="563">
        <v>44943</v>
      </c>
      <c r="M142" s="569">
        <f t="shared" si="72"/>
        <v>44943</v>
      </c>
      <c r="N142" s="247" t="s">
        <v>1547</v>
      </c>
      <c r="O142" s="247" t="s">
        <v>2294</v>
      </c>
      <c r="P142" s="247" t="s">
        <v>2167</v>
      </c>
      <c r="Q142" s="247">
        <v>3500</v>
      </c>
      <c r="R142" s="247" t="s">
        <v>1540</v>
      </c>
      <c r="S142" s="247" t="s">
        <v>2295</v>
      </c>
      <c r="T142" s="564" t="s">
        <v>2296</v>
      </c>
      <c r="U142" s="565" t="s">
        <v>1569</v>
      </c>
      <c r="V142" s="566" t="s">
        <v>2297</v>
      </c>
      <c r="W142" s="564" t="s">
        <v>1669</v>
      </c>
      <c r="X142" s="565" t="s">
        <v>2298</v>
      </c>
      <c r="Y142" s="247">
        <f t="shared" si="10"/>
        <v>50</v>
      </c>
      <c r="Z142" s="247" t="str">
        <f t="shared" si="11"/>
        <v/>
      </c>
      <c r="AA142" s="567" t="str">
        <f t="shared" si="12"/>
        <v/>
      </c>
      <c r="AB142" s="567" t="str">
        <f t="shared" si="13"/>
        <v/>
      </c>
      <c r="AC142" s="247">
        <f t="shared" si="14"/>
        <v>0</v>
      </c>
      <c r="AD142" s="247">
        <f t="shared" si="15"/>
        <v>65</v>
      </c>
      <c r="AE142" s="567">
        <f t="shared" si="16"/>
        <v>1</v>
      </c>
      <c r="AF142" s="247" t="str">
        <f t="shared" si="17"/>
        <v/>
      </c>
      <c r="AG142" s="247">
        <f t="shared" si="18"/>
        <v>40</v>
      </c>
      <c r="AH142" s="557" t="str">
        <f t="shared" si="19"/>
        <v/>
      </c>
    </row>
    <row r="143" spans="1:34">
      <c r="A143" s="555">
        <f t="shared" si="0"/>
        <v>1</v>
      </c>
      <c r="B143" s="556">
        <f t="shared" si="138"/>
        <v>10</v>
      </c>
      <c r="C143" s="555">
        <f t="shared" si="139"/>
        <v>1</v>
      </c>
      <c r="D143" s="555">
        <f t="shared" si="3"/>
        <v>10</v>
      </c>
      <c r="E143" s="556">
        <f t="shared" si="99"/>
        <v>5.5</v>
      </c>
      <c r="F143" s="557" t="str">
        <f t="shared" si="5"/>
        <v xml:space="preserve">     -</v>
      </c>
      <c r="G143" s="558" t="str">
        <f t="shared" si="22"/>
        <v/>
      </c>
      <c r="H143" s="559" t="str">
        <f t="shared" si="45"/>
        <v/>
      </c>
      <c r="I143" s="560" t="e">
        <f t="shared" si="8"/>
        <v>#VALUE!</v>
      </c>
      <c r="J143" s="561" t="e">
        <f t="shared" si="9"/>
        <v>#VALUE!</v>
      </c>
      <c r="K143" s="562">
        <v>500</v>
      </c>
      <c r="L143" s="563">
        <v>44943</v>
      </c>
      <c r="M143" s="569">
        <f t="shared" si="72"/>
        <v>44943</v>
      </c>
      <c r="N143" s="247" t="s">
        <v>1573</v>
      </c>
      <c r="O143" s="247" t="s">
        <v>682</v>
      </c>
      <c r="P143" s="247" t="s">
        <v>2167</v>
      </c>
      <c r="Q143" s="247">
        <v>1580</v>
      </c>
      <c r="R143" s="247" t="s">
        <v>1548</v>
      </c>
      <c r="S143" s="247" t="s">
        <v>2299</v>
      </c>
      <c r="T143" s="564" t="s">
        <v>2262</v>
      </c>
      <c r="U143" s="565" t="s">
        <v>2300</v>
      </c>
      <c r="V143" s="566" t="s">
        <v>2301</v>
      </c>
      <c r="W143" s="564" t="s">
        <v>2302</v>
      </c>
      <c r="X143" s="565" t="s">
        <v>2303</v>
      </c>
      <c r="Y143" s="247" t="str">
        <f t="shared" si="10"/>
        <v/>
      </c>
      <c r="Z143" s="247" t="str">
        <f t="shared" si="11"/>
        <v/>
      </c>
      <c r="AA143" s="567" t="str">
        <f t="shared" si="12"/>
        <v/>
      </c>
      <c r="AB143" s="567" t="str">
        <f t="shared" si="13"/>
        <v/>
      </c>
      <c r="AC143" s="247">
        <f t="shared" si="14"/>
        <v>0</v>
      </c>
      <c r="AD143" s="247">
        <f t="shared" si="15"/>
        <v>25</v>
      </c>
      <c r="AE143" s="567">
        <f t="shared" si="16"/>
        <v>1</v>
      </c>
      <c r="AF143" s="247" t="str">
        <f t="shared" si="17"/>
        <v/>
      </c>
      <c r="AG143" s="247">
        <f t="shared" si="18"/>
        <v>17</v>
      </c>
      <c r="AH143" s="557" t="str">
        <f t="shared" si="19"/>
        <v/>
      </c>
    </row>
    <row r="144" spans="1:34">
      <c r="A144" s="555">
        <f t="shared" si="0"/>
        <v>10</v>
      </c>
      <c r="B144" s="556">
        <f t="shared" ref="B144:B145" si="140">IF(AF144&lt;=AG144,1,IF(AH144&lt;=0.005,2,IF(AND(AH144&gt;0.005,AH144&lt;=0.02, L182),4,IF(AND(AH144&gt;0.02,AH144&lt;=0.05),5,IF(AND(AH144&gt;0.05,AH144&lt;=0.1),7,IF(AND(AH144&gt;0.1,AH144&lt;=0.2),8,IF(AH144&gt;0.2,10)))))))</f>
        <v>10</v>
      </c>
      <c r="C144" s="555">
        <f t="shared" ref="C144:C145" si="141">IF(AA144&lt;=0.005,10,IF(AND(AA144&gt;0.005,AA144&lt;=0.01, C167),9,IF(AND(AA144&gt;0.01,AA144&lt;=0.02),8,IF(AND(AA144&gt;0.02,AA144&lt;=0.05),7,IF(AND(AA144&gt;0.05,AA144&lt;=0.1),6,IF(AND(AA144&gt;0.1,AA144&lt;=0.2),5,IF(AND(AA144&gt;0.2,AA144&lt;=0.3),4,IF(AND(AA144&gt;0.3,AA144&lt;=0.4),3,IF(AND(AA144&gt;0.4,AA144&lt;=0.5),2,IF(AA144&gt;0.5,1))))))))))</f>
        <v>2</v>
      </c>
      <c r="D144" s="555">
        <f t="shared" si="3"/>
        <v>1</v>
      </c>
      <c r="E144" s="556">
        <f t="shared" si="99"/>
        <v>5.8</v>
      </c>
      <c r="F144" s="557" t="str">
        <f t="shared" si="5"/>
        <v xml:space="preserve">     -</v>
      </c>
      <c r="G144" s="558">
        <f t="shared" si="22"/>
        <v>-0.4108</v>
      </c>
      <c r="H144" s="559">
        <f t="shared" si="45"/>
        <v>-0.17599999999999999</v>
      </c>
      <c r="I144" s="560">
        <f t="shared" si="8"/>
        <v>-70141500</v>
      </c>
      <c r="J144" s="561">
        <f t="shared" si="9"/>
        <v>30134500</v>
      </c>
      <c r="K144" s="562">
        <v>5500</v>
      </c>
      <c r="L144" s="563">
        <v>44944</v>
      </c>
      <c r="M144" s="569">
        <f t="shared" si="72"/>
        <v>44944</v>
      </c>
      <c r="N144" s="247" t="s">
        <v>1573</v>
      </c>
      <c r="O144" s="247" t="s">
        <v>590</v>
      </c>
      <c r="P144" s="247" t="s">
        <v>2167</v>
      </c>
      <c r="Q144" s="247">
        <v>120</v>
      </c>
      <c r="R144" s="247" t="s">
        <v>1548</v>
      </c>
      <c r="S144" s="247" t="s">
        <v>2304</v>
      </c>
      <c r="T144" s="564" t="s">
        <v>2305</v>
      </c>
      <c r="U144" s="565" t="s">
        <v>2306</v>
      </c>
      <c r="V144" s="566" t="s">
        <v>2307</v>
      </c>
      <c r="W144" s="564" t="s">
        <v>2308</v>
      </c>
      <c r="X144" s="565" t="s">
        <v>2188</v>
      </c>
      <c r="Y144" s="247">
        <f t="shared" si="10"/>
        <v>31048</v>
      </c>
      <c r="Z144" s="247">
        <f t="shared" si="11"/>
        <v>45201</v>
      </c>
      <c r="AA144" s="567">
        <f t="shared" si="12"/>
        <v>0.45600000000000002</v>
      </c>
      <c r="AB144" s="567">
        <f t="shared" si="13"/>
        <v>0</v>
      </c>
      <c r="AC144" s="247">
        <f t="shared" si="14"/>
        <v>45203</v>
      </c>
      <c r="AD144" s="247">
        <f t="shared" si="15"/>
        <v>18295</v>
      </c>
      <c r="AE144" s="567" t="str">
        <f t="shared" si="16"/>
        <v>Tgt Hit</v>
      </c>
      <c r="AF144" s="247">
        <f t="shared" si="17"/>
        <v>45048</v>
      </c>
      <c r="AG144" s="247">
        <f t="shared" si="18"/>
        <v>25569</v>
      </c>
      <c r="AH144" s="557">
        <f t="shared" si="19"/>
        <v>0.76200000000000001</v>
      </c>
    </row>
    <row r="145" spans="1:34">
      <c r="A145" s="555">
        <f t="shared" si="0"/>
        <v>10</v>
      </c>
      <c r="B145" s="556">
        <f t="shared" si="140"/>
        <v>10</v>
      </c>
      <c r="C145" s="555">
        <f t="shared" si="141"/>
        <v>10</v>
      </c>
      <c r="D145" s="555">
        <f t="shared" si="3"/>
        <v>1</v>
      </c>
      <c r="E145" s="556">
        <f t="shared" si="99"/>
        <v>7.8</v>
      </c>
      <c r="F145" s="557" t="str">
        <f t="shared" si="5"/>
        <v xml:space="preserve">     -</v>
      </c>
      <c r="G145" s="558">
        <f t="shared" si="22"/>
        <v>-0.99919999999999998</v>
      </c>
      <c r="H145" s="559">
        <f t="shared" si="45"/>
        <v>-1</v>
      </c>
      <c r="I145" s="560">
        <f t="shared" si="8"/>
        <v>-32277500</v>
      </c>
      <c r="J145" s="561">
        <f t="shared" si="9"/>
        <v>32295000</v>
      </c>
      <c r="K145" s="562">
        <v>1250</v>
      </c>
      <c r="L145" s="563">
        <v>44944</v>
      </c>
      <c r="M145" s="569">
        <f t="shared" si="72"/>
        <v>44944</v>
      </c>
      <c r="N145" s="247" t="s">
        <v>1547</v>
      </c>
      <c r="O145" s="247" t="s">
        <v>690</v>
      </c>
      <c r="P145" s="247" t="s">
        <v>2167</v>
      </c>
      <c r="Q145" s="247">
        <v>590</v>
      </c>
      <c r="R145" s="247" t="s">
        <v>1548</v>
      </c>
      <c r="S145" s="247" t="s">
        <v>2309</v>
      </c>
      <c r="T145" s="564" t="s">
        <v>2310</v>
      </c>
      <c r="U145" s="565" t="s">
        <v>1577</v>
      </c>
      <c r="V145" s="566" t="s">
        <v>2311</v>
      </c>
      <c r="W145" s="564" t="s">
        <v>2312</v>
      </c>
      <c r="X145" s="565" t="s">
        <v>2291</v>
      </c>
      <c r="Y145" s="247">
        <f t="shared" si="10"/>
        <v>25842</v>
      </c>
      <c r="Z145" s="247">
        <f t="shared" si="11"/>
        <v>18598</v>
      </c>
      <c r="AA145" s="567">
        <f t="shared" si="12"/>
        <v>-0.28000000000000003</v>
      </c>
      <c r="AB145" s="567">
        <f t="shared" si="13"/>
        <v>-0.999</v>
      </c>
      <c r="AC145" s="247">
        <f t="shared" si="14"/>
        <v>20</v>
      </c>
      <c r="AD145" s="247">
        <f t="shared" si="15"/>
        <v>20</v>
      </c>
      <c r="AE145" s="567" t="str">
        <f t="shared" si="16"/>
        <v>Tgt Hit</v>
      </c>
      <c r="AF145" s="247">
        <f t="shared" si="17"/>
        <v>45211</v>
      </c>
      <c r="AG145" s="247">
        <f t="shared" si="18"/>
        <v>6</v>
      </c>
      <c r="AH145" s="557">
        <f t="shared" si="19"/>
        <v>7534.1670000000004</v>
      </c>
    </row>
    <row r="146" spans="1:34">
      <c r="A146" s="555">
        <f t="shared" si="0"/>
        <v>10</v>
      </c>
      <c r="B146" s="556">
        <f t="shared" ref="B146:B147" si="142">IF(AF146&lt;=AG146,1,IF(AH146&lt;=0.005,2,IF(AND(AH146&gt;0.005,AH146&lt;=0.02, L182),4,IF(AND(AH146&gt;0.02,AH146&lt;=0.05),5,IF(AND(AH146&gt;0.05,AH146&lt;=0.1),7,IF(AND(AH146&gt;0.1,AH146&lt;=0.2),8,IF(AH146&gt;0.2,10)))))))</f>
        <v>10</v>
      </c>
      <c r="C146" s="555">
        <f t="shared" ref="C146:C147" si="143">IF(AA146&lt;=0.005,10,IF(AND(AA146&gt;0.005,AA146&lt;=0.01, C167),9,IF(AND(AA146&gt;0.01,AA146&lt;=0.02),8,IF(AND(AA146&gt;0.02,AA146&lt;=0.05),7,IF(AND(AA146&gt;0.05,AA146&lt;=0.1),6,IF(AND(AA146&gt;0.1,AA146&lt;=0.2),5,IF(AND(AA146&gt;0.2,AA146&lt;=0.3),4,IF(AND(AA146&gt;0.3,AA146&lt;=0.4),3,IF(AND(AA146&gt;0.4,AA146&lt;=0.5),2,IF(AA146&gt;0.5,1))))))))))</f>
        <v>5</v>
      </c>
      <c r="D146" s="555">
        <f t="shared" si="3"/>
        <v>10</v>
      </c>
      <c r="E146" s="556">
        <f t="shared" si="99"/>
        <v>8.8000000000000007</v>
      </c>
      <c r="F146" s="557" t="str">
        <f t="shared" si="5"/>
        <v xml:space="preserve">     -</v>
      </c>
      <c r="G146" s="558">
        <f t="shared" si="22"/>
        <v>1.1667000000000001</v>
      </c>
      <c r="H146" s="559">
        <f t="shared" si="45"/>
        <v>-0.66700000000000004</v>
      </c>
      <c r="I146" s="560">
        <f t="shared" si="8"/>
        <v>7000</v>
      </c>
      <c r="J146" s="561">
        <f t="shared" si="9"/>
        <v>4000</v>
      </c>
      <c r="K146" s="562">
        <v>1000</v>
      </c>
      <c r="L146" s="563">
        <v>44945</v>
      </c>
      <c r="M146" s="569">
        <f t="shared" si="72"/>
        <v>44945</v>
      </c>
      <c r="N146" s="247" t="s">
        <v>1537</v>
      </c>
      <c r="O146" s="247" t="s">
        <v>2248</v>
      </c>
      <c r="P146" s="247" t="s">
        <v>2167</v>
      </c>
      <c r="Q146" s="247">
        <v>420</v>
      </c>
      <c r="R146" s="247" t="s">
        <v>1540</v>
      </c>
      <c r="S146" s="247" t="s">
        <v>2313</v>
      </c>
      <c r="T146" s="564" t="s">
        <v>2173</v>
      </c>
      <c r="U146" s="565" t="s">
        <v>2314</v>
      </c>
      <c r="V146" s="566" t="s">
        <v>2154</v>
      </c>
      <c r="W146" s="564" t="s">
        <v>2146</v>
      </c>
      <c r="X146" s="565" t="s">
        <v>2284</v>
      </c>
      <c r="Y146" s="247">
        <f t="shared" si="10"/>
        <v>6</v>
      </c>
      <c r="Z146" s="247">
        <f t="shared" si="11"/>
        <v>7</v>
      </c>
      <c r="AA146" s="567">
        <f t="shared" si="12"/>
        <v>0.16700000000000001</v>
      </c>
      <c r="AB146" s="567">
        <f t="shared" si="13"/>
        <v>5003.857</v>
      </c>
      <c r="AC146" s="247">
        <f t="shared" si="14"/>
        <v>35034</v>
      </c>
      <c r="AD146" s="247">
        <f t="shared" si="15"/>
        <v>13</v>
      </c>
      <c r="AE146" s="567" t="str">
        <f t="shared" si="16"/>
        <v>Tgt Hit</v>
      </c>
      <c r="AF146" s="247">
        <f t="shared" si="17"/>
        <v>31199</v>
      </c>
      <c r="AG146" s="247">
        <f t="shared" si="18"/>
        <v>2</v>
      </c>
      <c r="AH146" s="557">
        <f t="shared" si="19"/>
        <v>15598.5</v>
      </c>
    </row>
    <row r="147" spans="1:34">
      <c r="A147" s="555">
        <f t="shared" si="0"/>
        <v>10</v>
      </c>
      <c r="B147" s="556">
        <f t="shared" si="142"/>
        <v>10</v>
      </c>
      <c r="C147" s="555">
        <f t="shared" si="143"/>
        <v>10</v>
      </c>
      <c r="D147" s="555">
        <f t="shared" si="3"/>
        <v>1</v>
      </c>
      <c r="E147" s="556">
        <f t="shared" si="99"/>
        <v>7.8</v>
      </c>
      <c r="F147" s="557" t="str">
        <f t="shared" si="5"/>
        <v xml:space="preserve">     -</v>
      </c>
      <c r="G147" s="558">
        <f t="shared" si="22"/>
        <v>-0.99929999999999997</v>
      </c>
      <c r="H147" s="559">
        <f t="shared" si="45"/>
        <v>-1</v>
      </c>
      <c r="I147" s="560">
        <f t="shared" si="8"/>
        <v>-30916200</v>
      </c>
      <c r="J147" s="561">
        <f t="shared" si="9"/>
        <v>30931600</v>
      </c>
      <c r="K147" s="562">
        <v>1400</v>
      </c>
      <c r="L147" s="563">
        <v>44945</v>
      </c>
      <c r="M147" s="569">
        <f t="shared" si="72"/>
        <v>44945</v>
      </c>
      <c r="N147" s="247" t="s">
        <v>1547</v>
      </c>
      <c r="O147" s="247" t="s">
        <v>467</v>
      </c>
      <c r="P147" s="247" t="s">
        <v>2167</v>
      </c>
      <c r="Q147" s="247">
        <v>500</v>
      </c>
      <c r="R147" s="247" t="s">
        <v>1540</v>
      </c>
      <c r="S147" s="247" t="s">
        <v>1575</v>
      </c>
      <c r="T147" s="564" t="s">
        <v>2315</v>
      </c>
      <c r="U147" s="565" t="s">
        <v>2144</v>
      </c>
      <c r="V147" s="566" t="s">
        <v>2311</v>
      </c>
      <c r="W147" s="564" t="s">
        <v>2316</v>
      </c>
      <c r="X147" s="565" t="s">
        <v>2317</v>
      </c>
      <c r="Y147" s="247">
        <f t="shared" si="10"/>
        <v>22098</v>
      </c>
      <c r="Z147" s="247">
        <f t="shared" si="11"/>
        <v>18598</v>
      </c>
      <c r="AA147" s="567">
        <f t="shared" si="12"/>
        <v>-0.158</v>
      </c>
      <c r="AB147" s="567">
        <f t="shared" si="13"/>
        <v>-0.999</v>
      </c>
      <c r="AC147" s="247">
        <f t="shared" si="14"/>
        <v>15</v>
      </c>
      <c r="AD147" s="247">
        <f t="shared" si="15"/>
        <v>15</v>
      </c>
      <c r="AE147" s="567" t="str">
        <f t="shared" si="16"/>
        <v>Tgt Hit</v>
      </c>
      <c r="AF147" s="247">
        <f t="shared" si="17"/>
        <v>44013</v>
      </c>
      <c r="AG147" s="247">
        <f t="shared" si="18"/>
        <v>4</v>
      </c>
      <c r="AH147" s="557">
        <f t="shared" si="19"/>
        <v>11002.25</v>
      </c>
    </row>
    <row r="148" spans="1:34">
      <c r="A148" s="555">
        <f t="shared" si="0"/>
        <v>10</v>
      </c>
      <c r="B148" s="556">
        <f t="shared" ref="B148:B149" si="144">IF(AF148&lt;=AG148,1,IF(AH148&lt;=0.005,2,IF(AND(AH148&gt;0.005,AH148&lt;=0.02, L182),4,IF(AND(AH148&gt;0.02,AH148&lt;=0.05),5,IF(AND(AH148&gt;0.05,AH148&lt;=0.1),7,IF(AND(AH148&gt;0.1,AH148&lt;=0.2),8,IF(AH148&gt;0.2,10)))))))</f>
        <v>10</v>
      </c>
      <c r="C148" s="555">
        <f t="shared" ref="C148:C149" si="145">IF(AA148&lt;=0.005,10,IF(AND(AA148&gt;0.005,AA148&lt;=0.01, C167),9,IF(AND(AA148&gt;0.01,AA148&lt;=0.02),8,IF(AND(AA148&gt;0.02,AA148&lt;=0.05),7,IF(AND(AA148&gt;0.05,AA148&lt;=0.1),6,IF(AND(AA148&gt;0.1,AA148&lt;=0.2),5,IF(AND(AA148&gt;0.2,AA148&lt;=0.3),4,IF(AND(AA148&gt;0.3,AA148&lt;=0.4),3,IF(AND(AA148&gt;0.4,AA148&lt;=0.5),2,IF(AA148&gt;0.5,1))))))))))</f>
        <v>1</v>
      </c>
      <c r="D148" s="555">
        <f t="shared" si="3"/>
        <v>5</v>
      </c>
      <c r="E148" s="556">
        <f t="shared" si="99"/>
        <v>6.5</v>
      </c>
      <c r="F148" s="557" t="str">
        <f t="shared" si="5"/>
        <v xml:space="preserve">     -</v>
      </c>
      <c r="G148" s="558" t="str">
        <f t="shared" si="22"/>
        <v/>
      </c>
      <c r="H148" s="559" t="str">
        <f t="shared" si="45"/>
        <v/>
      </c>
      <c r="I148" s="560" t="e">
        <f t="shared" si="8"/>
        <v>#VALUE!</v>
      </c>
      <c r="J148" s="561" t="e">
        <f t="shared" si="9"/>
        <v>#VALUE!</v>
      </c>
      <c r="K148" s="562">
        <v>300</v>
      </c>
      <c r="L148" s="563">
        <v>44946</v>
      </c>
      <c r="M148" s="569">
        <f t="shared" si="72"/>
        <v>44946</v>
      </c>
      <c r="N148" s="247" t="s">
        <v>1573</v>
      </c>
      <c r="O148" s="247" t="s">
        <v>490</v>
      </c>
      <c r="P148" s="247" t="s">
        <v>2167</v>
      </c>
      <c r="Q148" s="247">
        <v>2660</v>
      </c>
      <c r="R148" s="247" t="s">
        <v>1540</v>
      </c>
      <c r="S148" s="247" t="s">
        <v>2318</v>
      </c>
      <c r="T148" s="564" t="s">
        <v>1703</v>
      </c>
      <c r="U148" s="565" t="s">
        <v>1704</v>
      </c>
      <c r="V148" s="566" t="s">
        <v>2319</v>
      </c>
      <c r="W148" s="564" t="s">
        <v>2320</v>
      </c>
      <c r="X148" s="565" t="s">
        <v>2321</v>
      </c>
      <c r="Y148" s="247" t="str">
        <f t="shared" si="10"/>
        <v/>
      </c>
      <c r="Z148" s="247">
        <f t="shared" si="11"/>
        <v>110</v>
      </c>
      <c r="AA148" s="567" t="str">
        <f t="shared" si="12"/>
        <v/>
      </c>
      <c r="AB148" s="567">
        <f t="shared" si="13"/>
        <v>7.2999999999999995E-2</v>
      </c>
      <c r="AC148" s="247">
        <f t="shared" si="14"/>
        <v>118</v>
      </c>
      <c r="AD148" s="247">
        <f t="shared" si="15"/>
        <v>30</v>
      </c>
      <c r="AE148" s="567" t="str">
        <f t="shared" si="16"/>
        <v>Tgt Hit</v>
      </c>
      <c r="AF148" s="247">
        <f t="shared" si="17"/>
        <v>63</v>
      </c>
      <c r="AG148" s="247">
        <f t="shared" si="18"/>
        <v>20</v>
      </c>
      <c r="AH148" s="557">
        <f t="shared" si="19"/>
        <v>2.15</v>
      </c>
    </row>
    <row r="149" spans="1:34">
      <c r="A149" s="555">
        <f t="shared" si="0"/>
        <v>1</v>
      </c>
      <c r="B149" s="556">
        <f t="shared" si="144"/>
        <v>10</v>
      </c>
      <c r="C149" s="555">
        <f t="shared" si="145"/>
        <v>10</v>
      </c>
      <c r="D149" s="555">
        <f t="shared" si="3"/>
        <v>1</v>
      </c>
      <c r="E149" s="556">
        <f t="shared" si="99"/>
        <v>5.5</v>
      </c>
      <c r="F149" s="557" t="str">
        <f t="shared" si="5"/>
        <v xml:space="preserve">     -</v>
      </c>
      <c r="G149" s="558">
        <f t="shared" si="22"/>
        <v>-0.99960000000000004</v>
      </c>
      <c r="H149" s="559">
        <f t="shared" si="45"/>
        <v>-1</v>
      </c>
      <c r="I149" s="560">
        <f t="shared" si="8"/>
        <v>-64236200</v>
      </c>
      <c r="J149" s="561">
        <f t="shared" si="9"/>
        <v>64253000</v>
      </c>
      <c r="K149" s="562">
        <v>1400</v>
      </c>
      <c r="L149" s="563">
        <v>44946</v>
      </c>
      <c r="M149" s="569">
        <f t="shared" si="72"/>
        <v>44946</v>
      </c>
      <c r="N149" s="247" t="s">
        <v>1547</v>
      </c>
      <c r="O149" s="247" t="s">
        <v>467</v>
      </c>
      <c r="P149" s="247" t="s">
        <v>2167</v>
      </c>
      <c r="Q149" s="247">
        <v>500</v>
      </c>
      <c r="R149" s="247" t="s">
        <v>1540</v>
      </c>
      <c r="S149" s="247" t="s">
        <v>2322</v>
      </c>
      <c r="T149" s="564" t="s">
        <v>2286</v>
      </c>
      <c r="U149" s="565" t="s">
        <v>1577</v>
      </c>
      <c r="V149" s="566" t="s">
        <v>2323</v>
      </c>
      <c r="W149" s="564" t="s">
        <v>2324</v>
      </c>
      <c r="X149" s="565" t="s">
        <v>2325</v>
      </c>
      <c r="Y149" s="247">
        <f t="shared" si="10"/>
        <v>45901</v>
      </c>
      <c r="Z149" s="247">
        <f t="shared" si="11"/>
        <v>45901</v>
      </c>
      <c r="AA149" s="567">
        <f t="shared" si="12"/>
        <v>0</v>
      </c>
      <c r="AB149" s="567">
        <f t="shared" si="13"/>
        <v>-1</v>
      </c>
      <c r="AC149" s="247">
        <f t="shared" si="14"/>
        <v>0</v>
      </c>
      <c r="AD149" s="247">
        <f t="shared" si="15"/>
        <v>18</v>
      </c>
      <c r="AE149" s="567">
        <f t="shared" si="16"/>
        <v>1</v>
      </c>
      <c r="AF149" s="247">
        <f t="shared" si="17"/>
        <v>27576</v>
      </c>
      <c r="AG149" s="247">
        <f t="shared" si="18"/>
        <v>6</v>
      </c>
      <c r="AH149" s="557">
        <f t="shared" si="19"/>
        <v>4595</v>
      </c>
    </row>
    <row r="150" spans="1:34">
      <c r="A150" s="555">
        <f t="shared" si="0"/>
        <v>1</v>
      </c>
      <c r="B150" s="556">
        <f t="shared" ref="B150:B151" si="146">IF(AF150&lt;=AG150,1,IF(AH150&lt;=0.005,2,IF(AND(AH150&gt;0.005,AH150&lt;=0.02, L182),4,IF(AND(AH150&gt;0.02,AH150&lt;=0.05),5,IF(AND(AH150&gt;0.05,AH150&lt;=0.1),7,IF(AND(AH150&gt;0.1,AH150&lt;=0.2),8,IF(AH150&gt;0.2,10)))))))</f>
        <v>10</v>
      </c>
      <c r="C150" s="555">
        <f t="shared" ref="C150:C151" si="147">IF(AA150&lt;=0.005,10,IF(AND(AA150&gt;0.005,AA150&lt;=0.01, C167),9,IF(AND(AA150&gt;0.01,AA150&lt;=0.02),8,IF(AND(AA150&gt;0.02,AA150&lt;=0.05),7,IF(AND(AA150&gt;0.05,AA150&lt;=0.1),6,IF(AND(AA150&gt;0.1,AA150&lt;=0.2),5,IF(AND(AA150&gt;0.2,AA150&lt;=0.3),4,IF(AND(AA150&gt;0.3,AA150&lt;=0.4),3,IF(AND(AA150&gt;0.4,AA150&lt;=0.5),2,IF(AA150&gt;0.5,1))))))))))</f>
        <v>1</v>
      </c>
      <c r="D150" s="555">
        <f t="shared" si="3"/>
        <v>10</v>
      </c>
      <c r="E150" s="556">
        <f t="shared" si="99"/>
        <v>5.5</v>
      </c>
      <c r="F150" s="557" t="str">
        <f t="shared" si="5"/>
        <v xml:space="preserve">     -</v>
      </c>
      <c r="G150" s="558">
        <f t="shared" si="22"/>
        <v>0.28570000000000001</v>
      </c>
      <c r="H150" s="559">
        <f t="shared" si="45"/>
        <v>-0.14299999999999999</v>
      </c>
      <c r="I150" s="560">
        <f t="shared" si="8"/>
        <v>3000</v>
      </c>
      <c r="J150" s="561">
        <f t="shared" si="9"/>
        <v>1500</v>
      </c>
      <c r="K150" s="562">
        <v>150</v>
      </c>
      <c r="L150" s="563">
        <v>44949</v>
      </c>
      <c r="M150" s="569">
        <f t="shared" si="72"/>
        <v>44949</v>
      </c>
      <c r="N150" s="247" t="s">
        <v>1547</v>
      </c>
      <c r="O150" s="247" t="s">
        <v>2178</v>
      </c>
      <c r="P150" s="247" t="s">
        <v>2167</v>
      </c>
      <c r="Q150" s="247">
        <v>4250</v>
      </c>
      <c r="R150" s="247" t="s">
        <v>1540</v>
      </c>
      <c r="S150" s="247" t="s">
        <v>2326</v>
      </c>
      <c r="T150" s="564" t="s">
        <v>1722</v>
      </c>
      <c r="U150" s="565" t="s">
        <v>1631</v>
      </c>
      <c r="V150" s="566" t="s">
        <v>2327</v>
      </c>
      <c r="W150" s="564" t="s">
        <v>2328</v>
      </c>
      <c r="X150" s="565" t="s">
        <v>1999</v>
      </c>
      <c r="Y150" s="247">
        <f t="shared" si="10"/>
        <v>70</v>
      </c>
      <c r="Z150" s="247" t="str">
        <f t="shared" si="11"/>
        <v/>
      </c>
      <c r="AA150" s="567" t="str">
        <f t="shared" si="12"/>
        <v/>
      </c>
      <c r="AB150" s="567" t="str">
        <f t="shared" si="13"/>
        <v/>
      </c>
      <c r="AC150" s="247">
        <f t="shared" si="14"/>
        <v>0</v>
      </c>
      <c r="AD150" s="247">
        <f t="shared" si="15"/>
        <v>90</v>
      </c>
      <c r="AE150" s="567">
        <f t="shared" si="16"/>
        <v>1</v>
      </c>
      <c r="AF150" s="247">
        <f t="shared" si="17"/>
        <v>42156</v>
      </c>
      <c r="AG150" s="247">
        <f t="shared" si="18"/>
        <v>60</v>
      </c>
      <c r="AH150" s="557">
        <f t="shared" si="19"/>
        <v>701.6</v>
      </c>
    </row>
    <row r="151" spans="1:34">
      <c r="A151" s="555">
        <f t="shared" si="0"/>
        <v>10</v>
      </c>
      <c r="B151" s="556">
        <f t="shared" si="146"/>
        <v>10</v>
      </c>
      <c r="C151" s="555">
        <f t="shared" si="147"/>
        <v>10</v>
      </c>
      <c r="D151" s="555">
        <f t="shared" si="3"/>
        <v>10</v>
      </c>
      <c r="E151" s="556">
        <f t="shared" si="99"/>
        <v>10</v>
      </c>
      <c r="F151" s="557" t="str">
        <f t="shared" si="5"/>
        <v xml:space="preserve">     -</v>
      </c>
      <c r="G151" s="558">
        <f t="shared" si="22"/>
        <v>-0.99970000000000003</v>
      </c>
      <c r="H151" s="559">
        <f t="shared" si="45"/>
        <v>-1</v>
      </c>
      <c r="I151" s="560">
        <f t="shared" si="8"/>
        <v>-26103150</v>
      </c>
      <c r="J151" s="561">
        <f t="shared" si="9"/>
        <v>26106000</v>
      </c>
      <c r="K151" s="562">
        <v>1425</v>
      </c>
      <c r="L151" s="563">
        <v>44949</v>
      </c>
      <c r="M151" s="569">
        <f t="shared" si="72"/>
        <v>44949</v>
      </c>
      <c r="N151" s="247" t="s">
        <v>1573</v>
      </c>
      <c r="O151" s="247" t="s">
        <v>504</v>
      </c>
      <c r="P151" s="247" t="s">
        <v>2167</v>
      </c>
      <c r="Q151" s="247">
        <v>405</v>
      </c>
      <c r="R151" s="247" t="s">
        <v>1548</v>
      </c>
      <c r="S151" s="247" t="s">
        <v>2329</v>
      </c>
      <c r="T151" s="564" t="s">
        <v>1613</v>
      </c>
      <c r="U151" s="565" t="s">
        <v>1614</v>
      </c>
      <c r="V151" s="566" t="s">
        <v>2330</v>
      </c>
      <c r="W151" s="564" t="s">
        <v>1974</v>
      </c>
      <c r="X151" s="565" t="s">
        <v>2331</v>
      </c>
      <c r="Y151" s="247">
        <f t="shared" si="10"/>
        <v>18323</v>
      </c>
      <c r="Z151" s="247">
        <f t="shared" si="11"/>
        <v>5</v>
      </c>
      <c r="AA151" s="567">
        <f t="shared" si="12"/>
        <v>-1</v>
      </c>
      <c r="AB151" s="567">
        <f t="shared" si="13"/>
        <v>6610</v>
      </c>
      <c r="AC151" s="247">
        <f t="shared" si="14"/>
        <v>33055</v>
      </c>
      <c r="AD151" s="247">
        <f t="shared" si="15"/>
        <v>5</v>
      </c>
      <c r="AE151" s="567" t="str">
        <f t="shared" si="16"/>
        <v>Tgt Hit</v>
      </c>
      <c r="AF151" s="247">
        <f t="shared" si="17"/>
        <v>14702</v>
      </c>
      <c r="AG151" s="247">
        <f t="shared" si="18"/>
        <v>3</v>
      </c>
      <c r="AH151" s="557">
        <f t="shared" si="19"/>
        <v>4899.6670000000004</v>
      </c>
    </row>
    <row r="152" spans="1:34">
      <c r="A152" s="555">
        <f t="shared" si="0"/>
        <v>10</v>
      </c>
      <c r="B152" s="556">
        <f t="shared" ref="B152:B153" si="148">IF(AF152&lt;=AG152,1,IF(AH152&lt;=0.005,2,IF(AND(AH152&gt;0.005,AH152&lt;=0.02, L182),4,IF(AND(AH152&gt;0.02,AH152&lt;=0.05),5,IF(AND(AH152&gt;0.05,AH152&lt;=0.1),7,IF(AND(AH152&gt;0.1,AH152&lt;=0.2),8,IF(AH152&gt;0.2,10)))))))</f>
        <v>10</v>
      </c>
      <c r="C152" s="555">
        <f t="shared" ref="C152:C153" si="149">IF(AA152&lt;=0.005,10,IF(AND(AA152&gt;0.005,AA152&lt;=0.01, C167),9,IF(AND(AA152&gt;0.01,AA152&lt;=0.02),8,IF(AND(AA152&gt;0.02,AA152&lt;=0.05),7,IF(AND(AA152&gt;0.05,AA152&lt;=0.1),6,IF(AND(AA152&gt;0.1,AA152&lt;=0.2),5,IF(AND(AA152&gt;0.2,AA152&lt;=0.3),4,IF(AND(AA152&gt;0.3,AA152&lt;=0.4),3,IF(AND(AA152&gt;0.4,AA152&lt;=0.5),2,IF(AA152&gt;0.5,1))))))))))</f>
        <v>1</v>
      </c>
      <c r="D152" s="555">
        <f t="shared" si="3"/>
        <v>1</v>
      </c>
      <c r="E152" s="556">
        <f t="shared" si="99"/>
        <v>5.5</v>
      </c>
      <c r="F152" s="557" t="str">
        <f t="shared" si="5"/>
        <v xml:space="preserve">     -</v>
      </c>
      <c r="G152" s="558">
        <f t="shared" si="22"/>
        <v>-0.99960000000000004</v>
      </c>
      <c r="H152" s="559">
        <f t="shared" si="45"/>
        <v>-1</v>
      </c>
      <c r="I152" s="560">
        <f t="shared" si="8"/>
        <v>-36632000</v>
      </c>
      <c r="J152" s="561">
        <f t="shared" si="9"/>
        <v>36642000</v>
      </c>
      <c r="K152" s="562">
        <v>2000</v>
      </c>
      <c r="L152" s="563">
        <v>44950</v>
      </c>
      <c r="M152" s="569">
        <f t="shared" si="72"/>
        <v>44950</v>
      </c>
      <c r="N152" s="247" t="s">
        <v>1547</v>
      </c>
      <c r="O152" s="247" t="s">
        <v>1678</v>
      </c>
      <c r="P152" s="247" t="s">
        <v>2167</v>
      </c>
      <c r="Q152" s="247">
        <v>327.5</v>
      </c>
      <c r="R152" s="247" t="s">
        <v>1548</v>
      </c>
      <c r="S152" s="247" t="s">
        <v>2329</v>
      </c>
      <c r="T152" s="564" t="s">
        <v>2143</v>
      </c>
      <c r="U152" s="565" t="s">
        <v>2314</v>
      </c>
      <c r="V152" s="566" t="s">
        <v>2332</v>
      </c>
      <c r="W152" s="564" t="s">
        <v>2255</v>
      </c>
      <c r="X152" s="565" t="s">
        <v>2333</v>
      </c>
      <c r="Y152" s="247">
        <f t="shared" si="10"/>
        <v>18323</v>
      </c>
      <c r="Z152" s="247">
        <f t="shared" si="11"/>
        <v>31138</v>
      </c>
      <c r="AA152" s="567">
        <f t="shared" si="12"/>
        <v>0.69899999999999995</v>
      </c>
      <c r="AB152" s="567">
        <f t="shared" si="13"/>
        <v>0</v>
      </c>
      <c r="AC152" s="247">
        <f t="shared" si="14"/>
        <v>31138</v>
      </c>
      <c r="AD152" s="247">
        <f t="shared" si="15"/>
        <v>7</v>
      </c>
      <c r="AE152" s="567" t="str">
        <f t="shared" si="16"/>
        <v>Tgt Hit</v>
      </c>
      <c r="AF152" s="247">
        <f t="shared" si="17"/>
        <v>31048</v>
      </c>
      <c r="AG152" s="247">
        <f t="shared" si="18"/>
        <v>2</v>
      </c>
      <c r="AH152" s="557">
        <f t="shared" si="19"/>
        <v>15523</v>
      </c>
    </row>
    <row r="153" spans="1:34">
      <c r="A153" s="555">
        <f t="shared" si="0"/>
        <v>1</v>
      </c>
      <c r="B153" s="556">
        <f t="shared" si="148"/>
        <v>10</v>
      </c>
      <c r="C153" s="555">
        <f t="shared" si="149"/>
        <v>1</v>
      </c>
      <c r="D153" s="555">
        <f t="shared" si="3"/>
        <v>10</v>
      </c>
      <c r="E153" s="556">
        <f t="shared" si="99"/>
        <v>5.5</v>
      </c>
      <c r="F153" s="557" t="str">
        <f t="shared" si="5"/>
        <v xml:space="preserve">     -</v>
      </c>
      <c r="G153" s="558">
        <f t="shared" si="22"/>
        <v>-0.99950000000000006</v>
      </c>
      <c r="H153" s="559">
        <f t="shared" si="45"/>
        <v>-1</v>
      </c>
      <c r="I153" s="560">
        <f t="shared" si="8"/>
        <v>-27625000</v>
      </c>
      <c r="J153" s="561">
        <f t="shared" si="9"/>
        <v>27629000</v>
      </c>
      <c r="K153" s="562">
        <v>1000</v>
      </c>
      <c r="L153" s="563">
        <v>44950</v>
      </c>
      <c r="M153" s="569">
        <f t="shared" si="72"/>
        <v>44950</v>
      </c>
      <c r="N153" s="247" t="s">
        <v>1573</v>
      </c>
      <c r="O153" s="247" t="s">
        <v>667</v>
      </c>
      <c r="P153" s="247" t="s">
        <v>2167</v>
      </c>
      <c r="Q153" s="247">
        <v>700</v>
      </c>
      <c r="R153" s="247" t="s">
        <v>1540</v>
      </c>
      <c r="S153" s="247" t="s">
        <v>2334</v>
      </c>
      <c r="T153" s="564" t="s">
        <v>2173</v>
      </c>
      <c r="U153" s="565" t="s">
        <v>2086</v>
      </c>
      <c r="V153" s="566" t="s">
        <v>2335</v>
      </c>
      <c r="W153" s="564" t="s">
        <v>2336</v>
      </c>
      <c r="X153" s="565" t="s">
        <v>2337</v>
      </c>
      <c r="Y153" s="247">
        <f t="shared" si="10"/>
        <v>27638</v>
      </c>
      <c r="Z153" s="247" t="str">
        <f t="shared" si="11"/>
        <v/>
      </c>
      <c r="AA153" s="567" t="str">
        <f t="shared" si="12"/>
        <v/>
      </c>
      <c r="AB153" s="567" t="str">
        <f t="shared" si="13"/>
        <v/>
      </c>
      <c r="AC153" s="247">
        <f t="shared" si="14"/>
        <v>0</v>
      </c>
      <c r="AD153" s="247">
        <f t="shared" si="15"/>
        <v>13</v>
      </c>
      <c r="AE153" s="567">
        <f t="shared" si="16"/>
        <v>1</v>
      </c>
      <c r="AF153" s="247" t="str">
        <f t="shared" si="17"/>
        <v/>
      </c>
      <c r="AG153" s="247">
        <f t="shared" si="18"/>
        <v>9</v>
      </c>
      <c r="AH153" s="557" t="str">
        <f t="shared" si="19"/>
        <v/>
      </c>
    </row>
    <row r="154" spans="1:34">
      <c r="A154" s="555">
        <f t="shared" ca="1" si="0"/>
        <v>1</v>
      </c>
      <c r="B154" s="556">
        <f t="shared" ref="B154:B155" ca="1" si="150">IF(AF154&lt;=AG154,1,IF(AH154&lt;=0.005,2,IF(AND(AH154&gt;0.005,AH154&lt;=0.02, L182),4,IF(AND(AH154&gt;0.02,AH154&lt;=0.05),5,IF(AND(AH154&gt;0.05,AH154&lt;=0.1),7,IF(AND(AH154&gt;0.1,AH154&lt;=0.2),8,IF(AH154&gt;0.2,10)))))))</f>
        <v>10</v>
      </c>
      <c r="C154" s="555">
        <f t="shared" ref="C154:C155" ca="1" si="151">IF(AA154&lt;=0.005,10,IF(AND(AA154&gt;0.005,AA154&lt;=0.01, C167),9,IF(AND(AA154&gt;0.01,AA154&lt;=0.02),8,IF(AND(AA154&gt;0.02,AA154&lt;=0.05),7,IF(AND(AA154&gt;0.05,AA154&lt;=0.1),6,IF(AND(AA154&gt;0.1,AA154&lt;=0.2),5,IF(AND(AA154&gt;0.2,AA154&lt;=0.3),4,IF(AND(AA154&gt;0.3,AA154&lt;=0.4),3,IF(AND(AA154&gt;0.4,AA154&lt;=0.5),2,IF(AA154&gt;0.5,1))))))))))</f>
        <v>1</v>
      </c>
      <c r="D154" s="555">
        <f t="shared" ca="1" si="3"/>
        <v>1</v>
      </c>
      <c r="E154" s="556">
        <f t="shared" ca="1" si="99"/>
        <v>3.3</v>
      </c>
      <c r="F154" s="557" t="str">
        <f t="shared" ca="1" si="5"/>
        <v xml:space="preserve">     -</v>
      </c>
      <c r="G154" s="558">
        <f t="shared" ca="1" si="22"/>
        <v>0.38890000000000002</v>
      </c>
      <c r="H154" s="559">
        <f t="shared" ca="1" si="45"/>
        <v>-0.16700000000000001</v>
      </c>
      <c r="I154" s="560">
        <f t="shared" ca="1" si="8"/>
        <v>10500</v>
      </c>
      <c r="J154" s="561">
        <f t="shared" ca="1" si="9"/>
        <v>4500</v>
      </c>
      <c r="K154" s="562">
        <v>250</v>
      </c>
      <c r="L154" s="563">
        <v>44953</v>
      </c>
      <c r="M154" s="570" t="s">
        <v>2338</v>
      </c>
      <c r="N154" s="247" t="str">
        <f ca="1">IFERROR(__xludf.DUMMYFUNCTION("split(M154,"" "")"),"Kushal")</f>
        <v>Kushal</v>
      </c>
      <c r="O154" s="247" t="str">
        <f ca="1">IFERROR(__xludf.DUMMYFUNCTION("""COMPUTED_VALUE"""),"BAJAJ-AUTO")</f>
        <v>BAJAJ-AUTO</v>
      </c>
      <c r="P154" s="247" t="str">
        <f ca="1">IFERROR(__xludf.DUMMYFUNCTION("""COMPUTED_VALUE"""),"FEB")</f>
        <v>FEB</v>
      </c>
      <c r="Q154" s="247">
        <f ca="1">IFERROR(__xludf.DUMMYFUNCTION("""COMPUTED_VALUE"""),3740)</f>
        <v>3740</v>
      </c>
      <c r="R154" s="247" t="str">
        <f ca="1">IFERROR(__xludf.DUMMYFUNCTION("""COMPUTED_VALUE"""),"CE")</f>
        <v>CE</v>
      </c>
      <c r="S154" s="247" t="str">
        <f ca="1">IFERROR(__xludf.DUMMYFUNCTION("""COMPUTED_VALUE"""),"@108")</f>
        <v>@108</v>
      </c>
      <c r="T154" s="564" t="str">
        <f ca="1">IFERROR(__xludf.DUMMYFUNCTION("""COMPUTED_VALUE"""),"T-150")</f>
        <v>T-150</v>
      </c>
      <c r="U154" s="565" t="str">
        <f ca="1">IFERROR(__xludf.DUMMYFUNCTION("""COMPUTED_VALUE"""),"SL-90")</f>
        <v>SL-90</v>
      </c>
      <c r="V154" s="566" t="str">
        <f ca="1">IFERROR(__xludf.DUMMYFUNCTION("""COMPUTED_VALUE"""),"O-200")</f>
        <v>O-200</v>
      </c>
      <c r="W154" s="564" t="str">
        <f ca="1">IFERROR(__xludf.DUMMYFUNCTION("""COMPUTED_VALUE"""),"H-285.05")</f>
        <v>H-285.05</v>
      </c>
      <c r="X154" s="565" t="str">
        <f ca="1">IFERROR(__xludf.DUMMYFUNCTION("""COMPUTED_VALUE"""),"L-200")</f>
        <v>L-200</v>
      </c>
      <c r="Y154" s="247">
        <f t="shared" ca="1" si="10"/>
        <v>108</v>
      </c>
      <c r="Z154" s="247">
        <f t="shared" ca="1" si="11"/>
        <v>200</v>
      </c>
      <c r="AA154" s="567">
        <f t="shared" ca="1" si="12"/>
        <v>0.85199999999999998</v>
      </c>
      <c r="AB154" s="567">
        <f t="shared" ca="1" si="13"/>
        <v>-1</v>
      </c>
      <c r="AC154" s="247">
        <f t="shared" ca="1" si="14"/>
        <v>0</v>
      </c>
      <c r="AD154" s="247">
        <f t="shared" ca="1" si="15"/>
        <v>150</v>
      </c>
      <c r="AE154" s="567">
        <f t="shared" ca="1" si="16"/>
        <v>1</v>
      </c>
      <c r="AF154" s="247">
        <f t="shared" ca="1" si="17"/>
        <v>200</v>
      </c>
      <c r="AG154" s="247">
        <f t="shared" ca="1" si="18"/>
        <v>90</v>
      </c>
      <c r="AH154" s="557">
        <f t="shared" ca="1" si="19"/>
        <v>1.222</v>
      </c>
    </row>
    <row r="155" spans="1:34">
      <c r="A155" s="555">
        <f t="shared" ca="1" si="0"/>
        <v>1</v>
      </c>
      <c r="B155" s="556">
        <f t="shared" ca="1" si="150"/>
        <v>1</v>
      </c>
      <c r="C155" s="555">
        <f t="shared" ca="1" si="151"/>
        <v>1</v>
      </c>
      <c r="D155" s="555">
        <f t="shared" ca="1" si="3"/>
        <v>1</v>
      </c>
      <c r="E155" s="556">
        <f t="shared" ca="1" si="99"/>
        <v>1</v>
      </c>
      <c r="F155" s="557">
        <f t="shared" ca="1" si="5"/>
        <v>0.375</v>
      </c>
      <c r="G155" s="558">
        <f t="shared" ca="1" si="22"/>
        <v>1.1667000000000001</v>
      </c>
      <c r="H155" s="559">
        <f t="shared" ca="1" si="45"/>
        <v>0.33300000000000002</v>
      </c>
      <c r="I155" s="560">
        <f t="shared" ca="1" si="8"/>
        <v>24500</v>
      </c>
      <c r="J155" s="561">
        <f t="shared" ca="1" si="9"/>
        <v>-7000</v>
      </c>
      <c r="K155" s="562">
        <v>3500</v>
      </c>
      <c r="L155" s="563">
        <v>44953</v>
      </c>
      <c r="M155" s="570" t="s">
        <v>2339</v>
      </c>
      <c r="N155" s="247" t="str">
        <f ca="1">IFERROR(__xludf.DUMMYFUNCTION("split(M155,"" "")"),"Varun")</f>
        <v>Varun</v>
      </c>
      <c r="O155" s="247" t="str">
        <f ca="1">IFERROR(__xludf.DUMMYFUNCTION("""COMPUTED_VALUE"""),"APOLLOTYRE")</f>
        <v>APOLLOTYRE</v>
      </c>
      <c r="P155" s="247" t="str">
        <f ca="1">IFERROR(__xludf.DUMMYFUNCTION("""COMPUTED_VALUE"""),"FEB")</f>
        <v>FEB</v>
      </c>
      <c r="Q155" s="247">
        <f ca="1">IFERROR(__xludf.DUMMYFUNCTION("""COMPUTED_VALUE"""),325)</f>
        <v>325</v>
      </c>
      <c r="R155" s="247" t="str">
        <f ca="1">IFERROR(__xludf.DUMMYFUNCTION("""COMPUTED_VALUE"""),"CE")</f>
        <v>CE</v>
      </c>
      <c r="S155" s="247" t="str">
        <f ca="1">IFERROR(__xludf.DUMMYFUNCTION("""COMPUTED_VALUE"""),"@6")</f>
        <v>@6</v>
      </c>
      <c r="T155" s="564" t="str">
        <f ca="1">IFERROR(__xludf.DUMMYFUNCTION("""COMPUTED_VALUE"""),"T-13")</f>
        <v>T-13</v>
      </c>
      <c r="U155" s="565" t="str">
        <f ca="1">IFERROR(__xludf.DUMMYFUNCTION("""COMPUTED_VALUE"""),"SL-8")</f>
        <v>SL-8</v>
      </c>
      <c r="V155" s="566" t="str">
        <f ca="1">IFERROR(__xludf.DUMMYFUNCTION("""COMPUTED_VALUE"""),"O-12")</f>
        <v>O-12</v>
      </c>
      <c r="W155" s="564" t="str">
        <f ca="1">IFERROR(__xludf.DUMMYFUNCTION("""COMPUTED_VALUE"""),"H-17.95")</f>
        <v>H-17.95</v>
      </c>
      <c r="X155" s="565" t="str">
        <f ca="1">IFERROR(__xludf.DUMMYFUNCTION("""COMPUTED_VALUE"""),"L-5")</f>
        <v>L-5</v>
      </c>
      <c r="Y155" s="247">
        <f t="shared" ca="1" si="10"/>
        <v>6</v>
      </c>
      <c r="Z155" s="247">
        <f t="shared" ca="1" si="11"/>
        <v>12</v>
      </c>
      <c r="AA155" s="567">
        <f t="shared" ca="1" si="12"/>
        <v>1</v>
      </c>
      <c r="AB155" s="567">
        <f t="shared" ca="1" si="13"/>
        <v>-1</v>
      </c>
      <c r="AC155" s="247">
        <f t="shared" ca="1" si="14"/>
        <v>0</v>
      </c>
      <c r="AD155" s="247">
        <f t="shared" ca="1" si="15"/>
        <v>13</v>
      </c>
      <c r="AE155" s="567">
        <f t="shared" ca="1" si="16"/>
        <v>1</v>
      </c>
      <c r="AF155" s="247">
        <f t="shared" ca="1" si="17"/>
        <v>5</v>
      </c>
      <c r="AG155" s="247">
        <f t="shared" ca="1" si="18"/>
        <v>8</v>
      </c>
      <c r="AH155" s="557" t="str">
        <f t="shared" ca="1" si="19"/>
        <v>SL Hit</v>
      </c>
    </row>
    <row r="156" spans="1:34">
      <c r="A156" s="555">
        <f t="shared" ca="1" si="0"/>
        <v>1</v>
      </c>
      <c r="B156" s="556">
        <f t="shared" ref="B156:B157" ca="1" si="152">IF(AF156&lt;=AG156,1,IF(AH156&lt;=0.005,2,IF(AND(AH156&gt;0.005,AH156&lt;=0.02, L182),4,IF(AND(AH156&gt;0.02,AH156&lt;=0.05),5,IF(AND(AH156&gt;0.05,AH156&lt;=0.1),7,IF(AND(AH156&gt;0.1,AH156&lt;=0.2),8,IF(AH156&gt;0.2,10)))))))</f>
        <v>10</v>
      </c>
      <c r="C156" s="555">
        <f t="shared" ref="C156:C157" ca="1" si="153">IF(AA156&lt;=0.005,10,IF(AND(AA156&gt;0.005,AA156&lt;=0.01, C167),9,IF(AND(AA156&gt;0.01,AA156&lt;=0.02),8,IF(AND(AA156&gt;0.02,AA156&lt;=0.05),7,IF(AND(AA156&gt;0.05,AA156&lt;=0.1),6,IF(AND(AA156&gt;0.1,AA156&lt;=0.2),5,IF(AND(AA156&gt;0.2,AA156&lt;=0.3),4,IF(AND(AA156&gt;0.3,AA156&lt;=0.4),3,IF(AND(AA156&gt;0.4,AA156&lt;=0.5),2,IF(AA156&gt;0.5,1))))))))))</f>
        <v>1</v>
      </c>
      <c r="D156" s="555">
        <f t="shared" ca="1" si="3"/>
        <v>10</v>
      </c>
      <c r="E156" s="556">
        <f t="shared" ca="1" si="99"/>
        <v>5.5</v>
      </c>
      <c r="F156" s="557" t="str">
        <f t="shared" ca="1" si="5"/>
        <v xml:space="preserve">     -</v>
      </c>
      <c r="G156" s="558">
        <f t="shared" ca="1" si="22"/>
        <v>-0.99980000000000002</v>
      </c>
      <c r="H156" s="559">
        <f t="shared" ca="1" si="45"/>
        <v>-0.5</v>
      </c>
      <c r="I156" s="560">
        <f t="shared" ca="1" si="8"/>
        <v>-125582400</v>
      </c>
      <c r="J156" s="561">
        <f t="shared" ca="1" si="9"/>
        <v>62808300</v>
      </c>
      <c r="K156" s="562">
        <v>5700</v>
      </c>
      <c r="L156" s="563">
        <v>44956</v>
      </c>
      <c r="M156" s="570" t="s">
        <v>2340</v>
      </c>
      <c r="N156" s="247" t="str">
        <f ca="1">IFERROR(__xludf.DUMMYFUNCTION("split(M156,"" "")"),"Varun")</f>
        <v>Varun</v>
      </c>
      <c r="O156" s="247" t="str">
        <f ca="1">IFERROR(__xludf.DUMMYFUNCTION("""COMPUTED_VALUE"""),"NTPC")</f>
        <v>NTPC</v>
      </c>
      <c r="P156" s="247" t="str">
        <f ca="1">IFERROR(__xludf.DUMMYFUNCTION("""COMPUTED_VALUE"""),"FEB")</f>
        <v>FEB</v>
      </c>
      <c r="Q156" s="247">
        <f ca="1">IFERROR(__xludf.DUMMYFUNCTION("""COMPUTED_VALUE"""),167.5)</f>
        <v>167.5</v>
      </c>
      <c r="R156" s="247" t="str">
        <f ca="1">IFERROR(__xludf.DUMMYFUNCTION("""COMPUTED_VALUE"""),"CE")</f>
        <v>CE</v>
      </c>
      <c r="S156" s="247" t="str">
        <f ca="1">IFERROR(__xludf.DUMMYFUNCTION("""COMPUTED_VALUE"""),"@5.60")</f>
        <v>@5.60</v>
      </c>
      <c r="T156" s="564" t="str">
        <f ca="1">IFERROR(__xludf.DUMMYFUNCTION("""COMPUTED_VALUE"""),"T-5")</f>
        <v>T-5</v>
      </c>
      <c r="U156" s="565" t="str">
        <f ca="1">IFERROR(__xludf.DUMMYFUNCTION("""COMPUTED_VALUE"""),"SL-3.30")</f>
        <v>SL-3.30</v>
      </c>
      <c r="V156" s="566" t="str">
        <f ca="1">IFERROR(__xludf.DUMMYFUNCTION("""COMPUTED_VALUE"""),"O-")</f>
        <v>O-</v>
      </c>
      <c r="W156" s="564" t="str">
        <f ca="1">IFERROR(__xludf.DUMMYFUNCTION("""COMPUTED_VALUE"""),"H-")</f>
        <v>H-</v>
      </c>
      <c r="X156" s="565" t="str">
        <f ca="1">IFERROR(__xludf.DUMMYFUNCTION("""COMPUTED_VALUE"""),"L-")</f>
        <v>L-</v>
      </c>
      <c r="Y156" s="247">
        <f t="shared" ca="1" si="10"/>
        <v>22037</v>
      </c>
      <c r="Z156" s="247" t="str">
        <f t="shared" ca="1" si="11"/>
        <v/>
      </c>
      <c r="AA156" s="567" t="str">
        <f t="shared" ca="1" si="12"/>
        <v/>
      </c>
      <c r="AB156" s="567" t="str">
        <f t="shared" ca="1" si="13"/>
        <v/>
      </c>
      <c r="AC156" s="247">
        <f t="shared" ca="1" si="14"/>
        <v>0</v>
      </c>
      <c r="AD156" s="247">
        <f t="shared" ca="1" si="15"/>
        <v>5</v>
      </c>
      <c r="AE156" s="567">
        <f t="shared" ca="1" si="16"/>
        <v>1</v>
      </c>
      <c r="AF156" s="247" t="str">
        <f t="shared" ca="1" si="17"/>
        <v/>
      </c>
      <c r="AG156" s="247">
        <f t="shared" ca="1" si="18"/>
        <v>11018</v>
      </c>
      <c r="AH156" s="557" t="str">
        <f t="shared" ca="1" si="19"/>
        <v/>
      </c>
    </row>
    <row r="157" spans="1:34">
      <c r="A157" s="555">
        <f t="shared" ca="1" si="0"/>
        <v>1</v>
      </c>
      <c r="B157" s="556">
        <f t="shared" ca="1" si="152"/>
        <v>10</v>
      </c>
      <c r="C157" s="555">
        <f t="shared" ca="1" si="153"/>
        <v>10</v>
      </c>
      <c r="D157" s="555">
        <f t="shared" ca="1" si="3"/>
        <v>1</v>
      </c>
      <c r="E157" s="556">
        <f t="shared" ca="1" si="99"/>
        <v>5.5</v>
      </c>
      <c r="F157" s="557" t="str">
        <f t="shared" ca="1" si="5"/>
        <v xml:space="preserve">     -</v>
      </c>
      <c r="G157" s="558">
        <f t="shared" ca="1" si="22"/>
        <v>-0.99960000000000004</v>
      </c>
      <c r="H157" s="559">
        <f t="shared" ca="1" si="45"/>
        <v>-1</v>
      </c>
      <c r="I157" s="560">
        <f t="shared" ca="1" si="8"/>
        <v>-67619200</v>
      </c>
      <c r="J157" s="561">
        <f t="shared" ca="1" si="9"/>
        <v>67633600</v>
      </c>
      <c r="K157" s="562">
        <v>1600</v>
      </c>
      <c r="L157" s="563">
        <v>44956</v>
      </c>
      <c r="M157" s="570" t="s">
        <v>2341</v>
      </c>
      <c r="N157" s="247" t="str">
        <f ca="1">IFERROR(__xludf.DUMMYFUNCTION("split(M157,"" "")"),"Kushal")</f>
        <v>Kushal</v>
      </c>
      <c r="O157" s="247" t="str">
        <f ca="1">IFERROR(__xludf.DUMMYFUNCTION("""COMPUTED_VALUE"""),"ITC")</f>
        <v>ITC</v>
      </c>
      <c r="P157" s="247" t="str">
        <f ca="1">IFERROR(__xludf.DUMMYFUNCTION("""COMPUTED_VALUE"""),"FEB")</f>
        <v>FEB</v>
      </c>
      <c r="Q157" s="247">
        <f ca="1">IFERROR(__xludf.DUMMYFUNCTION("""COMPUTED_VALUE"""),345)</f>
        <v>345</v>
      </c>
      <c r="R157" s="247" t="str">
        <f ca="1">IFERROR(__xludf.DUMMYFUNCTION("""COMPUTED_VALUE"""),"CE")</f>
        <v>CE</v>
      </c>
      <c r="S157" s="247" t="str">
        <f ca="1">IFERROR(__xludf.DUMMYFUNCTION("""COMPUTED_VALUE"""),"@10.15")</f>
        <v>@10.15</v>
      </c>
      <c r="T157" s="564" t="str">
        <f ca="1">IFERROR(__xludf.DUMMYFUNCTION("""COMPUTED_VALUE"""),"T-16")</f>
        <v>T-16</v>
      </c>
      <c r="U157" s="565" t="str">
        <f ca="1">IFERROR(__xludf.DUMMYFUNCTION("""COMPUTED_VALUE"""),"SL-7")</f>
        <v>SL-7</v>
      </c>
      <c r="V157" s="566" t="str">
        <f ca="1">IFERROR(__xludf.DUMMYFUNCTION("""COMPUTED_VALUE"""),"O-10.75")</f>
        <v>O-10.75</v>
      </c>
      <c r="W157" s="564" t="str">
        <f ca="1">IFERROR(__xludf.DUMMYFUNCTION("""COMPUTED_VALUE"""),"H-13.85")</f>
        <v>H-13.85</v>
      </c>
      <c r="X157" s="565" t="str">
        <f ca="1">IFERROR(__xludf.DUMMYFUNCTION("""COMPUTED_VALUE"""),"L-8.70")</f>
        <v>L-8.70</v>
      </c>
      <c r="Y157" s="247">
        <f t="shared" ca="1" si="10"/>
        <v>42278</v>
      </c>
      <c r="Z157" s="247">
        <f t="shared" ca="1" si="11"/>
        <v>27668</v>
      </c>
      <c r="AA157" s="567">
        <f t="shared" ca="1" si="12"/>
        <v>-0.34599999999999997</v>
      </c>
      <c r="AB157" s="567">
        <f t="shared" ca="1" si="13"/>
        <v>-1</v>
      </c>
      <c r="AC157" s="247">
        <f t="shared" ca="1" si="14"/>
        <v>0</v>
      </c>
      <c r="AD157" s="247">
        <f t="shared" ca="1" si="15"/>
        <v>16</v>
      </c>
      <c r="AE157" s="567">
        <f t="shared" ca="1" si="16"/>
        <v>1</v>
      </c>
      <c r="AF157" s="247">
        <f t="shared" ca="1" si="17"/>
        <v>25781</v>
      </c>
      <c r="AG157" s="247">
        <f t="shared" ca="1" si="18"/>
        <v>7</v>
      </c>
      <c r="AH157" s="557">
        <f t="shared" ca="1" si="19"/>
        <v>3682</v>
      </c>
    </row>
    <row r="158" spans="1:34">
      <c r="A158" s="555">
        <f t="shared" ca="1" si="0"/>
        <v>1</v>
      </c>
      <c r="B158" s="556">
        <f t="shared" ref="B158:B160" ca="1" si="154">IF(AF158&lt;=AG158,1,IF(AH158&lt;=0.005,2,IF(AND(AH158&gt;0.005,AH158&lt;=0.02, L182),4,IF(AND(AH158&gt;0.02,AH158&lt;=0.05),5,IF(AND(AH158&gt;0.05,AH158&lt;=0.1),7,IF(AND(AH158&gt;0.1,AH158&lt;=0.2),8,IF(AH158&gt;0.2,10)))))))</f>
        <v>10</v>
      </c>
      <c r="C158" s="555">
        <f t="shared" ref="C158:C160" ca="1" si="155">IF(AA158&lt;=0.005,10,IF(AND(AA158&gt;0.005,AA158&lt;=0.01, C167),9,IF(AND(AA158&gt;0.01,AA158&lt;=0.02),8,IF(AND(AA158&gt;0.02,AA158&lt;=0.05),7,IF(AND(AA158&gt;0.05,AA158&lt;=0.1),6,IF(AND(AA158&gt;0.1,AA158&lt;=0.2),5,IF(AND(AA158&gt;0.2,AA158&lt;=0.3),4,IF(AND(AA158&gt;0.3,AA158&lt;=0.4),3,IF(AND(AA158&gt;0.4,AA158&lt;=0.5),2,IF(AA158&gt;0.5,1))))))))))</f>
        <v>10</v>
      </c>
      <c r="D158" s="555">
        <f t="shared" ca="1" si="3"/>
        <v>1</v>
      </c>
      <c r="E158" s="556">
        <f t="shared" ca="1" si="99"/>
        <v>5.5</v>
      </c>
      <c r="F158" s="557" t="str">
        <f t="shared" ca="1" si="5"/>
        <v xml:space="preserve">     -</v>
      </c>
      <c r="G158" s="558">
        <f t="shared" ca="1" si="22"/>
        <v>-0.99919999999999998</v>
      </c>
      <c r="H158" s="559">
        <f t="shared" ca="1" si="45"/>
        <v>-1</v>
      </c>
      <c r="I158" s="560">
        <f t="shared" ca="1" si="8"/>
        <v>-77710500</v>
      </c>
      <c r="J158" s="561">
        <f t="shared" ca="1" si="9"/>
        <v>77749000</v>
      </c>
      <c r="K158" s="562">
        <v>3500</v>
      </c>
      <c r="L158" s="563">
        <v>44957</v>
      </c>
      <c r="M158" s="570" t="s">
        <v>2342</v>
      </c>
      <c r="N158" s="247" t="str">
        <f ca="1">IFERROR(__xludf.DUMMYFUNCTION("split(M158,"" "")"),"Kushal")</f>
        <v>Kushal</v>
      </c>
      <c r="O158" s="247" t="str">
        <f ca="1">IFERROR(__xludf.DUMMYFUNCTION("""COMPUTED_VALUE"""),"APOLLOTYRE")</f>
        <v>APOLLOTYRE</v>
      </c>
      <c r="P158" s="247" t="str">
        <f ca="1">IFERROR(__xludf.DUMMYFUNCTION("""COMPUTED_VALUE"""),"FEB")</f>
        <v>FEB</v>
      </c>
      <c r="Q158" s="247">
        <f ca="1">IFERROR(__xludf.DUMMYFUNCTION("""COMPUTED_VALUE"""),315)</f>
        <v>315</v>
      </c>
      <c r="R158" s="247" t="str">
        <f ca="1">IFERROR(__xludf.DUMMYFUNCTION("""COMPUTED_VALUE"""),"CE")</f>
        <v>CE</v>
      </c>
      <c r="S158" s="247" t="str">
        <f ca="1">IFERROR(__xludf.DUMMYFUNCTION("""COMPUTED_VALUE"""),"@11.60")</f>
        <v>@11.60</v>
      </c>
      <c r="T158" s="564" t="str">
        <f ca="1">IFERROR(__xludf.DUMMYFUNCTION("""COMPUTED_VALUE"""),"T-18")</f>
        <v>T-18</v>
      </c>
      <c r="U158" s="565" t="str">
        <f ca="1">IFERROR(__xludf.DUMMYFUNCTION("""COMPUTED_VALUE"""),"SL-7")</f>
        <v>SL-7</v>
      </c>
      <c r="V158" s="566" t="str">
        <f ca="1">IFERROR(__xludf.DUMMYFUNCTION("""COMPUTED_VALUE"""),"O-12.50")</f>
        <v>O-12.50</v>
      </c>
      <c r="W158" s="564" t="str">
        <f ca="1">IFERROR(__xludf.DUMMYFUNCTION("""COMPUTED_VALUE"""),"H-17.95")</f>
        <v>H-17.95</v>
      </c>
      <c r="X158" s="565" t="str">
        <f ca="1">IFERROR(__xludf.DUMMYFUNCTION("""COMPUTED_VALUE"""),"L-11.60")</f>
        <v>L-11.60</v>
      </c>
      <c r="Y158" s="247">
        <f t="shared" ca="1" si="10"/>
        <v>22221</v>
      </c>
      <c r="Z158" s="247">
        <f t="shared" ca="1" si="11"/>
        <v>18598</v>
      </c>
      <c r="AA158" s="567">
        <f t="shared" ca="1" si="12"/>
        <v>-0.16300000000000001</v>
      </c>
      <c r="AB158" s="567">
        <f t="shared" ca="1" si="13"/>
        <v>-1</v>
      </c>
      <c r="AC158" s="247">
        <f t="shared" ca="1" si="14"/>
        <v>0</v>
      </c>
      <c r="AD158" s="247">
        <f t="shared" ca="1" si="15"/>
        <v>18</v>
      </c>
      <c r="AE158" s="567">
        <f t="shared" ca="1" si="16"/>
        <v>1</v>
      </c>
      <c r="AF158" s="247">
        <f t="shared" ca="1" si="17"/>
        <v>22221</v>
      </c>
      <c r="AG158" s="247">
        <f t="shared" ca="1" si="18"/>
        <v>7</v>
      </c>
      <c r="AH158" s="557">
        <f t="shared" ca="1" si="19"/>
        <v>3173.4290000000001</v>
      </c>
    </row>
    <row r="159" spans="1:34">
      <c r="A159" s="555">
        <f t="shared" si="0"/>
        <v>1</v>
      </c>
      <c r="B159" s="556">
        <f t="shared" si="154"/>
        <v>10</v>
      </c>
      <c r="C159" s="555">
        <f t="shared" si="155"/>
        <v>1</v>
      </c>
      <c r="D159" s="555">
        <f t="shared" si="3"/>
        <v>10</v>
      </c>
      <c r="E159" s="556" t="str">
        <f t="shared" si="99"/>
        <v/>
      </c>
      <c r="F159" s="557" t="str">
        <f t="shared" si="5"/>
        <v xml:space="preserve">     -</v>
      </c>
      <c r="G159" s="558" t="str">
        <f t="shared" si="22"/>
        <v/>
      </c>
      <c r="H159" s="559" t="str">
        <f t="shared" si="45"/>
        <v/>
      </c>
      <c r="I159" s="560" t="e">
        <f t="shared" si="8"/>
        <v>#VALUE!</v>
      </c>
      <c r="J159" s="561" t="e">
        <f t="shared" si="9"/>
        <v>#VALUE!</v>
      </c>
      <c r="K159" s="562"/>
      <c r="L159" s="563">
        <v>44957</v>
      </c>
      <c r="M159" s="570" t="s">
        <v>1163</v>
      </c>
      <c r="N159" s="247" t="str">
        <f ca="1">IFERROR(__xludf.DUMMYFUNCTION("split(M159,"" "")"),"-")</f>
        <v>-</v>
      </c>
      <c r="O159" s="247"/>
      <c r="P159" s="247"/>
      <c r="Q159" s="247"/>
      <c r="R159" s="247"/>
      <c r="S159" s="247"/>
      <c r="T159" s="564"/>
      <c r="U159" s="565"/>
      <c r="V159" s="566"/>
      <c r="W159" s="564"/>
      <c r="X159" s="565"/>
      <c r="Y159" s="247" t="str">
        <f t="shared" si="10"/>
        <v/>
      </c>
      <c r="Z159" s="247" t="str">
        <f t="shared" si="11"/>
        <v/>
      </c>
      <c r="AA159" s="567" t="str">
        <f t="shared" si="12"/>
        <v/>
      </c>
      <c r="AB159" s="567" t="str">
        <f t="shared" si="13"/>
        <v/>
      </c>
      <c r="AC159" s="247">
        <f t="shared" si="14"/>
        <v>0</v>
      </c>
      <c r="AD159" s="247" t="str">
        <f t="shared" si="15"/>
        <v/>
      </c>
      <c r="AE159" s="567" t="str">
        <f t="shared" si="16"/>
        <v/>
      </c>
      <c r="AF159" s="247" t="str">
        <f t="shared" si="17"/>
        <v/>
      </c>
      <c r="AG159" s="247">
        <f t="shared" si="18"/>
        <v>0</v>
      </c>
      <c r="AH159" s="557" t="str">
        <f t="shared" si="19"/>
        <v/>
      </c>
    </row>
    <row r="160" spans="1:34">
      <c r="A160" s="555">
        <f t="shared" si="0"/>
        <v>1</v>
      </c>
      <c r="B160" s="556">
        <f t="shared" si="154"/>
        <v>10</v>
      </c>
      <c r="C160" s="555">
        <f t="shared" si="155"/>
        <v>1</v>
      </c>
      <c r="D160" s="555">
        <f t="shared" si="3"/>
        <v>10</v>
      </c>
      <c r="E160" s="556" t="str">
        <f t="shared" si="99"/>
        <v/>
      </c>
      <c r="F160" s="557" t="str">
        <f t="shared" si="5"/>
        <v xml:space="preserve">     -</v>
      </c>
      <c r="G160" s="558" t="str">
        <f t="shared" si="22"/>
        <v/>
      </c>
      <c r="H160" s="559" t="str">
        <f t="shared" si="45"/>
        <v/>
      </c>
      <c r="I160" s="560" t="e">
        <f t="shared" si="8"/>
        <v>#VALUE!</v>
      </c>
      <c r="J160" s="561" t="e">
        <f t="shared" si="9"/>
        <v>#VALUE!</v>
      </c>
      <c r="K160" s="562"/>
      <c r="L160" s="563"/>
      <c r="M160" s="570" t="s">
        <v>1163</v>
      </c>
      <c r="N160" s="247" t="str">
        <f ca="1">IFERROR(__xludf.DUMMYFUNCTION("split(M160,"" "")"),"-")</f>
        <v>-</v>
      </c>
      <c r="O160" s="247"/>
      <c r="P160" s="247"/>
      <c r="Q160" s="247"/>
      <c r="R160" s="247"/>
      <c r="S160" s="247"/>
      <c r="T160" s="564"/>
      <c r="U160" s="565"/>
      <c r="V160" s="566"/>
      <c r="W160" s="564"/>
      <c r="X160" s="565"/>
      <c r="Y160" s="247" t="str">
        <f t="shared" si="10"/>
        <v/>
      </c>
      <c r="Z160" s="247" t="str">
        <f t="shared" si="11"/>
        <v/>
      </c>
      <c r="AA160" s="567" t="str">
        <f t="shared" si="12"/>
        <v/>
      </c>
      <c r="AB160" s="567" t="str">
        <f t="shared" si="13"/>
        <v/>
      </c>
      <c r="AC160" s="247">
        <f t="shared" si="14"/>
        <v>0</v>
      </c>
      <c r="AD160" s="247" t="str">
        <f t="shared" si="15"/>
        <v/>
      </c>
      <c r="AE160" s="567" t="str">
        <f t="shared" si="16"/>
        <v/>
      </c>
      <c r="AF160" s="247" t="str">
        <f t="shared" si="17"/>
        <v/>
      </c>
      <c r="AG160" s="247">
        <f t="shared" si="18"/>
        <v>0</v>
      </c>
      <c r="AH160" s="557" t="str">
        <f t="shared" si="19"/>
        <v/>
      </c>
    </row>
    <row r="161" spans="1:37" ht="3.75" customHeight="1">
      <c r="C161" s="40"/>
      <c r="D161" s="40"/>
      <c r="E161" s="40"/>
      <c r="K161" s="571"/>
      <c r="L161" s="571"/>
      <c r="N161" s="40"/>
    </row>
    <row r="162" spans="1:37" ht="15" customHeight="1">
      <c r="A162" s="572">
        <f ca="1">ROUND(COUNTIFS(A2:A161,"=10",N2:N161,F162)/E162,2)</f>
        <v>0.15</v>
      </c>
      <c r="B162" s="573">
        <f ca="1">ROUND(COUNTIFS(B2:B161,"=10",N2:N161,F162)/E162,2)</f>
        <v>0.94</v>
      </c>
      <c r="C162" s="574">
        <f ca="1">ROUND(COUNTIFS(C2:C161,"&gt;=8",N2:N161,F162)/E162,2)</f>
        <v>0.19</v>
      </c>
      <c r="D162" s="572">
        <f ca="1">ROUND(COUNTIFS(D2:D161,"&gt;=8",N2:N161,F162)/E162,2)</f>
        <v>0.54</v>
      </c>
      <c r="E162" s="575">
        <f ca="1">COUNTIF(N2:N161,F162)</f>
        <v>48</v>
      </c>
      <c r="F162" s="576" t="s">
        <v>1547</v>
      </c>
      <c r="K162" s="571"/>
      <c r="L162" s="571"/>
      <c r="M162" s="568" t="s">
        <v>1790</v>
      </c>
      <c r="V162" s="577" t="s">
        <v>2343</v>
      </c>
      <c r="W162" s="40" t="s">
        <v>1163</v>
      </c>
      <c r="X162" s="577" t="s">
        <v>2344</v>
      </c>
      <c r="AI162" s="40" t="s">
        <v>1163</v>
      </c>
      <c r="AJ162" s="564" t="s">
        <v>2345</v>
      </c>
      <c r="AK162" s="40" t="s">
        <v>2346</v>
      </c>
    </row>
    <row r="163" spans="1:37" ht="3.75" customHeight="1">
      <c r="C163" s="40"/>
      <c r="D163" s="40"/>
      <c r="E163" s="40"/>
      <c r="F163" s="40"/>
      <c r="K163" s="571"/>
      <c r="L163" s="571"/>
      <c r="N163" s="40"/>
    </row>
    <row r="164" spans="1:37" ht="15" customHeight="1">
      <c r="A164" s="572">
        <v>0.64</v>
      </c>
      <c r="B164" s="573">
        <v>0.41</v>
      </c>
      <c r="C164" s="574">
        <v>0.18</v>
      </c>
      <c r="D164" s="572">
        <v>0.46</v>
      </c>
      <c r="E164" s="575">
        <v>39</v>
      </c>
      <c r="F164" s="576" t="s">
        <v>1573</v>
      </c>
      <c r="K164" s="571"/>
      <c r="L164" s="571"/>
      <c r="N164" s="40"/>
    </row>
    <row r="165" spans="1:37" ht="90">
      <c r="A165" s="546" t="s">
        <v>1511</v>
      </c>
      <c r="B165" s="546" t="s">
        <v>1512</v>
      </c>
      <c r="C165" s="546" t="s">
        <v>1513</v>
      </c>
      <c r="D165" s="546" t="s">
        <v>1514</v>
      </c>
      <c r="E165" s="546" t="s">
        <v>1515</v>
      </c>
      <c r="F165" s="546" t="s">
        <v>1516</v>
      </c>
      <c r="G165" s="547" t="s">
        <v>1517</v>
      </c>
      <c r="H165" s="548" t="s">
        <v>1518</v>
      </c>
      <c r="I165" s="547" t="s">
        <v>1519</v>
      </c>
      <c r="J165" s="548" t="s">
        <v>1520</v>
      </c>
      <c r="K165" s="549" t="s">
        <v>722</v>
      </c>
      <c r="L165" s="546" t="s">
        <v>1521</v>
      </c>
      <c r="M165" s="550" t="s">
        <v>1522</v>
      </c>
      <c r="N165" s="546" t="s">
        <v>1082</v>
      </c>
      <c r="O165" s="546" t="s">
        <v>1523</v>
      </c>
      <c r="P165" s="546" t="s">
        <v>1524</v>
      </c>
      <c r="Q165" s="546" t="s">
        <v>720</v>
      </c>
      <c r="R165" s="546" t="s">
        <v>721</v>
      </c>
      <c r="S165" s="546" t="s">
        <v>1525</v>
      </c>
      <c r="T165" s="551" t="s">
        <v>1080</v>
      </c>
      <c r="U165" s="552" t="s">
        <v>1526</v>
      </c>
      <c r="V165" s="553" t="s">
        <v>1527</v>
      </c>
      <c r="W165" s="554" t="s">
        <v>1528</v>
      </c>
      <c r="X165" s="552" t="s">
        <v>1529</v>
      </c>
      <c r="Y165" s="546" t="s">
        <v>653</v>
      </c>
      <c r="Z165" s="546" t="s">
        <v>1527</v>
      </c>
      <c r="AA165" s="546" t="s">
        <v>1530</v>
      </c>
      <c r="AB165" s="546" t="s">
        <v>1531</v>
      </c>
      <c r="AC165" s="546" t="s">
        <v>1528</v>
      </c>
      <c r="AD165" s="546" t="s">
        <v>1080</v>
      </c>
      <c r="AE165" s="546" t="s">
        <v>1532</v>
      </c>
      <c r="AF165" s="546" t="s">
        <v>1529</v>
      </c>
      <c r="AG165" s="546" t="s">
        <v>1526</v>
      </c>
      <c r="AH165" s="546" t="s">
        <v>1533</v>
      </c>
      <c r="AI165" s="578"/>
    </row>
    <row r="166" spans="1:37" ht="3.75" customHeight="1">
      <c r="C166" s="40"/>
      <c r="D166" s="40"/>
      <c r="E166" s="40"/>
      <c r="K166" s="571"/>
      <c r="L166" s="571"/>
      <c r="N166" s="40"/>
    </row>
    <row r="167" spans="1:37">
      <c r="A167" s="579" t="s">
        <v>2347</v>
      </c>
      <c r="B167" s="579"/>
      <c r="C167" s="579"/>
      <c r="D167" s="247"/>
      <c r="E167" s="247"/>
      <c r="F167" s="247"/>
      <c r="G167" s="247"/>
      <c r="L167" s="579" t="s">
        <v>2348</v>
      </c>
      <c r="M167" s="579"/>
      <c r="N167" s="579"/>
      <c r="O167" s="579"/>
      <c r="AD167" s="40"/>
      <c r="AE167" s="40"/>
    </row>
    <row r="168" spans="1:37">
      <c r="A168" s="580" t="s">
        <v>2349</v>
      </c>
      <c r="B168" s="580"/>
      <c r="C168" s="580"/>
      <c r="D168" s="580"/>
      <c r="E168" s="580"/>
      <c r="F168" s="580"/>
      <c r="G168" s="247"/>
      <c r="L168" s="580" t="s">
        <v>2350</v>
      </c>
      <c r="M168" s="580"/>
      <c r="N168" s="580"/>
      <c r="O168" s="580"/>
      <c r="Z168" s="40"/>
      <c r="AA168" s="40"/>
      <c r="AB168" s="40"/>
      <c r="AD168" s="40"/>
      <c r="AE168" s="40"/>
      <c r="AF168" s="40"/>
      <c r="AG168" s="40"/>
    </row>
    <row r="169" spans="1:37">
      <c r="A169" s="581" t="s">
        <v>2351</v>
      </c>
      <c r="B169" s="581"/>
      <c r="C169" s="581"/>
      <c r="D169" s="581"/>
      <c r="E169" s="581"/>
      <c r="F169" s="581"/>
      <c r="G169" s="247"/>
      <c r="L169" s="581" t="s">
        <v>2352</v>
      </c>
      <c r="M169" s="581"/>
      <c r="N169" s="581"/>
      <c r="O169" s="581"/>
      <c r="Z169" s="40"/>
      <c r="AA169" s="40"/>
      <c r="AB169" s="40"/>
      <c r="AD169" s="40"/>
      <c r="AE169" s="40"/>
      <c r="AF169" s="40"/>
      <c r="AG169" s="40"/>
    </row>
    <row r="170" spans="1:37">
      <c r="A170" s="582" t="s">
        <v>2353</v>
      </c>
      <c r="B170" s="582"/>
      <c r="C170" s="582"/>
      <c r="D170" s="582"/>
      <c r="E170" s="582"/>
      <c r="F170" s="582"/>
      <c r="G170" s="247"/>
      <c r="L170" s="582" t="s">
        <v>2354</v>
      </c>
      <c r="M170" s="582"/>
      <c r="N170" s="582"/>
      <c r="O170" s="582"/>
      <c r="Z170" s="40"/>
      <c r="AA170" s="40"/>
      <c r="AB170" s="40"/>
      <c r="AD170" s="40"/>
      <c r="AE170" s="40"/>
      <c r="AF170" s="40"/>
      <c r="AG170" s="40"/>
    </row>
    <row r="171" spans="1:37">
      <c r="A171" s="583" t="s">
        <v>2355</v>
      </c>
      <c r="B171" s="583"/>
      <c r="C171" s="583"/>
      <c r="D171" s="583"/>
      <c r="E171" s="583"/>
      <c r="F171" s="583"/>
      <c r="G171" s="247"/>
      <c r="L171" s="583" t="s">
        <v>2356</v>
      </c>
      <c r="M171" s="583"/>
      <c r="N171" s="583"/>
      <c r="O171" s="583"/>
      <c r="Z171" s="40"/>
      <c r="AA171" s="40"/>
      <c r="AB171" s="40"/>
      <c r="AD171" s="40"/>
      <c r="AE171" s="40"/>
      <c r="AF171" s="40"/>
      <c r="AG171" s="40"/>
    </row>
    <row r="172" spans="1:37">
      <c r="A172" s="584" t="s">
        <v>2357</v>
      </c>
      <c r="B172" s="584"/>
      <c r="C172" s="584"/>
      <c r="D172" s="584"/>
      <c r="E172" s="584"/>
      <c r="F172" s="584"/>
      <c r="G172" s="247"/>
      <c r="L172" s="584" t="s">
        <v>2358</v>
      </c>
      <c r="M172" s="584"/>
      <c r="N172" s="584"/>
      <c r="O172" s="584"/>
      <c r="Z172" s="40"/>
      <c r="AA172" s="40"/>
      <c r="AB172" s="40"/>
      <c r="AD172" s="40"/>
      <c r="AE172" s="40"/>
      <c r="AF172" s="40"/>
      <c r="AG172" s="40"/>
    </row>
    <row r="173" spans="1:37">
      <c r="A173" s="585" t="s">
        <v>2359</v>
      </c>
      <c r="B173" s="585"/>
      <c r="C173" s="585"/>
      <c r="D173" s="585"/>
      <c r="E173" s="585"/>
      <c r="F173" s="585"/>
      <c r="G173" s="247"/>
      <c r="L173" s="585" t="s">
        <v>2360</v>
      </c>
      <c r="M173" s="585"/>
      <c r="N173" s="585"/>
      <c r="O173" s="585"/>
      <c r="Z173" s="40"/>
      <c r="AA173" s="40"/>
      <c r="AB173" s="40"/>
      <c r="AD173" s="40"/>
      <c r="AE173" s="40"/>
      <c r="AF173" s="40"/>
      <c r="AG173" s="40"/>
    </row>
    <row r="174" spans="1:37">
      <c r="A174" s="586" t="s">
        <v>2361</v>
      </c>
      <c r="B174" s="586"/>
      <c r="C174" s="586"/>
      <c r="D174" s="586"/>
      <c r="E174" s="586"/>
      <c r="F174" s="586"/>
      <c r="G174" s="247"/>
      <c r="L174" s="586" t="s">
        <v>2362</v>
      </c>
      <c r="M174" s="586"/>
      <c r="N174" s="586"/>
      <c r="O174" s="586"/>
      <c r="Z174" s="40"/>
      <c r="AA174" s="40"/>
      <c r="AB174" s="40"/>
      <c r="AD174" s="40"/>
      <c r="AE174" s="40"/>
      <c r="AF174" s="40"/>
      <c r="AG174" s="40"/>
    </row>
    <row r="175" spans="1:37">
      <c r="A175" s="587" t="s">
        <v>2363</v>
      </c>
      <c r="B175" s="587"/>
      <c r="C175" s="587"/>
      <c r="D175" s="587"/>
      <c r="E175" s="587"/>
      <c r="F175" s="587"/>
      <c r="G175" s="247"/>
      <c r="L175" s="587" t="s">
        <v>2364</v>
      </c>
      <c r="M175" s="587"/>
      <c r="N175" s="587"/>
      <c r="O175" s="587"/>
    </row>
    <row r="176" spans="1:37">
      <c r="A176" s="588" t="s">
        <v>2365</v>
      </c>
      <c r="B176" s="588"/>
      <c r="C176" s="588"/>
      <c r="D176" s="588"/>
      <c r="E176" s="588"/>
      <c r="F176" s="588"/>
      <c r="G176" s="247"/>
      <c r="L176" s="588" t="s">
        <v>2366</v>
      </c>
      <c r="M176" s="588"/>
      <c r="N176" s="588"/>
      <c r="O176" s="588"/>
      <c r="Z176" s="40"/>
      <c r="AA176" s="40"/>
      <c r="AB176" s="40"/>
      <c r="AD176" s="40"/>
      <c r="AE176" s="40"/>
      <c r="AF176" s="40"/>
      <c r="AG176" s="40"/>
    </row>
    <row r="177" spans="1:33">
      <c r="A177" s="589" t="s">
        <v>2367</v>
      </c>
      <c r="B177" s="589"/>
      <c r="C177" s="589"/>
      <c r="D177" s="589"/>
      <c r="E177" s="589"/>
      <c r="F177" s="589"/>
      <c r="G177" s="247"/>
      <c r="L177" s="589" t="s">
        <v>2368</v>
      </c>
      <c r="M177" s="589"/>
      <c r="N177" s="589"/>
      <c r="O177" s="589"/>
      <c r="Z177" s="40"/>
      <c r="AA177" s="40"/>
      <c r="AB177" s="40"/>
      <c r="AD177" s="40"/>
      <c r="AE177" s="40"/>
      <c r="AF177" s="40"/>
      <c r="AG177" s="40"/>
    </row>
    <row r="178" spans="1:33">
      <c r="G178" s="247"/>
      <c r="Z178" s="40"/>
      <c r="AA178" s="40"/>
      <c r="AB178" s="40"/>
      <c r="AD178" s="40"/>
      <c r="AE178" s="40"/>
      <c r="AF178" s="40"/>
      <c r="AG178" s="40"/>
    </row>
    <row r="179" spans="1:33">
      <c r="A179" s="579" t="s">
        <v>2369</v>
      </c>
      <c r="B179" s="564"/>
      <c r="C179" s="564"/>
      <c r="D179" s="564"/>
      <c r="E179" s="564"/>
      <c r="F179" s="247"/>
      <c r="G179" s="247"/>
      <c r="L179" s="590" t="s">
        <v>2370</v>
      </c>
      <c r="M179" s="565"/>
      <c r="N179" s="565"/>
      <c r="O179" s="590"/>
    </row>
    <row r="180" spans="1:33">
      <c r="A180" s="580" t="s">
        <v>2371</v>
      </c>
      <c r="B180" s="580"/>
      <c r="C180" s="580"/>
      <c r="D180" s="580"/>
      <c r="E180" s="580"/>
      <c r="F180" s="580"/>
      <c r="G180" s="247"/>
      <c r="L180" s="587" t="s">
        <v>2372</v>
      </c>
      <c r="M180" s="587"/>
      <c r="N180" s="587"/>
      <c r="O180" s="587"/>
    </row>
    <row r="181" spans="1:33">
      <c r="A181" s="581" t="s">
        <v>2373</v>
      </c>
      <c r="B181" s="581"/>
      <c r="C181" s="581"/>
      <c r="D181" s="581"/>
      <c r="E181" s="581"/>
      <c r="F181" s="581"/>
      <c r="G181" s="247"/>
      <c r="L181" s="588" t="s">
        <v>2374</v>
      </c>
      <c r="M181" s="588"/>
      <c r="N181" s="588"/>
      <c r="O181" s="588"/>
    </row>
    <row r="182" spans="1:33">
      <c r="A182" s="582" t="s">
        <v>2375</v>
      </c>
      <c r="B182" s="582"/>
      <c r="C182" s="582"/>
      <c r="D182" s="582"/>
      <c r="E182" s="582"/>
      <c r="F182" s="582"/>
      <c r="G182" s="247"/>
      <c r="L182" s="589" t="s">
        <v>2376</v>
      </c>
      <c r="M182" s="589"/>
      <c r="N182" s="589"/>
      <c r="O182" s="589"/>
    </row>
    <row r="183" spans="1:33">
      <c r="A183" s="583" t="s">
        <v>2377</v>
      </c>
      <c r="B183" s="583"/>
      <c r="C183" s="583"/>
      <c r="D183" s="583"/>
      <c r="E183" s="583"/>
      <c r="F183" s="583"/>
      <c r="G183" s="247"/>
      <c r="L183" s="591" t="s">
        <v>2378</v>
      </c>
      <c r="M183" s="591"/>
      <c r="N183" s="591"/>
      <c r="O183" s="591"/>
    </row>
    <row r="184" spans="1:33">
      <c r="A184" s="584" t="s">
        <v>2379</v>
      </c>
      <c r="B184" s="584"/>
      <c r="C184" s="584"/>
      <c r="D184" s="584"/>
      <c r="E184" s="584"/>
      <c r="F184" s="584"/>
      <c r="G184" s="247"/>
      <c r="L184" s="592" t="s">
        <v>2380</v>
      </c>
      <c r="M184" s="592"/>
      <c r="N184" s="592"/>
      <c r="O184" s="592"/>
    </row>
    <row r="185" spans="1:33">
      <c r="A185" s="585" t="s">
        <v>2381</v>
      </c>
      <c r="B185" s="585"/>
      <c r="C185" s="585"/>
      <c r="D185" s="585"/>
      <c r="E185" s="585"/>
      <c r="F185" s="585"/>
      <c r="G185" s="247"/>
      <c r="L185" s="593" t="s">
        <v>2382</v>
      </c>
      <c r="M185" s="593"/>
      <c r="N185" s="593"/>
      <c r="O185" s="593"/>
    </row>
    <row r="186" spans="1:33">
      <c r="A186" s="586" t="s">
        <v>2383</v>
      </c>
      <c r="B186" s="586"/>
      <c r="C186" s="586"/>
      <c r="D186" s="586"/>
      <c r="E186" s="586"/>
      <c r="F186" s="586"/>
      <c r="G186" s="247"/>
      <c r="L186" s="594" t="s">
        <v>2384</v>
      </c>
      <c r="M186" s="594"/>
      <c r="N186" s="594"/>
      <c r="O186" s="594"/>
    </row>
  </sheetData>
  <conditionalFormatting sqref="A2:A160 C2:D160">
    <cfRule type="cellIs" dxfId="35" priority="1" operator="equal">
      <formula>1</formula>
    </cfRule>
  </conditionalFormatting>
  <conditionalFormatting sqref="A2:A160 C2:D160">
    <cfRule type="cellIs" dxfId="34" priority="2" operator="equal">
      <formula>2</formula>
    </cfRule>
  </conditionalFormatting>
  <conditionalFormatting sqref="A2:A160 C2:D160">
    <cfRule type="cellIs" dxfId="33" priority="3" operator="equal">
      <formula>4</formula>
    </cfRule>
  </conditionalFormatting>
  <conditionalFormatting sqref="A2:A160 C2:D160">
    <cfRule type="cellIs" dxfId="32" priority="4" operator="equal">
      <formula>5</formula>
    </cfRule>
  </conditionalFormatting>
  <conditionalFormatting sqref="A2:A160 C2:D160">
    <cfRule type="cellIs" dxfId="31" priority="5" operator="equal">
      <formula>7</formula>
    </cfRule>
  </conditionalFormatting>
  <conditionalFormatting sqref="A2:A160 C2:D160">
    <cfRule type="cellIs" dxfId="30" priority="6" operator="equal">
      <formula>8</formula>
    </cfRule>
  </conditionalFormatting>
  <conditionalFormatting sqref="A2:A160 C2:D160">
    <cfRule type="cellIs" dxfId="29" priority="7" operator="equal">
      <formula>9</formula>
    </cfRule>
  </conditionalFormatting>
  <conditionalFormatting sqref="A2:A160 C2:D160">
    <cfRule type="cellIs" dxfId="28" priority="8" operator="equal">
      <formula>10</formula>
    </cfRule>
  </conditionalFormatting>
  <conditionalFormatting sqref="B2:E160">
    <cfRule type="cellIs" dxfId="27" priority="9" operator="equal">
      <formula>1</formula>
    </cfRule>
  </conditionalFormatting>
  <conditionalFormatting sqref="B2:E160">
    <cfRule type="cellIs" dxfId="26" priority="10" operator="equal">
      <formula>2</formula>
    </cfRule>
  </conditionalFormatting>
  <conditionalFormatting sqref="B2:E160">
    <cfRule type="cellIs" dxfId="25" priority="11" operator="equal">
      <formula>4</formula>
    </cfRule>
  </conditionalFormatting>
  <conditionalFormatting sqref="B2:E160">
    <cfRule type="cellIs" dxfId="24" priority="12" operator="equal">
      <formula>5</formula>
    </cfRule>
  </conditionalFormatting>
  <conditionalFormatting sqref="B2:E160">
    <cfRule type="cellIs" dxfId="23" priority="13" operator="equal">
      <formula>7</formula>
    </cfRule>
  </conditionalFormatting>
  <conditionalFormatting sqref="B2:E160">
    <cfRule type="cellIs" dxfId="22" priority="14" operator="equal">
      <formula>8</formula>
    </cfRule>
  </conditionalFormatting>
  <conditionalFormatting sqref="B2:E160">
    <cfRule type="cellIs" dxfId="21" priority="15" operator="equal">
      <formula>10</formula>
    </cfRule>
  </conditionalFormatting>
  <conditionalFormatting sqref="F2:F160">
    <cfRule type="cellIs" dxfId="20" priority="16" operator="equal">
      <formula>"SL Hit"</formula>
    </cfRule>
  </conditionalFormatting>
  <conditionalFormatting sqref="F2:F160">
    <cfRule type="cellIs" dxfId="19" priority="17" operator="between">
      <formula>0</formula>
      <formula>0.05</formula>
    </cfRule>
  </conditionalFormatting>
  <conditionalFormatting sqref="F2:F160">
    <cfRule type="cellIs" dxfId="18" priority="18" operator="between">
      <formula>0.05</formula>
      <formula>0.15</formula>
    </cfRule>
  </conditionalFormatting>
  <conditionalFormatting sqref="F2:F160">
    <cfRule type="cellIs" dxfId="17" priority="19" operator="between">
      <formula>0.15</formula>
      <formula>0.25</formula>
    </cfRule>
  </conditionalFormatting>
  <conditionalFormatting sqref="F2:F160">
    <cfRule type="cellIs" dxfId="16" priority="20" operator="between">
      <formula>0.25</formula>
      <formula>0.35</formula>
    </cfRule>
  </conditionalFormatting>
  <conditionalFormatting sqref="F2:F160">
    <cfRule type="cellIs" dxfId="15" priority="21" operator="between">
      <formula>0.35</formula>
      <formula>0.5</formula>
    </cfRule>
  </conditionalFormatting>
  <conditionalFormatting sqref="F2:F160">
    <cfRule type="cellIs" dxfId="14" priority="22" operator="greaterThan">
      <formula>0.5</formula>
    </cfRule>
  </conditionalFormatting>
  <conditionalFormatting sqref="AA2:AB160 AE2:AE160">
    <cfRule type="cellIs" dxfId="13" priority="23" operator="equal">
      <formula>"Tgt Hit"</formula>
    </cfRule>
  </conditionalFormatting>
  <conditionalFormatting sqref="AA2:AB160 AE2:AE160">
    <cfRule type="cellIs" dxfId="12" priority="24" operator="lessThanOrEqual">
      <formula>0.05</formula>
    </cfRule>
  </conditionalFormatting>
  <conditionalFormatting sqref="AA2:AB160 AE2:AE160">
    <cfRule type="cellIs" dxfId="11" priority="25" operator="between">
      <formula>0.05</formula>
      <formula>0.15</formula>
    </cfRule>
  </conditionalFormatting>
  <conditionalFormatting sqref="AA2:AB160 AE2:AE160">
    <cfRule type="cellIs" dxfId="10" priority="26" operator="between">
      <formula>0.15</formula>
      <formula>0.25</formula>
    </cfRule>
  </conditionalFormatting>
  <conditionalFormatting sqref="AA2:AB160 AE2:AE160">
    <cfRule type="cellIs" dxfId="9" priority="27" operator="between">
      <formula>0.25</formula>
      <formula>0.35</formula>
    </cfRule>
  </conditionalFormatting>
  <conditionalFormatting sqref="AA2:AB160 AE2:AE160">
    <cfRule type="cellIs" dxfId="8" priority="28" operator="between">
      <formula>0.35</formula>
      <formula>0.45</formula>
    </cfRule>
  </conditionalFormatting>
  <conditionalFormatting sqref="AA2:AB160 AE2:AE160">
    <cfRule type="cellIs" dxfId="7" priority="29" operator="greaterThan">
      <formula>0.45</formula>
    </cfRule>
  </conditionalFormatting>
  <conditionalFormatting sqref="AH2:AH160">
    <cfRule type="cellIs" dxfId="6" priority="30" operator="equal">
      <formula>"SL Hit"</formula>
    </cfRule>
  </conditionalFormatting>
  <conditionalFormatting sqref="AH2:AH160">
    <cfRule type="cellIs" dxfId="5" priority="31" operator="between">
      <formula>0</formula>
      <formula>0.05</formula>
    </cfRule>
  </conditionalFormatting>
  <conditionalFormatting sqref="AH2:AH160">
    <cfRule type="cellIs" dxfId="4" priority="32" operator="between">
      <formula>0.05</formula>
      <formula>0.15</formula>
    </cfRule>
  </conditionalFormatting>
  <conditionalFormatting sqref="AH2:AH160">
    <cfRule type="cellIs" dxfId="3" priority="33" operator="between">
      <formula>0.15</formula>
      <formula>0.25</formula>
    </cfRule>
  </conditionalFormatting>
  <conditionalFormatting sqref="AH2:AH160">
    <cfRule type="cellIs" dxfId="2" priority="34" operator="between">
      <formula>0.25</formula>
      <formula>0.35</formula>
    </cfRule>
  </conditionalFormatting>
  <conditionalFormatting sqref="AH2:AH160">
    <cfRule type="cellIs" dxfId="1" priority="35" operator="between">
      <formula>0.35</formula>
      <formula>0.5</formula>
    </cfRule>
  </conditionalFormatting>
  <conditionalFormatting sqref="AH2:AH160">
    <cfRule type="cellIs" dxfId="0" priority="36" operator="greaterThan">
      <formula>0.5</formula>
    </cfRule>
  </conditionalFormatting>
  <dataValidations count="1">
    <dataValidation type="list" allowBlank="1" sqref="F162">
      <formula1>N2:N161</formula1>
    </dataValidation>
  </dataValidation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Dhan</vt:lpstr>
      <vt:lpstr>Zerodha</vt:lpstr>
      <vt:lpstr>Kotak</vt:lpstr>
      <vt:lpstr>Trade</vt:lpstr>
      <vt:lpstr>Old Transactions</vt:lpstr>
      <vt:lpstr>Holding</vt:lpstr>
      <vt:lpstr>P&amp;L Sunita</vt:lpstr>
      <vt:lpstr>Avg Rate</vt:lpstr>
      <vt:lpstr>Options</vt:lpstr>
      <vt:lpstr>Master Data</vt:lpstr>
      <vt:lpstr>RECO</vt:lpstr>
      <vt:lpstr>FNO Lots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Satya Gupta</dc:creator>
  <cp:lastModifiedBy>Oliver Scheurich</cp:lastModifiedBy>
  <dcterms:created xsi:type="dcterms:W3CDTF">2021-05-08T11:47:47Z</dcterms:created>
  <dcterms:modified xsi:type="dcterms:W3CDTF">2023-03-24T10:50:39Z</dcterms:modified>
</cp:coreProperties>
</file>